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 월중마감\"/>
    </mc:Choice>
  </mc:AlternateContent>
  <bookViews>
    <workbookView xWindow="22110" yWindow="0" windowWidth="18225" windowHeight="8070" tabRatio="790"/>
  </bookViews>
  <sheets>
    <sheet name="전체 (11)" sheetId="496" r:id="rId1"/>
    <sheet name="솜목화&lt;친절하기는 얼어죽을&gt; MG차감내역" sheetId="499" r:id="rId2"/>
    <sheet name="아르곤18&lt;혐오만세&gt; MG차감내역" sheetId="500" r:id="rId3"/>
  </sheets>
  <definedNames>
    <definedName name="_xlnm._FilterDatabase" localSheetId="0" hidden="1">'전체 (11)'!$A$1:$BF$5387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AY5387" i="496" l="1"/>
  <c r="AY5384" i="496" l="1"/>
  <c r="D94" i="500"/>
  <c r="C94" i="500"/>
  <c r="AY88" i="500"/>
  <c r="C124" i="499"/>
  <c r="D123" i="499"/>
  <c r="AY110" i="499"/>
  <c r="C123" i="499" s="1"/>
  <c r="AY5383" i="496" l="1"/>
  <c r="BE5382" i="496"/>
  <c r="I5382" i="496"/>
  <c r="H5382" i="496"/>
  <c r="E5382" i="496"/>
  <c r="D5382" i="496"/>
  <c r="C5382" i="496"/>
  <c r="BE5381" i="496"/>
  <c r="I5381" i="496"/>
  <c r="H5381" i="496"/>
  <c r="E5381" i="496"/>
  <c r="D5381" i="496"/>
  <c r="C5381" i="496"/>
  <c r="BE5380" i="496"/>
  <c r="I5380" i="496"/>
  <c r="H5380" i="496"/>
  <c r="E5380" i="496"/>
  <c r="D5380" i="496"/>
  <c r="C5380" i="496"/>
  <c r="BE5379" i="496"/>
  <c r="I5379" i="496"/>
  <c r="H5379" i="496"/>
  <c r="E5379" i="496"/>
  <c r="D5379" i="496"/>
  <c r="C5379" i="496"/>
  <c r="BE5378" i="496"/>
  <c r="I5378" i="496"/>
  <c r="H5378" i="496"/>
  <c r="E5378" i="496"/>
  <c r="D5378" i="496"/>
  <c r="C5378" i="496"/>
  <c r="BE5377" i="496"/>
  <c r="I5377" i="496"/>
  <c r="H5377" i="496"/>
  <c r="E5377" i="496"/>
  <c r="D5377" i="496"/>
  <c r="C5377" i="496"/>
  <c r="BE5376" i="496"/>
  <c r="I5376" i="496"/>
  <c r="H5376" i="496"/>
  <c r="E5376" i="496"/>
  <c r="D5376" i="496"/>
  <c r="C5376" i="496"/>
  <c r="BE5375" i="496"/>
  <c r="I5375" i="496"/>
  <c r="H5375" i="496"/>
  <c r="E5375" i="496"/>
  <c r="D5375" i="496"/>
  <c r="C5375" i="496"/>
  <c r="BE5374" i="496"/>
  <c r="BC5374" i="496"/>
  <c r="I5374" i="496"/>
  <c r="H5374" i="496"/>
  <c r="E5374" i="496"/>
  <c r="D5374" i="496"/>
  <c r="C5374" i="496"/>
  <c r="BE5373" i="496"/>
  <c r="BC5373" i="496"/>
  <c r="I5373" i="496"/>
  <c r="H5373" i="496"/>
  <c r="E5373" i="496"/>
  <c r="D5373" i="496"/>
  <c r="C5373" i="496"/>
  <c r="BE5372" i="496"/>
  <c r="BC5372" i="496"/>
  <c r="I5372" i="496"/>
  <c r="H5372" i="496"/>
  <c r="E5372" i="496"/>
  <c r="D5372" i="496"/>
  <c r="C5372" i="496"/>
  <c r="BE5371" i="496"/>
  <c r="BC5371" i="496"/>
  <c r="I5371" i="496"/>
  <c r="H5371" i="496"/>
  <c r="E5371" i="496"/>
  <c r="D5371" i="496"/>
  <c r="C5371" i="496"/>
  <c r="BE5370" i="496"/>
  <c r="BC5370" i="496"/>
  <c r="I5370" i="496"/>
  <c r="H5370" i="496"/>
  <c r="E5370" i="496"/>
  <c r="D5370" i="496"/>
  <c r="C5370" i="496"/>
  <c r="BE5369" i="496"/>
  <c r="BC5369" i="496"/>
  <c r="I5369" i="496"/>
  <c r="H5369" i="496"/>
  <c r="E5369" i="496"/>
  <c r="D5369" i="496"/>
  <c r="C5369" i="496"/>
  <c r="BE5368" i="496"/>
  <c r="BC5368" i="496"/>
  <c r="I5368" i="496"/>
  <c r="H5368" i="496"/>
  <c r="E5368" i="496"/>
  <c r="D5368" i="496"/>
  <c r="C5368" i="496"/>
  <c r="BE5367" i="496"/>
  <c r="BC5367" i="496"/>
  <c r="I5367" i="496"/>
  <c r="H5367" i="496"/>
  <c r="E5367" i="496"/>
  <c r="D5367" i="496"/>
  <c r="C5367" i="496"/>
  <c r="BE5366" i="496"/>
  <c r="BC5366" i="496"/>
  <c r="I5366" i="496"/>
  <c r="H5366" i="496"/>
  <c r="E5366" i="496"/>
  <c r="D5366" i="496"/>
  <c r="C5366" i="496"/>
  <c r="BE5365" i="496"/>
  <c r="BC5365" i="496"/>
  <c r="I5365" i="496"/>
  <c r="H5365" i="496"/>
  <c r="E5365" i="496"/>
  <c r="D5365" i="496"/>
  <c r="C5365" i="496"/>
  <c r="BE5364" i="496"/>
  <c r="BC5364" i="496"/>
  <c r="I5364" i="496"/>
  <c r="H5364" i="496"/>
  <c r="E5364" i="496"/>
  <c r="D5364" i="496"/>
  <c r="C5364" i="496"/>
  <c r="BE5363" i="496"/>
  <c r="BC5363" i="496"/>
  <c r="I5363" i="496"/>
  <c r="H5363" i="496"/>
  <c r="E5363" i="496"/>
  <c r="D5363" i="496"/>
  <c r="C5363" i="496"/>
  <c r="BE5362" i="496"/>
  <c r="BC5362" i="496"/>
  <c r="I5362" i="496"/>
  <c r="H5362" i="496"/>
  <c r="E5362" i="496"/>
  <c r="D5362" i="496"/>
  <c r="C5362" i="496"/>
  <c r="BE5361" i="496"/>
  <c r="BC5361" i="496"/>
  <c r="I5361" i="496"/>
  <c r="H5361" i="496"/>
  <c r="E5361" i="496"/>
  <c r="D5361" i="496"/>
  <c r="C5361" i="496"/>
  <c r="BE5360" i="496"/>
  <c r="BC5360" i="496"/>
  <c r="I5360" i="496"/>
  <c r="H5360" i="496"/>
  <c r="E5360" i="496"/>
  <c r="D5360" i="496"/>
  <c r="C5360" i="496"/>
  <c r="BE5359" i="496"/>
  <c r="BC5359" i="496"/>
  <c r="I5359" i="496"/>
  <c r="H5359" i="496"/>
  <c r="E5359" i="496"/>
  <c r="D5359" i="496"/>
  <c r="C5359" i="496"/>
  <c r="BE5358" i="496"/>
  <c r="BC5358" i="496"/>
  <c r="I5358" i="496"/>
  <c r="H5358" i="496"/>
  <c r="E5358" i="496"/>
  <c r="D5358" i="496"/>
  <c r="C5358" i="496"/>
  <c r="BE5357" i="496"/>
  <c r="BC5357" i="496"/>
  <c r="I5357" i="496"/>
  <c r="H5357" i="496"/>
  <c r="E5357" i="496"/>
  <c r="D5357" i="496"/>
  <c r="C5357" i="496"/>
  <c r="BE5356" i="496"/>
  <c r="BC5356" i="496"/>
  <c r="I5356" i="496"/>
  <c r="H5356" i="496"/>
  <c r="E5356" i="496"/>
  <c r="D5356" i="496"/>
  <c r="C5356" i="496"/>
  <c r="BE5355" i="496"/>
  <c r="BC5355" i="496"/>
  <c r="I5355" i="496"/>
  <c r="H5355" i="496"/>
  <c r="E5355" i="496"/>
  <c r="D5355" i="496"/>
  <c r="C5355" i="496"/>
  <c r="BE5354" i="496"/>
  <c r="BC5354" i="496"/>
  <c r="I5354" i="496"/>
  <c r="H5354" i="496"/>
  <c r="E5354" i="496"/>
  <c r="D5354" i="496"/>
  <c r="C5354" i="496"/>
  <c r="BE5353" i="496"/>
  <c r="BC5353" i="496"/>
  <c r="I5353" i="496"/>
  <c r="H5353" i="496"/>
  <c r="E5353" i="496"/>
  <c r="D5353" i="496"/>
  <c r="C5353" i="496"/>
  <c r="BE5352" i="496"/>
  <c r="BC5352" i="496"/>
  <c r="I5352" i="496"/>
  <c r="H5352" i="496"/>
  <c r="E5352" i="496"/>
  <c r="D5352" i="496"/>
  <c r="C5352" i="496"/>
  <c r="BE5351" i="496"/>
  <c r="BC5351" i="496"/>
  <c r="I5351" i="496"/>
  <c r="H5351" i="496"/>
  <c r="E5351" i="496"/>
  <c r="D5351" i="496"/>
  <c r="C5351" i="496"/>
  <c r="BE5350" i="496"/>
  <c r="BC5350" i="496"/>
  <c r="I5350" i="496"/>
  <c r="H5350" i="496"/>
  <c r="E5350" i="496"/>
  <c r="D5350" i="496"/>
  <c r="C5350" i="496"/>
  <c r="BE5349" i="496"/>
  <c r="BC5349" i="496"/>
  <c r="I5349" i="496"/>
  <c r="H5349" i="496"/>
  <c r="E5349" i="496"/>
  <c r="D5349" i="496"/>
  <c r="C5349" i="496"/>
  <c r="BE5348" i="496"/>
  <c r="BC5348" i="496"/>
  <c r="I5348" i="496"/>
  <c r="H5348" i="496"/>
  <c r="E5348" i="496"/>
  <c r="D5348" i="496"/>
  <c r="C5348" i="496"/>
  <c r="BE5347" i="496"/>
  <c r="BC5347" i="496"/>
  <c r="I5347" i="496"/>
  <c r="H5347" i="496"/>
  <c r="E5347" i="496"/>
  <c r="D5347" i="496"/>
  <c r="C5347" i="496"/>
  <c r="BE5346" i="496"/>
  <c r="BC5346" i="496"/>
  <c r="I5346" i="496"/>
  <c r="H5346" i="496"/>
  <c r="E5346" i="496"/>
  <c r="D5346" i="496"/>
  <c r="C5346" i="496"/>
  <c r="BE5345" i="496"/>
  <c r="BC5345" i="496"/>
  <c r="I5345" i="496"/>
  <c r="H5345" i="496"/>
  <c r="E5345" i="496"/>
  <c r="D5345" i="496"/>
  <c r="C5345" i="496"/>
  <c r="BE5344" i="496"/>
  <c r="BC5344" i="496"/>
  <c r="I5344" i="496"/>
  <c r="H5344" i="496"/>
  <c r="E5344" i="496"/>
  <c r="D5344" i="496"/>
  <c r="C5344" i="496"/>
  <c r="BE5343" i="496"/>
  <c r="BC5343" i="496"/>
  <c r="I5343" i="496"/>
  <c r="H5343" i="496"/>
  <c r="E5343" i="496"/>
  <c r="D5343" i="496"/>
  <c r="C5343" i="496"/>
  <c r="BE5342" i="496"/>
  <c r="BC5342" i="496"/>
  <c r="I5342" i="496"/>
  <c r="H5342" i="496"/>
  <c r="E5342" i="496"/>
  <c r="D5342" i="496"/>
  <c r="C5342" i="496"/>
  <c r="BE5341" i="496"/>
  <c r="BC5341" i="496"/>
  <c r="I5341" i="496"/>
  <c r="H5341" i="496"/>
  <c r="E5341" i="496"/>
  <c r="D5341" i="496"/>
  <c r="C5341" i="496"/>
  <c r="BE5340" i="496"/>
  <c r="BC5340" i="496"/>
  <c r="I5340" i="496"/>
  <c r="H5340" i="496"/>
  <c r="E5340" i="496"/>
  <c r="D5340" i="496"/>
  <c r="C5340" i="496"/>
  <c r="BE5339" i="496"/>
  <c r="BC5339" i="496"/>
  <c r="I5339" i="496"/>
  <c r="H5339" i="496"/>
  <c r="E5339" i="496"/>
  <c r="D5339" i="496"/>
  <c r="C5339" i="496"/>
  <c r="BE5338" i="496"/>
  <c r="BC5338" i="496"/>
  <c r="I5338" i="496"/>
  <c r="H5338" i="496"/>
  <c r="E5338" i="496"/>
  <c r="D5338" i="496"/>
  <c r="C5338" i="496"/>
  <c r="BE5337" i="496"/>
  <c r="BC5337" i="496"/>
  <c r="I5337" i="496"/>
  <c r="H5337" i="496"/>
  <c r="E5337" i="496"/>
  <c r="D5337" i="496"/>
  <c r="C5337" i="496"/>
  <c r="BE5336" i="496"/>
  <c r="BC5336" i="496"/>
  <c r="I5336" i="496"/>
  <c r="H5336" i="496"/>
  <c r="E5336" i="496"/>
  <c r="D5336" i="496"/>
  <c r="C5336" i="496"/>
  <c r="BE5335" i="496"/>
  <c r="BC5335" i="496"/>
  <c r="I5335" i="496"/>
  <c r="H5335" i="496"/>
  <c r="E5335" i="496"/>
  <c r="D5335" i="496"/>
  <c r="C5335" i="496"/>
  <c r="BE5334" i="496"/>
  <c r="BC5334" i="496"/>
  <c r="I5334" i="496"/>
  <c r="H5334" i="496"/>
  <c r="E5334" i="496"/>
  <c r="D5334" i="496"/>
  <c r="C5334" i="496"/>
  <c r="BE5333" i="496"/>
  <c r="BC5333" i="496"/>
  <c r="I5333" i="496"/>
  <c r="H5333" i="496"/>
  <c r="E5333" i="496"/>
  <c r="D5333" i="496"/>
  <c r="C5333" i="496"/>
  <c r="BE5332" i="496"/>
  <c r="BC5332" i="496"/>
  <c r="I5332" i="496"/>
  <c r="H5332" i="496"/>
  <c r="E5332" i="496"/>
  <c r="D5332" i="496"/>
  <c r="C5332" i="496"/>
  <c r="BE5331" i="496"/>
  <c r="BC5331" i="496"/>
  <c r="I5331" i="496"/>
  <c r="H5331" i="496"/>
  <c r="E5331" i="496"/>
  <c r="D5331" i="496"/>
  <c r="C5331" i="496"/>
  <c r="BE5330" i="496"/>
  <c r="BC5330" i="496"/>
  <c r="I5330" i="496"/>
  <c r="H5330" i="496"/>
  <c r="E5330" i="496"/>
  <c r="D5330" i="496"/>
  <c r="C5330" i="496"/>
  <c r="BE5329" i="496"/>
  <c r="BC5329" i="496"/>
  <c r="I5329" i="496"/>
  <c r="H5329" i="496"/>
  <c r="E5329" i="496"/>
  <c r="D5329" i="496"/>
  <c r="C5329" i="496"/>
  <c r="BE5328" i="496"/>
  <c r="BC5328" i="496"/>
  <c r="I5328" i="496"/>
  <c r="H5328" i="496"/>
  <c r="E5328" i="496"/>
  <c r="D5328" i="496"/>
  <c r="C5328" i="496"/>
  <c r="BE5327" i="496"/>
  <c r="BC5327" i="496"/>
  <c r="I5327" i="496"/>
  <c r="H5327" i="496"/>
  <c r="E5327" i="496"/>
  <c r="D5327" i="496"/>
  <c r="C5327" i="496"/>
  <c r="BE5326" i="496"/>
  <c r="BC5326" i="496"/>
  <c r="I5326" i="496"/>
  <c r="H5326" i="496"/>
  <c r="E5326" i="496"/>
  <c r="D5326" i="496"/>
  <c r="C5326" i="496"/>
  <c r="BE5325" i="496"/>
  <c r="BC5325" i="496"/>
  <c r="I5325" i="496"/>
  <c r="H5325" i="496"/>
  <c r="E5325" i="496"/>
  <c r="D5325" i="496"/>
  <c r="C5325" i="496"/>
  <c r="BE5324" i="496"/>
  <c r="BC5324" i="496"/>
  <c r="I5324" i="496"/>
  <c r="H5324" i="496"/>
  <c r="E5324" i="496"/>
  <c r="D5324" i="496"/>
  <c r="C5324" i="496"/>
  <c r="BE5323" i="496"/>
  <c r="BC5323" i="496"/>
  <c r="I5323" i="496"/>
  <c r="H5323" i="496"/>
  <c r="E5323" i="496"/>
  <c r="D5323" i="496"/>
  <c r="C5323" i="496"/>
  <c r="BE5322" i="496"/>
  <c r="BC5322" i="496"/>
  <c r="I5322" i="496"/>
  <c r="H5322" i="496"/>
  <c r="E5322" i="496"/>
  <c r="D5322" i="496"/>
  <c r="C5322" i="496"/>
  <c r="BE5321" i="496"/>
  <c r="BC5321" i="496"/>
  <c r="I5321" i="496"/>
  <c r="H5321" i="496"/>
  <c r="E5321" i="496"/>
  <c r="D5321" i="496"/>
  <c r="C5321" i="496"/>
  <c r="BE5320" i="496"/>
  <c r="BC5320" i="496"/>
  <c r="I5320" i="496"/>
  <c r="H5320" i="496"/>
  <c r="E5320" i="496"/>
  <c r="D5320" i="496"/>
  <c r="C5320" i="496"/>
  <c r="BE5319" i="496"/>
  <c r="BC5319" i="496"/>
  <c r="I5319" i="496"/>
  <c r="H5319" i="496"/>
  <c r="E5319" i="496"/>
  <c r="D5319" i="496"/>
  <c r="C5319" i="496"/>
  <c r="BE5318" i="496"/>
  <c r="BC5318" i="496"/>
  <c r="I5318" i="496"/>
  <c r="H5318" i="496"/>
  <c r="E5318" i="496"/>
  <c r="D5318" i="496"/>
  <c r="C5318" i="496"/>
  <c r="BE5317" i="496"/>
  <c r="BC5317" i="496"/>
  <c r="I5317" i="496"/>
  <c r="H5317" i="496"/>
  <c r="E5317" i="496"/>
  <c r="D5317" i="496"/>
  <c r="C5317" i="496"/>
  <c r="BE5316" i="496"/>
  <c r="BC5316" i="496"/>
  <c r="I5316" i="496"/>
  <c r="H5316" i="496"/>
  <c r="E5316" i="496"/>
  <c r="D5316" i="496"/>
  <c r="C5316" i="496"/>
  <c r="BE5315" i="496"/>
  <c r="BC5315" i="496"/>
  <c r="I5315" i="496"/>
  <c r="H5315" i="496"/>
  <c r="E5315" i="496"/>
  <c r="D5315" i="496"/>
  <c r="C5315" i="496"/>
  <c r="BE5314" i="496"/>
  <c r="BC5314" i="496"/>
  <c r="I5314" i="496"/>
  <c r="H5314" i="496"/>
  <c r="E5314" i="496"/>
  <c r="D5314" i="496"/>
  <c r="C5314" i="496"/>
  <c r="BE5313" i="496"/>
  <c r="BC5313" i="496"/>
  <c r="I5313" i="496"/>
  <c r="H5313" i="496"/>
  <c r="E5313" i="496"/>
  <c r="D5313" i="496"/>
  <c r="C5313" i="496"/>
  <c r="BE5312" i="496"/>
  <c r="BC5312" i="496"/>
  <c r="I5312" i="496"/>
  <c r="H5312" i="496"/>
  <c r="E5312" i="496"/>
  <c r="D5312" i="496"/>
  <c r="C5312" i="496"/>
  <c r="BE5311" i="496"/>
  <c r="BC5311" i="496"/>
  <c r="I5311" i="496"/>
  <c r="H5311" i="496"/>
  <c r="E5311" i="496"/>
  <c r="D5311" i="496"/>
  <c r="C5311" i="496"/>
  <c r="BE5310" i="496"/>
  <c r="BC5310" i="496"/>
  <c r="I5310" i="496"/>
  <c r="H5310" i="496"/>
  <c r="E5310" i="496"/>
  <c r="D5310" i="496"/>
  <c r="C5310" i="496"/>
  <c r="BE5309" i="496"/>
  <c r="BC5309" i="496"/>
  <c r="I5309" i="496"/>
  <c r="H5309" i="496"/>
  <c r="E5309" i="496"/>
  <c r="D5309" i="496"/>
  <c r="C5309" i="496"/>
  <c r="BE5308" i="496"/>
  <c r="BC5308" i="496"/>
  <c r="I5308" i="496"/>
  <c r="H5308" i="496"/>
  <c r="E5308" i="496"/>
  <c r="D5308" i="496"/>
  <c r="C5308" i="496"/>
  <c r="BE5307" i="496"/>
  <c r="BC5307" i="496"/>
  <c r="I5307" i="496"/>
  <c r="H5307" i="496"/>
  <c r="E5307" i="496"/>
  <c r="D5307" i="496"/>
  <c r="C5307" i="496"/>
  <c r="BE5306" i="496"/>
  <c r="BC5306" i="496"/>
  <c r="I5306" i="496"/>
  <c r="H5306" i="496"/>
  <c r="E5306" i="496"/>
  <c r="D5306" i="496"/>
  <c r="C5306" i="496"/>
  <c r="BE5305" i="496"/>
  <c r="BC5305" i="496"/>
  <c r="I5305" i="496"/>
  <c r="H5305" i="496"/>
  <c r="E5305" i="496"/>
  <c r="D5305" i="496"/>
  <c r="C5305" i="496"/>
  <c r="BE5304" i="496"/>
  <c r="BC5304" i="496"/>
  <c r="I5304" i="496"/>
  <c r="H5304" i="496"/>
  <c r="E5304" i="496"/>
  <c r="D5304" i="496"/>
  <c r="C5304" i="496"/>
  <c r="BE5303" i="496"/>
  <c r="BC5303" i="496"/>
  <c r="I5303" i="496"/>
  <c r="H5303" i="496"/>
  <c r="E5303" i="496"/>
  <c r="D5303" i="496"/>
  <c r="C5303" i="496"/>
  <c r="BE5302" i="496"/>
  <c r="BC5302" i="496"/>
  <c r="I5302" i="496"/>
  <c r="H5302" i="496"/>
  <c r="E5302" i="496"/>
  <c r="D5302" i="496"/>
  <c r="C5302" i="496"/>
  <c r="BE5301" i="496"/>
  <c r="BC5301" i="496"/>
  <c r="I5301" i="496"/>
  <c r="H5301" i="496"/>
  <c r="E5301" i="496"/>
  <c r="D5301" i="496"/>
  <c r="C5301" i="496"/>
  <c r="BE5300" i="496"/>
  <c r="BC5300" i="496"/>
  <c r="I5300" i="496"/>
  <c r="H5300" i="496"/>
  <c r="E5300" i="496"/>
  <c r="D5300" i="496"/>
  <c r="C5300" i="496"/>
  <c r="BE5299" i="496"/>
  <c r="BC5299" i="496"/>
  <c r="I5299" i="496"/>
  <c r="H5299" i="496"/>
  <c r="E5299" i="496"/>
  <c r="D5299" i="496"/>
  <c r="C5299" i="496"/>
  <c r="BE5298" i="496"/>
  <c r="BC5298" i="496"/>
  <c r="I5298" i="496"/>
  <c r="H5298" i="496"/>
  <c r="E5298" i="496"/>
  <c r="D5298" i="496"/>
  <c r="C5298" i="496"/>
  <c r="BE5297" i="496"/>
  <c r="BC5297" i="496"/>
  <c r="I5297" i="496"/>
  <c r="H5297" i="496"/>
  <c r="E5297" i="496"/>
  <c r="D5297" i="496"/>
  <c r="C5297" i="496"/>
  <c r="BE5296" i="496"/>
  <c r="BC5296" i="496"/>
  <c r="I5296" i="496"/>
  <c r="H5296" i="496"/>
  <c r="E5296" i="496"/>
  <c r="D5296" i="496"/>
  <c r="C5296" i="496"/>
  <c r="BE5295" i="496"/>
  <c r="BC5295" i="496"/>
  <c r="I5295" i="496"/>
  <c r="H5295" i="496"/>
  <c r="E5295" i="496"/>
  <c r="D5295" i="496"/>
  <c r="C5295" i="496"/>
  <c r="BE5294" i="496"/>
  <c r="BC5294" i="496"/>
  <c r="I5294" i="496"/>
  <c r="H5294" i="496"/>
  <c r="E5294" i="496"/>
  <c r="D5294" i="496"/>
  <c r="C5294" i="496"/>
  <c r="BE5293" i="496"/>
  <c r="BC5293" i="496"/>
  <c r="I5293" i="496"/>
  <c r="H5293" i="496"/>
  <c r="E5293" i="496"/>
  <c r="D5293" i="496"/>
  <c r="C5293" i="496"/>
  <c r="BE5292" i="496"/>
  <c r="BC5292" i="496"/>
  <c r="I5292" i="496"/>
  <c r="H5292" i="496"/>
  <c r="E5292" i="496"/>
  <c r="D5292" i="496"/>
  <c r="C5292" i="496"/>
  <c r="BE5291" i="496"/>
  <c r="BC5291" i="496"/>
  <c r="I5291" i="496"/>
  <c r="H5291" i="496"/>
  <c r="E5291" i="496"/>
  <c r="D5291" i="496"/>
  <c r="C5291" i="496"/>
  <c r="BE5290" i="496"/>
  <c r="BC5290" i="496"/>
  <c r="I5290" i="496"/>
  <c r="H5290" i="496"/>
  <c r="E5290" i="496"/>
  <c r="D5290" i="496"/>
  <c r="C5290" i="496"/>
  <c r="BE5289" i="496"/>
  <c r="BC5289" i="496"/>
  <c r="I5289" i="496"/>
  <c r="H5289" i="496"/>
  <c r="E5289" i="496"/>
  <c r="D5289" i="496"/>
  <c r="C5289" i="496"/>
  <c r="BE5288" i="496"/>
  <c r="BC5288" i="496"/>
  <c r="I5288" i="496"/>
  <c r="H5288" i="496"/>
  <c r="E5288" i="496"/>
  <c r="D5288" i="496"/>
  <c r="C5288" i="496"/>
  <c r="BE5287" i="496"/>
  <c r="BC5287" i="496"/>
  <c r="I5287" i="496"/>
  <c r="H5287" i="496"/>
  <c r="E5287" i="496"/>
  <c r="D5287" i="496"/>
  <c r="C5287" i="496"/>
  <c r="BE5286" i="496"/>
  <c r="BC5286" i="496"/>
  <c r="I5286" i="496"/>
  <c r="H5286" i="496"/>
  <c r="E5286" i="496"/>
  <c r="D5286" i="496"/>
  <c r="C5286" i="496"/>
  <c r="BE5285" i="496"/>
  <c r="BC5285" i="496"/>
  <c r="I5285" i="496"/>
  <c r="H5285" i="496"/>
  <c r="E5285" i="496"/>
  <c r="D5285" i="496"/>
  <c r="C5285" i="496"/>
  <c r="BE5284" i="496"/>
  <c r="BC5284" i="496"/>
  <c r="I5284" i="496"/>
  <c r="H5284" i="496"/>
  <c r="E5284" i="496"/>
  <c r="D5284" i="496"/>
  <c r="C5284" i="496"/>
  <c r="BE5283" i="496"/>
  <c r="BC5283" i="496"/>
  <c r="I5283" i="496"/>
  <c r="H5283" i="496"/>
  <c r="E5283" i="496"/>
  <c r="D5283" i="496"/>
  <c r="C5283" i="496"/>
  <c r="BE5282" i="496"/>
  <c r="BC5282" i="496"/>
  <c r="I5282" i="496"/>
  <c r="H5282" i="496"/>
  <c r="E5282" i="496"/>
  <c r="D5282" i="496"/>
  <c r="C5282" i="496"/>
  <c r="BE5281" i="496"/>
  <c r="BC5281" i="496"/>
  <c r="I5281" i="496"/>
  <c r="H5281" i="496"/>
  <c r="E5281" i="496"/>
  <c r="D5281" i="496"/>
  <c r="C5281" i="496"/>
  <c r="BE5280" i="496"/>
  <c r="BC5280" i="496"/>
  <c r="I5280" i="496"/>
  <c r="H5280" i="496"/>
  <c r="E5280" i="496"/>
  <c r="D5280" i="496"/>
  <c r="C5280" i="496"/>
  <c r="BE5279" i="496"/>
  <c r="BC5279" i="496"/>
  <c r="I5279" i="496"/>
  <c r="H5279" i="496"/>
  <c r="E5279" i="496"/>
  <c r="D5279" i="496"/>
  <c r="C5279" i="496"/>
  <c r="BE5278" i="496"/>
  <c r="BC5278" i="496"/>
  <c r="I5278" i="496"/>
  <c r="H5278" i="496"/>
  <c r="E5278" i="496"/>
  <c r="D5278" i="496"/>
  <c r="C5278" i="496"/>
  <c r="BE5277" i="496"/>
  <c r="BC5277" i="496"/>
  <c r="I5277" i="496"/>
  <c r="H5277" i="496"/>
  <c r="E5277" i="496"/>
  <c r="D5277" i="496"/>
  <c r="C5277" i="496"/>
  <c r="BE5276" i="496"/>
  <c r="BC5276" i="496"/>
  <c r="I5276" i="496"/>
  <c r="H5276" i="496"/>
  <c r="E5276" i="496"/>
  <c r="D5276" i="496"/>
  <c r="C5276" i="496"/>
  <c r="BE5275" i="496"/>
  <c r="BC5275" i="496"/>
  <c r="I5275" i="496"/>
  <c r="H5275" i="496"/>
  <c r="E5275" i="496"/>
  <c r="D5275" i="496"/>
  <c r="C5275" i="496"/>
  <c r="BE5274" i="496"/>
  <c r="BC5274" i="496"/>
  <c r="I5274" i="496"/>
  <c r="H5274" i="496"/>
  <c r="E5274" i="496"/>
  <c r="D5274" i="496"/>
  <c r="C5274" i="496"/>
  <c r="BE5273" i="496"/>
  <c r="BC5273" i="496"/>
  <c r="I5273" i="496"/>
  <c r="H5273" i="496"/>
  <c r="E5273" i="496"/>
  <c r="D5273" i="496"/>
  <c r="C5273" i="496"/>
  <c r="BE5272" i="496"/>
  <c r="BC5272" i="496"/>
  <c r="I5272" i="496"/>
  <c r="H5272" i="496"/>
  <c r="E5272" i="496"/>
  <c r="D5272" i="496"/>
  <c r="C5272" i="496"/>
  <c r="BE5271" i="496"/>
  <c r="BC5271" i="496"/>
  <c r="I5271" i="496"/>
  <c r="H5271" i="496"/>
  <c r="E5271" i="496"/>
  <c r="D5271" i="496"/>
  <c r="C5271" i="496"/>
  <c r="BE5270" i="496"/>
  <c r="BC5270" i="496"/>
  <c r="I5270" i="496"/>
  <c r="H5270" i="496"/>
  <c r="E5270" i="496"/>
  <c r="D5270" i="496"/>
  <c r="C5270" i="496"/>
  <c r="BE5269" i="496"/>
  <c r="BC5269" i="496"/>
  <c r="I5269" i="496"/>
  <c r="H5269" i="496"/>
  <c r="E5269" i="496"/>
  <c r="D5269" i="496"/>
  <c r="C5269" i="496"/>
  <c r="BE5268" i="496"/>
  <c r="BC5268" i="496"/>
  <c r="I5268" i="496"/>
  <c r="H5268" i="496"/>
  <c r="E5268" i="496"/>
  <c r="D5268" i="496"/>
  <c r="C5268" i="496"/>
  <c r="BE5267" i="496"/>
  <c r="BC5267" i="496"/>
  <c r="I5267" i="496"/>
  <c r="H5267" i="496"/>
  <c r="E5267" i="496"/>
  <c r="D5267" i="496"/>
  <c r="C5267" i="496"/>
  <c r="BE5266" i="496"/>
  <c r="BC5266" i="496"/>
  <c r="I5266" i="496"/>
  <c r="H5266" i="496"/>
  <c r="E5266" i="496"/>
  <c r="D5266" i="496"/>
  <c r="C5266" i="496"/>
  <c r="BE5265" i="496"/>
  <c r="BC5265" i="496"/>
  <c r="I5265" i="496"/>
  <c r="H5265" i="496"/>
  <c r="E5265" i="496"/>
  <c r="D5265" i="496"/>
  <c r="C5265" i="496"/>
  <c r="BE5264" i="496"/>
  <c r="BC5264" i="496"/>
  <c r="I5264" i="496"/>
  <c r="H5264" i="496"/>
  <c r="E5264" i="496"/>
  <c r="D5264" i="496"/>
  <c r="C5264" i="496"/>
  <c r="BE5263" i="496"/>
  <c r="BC5263" i="496"/>
  <c r="I5263" i="496"/>
  <c r="H5263" i="496"/>
  <c r="E5263" i="496"/>
  <c r="D5263" i="496"/>
  <c r="C5263" i="496"/>
  <c r="BE5262" i="496"/>
  <c r="BC5262" i="496"/>
  <c r="I5262" i="496"/>
  <c r="H5262" i="496"/>
  <c r="E5262" i="496"/>
  <c r="D5262" i="496"/>
  <c r="C5262" i="496"/>
  <c r="BE5261" i="496"/>
  <c r="BC5261" i="496"/>
  <c r="I5261" i="496"/>
  <c r="H5261" i="496"/>
  <c r="E5261" i="496"/>
  <c r="D5261" i="496"/>
  <c r="C5261" i="496"/>
  <c r="BE5260" i="496"/>
  <c r="BC5260" i="496"/>
  <c r="I5260" i="496"/>
  <c r="H5260" i="496"/>
  <c r="E5260" i="496"/>
  <c r="D5260" i="496"/>
  <c r="C5260" i="496"/>
  <c r="BE5259" i="496"/>
  <c r="BC5259" i="496"/>
  <c r="I5259" i="496"/>
  <c r="H5259" i="496"/>
  <c r="E5259" i="496"/>
  <c r="D5259" i="496"/>
  <c r="C5259" i="496"/>
  <c r="BE5258" i="496"/>
  <c r="BC5258" i="496"/>
  <c r="I5258" i="496"/>
  <c r="H5258" i="496"/>
  <c r="E5258" i="496"/>
  <c r="D5258" i="496"/>
  <c r="C5258" i="496"/>
  <c r="BE5257" i="496"/>
  <c r="BC5257" i="496"/>
  <c r="I5257" i="496"/>
  <c r="H5257" i="496"/>
  <c r="E5257" i="496"/>
  <c r="D5257" i="496"/>
  <c r="C5257" i="496"/>
  <c r="BE5256" i="496"/>
  <c r="BC5256" i="496"/>
  <c r="I5256" i="496"/>
  <c r="H5256" i="496"/>
  <c r="E5256" i="496"/>
  <c r="D5256" i="496"/>
  <c r="C5256" i="496"/>
  <c r="BE5255" i="496"/>
  <c r="BC5255" i="496"/>
  <c r="I5255" i="496"/>
  <c r="H5255" i="496"/>
  <c r="E5255" i="496"/>
  <c r="D5255" i="496"/>
  <c r="C5255" i="496"/>
  <c r="BE5254" i="496"/>
  <c r="BC5254" i="496"/>
  <c r="I5254" i="496"/>
  <c r="H5254" i="496"/>
  <c r="E5254" i="496"/>
  <c r="D5254" i="496"/>
  <c r="C5254" i="496"/>
  <c r="BE5253" i="496"/>
  <c r="BC5253" i="496"/>
  <c r="I5253" i="496"/>
  <c r="H5253" i="496"/>
  <c r="E5253" i="496"/>
  <c r="D5253" i="496"/>
  <c r="C5253" i="496"/>
  <c r="BE5252" i="496"/>
  <c r="BC5252" i="496"/>
  <c r="I5252" i="496"/>
  <c r="H5252" i="496"/>
  <c r="E5252" i="496"/>
  <c r="D5252" i="496"/>
  <c r="C5252" i="496"/>
  <c r="BE5251" i="496"/>
  <c r="BC5251" i="496"/>
  <c r="I5251" i="496"/>
  <c r="H5251" i="496"/>
  <c r="E5251" i="496"/>
  <c r="D5251" i="496"/>
  <c r="C5251" i="496"/>
  <c r="BE5250" i="496"/>
  <c r="BC5250" i="496"/>
  <c r="I5250" i="496"/>
  <c r="H5250" i="496"/>
  <c r="E5250" i="496"/>
  <c r="D5250" i="496"/>
  <c r="C5250" i="496"/>
  <c r="BE5249" i="496"/>
  <c r="BC5249" i="496"/>
  <c r="I5249" i="496"/>
  <c r="H5249" i="496"/>
  <c r="E5249" i="496"/>
  <c r="D5249" i="496"/>
  <c r="C5249" i="496"/>
  <c r="BE5248" i="496"/>
  <c r="BC5248" i="496"/>
  <c r="I5248" i="496"/>
  <c r="H5248" i="496"/>
  <c r="E5248" i="496"/>
  <c r="D5248" i="496"/>
  <c r="C5248" i="496"/>
  <c r="BE5247" i="496"/>
  <c r="BC5247" i="496"/>
  <c r="I5247" i="496"/>
  <c r="H5247" i="496"/>
  <c r="E5247" i="496"/>
  <c r="D5247" i="496"/>
  <c r="C5247" i="496"/>
  <c r="BE5246" i="496"/>
  <c r="BC5246" i="496"/>
  <c r="I5246" i="496"/>
  <c r="H5246" i="496"/>
  <c r="E5246" i="496"/>
  <c r="D5246" i="496"/>
  <c r="C5246" i="496"/>
  <c r="BE5245" i="496"/>
  <c r="BC5245" i="496"/>
  <c r="I5245" i="496"/>
  <c r="H5245" i="496"/>
  <c r="E5245" i="496"/>
  <c r="D5245" i="496"/>
  <c r="C5245" i="496"/>
  <c r="BE5244" i="496"/>
  <c r="BC5244" i="496"/>
  <c r="I5244" i="496"/>
  <c r="H5244" i="496"/>
  <c r="E5244" i="496"/>
  <c r="D5244" i="496"/>
  <c r="C5244" i="496"/>
  <c r="BE5243" i="496"/>
  <c r="BC5243" i="496"/>
  <c r="I5243" i="496"/>
  <c r="H5243" i="496"/>
  <c r="E5243" i="496"/>
  <c r="D5243" i="496"/>
  <c r="C5243" i="496"/>
  <c r="BE5242" i="496"/>
  <c r="BC5242" i="496"/>
  <c r="I5242" i="496"/>
  <c r="H5242" i="496"/>
  <c r="E5242" i="496"/>
  <c r="D5242" i="496"/>
  <c r="C5242" i="496"/>
  <c r="BE5241" i="496"/>
  <c r="BC5241" i="496"/>
  <c r="I5241" i="496"/>
  <c r="H5241" i="496"/>
  <c r="E5241" i="496"/>
  <c r="D5241" i="496"/>
  <c r="C5241" i="496"/>
  <c r="BE5240" i="496"/>
  <c r="BC5240" i="496"/>
  <c r="I5240" i="496"/>
  <c r="H5240" i="496"/>
  <c r="E5240" i="496"/>
  <c r="D5240" i="496"/>
  <c r="C5240" i="496"/>
  <c r="BE5239" i="496"/>
  <c r="BC5239" i="496"/>
  <c r="I5239" i="496"/>
  <c r="H5239" i="496"/>
  <c r="E5239" i="496"/>
  <c r="D5239" i="496"/>
  <c r="C5239" i="496"/>
  <c r="BE5238" i="496"/>
  <c r="BC5238" i="496"/>
  <c r="I5238" i="496"/>
  <c r="H5238" i="496"/>
  <c r="E5238" i="496"/>
  <c r="D5238" i="496"/>
  <c r="C5238" i="496"/>
  <c r="BE5237" i="496"/>
  <c r="BC5237" i="496"/>
  <c r="I5237" i="496"/>
  <c r="H5237" i="496"/>
  <c r="E5237" i="496"/>
  <c r="D5237" i="496"/>
  <c r="C5237" i="496"/>
  <c r="BE5236" i="496"/>
  <c r="BC5236" i="496"/>
  <c r="I5236" i="496"/>
  <c r="H5236" i="496"/>
  <c r="E5236" i="496"/>
  <c r="D5236" i="496"/>
  <c r="C5236" i="496"/>
  <c r="BE5235" i="496"/>
  <c r="BC5235" i="496"/>
  <c r="I5235" i="496"/>
  <c r="H5235" i="496"/>
  <c r="E5235" i="496"/>
  <c r="D5235" i="496"/>
  <c r="C5235" i="496"/>
  <c r="BE5234" i="496"/>
  <c r="BC5234" i="496"/>
  <c r="I5234" i="496"/>
  <c r="H5234" i="496"/>
  <c r="E5234" i="496"/>
  <c r="D5234" i="496"/>
  <c r="C5234" i="496"/>
  <c r="BE5233" i="496"/>
  <c r="BC5233" i="496"/>
  <c r="I5233" i="496"/>
  <c r="H5233" i="496"/>
  <c r="E5233" i="496"/>
  <c r="D5233" i="496"/>
  <c r="C5233" i="496"/>
  <c r="BE5232" i="496"/>
  <c r="BC5232" i="496"/>
  <c r="I5232" i="496"/>
  <c r="H5232" i="496"/>
  <c r="E5232" i="496"/>
  <c r="D5232" i="496"/>
  <c r="C5232" i="496"/>
  <c r="BE5231" i="496"/>
  <c r="BC5231" i="496"/>
  <c r="I5231" i="496"/>
  <c r="H5231" i="496"/>
  <c r="E5231" i="496"/>
  <c r="D5231" i="496"/>
  <c r="C5231" i="496"/>
  <c r="BE5230" i="496"/>
  <c r="BC5230" i="496"/>
  <c r="I5230" i="496"/>
  <c r="H5230" i="496"/>
  <c r="E5230" i="496"/>
  <c r="D5230" i="496"/>
  <c r="C5230" i="496"/>
  <c r="BE5229" i="496"/>
  <c r="BC5229" i="496"/>
  <c r="I5229" i="496"/>
  <c r="H5229" i="496"/>
  <c r="E5229" i="496"/>
  <c r="D5229" i="496"/>
  <c r="C5229" i="496"/>
  <c r="BE5228" i="496"/>
  <c r="BC5228" i="496"/>
  <c r="I5228" i="496"/>
  <c r="H5228" i="496"/>
  <c r="E5228" i="496"/>
  <c r="D5228" i="496"/>
  <c r="C5228" i="496"/>
  <c r="BE5227" i="496"/>
  <c r="BC5227" i="496"/>
  <c r="I5227" i="496"/>
  <c r="H5227" i="496"/>
  <c r="E5227" i="496"/>
  <c r="D5227" i="496"/>
  <c r="C5227" i="496"/>
  <c r="BE5226" i="496"/>
  <c r="BC5226" i="496"/>
  <c r="I5226" i="496"/>
  <c r="H5226" i="496"/>
  <c r="E5226" i="496"/>
  <c r="D5226" i="496"/>
  <c r="C5226" i="496"/>
  <c r="BE5225" i="496"/>
  <c r="BC5225" i="496"/>
  <c r="I5225" i="496"/>
  <c r="H5225" i="496"/>
  <c r="E5225" i="496"/>
  <c r="D5225" i="496"/>
  <c r="C5225" i="496"/>
  <c r="BE5224" i="496"/>
  <c r="BC5224" i="496"/>
  <c r="I5224" i="496"/>
  <c r="H5224" i="496"/>
  <c r="E5224" i="496"/>
  <c r="D5224" i="496"/>
  <c r="C5224" i="496"/>
  <c r="BE5223" i="496"/>
  <c r="BC5223" i="496"/>
  <c r="I5223" i="496"/>
  <c r="H5223" i="496"/>
  <c r="E5223" i="496"/>
  <c r="D5223" i="496"/>
  <c r="C5223" i="496"/>
  <c r="BE5222" i="496"/>
  <c r="BC5222" i="496"/>
  <c r="I5222" i="496"/>
  <c r="H5222" i="496"/>
  <c r="E5222" i="496"/>
  <c r="D5222" i="496"/>
  <c r="C5222" i="496"/>
  <c r="BE5221" i="496"/>
  <c r="BC5221" i="496"/>
  <c r="I5221" i="496"/>
  <c r="H5221" i="496"/>
  <c r="E5221" i="496"/>
  <c r="D5221" i="496"/>
  <c r="C5221" i="496"/>
  <c r="BE5220" i="496"/>
  <c r="BC5220" i="496"/>
  <c r="I5220" i="496"/>
  <c r="H5220" i="496"/>
  <c r="E5220" i="496"/>
  <c r="D5220" i="496"/>
  <c r="C5220" i="496"/>
  <c r="BE5219" i="496"/>
  <c r="BC5219" i="496"/>
  <c r="I5219" i="496"/>
  <c r="H5219" i="496"/>
  <c r="E5219" i="496"/>
  <c r="D5219" i="496"/>
  <c r="C5219" i="496"/>
  <c r="BE5218" i="496"/>
  <c r="BC5218" i="496"/>
  <c r="I5218" i="496"/>
  <c r="H5218" i="496"/>
  <c r="E5218" i="496"/>
  <c r="D5218" i="496"/>
  <c r="C5218" i="496"/>
  <c r="BE5217" i="496"/>
  <c r="BC5217" i="496"/>
  <c r="I5217" i="496"/>
  <c r="H5217" i="496"/>
  <c r="E5217" i="496"/>
  <c r="D5217" i="496"/>
  <c r="C5217" i="496"/>
  <c r="BE5216" i="496"/>
  <c r="BC5216" i="496"/>
  <c r="I5216" i="496"/>
  <c r="H5216" i="496"/>
  <c r="E5216" i="496"/>
  <c r="D5216" i="496"/>
  <c r="C5216" i="496"/>
  <c r="BE5215" i="496"/>
  <c r="BC5215" i="496"/>
  <c r="I5215" i="496"/>
  <c r="H5215" i="496"/>
  <c r="E5215" i="496"/>
  <c r="D5215" i="496"/>
  <c r="C5215" i="496"/>
  <c r="BE5214" i="496"/>
  <c r="BC5214" i="496"/>
  <c r="I5214" i="496"/>
  <c r="H5214" i="496"/>
  <c r="E5214" i="496"/>
  <c r="D5214" i="496"/>
  <c r="C5214" i="496"/>
  <c r="BE5213" i="496"/>
  <c r="BC5213" i="496"/>
  <c r="I5213" i="496"/>
  <c r="H5213" i="496"/>
  <c r="E5213" i="496"/>
  <c r="D5213" i="496"/>
  <c r="C5213" i="496"/>
  <c r="BE5212" i="496"/>
  <c r="BC5212" i="496"/>
  <c r="I5212" i="496"/>
  <c r="H5212" i="496"/>
  <c r="E5212" i="496"/>
  <c r="D5212" i="496"/>
  <c r="C5212" i="496"/>
  <c r="BE5211" i="496"/>
  <c r="BC5211" i="496"/>
  <c r="I5211" i="496"/>
  <c r="H5211" i="496"/>
  <c r="E5211" i="496"/>
  <c r="D5211" i="496"/>
  <c r="C5211" i="496"/>
  <c r="BE5210" i="496"/>
  <c r="BC5210" i="496"/>
  <c r="I5210" i="496"/>
  <c r="H5210" i="496"/>
  <c r="E5210" i="496"/>
  <c r="D5210" i="496"/>
  <c r="C5210" i="496"/>
  <c r="BE5209" i="496"/>
  <c r="BC5209" i="496"/>
  <c r="I5209" i="496"/>
  <c r="H5209" i="496"/>
  <c r="E5209" i="496"/>
  <c r="D5209" i="496"/>
  <c r="C5209" i="496"/>
  <c r="BE5208" i="496"/>
  <c r="BC5208" i="496"/>
  <c r="I5208" i="496"/>
  <c r="H5208" i="496"/>
  <c r="E5208" i="496"/>
  <c r="D5208" i="496"/>
  <c r="C5208" i="496"/>
  <c r="BE5207" i="496"/>
  <c r="BC5207" i="496"/>
  <c r="I5207" i="496"/>
  <c r="H5207" i="496"/>
  <c r="E5207" i="496"/>
  <c r="D5207" i="496"/>
  <c r="C5207" i="496"/>
  <c r="BE5206" i="496"/>
  <c r="BC5206" i="496"/>
  <c r="I5206" i="496"/>
  <c r="H5206" i="496"/>
  <c r="E5206" i="496"/>
  <c r="D5206" i="496"/>
  <c r="C5206" i="496"/>
  <c r="BE5205" i="496"/>
  <c r="BC5205" i="496"/>
  <c r="I5205" i="496"/>
  <c r="H5205" i="496"/>
  <c r="E5205" i="496"/>
  <c r="D5205" i="496"/>
  <c r="C5205" i="496"/>
  <c r="BE5204" i="496"/>
  <c r="BC5204" i="496"/>
  <c r="I5204" i="496"/>
  <c r="H5204" i="496"/>
  <c r="E5204" i="496"/>
  <c r="D5204" i="496"/>
  <c r="C5204" i="496"/>
  <c r="BE5203" i="496"/>
  <c r="BC5203" i="496"/>
  <c r="I5203" i="496"/>
  <c r="H5203" i="496"/>
  <c r="E5203" i="496"/>
  <c r="D5203" i="496"/>
  <c r="C5203" i="496"/>
  <c r="BE5202" i="496"/>
  <c r="BC5202" i="496"/>
  <c r="I5202" i="496"/>
  <c r="H5202" i="496"/>
  <c r="E5202" i="496"/>
  <c r="D5202" i="496"/>
  <c r="C5202" i="496"/>
  <c r="BE5201" i="496"/>
  <c r="BC5201" i="496"/>
  <c r="I5201" i="496"/>
  <c r="H5201" i="496"/>
  <c r="E5201" i="496"/>
  <c r="D5201" i="496"/>
  <c r="C5201" i="496"/>
  <c r="BE5200" i="496"/>
  <c r="BC5200" i="496"/>
  <c r="I5200" i="496"/>
  <c r="H5200" i="496"/>
  <c r="E5200" i="496"/>
  <c r="D5200" i="496"/>
  <c r="C5200" i="496"/>
  <c r="BE5199" i="496"/>
  <c r="BC5199" i="496"/>
  <c r="I5199" i="496"/>
  <c r="H5199" i="496"/>
  <c r="E5199" i="496"/>
  <c r="D5199" i="496"/>
  <c r="C5199" i="496"/>
  <c r="BE5198" i="496"/>
  <c r="BC5198" i="496"/>
  <c r="I5198" i="496"/>
  <c r="H5198" i="496"/>
  <c r="E5198" i="496"/>
  <c r="D5198" i="496"/>
  <c r="C5198" i="496"/>
  <c r="BE5197" i="496"/>
  <c r="BC5197" i="496"/>
  <c r="I5197" i="496"/>
  <c r="H5197" i="496"/>
  <c r="E5197" i="496"/>
  <c r="D5197" i="496"/>
  <c r="C5197" i="496"/>
  <c r="BE5196" i="496"/>
  <c r="BC5196" i="496"/>
  <c r="I5196" i="496"/>
  <c r="H5196" i="496"/>
  <c r="E5196" i="496"/>
  <c r="D5196" i="496"/>
  <c r="C5196" i="496"/>
  <c r="BE5195" i="496"/>
  <c r="BC5195" i="496"/>
  <c r="I5195" i="496"/>
  <c r="H5195" i="496"/>
  <c r="E5195" i="496"/>
  <c r="D5195" i="496"/>
  <c r="C5195" i="496"/>
  <c r="BE5194" i="496"/>
  <c r="BC5194" i="496"/>
  <c r="I5194" i="496"/>
  <c r="H5194" i="496"/>
  <c r="E5194" i="496"/>
  <c r="D5194" i="496"/>
  <c r="C5194" i="496"/>
  <c r="BE5193" i="496"/>
  <c r="BC5193" i="496"/>
  <c r="I5193" i="496"/>
  <c r="H5193" i="496"/>
  <c r="E5193" i="496"/>
  <c r="D5193" i="496"/>
  <c r="C5193" i="496"/>
  <c r="BE5192" i="496"/>
  <c r="BC5192" i="496"/>
  <c r="I5192" i="496"/>
  <c r="H5192" i="496"/>
  <c r="E5192" i="496"/>
  <c r="D5192" i="496"/>
  <c r="C5192" i="496"/>
  <c r="BE5191" i="496"/>
  <c r="BC5191" i="496"/>
  <c r="I5191" i="496"/>
  <c r="H5191" i="496"/>
  <c r="E5191" i="496"/>
  <c r="D5191" i="496"/>
  <c r="C5191" i="496"/>
  <c r="BE5190" i="496"/>
  <c r="BC5190" i="496"/>
  <c r="I5190" i="496"/>
  <c r="H5190" i="496"/>
  <c r="E5190" i="496"/>
  <c r="D5190" i="496"/>
  <c r="C5190" i="496"/>
  <c r="BE5189" i="496"/>
  <c r="BC5189" i="496"/>
  <c r="I5189" i="496"/>
  <c r="H5189" i="496"/>
  <c r="E5189" i="496"/>
  <c r="D5189" i="496"/>
  <c r="C5189" i="496"/>
  <c r="BE5188" i="496"/>
  <c r="BC5188" i="496"/>
  <c r="I5188" i="496"/>
  <c r="H5188" i="496"/>
  <c r="E5188" i="496"/>
  <c r="D5188" i="496"/>
  <c r="C5188" i="496"/>
  <c r="BE5187" i="496"/>
  <c r="BC5187" i="496"/>
  <c r="I5187" i="496"/>
  <c r="H5187" i="496"/>
  <c r="E5187" i="496"/>
  <c r="D5187" i="496"/>
  <c r="C5187" i="496"/>
  <c r="BE5186" i="496"/>
  <c r="BC5186" i="496"/>
  <c r="I5186" i="496"/>
  <c r="H5186" i="496"/>
  <c r="E5186" i="496"/>
  <c r="D5186" i="496"/>
  <c r="C5186" i="496"/>
  <c r="BE5185" i="496"/>
  <c r="BC5185" i="496"/>
  <c r="I5185" i="496"/>
  <c r="H5185" i="496"/>
  <c r="E5185" i="496"/>
  <c r="D5185" i="496"/>
  <c r="C5185" i="496"/>
  <c r="BE5184" i="496"/>
  <c r="BC5184" i="496"/>
  <c r="I5184" i="496"/>
  <c r="H5184" i="496"/>
  <c r="E5184" i="496"/>
  <c r="D5184" i="496"/>
  <c r="C5184" i="496"/>
  <c r="BE5183" i="496"/>
  <c r="BC5183" i="496"/>
  <c r="I5183" i="496"/>
  <c r="H5183" i="496"/>
  <c r="E5183" i="496"/>
  <c r="D5183" i="496"/>
  <c r="C5183" i="496"/>
  <c r="BE5182" i="496"/>
  <c r="BC5182" i="496"/>
  <c r="I5182" i="496"/>
  <c r="H5182" i="496"/>
  <c r="E5182" i="496"/>
  <c r="D5182" i="496"/>
  <c r="C5182" i="496"/>
  <c r="BE5181" i="496"/>
  <c r="BC5181" i="496"/>
  <c r="I5181" i="496"/>
  <c r="H5181" i="496"/>
  <c r="E5181" i="496"/>
  <c r="D5181" i="496"/>
  <c r="C5181" i="496"/>
  <c r="BE5180" i="496"/>
  <c r="BC5180" i="496"/>
  <c r="I5180" i="496"/>
  <c r="H5180" i="496"/>
  <c r="E5180" i="496"/>
  <c r="D5180" i="496"/>
  <c r="C5180" i="496"/>
  <c r="BE5179" i="496"/>
  <c r="BC5179" i="496"/>
  <c r="I5179" i="496"/>
  <c r="H5179" i="496"/>
  <c r="E5179" i="496"/>
  <c r="D5179" i="496"/>
  <c r="C5179" i="496"/>
  <c r="BE5178" i="496"/>
  <c r="BC5178" i="496"/>
  <c r="I5178" i="496"/>
  <c r="H5178" i="496"/>
  <c r="E5178" i="496"/>
  <c r="D5178" i="496"/>
  <c r="C5178" i="496"/>
  <c r="BE5177" i="496"/>
  <c r="BC5177" i="496"/>
  <c r="I5177" i="496"/>
  <c r="H5177" i="496"/>
  <c r="E5177" i="496"/>
  <c r="D5177" i="496"/>
  <c r="C5177" i="496"/>
  <c r="BE5176" i="496"/>
  <c r="BC5176" i="496"/>
  <c r="I5176" i="496"/>
  <c r="H5176" i="496"/>
  <c r="E5176" i="496"/>
  <c r="D5176" i="496"/>
  <c r="C5176" i="496"/>
  <c r="BE5175" i="496"/>
  <c r="BC5175" i="496"/>
  <c r="I5175" i="496"/>
  <c r="H5175" i="496"/>
  <c r="E5175" i="496"/>
  <c r="D5175" i="496"/>
  <c r="C5175" i="496"/>
  <c r="BE5174" i="496"/>
  <c r="BC5174" i="496"/>
  <c r="I5174" i="496"/>
  <c r="H5174" i="496"/>
  <c r="E5174" i="496"/>
  <c r="D5174" i="496"/>
  <c r="C5174" i="496"/>
  <c r="BE5173" i="496"/>
  <c r="BC5173" i="496"/>
  <c r="I5173" i="496"/>
  <c r="H5173" i="496"/>
  <c r="E5173" i="496"/>
  <c r="D5173" i="496"/>
  <c r="C5173" i="496"/>
  <c r="BE5172" i="496"/>
  <c r="BC5172" i="496"/>
  <c r="I5172" i="496"/>
  <c r="H5172" i="496"/>
  <c r="E5172" i="496"/>
  <c r="D5172" i="496"/>
  <c r="C5172" i="496"/>
  <c r="BE5171" i="496"/>
  <c r="BC5171" i="496"/>
  <c r="I5171" i="496"/>
  <c r="H5171" i="496"/>
  <c r="E5171" i="496"/>
  <c r="D5171" i="496"/>
  <c r="C5171" i="496"/>
  <c r="BE5170" i="496"/>
  <c r="BC5170" i="496"/>
  <c r="I5170" i="496"/>
  <c r="H5170" i="496"/>
  <c r="E5170" i="496"/>
  <c r="D5170" i="496"/>
  <c r="C5170" i="496"/>
  <c r="BE5169" i="496"/>
  <c r="BC5169" i="496"/>
  <c r="I5169" i="496"/>
  <c r="H5169" i="496"/>
  <c r="E5169" i="496"/>
  <c r="D5169" i="496"/>
  <c r="C5169" i="496"/>
  <c r="BE5168" i="496"/>
  <c r="BC5168" i="496"/>
  <c r="I5168" i="496"/>
  <c r="H5168" i="496"/>
  <c r="E5168" i="496"/>
  <c r="D5168" i="496"/>
  <c r="C5168" i="496"/>
  <c r="BE5167" i="496"/>
  <c r="BC5167" i="496"/>
  <c r="I5167" i="496"/>
  <c r="H5167" i="496"/>
  <c r="E5167" i="496"/>
  <c r="D5167" i="496"/>
  <c r="C5167" i="496"/>
  <c r="BE5166" i="496"/>
  <c r="BC5166" i="496"/>
  <c r="I5166" i="496"/>
  <c r="H5166" i="496"/>
  <c r="E5166" i="496"/>
  <c r="D5166" i="496"/>
  <c r="C5166" i="496"/>
  <c r="BE5165" i="496"/>
  <c r="BC5165" i="496"/>
  <c r="I5165" i="496"/>
  <c r="H5165" i="496"/>
  <c r="E5165" i="496"/>
  <c r="D5165" i="496"/>
  <c r="C5165" i="496"/>
  <c r="BE5164" i="496"/>
  <c r="BC5164" i="496"/>
  <c r="I5164" i="496"/>
  <c r="H5164" i="496"/>
  <c r="E5164" i="496"/>
  <c r="D5164" i="496"/>
  <c r="C5164" i="496"/>
  <c r="BE5163" i="496"/>
  <c r="BC5163" i="496"/>
  <c r="I5163" i="496"/>
  <c r="H5163" i="496"/>
  <c r="E5163" i="496"/>
  <c r="D5163" i="496"/>
  <c r="C5163" i="496"/>
  <c r="BE5162" i="496"/>
  <c r="BC5162" i="496"/>
  <c r="I5162" i="496"/>
  <c r="H5162" i="496"/>
  <c r="E5162" i="496"/>
  <c r="D5162" i="496"/>
  <c r="C5162" i="496"/>
  <c r="BE5161" i="496"/>
  <c r="BC5161" i="496"/>
  <c r="I5161" i="496"/>
  <c r="H5161" i="496"/>
  <c r="E5161" i="496"/>
  <c r="D5161" i="496"/>
  <c r="C5161" i="496"/>
  <c r="BE5160" i="496"/>
  <c r="BC5160" i="496"/>
  <c r="I5160" i="496"/>
  <c r="H5160" i="496"/>
  <c r="E5160" i="496"/>
  <c r="D5160" i="496"/>
  <c r="C5160" i="496"/>
  <c r="BE5159" i="496"/>
  <c r="BC5159" i="496"/>
  <c r="I5159" i="496"/>
  <c r="H5159" i="496"/>
  <c r="E5159" i="496"/>
  <c r="D5159" i="496"/>
  <c r="C5159" i="496"/>
  <c r="BE5158" i="496"/>
  <c r="BC5158" i="496"/>
  <c r="I5158" i="496"/>
  <c r="H5158" i="496"/>
  <c r="E5158" i="496"/>
  <c r="D5158" i="496"/>
  <c r="C5158" i="496"/>
  <c r="BE5157" i="496"/>
  <c r="BC5157" i="496"/>
  <c r="I5157" i="496"/>
  <c r="H5157" i="496"/>
  <c r="E5157" i="496"/>
  <c r="D5157" i="496"/>
  <c r="C5157" i="496"/>
  <c r="BE5156" i="496"/>
  <c r="BC5156" i="496"/>
  <c r="I5156" i="496"/>
  <c r="H5156" i="496"/>
  <c r="E5156" i="496"/>
  <c r="D5156" i="496"/>
  <c r="C5156" i="496"/>
  <c r="BE5155" i="496"/>
  <c r="BC5155" i="496"/>
  <c r="I5155" i="496"/>
  <c r="H5155" i="496"/>
  <c r="E5155" i="496"/>
  <c r="D5155" i="496"/>
  <c r="C5155" i="496"/>
  <c r="BE5154" i="496"/>
  <c r="BC5154" i="496"/>
  <c r="I5154" i="496"/>
  <c r="H5154" i="496"/>
  <c r="E5154" i="496"/>
  <c r="D5154" i="496"/>
  <c r="C5154" i="496"/>
  <c r="BE5153" i="496"/>
  <c r="BC5153" i="496"/>
  <c r="I5153" i="496"/>
  <c r="H5153" i="496"/>
  <c r="E5153" i="496"/>
  <c r="D5153" i="496"/>
  <c r="C5153" i="496"/>
  <c r="BE5152" i="496"/>
  <c r="BC5152" i="496"/>
  <c r="I5152" i="496"/>
  <c r="H5152" i="496"/>
  <c r="E5152" i="496"/>
  <c r="D5152" i="496"/>
  <c r="C5152" i="496"/>
  <c r="BE5151" i="496"/>
  <c r="BC5151" i="496"/>
  <c r="I5151" i="496"/>
  <c r="H5151" i="496"/>
  <c r="E5151" i="496"/>
  <c r="D5151" i="496"/>
  <c r="C5151" i="496"/>
  <c r="BE5150" i="496"/>
  <c r="BC5150" i="496"/>
  <c r="I5150" i="496"/>
  <c r="H5150" i="496"/>
  <c r="E5150" i="496"/>
  <c r="D5150" i="496"/>
  <c r="C5150" i="496"/>
  <c r="BE5149" i="496"/>
  <c r="BC5149" i="496"/>
  <c r="I5149" i="496"/>
  <c r="H5149" i="496"/>
  <c r="E5149" i="496"/>
  <c r="D5149" i="496"/>
  <c r="C5149" i="496"/>
  <c r="BE5148" i="496"/>
  <c r="BC5148" i="496"/>
  <c r="I5148" i="496"/>
  <c r="H5148" i="496"/>
  <c r="E5148" i="496"/>
  <c r="D5148" i="496"/>
  <c r="C5148" i="496"/>
  <c r="BE5147" i="496"/>
  <c r="BC5147" i="496"/>
  <c r="I5147" i="496"/>
  <c r="H5147" i="496"/>
  <c r="E5147" i="496"/>
  <c r="D5147" i="496"/>
  <c r="C5147" i="496"/>
  <c r="BE5146" i="496"/>
  <c r="BC5146" i="496"/>
  <c r="I5146" i="496"/>
  <c r="H5146" i="496"/>
  <c r="E5146" i="496"/>
  <c r="D5146" i="496"/>
  <c r="C5146" i="496"/>
  <c r="BE5145" i="496"/>
  <c r="BC5145" i="496"/>
  <c r="I5145" i="496"/>
  <c r="H5145" i="496"/>
  <c r="E5145" i="496"/>
  <c r="D5145" i="496"/>
  <c r="C5145" i="496"/>
  <c r="BE5144" i="496"/>
  <c r="BC5144" i="496"/>
  <c r="I5144" i="496"/>
  <c r="H5144" i="496"/>
  <c r="E5144" i="496"/>
  <c r="D5144" i="496"/>
  <c r="C5144" i="496"/>
  <c r="BE5143" i="496"/>
  <c r="BC5143" i="496"/>
  <c r="I5143" i="496"/>
  <c r="H5143" i="496"/>
  <c r="E5143" i="496"/>
  <c r="D5143" i="496"/>
  <c r="C5143" i="496"/>
  <c r="BE5142" i="496"/>
  <c r="BC5142" i="496"/>
  <c r="I5142" i="496"/>
  <c r="H5142" i="496"/>
  <c r="E5142" i="496"/>
  <c r="D5142" i="496"/>
  <c r="C5142" i="496"/>
  <c r="BE5141" i="496"/>
  <c r="BC5141" i="496"/>
  <c r="I5141" i="496"/>
  <c r="H5141" i="496"/>
  <c r="E5141" i="496"/>
  <c r="D5141" i="496"/>
  <c r="C5141" i="496"/>
  <c r="BE5140" i="496"/>
  <c r="BC5140" i="496"/>
  <c r="I5140" i="496"/>
  <c r="H5140" i="496"/>
  <c r="E5140" i="496"/>
  <c r="D5140" i="496"/>
  <c r="C5140" i="496"/>
  <c r="BE5139" i="496"/>
  <c r="BC5139" i="496"/>
  <c r="I5139" i="496"/>
  <c r="H5139" i="496"/>
  <c r="E5139" i="496"/>
  <c r="D5139" i="496"/>
  <c r="C5139" i="496"/>
  <c r="BE5138" i="496"/>
  <c r="BC5138" i="496"/>
  <c r="I5138" i="496"/>
  <c r="H5138" i="496"/>
  <c r="E5138" i="496"/>
  <c r="D5138" i="496"/>
  <c r="C5138" i="496"/>
  <c r="BE5137" i="496"/>
  <c r="BC5137" i="496"/>
  <c r="I5137" i="496"/>
  <c r="H5137" i="496"/>
  <c r="E5137" i="496"/>
  <c r="D5137" i="496"/>
  <c r="C5137" i="496"/>
  <c r="BE5136" i="496"/>
  <c r="BC5136" i="496"/>
  <c r="I5136" i="496"/>
  <c r="H5136" i="496"/>
  <c r="E5136" i="496"/>
  <c r="D5136" i="496"/>
  <c r="C5136" i="496"/>
  <c r="BE5135" i="496"/>
  <c r="BC5135" i="496"/>
  <c r="I5135" i="496"/>
  <c r="H5135" i="496"/>
  <c r="E5135" i="496"/>
  <c r="D5135" i="496"/>
  <c r="C5135" i="496"/>
  <c r="BE5134" i="496"/>
  <c r="BC5134" i="496"/>
  <c r="I5134" i="496"/>
  <c r="H5134" i="496"/>
  <c r="E5134" i="496"/>
  <c r="D5134" i="496"/>
  <c r="C5134" i="496"/>
  <c r="BE5133" i="496"/>
  <c r="BC5133" i="496"/>
  <c r="I5133" i="496"/>
  <c r="H5133" i="496"/>
  <c r="E5133" i="496"/>
  <c r="D5133" i="496"/>
  <c r="C5133" i="496"/>
  <c r="BE5132" i="496"/>
  <c r="BC5132" i="496"/>
  <c r="I5132" i="496"/>
  <c r="H5132" i="496"/>
  <c r="E5132" i="496"/>
  <c r="D5132" i="496"/>
  <c r="C5132" i="496"/>
  <c r="BE5131" i="496"/>
  <c r="BC5131" i="496"/>
  <c r="I5131" i="496"/>
  <c r="H5131" i="496"/>
  <c r="E5131" i="496"/>
  <c r="D5131" i="496"/>
  <c r="C5131" i="496"/>
  <c r="BE5130" i="496"/>
  <c r="BC5130" i="496"/>
  <c r="I5130" i="496"/>
  <c r="H5130" i="496"/>
  <c r="E5130" i="496"/>
  <c r="D5130" i="496"/>
  <c r="C5130" i="496"/>
  <c r="BE5129" i="496"/>
  <c r="BC5129" i="496"/>
  <c r="I5129" i="496"/>
  <c r="H5129" i="496"/>
  <c r="E5129" i="496"/>
  <c r="D5129" i="496"/>
  <c r="C5129" i="496"/>
  <c r="BE5128" i="496"/>
  <c r="BC5128" i="496"/>
  <c r="I5128" i="496"/>
  <c r="H5128" i="496"/>
  <c r="E5128" i="496"/>
  <c r="D5128" i="496"/>
  <c r="C5128" i="496"/>
  <c r="BE5127" i="496"/>
  <c r="BC5127" i="496"/>
  <c r="I5127" i="496"/>
  <c r="H5127" i="496"/>
  <c r="E5127" i="496"/>
  <c r="D5127" i="496"/>
  <c r="C5127" i="496"/>
  <c r="BE5126" i="496"/>
  <c r="BC5126" i="496"/>
  <c r="I5126" i="496"/>
  <c r="H5126" i="496"/>
  <c r="E5126" i="496"/>
  <c r="D5126" i="496"/>
  <c r="C5126" i="496"/>
  <c r="BE5125" i="496"/>
  <c r="BC5125" i="496"/>
  <c r="I5125" i="496"/>
  <c r="H5125" i="496"/>
  <c r="E5125" i="496"/>
  <c r="D5125" i="496"/>
  <c r="C5125" i="496"/>
  <c r="BE5124" i="496"/>
  <c r="BC5124" i="496"/>
  <c r="I5124" i="496"/>
  <c r="H5124" i="496"/>
  <c r="E5124" i="496"/>
  <c r="D5124" i="496"/>
  <c r="C5124" i="496"/>
  <c r="BE5123" i="496"/>
  <c r="BC5123" i="496"/>
  <c r="I5123" i="496"/>
  <c r="H5123" i="496"/>
  <c r="E5123" i="496"/>
  <c r="D5123" i="496"/>
  <c r="C5123" i="496"/>
  <c r="BE5122" i="496"/>
  <c r="BC5122" i="496"/>
  <c r="I5122" i="496"/>
  <c r="H5122" i="496"/>
  <c r="E5122" i="496"/>
  <c r="D5122" i="496"/>
  <c r="C5122" i="496"/>
  <c r="BE5121" i="496"/>
  <c r="BC5121" i="496"/>
  <c r="I5121" i="496"/>
  <c r="H5121" i="496"/>
  <c r="E5121" i="496"/>
  <c r="D5121" i="496"/>
  <c r="C5121" i="496"/>
  <c r="BE5120" i="496"/>
  <c r="BC5120" i="496"/>
  <c r="I5120" i="496"/>
  <c r="H5120" i="496"/>
  <c r="E5120" i="496"/>
  <c r="D5120" i="496"/>
  <c r="C5120" i="496"/>
  <c r="BE5119" i="496"/>
  <c r="BC5119" i="496"/>
  <c r="I5119" i="496"/>
  <c r="H5119" i="496"/>
  <c r="E5119" i="496"/>
  <c r="D5119" i="496"/>
  <c r="C5119" i="496"/>
  <c r="BE5118" i="496"/>
  <c r="BC5118" i="496"/>
  <c r="I5118" i="496"/>
  <c r="H5118" i="496"/>
  <c r="E5118" i="496"/>
  <c r="D5118" i="496"/>
  <c r="C5118" i="496"/>
  <c r="BE5117" i="496"/>
  <c r="BC5117" i="496"/>
  <c r="I5117" i="496"/>
  <c r="H5117" i="496"/>
  <c r="E5117" i="496"/>
  <c r="D5117" i="496"/>
  <c r="C5117" i="496"/>
  <c r="BE5116" i="496"/>
  <c r="BC5116" i="496"/>
  <c r="I5116" i="496"/>
  <c r="H5116" i="496"/>
  <c r="E5116" i="496"/>
  <c r="D5116" i="496"/>
  <c r="C5116" i="496"/>
  <c r="BE5115" i="496"/>
  <c r="BC5115" i="496"/>
  <c r="I5115" i="496"/>
  <c r="H5115" i="496"/>
  <c r="E5115" i="496"/>
  <c r="D5115" i="496"/>
  <c r="C5115" i="496"/>
  <c r="BE5114" i="496"/>
  <c r="BC5114" i="496"/>
  <c r="I5114" i="496"/>
  <c r="H5114" i="496"/>
  <c r="E5114" i="496"/>
  <c r="D5114" i="496"/>
  <c r="C5114" i="496"/>
  <c r="BE5113" i="496"/>
  <c r="BC5113" i="496"/>
  <c r="I5113" i="496"/>
  <c r="H5113" i="496"/>
  <c r="E5113" i="496"/>
  <c r="D5113" i="496"/>
  <c r="C5113" i="496"/>
  <c r="BE5112" i="496"/>
  <c r="BC5112" i="496"/>
  <c r="I5112" i="496"/>
  <c r="H5112" i="496"/>
  <c r="E5112" i="496"/>
  <c r="D5112" i="496"/>
  <c r="C5112" i="496"/>
  <c r="BE5111" i="496"/>
  <c r="BC5111" i="496"/>
  <c r="I5111" i="496"/>
  <c r="H5111" i="496"/>
  <c r="E5111" i="496"/>
  <c r="D5111" i="496"/>
  <c r="C5111" i="496"/>
  <c r="BE5110" i="496"/>
  <c r="BC5110" i="496"/>
  <c r="I5110" i="496"/>
  <c r="H5110" i="496"/>
  <c r="E5110" i="496"/>
  <c r="D5110" i="496"/>
  <c r="C5110" i="496"/>
  <c r="BE5109" i="496"/>
  <c r="BC5109" i="496"/>
  <c r="I5109" i="496"/>
  <c r="H5109" i="496"/>
  <c r="E5109" i="496"/>
  <c r="D5109" i="496"/>
  <c r="C5109" i="496"/>
  <c r="BE5108" i="496"/>
  <c r="BC5108" i="496"/>
  <c r="I5108" i="496"/>
  <c r="H5108" i="496"/>
  <c r="E5108" i="496"/>
  <c r="D5108" i="496"/>
  <c r="C5108" i="496"/>
  <c r="BE5107" i="496"/>
  <c r="BC5107" i="496"/>
  <c r="I5107" i="496"/>
  <c r="H5107" i="496"/>
  <c r="E5107" i="496"/>
  <c r="D5107" i="496"/>
  <c r="C5107" i="496"/>
  <c r="BE5106" i="496"/>
  <c r="BC5106" i="496"/>
  <c r="I5106" i="496"/>
  <c r="H5106" i="496"/>
  <c r="E5106" i="496"/>
  <c r="D5106" i="496"/>
  <c r="C5106" i="496"/>
  <c r="BE5105" i="496"/>
  <c r="BC5105" i="496"/>
  <c r="I5105" i="496"/>
  <c r="H5105" i="496"/>
  <c r="E5105" i="496"/>
  <c r="D5105" i="496"/>
  <c r="C5105" i="496"/>
  <c r="BE5104" i="496"/>
  <c r="BC5104" i="496"/>
  <c r="I5104" i="496"/>
  <c r="H5104" i="496"/>
  <c r="E5104" i="496"/>
  <c r="D5104" i="496"/>
  <c r="C5104" i="496"/>
  <c r="BE5103" i="496"/>
  <c r="BC5103" i="496"/>
  <c r="I5103" i="496"/>
  <c r="H5103" i="496"/>
  <c r="E5103" i="496"/>
  <c r="D5103" i="496"/>
  <c r="C5103" i="496"/>
  <c r="BE5102" i="496"/>
  <c r="BC5102" i="496"/>
  <c r="I5102" i="496"/>
  <c r="H5102" i="496"/>
  <c r="E5102" i="496"/>
  <c r="D5102" i="496"/>
  <c r="C5102" i="496"/>
  <c r="BE5101" i="496"/>
  <c r="BC5101" i="496"/>
  <c r="I5101" i="496"/>
  <c r="H5101" i="496"/>
  <c r="E5101" i="496"/>
  <c r="D5101" i="496"/>
  <c r="C5101" i="496"/>
  <c r="BE5100" i="496"/>
  <c r="BC5100" i="496"/>
  <c r="I5100" i="496"/>
  <c r="H5100" i="496"/>
  <c r="E5100" i="496"/>
  <c r="D5100" i="496"/>
  <c r="C5100" i="496"/>
  <c r="BE5099" i="496"/>
  <c r="BC5099" i="496"/>
  <c r="I5099" i="496"/>
  <c r="H5099" i="496"/>
  <c r="E5099" i="496"/>
  <c r="D5099" i="496"/>
  <c r="C5099" i="496"/>
  <c r="BE5098" i="496"/>
  <c r="BC5098" i="496"/>
  <c r="I5098" i="496"/>
  <c r="H5098" i="496"/>
  <c r="E5098" i="496"/>
  <c r="D5098" i="496"/>
  <c r="C5098" i="496"/>
  <c r="BE5097" i="496"/>
  <c r="BC5097" i="496"/>
  <c r="I5097" i="496"/>
  <c r="H5097" i="496"/>
  <c r="E5097" i="496"/>
  <c r="D5097" i="496"/>
  <c r="C5097" i="496"/>
  <c r="BE5096" i="496"/>
  <c r="BC5096" i="496"/>
  <c r="I5096" i="496"/>
  <c r="H5096" i="496"/>
  <c r="E5096" i="496"/>
  <c r="D5096" i="496"/>
  <c r="C5096" i="496"/>
  <c r="BE5095" i="496"/>
  <c r="BC5095" i="496"/>
  <c r="I5095" i="496"/>
  <c r="H5095" i="496"/>
  <c r="E5095" i="496"/>
  <c r="D5095" i="496"/>
  <c r="C5095" i="496"/>
  <c r="BE5094" i="496"/>
  <c r="BC5094" i="496"/>
  <c r="I5094" i="496"/>
  <c r="H5094" i="496"/>
  <c r="E5094" i="496"/>
  <c r="D5094" i="496"/>
  <c r="C5094" i="496"/>
  <c r="BE5093" i="496"/>
  <c r="BC5093" i="496"/>
  <c r="I5093" i="496"/>
  <c r="H5093" i="496"/>
  <c r="E5093" i="496"/>
  <c r="D5093" i="496"/>
  <c r="C5093" i="496"/>
  <c r="BE5092" i="496"/>
  <c r="BC5092" i="496"/>
  <c r="I5092" i="496"/>
  <c r="H5092" i="496"/>
  <c r="E5092" i="496"/>
  <c r="D5092" i="496"/>
  <c r="C5092" i="496"/>
  <c r="BE5091" i="496"/>
  <c r="BC5091" i="496"/>
  <c r="BA5091" i="496"/>
  <c r="I5091" i="496"/>
  <c r="H5091" i="496"/>
  <c r="E5091" i="496"/>
  <c r="D5091" i="496"/>
  <c r="C5091" i="496"/>
  <c r="BE5090" i="496"/>
  <c r="BC5090" i="496"/>
  <c r="I5090" i="496"/>
  <c r="H5090" i="496"/>
  <c r="E5090" i="496"/>
  <c r="D5090" i="496"/>
  <c r="C5090" i="496"/>
  <c r="BE5089" i="496"/>
  <c r="BC5089" i="496"/>
  <c r="I5089" i="496"/>
  <c r="H5089" i="496"/>
  <c r="E5089" i="496"/>
  <c r="D5089" i="496"/>
  <c r="C5089" i="496"/>
  <c r="BE5088" i="496"/>
  <c r="BC5088" i="496"/>
  <c r="I5088" i="496"/>
  <c r="H5088" i="496"/>
  <c r="E5088" i="496"/>
  <c r="D5088" i="496"/>
  <c r="C5088" i="496"/>
  <c r="BE5087" i="496"/>
  <c r="BC5087" i="496"/>
  <c r="I5087" i="496"/>
  <c r="H5087" i="496"/>
  <c r="E5087" i="496"/>
  <c r="D5087" i="496"/>
  <c r="C5087" i="496"/>
  <c r="BE5086" i="496"/>
  <c r="BC5086" i="496"/>
  <c r="I5086" i="496"/>
  <c r="H5086" i="496"/>
  <c r="E5086" i="496"/>
  <c r="D5086" i="496"/>
  <c r="C5086" i="496"/>
  <c r="BE5085" i="496"/>
  <c r="BC5085" i="496"/>
  <c r="I5085" i="496"/>
  <c r="H5085" i="496"/>
  <c r="E5085" i="496"/>
  <c r="D5085" i="496"/>
  <c r="C5085" i="496"/>
  <c r="BE5084" i="496"/>
  <c r="BC5084" i="496"/>
  <c r="I5084" i="496"/>
  <c r="H5084" i="496"/>
  <c r="E5084" i="496"/>
  <c r="D5084" i="496"/>
  <c r="C5084" i="496"/>
  <c r="BE5083" i="496"/>
  <c r="BC5083" i="496"/>
  <c r="I5083" i="496"/>
  <c r="H5083" i="496"/>
  <c r="E5083" i="496"/>
  <c r="D5083" i="496"/>
  <c r="C5083" i="496"/>
  <c r="BE5082" i="496"/>
  <c r="BC5082" i="496"/>
  <c r="I5082" i="496"/>
  <c r="H5082" i="496"/>
  <c r="E5082" i="496"/>
  <c r="D5082" i="496"/>
  <c r="C5082" i="496"/>
  <c r="BE5081" i="496"/>
  <c r="BC5081" i="496"/>
  <c r="I5081" i="496"/>
  <c r="H5081" i="496"/>
  <c r="E5081" i="496"/>
  <c r="D5081" i="496"/>
  <c r="C5081" i="496"/>
  <c r="BE5080" i="496"/>
  <c r="BC5080" i="496"/>
  <c r="I5080" i="496"/>
  <c r="H5080" i="496"/>
  <c r="E5080" i="496"/>
  <c r="D5080" i="496"/>
  <c r="C5080" i="496"/>
  <c r="BE5079" i="496"/>
  <c r="BC5079" i="496"/>
  <c r="I5079" i="496"/>
  <c r="H5079" i="496"/>
  <c r="E5079" i="496"/>
  <c r="D5079" i="496"/>
  <c r="C5079" i="496"/>
  <c r="BE5078" i="496"/>
  <c r="BC5078" i="496"/>
  <c r="I5078" i="496"/>
  <c r="H5078" i="496"/>
  <c r="E5078" i="496"/>
  <c r="D5078" i="496"/>
  <c r="C5078" i="496"/>
  <c r="BE5077" i="496"/>
  <c r="BC5077" i="496"/>
  <c r="I5077" i="496"/>
  <c r="H5077" i="496"/>
  <c r="E5077" i="496"/>
  <c r="D5077" i="496"/>
  <c r="C5077" i="496"/>
  <c r="BE5076" i="496"/>
  <c r="BC5076" i="496"/>
  <c r="I5076" i="496"/>
  <c r="H5076" i="496"/>
  <c r="E5076" i="496"/>
  <c r="D5076" i="496"/>
  <c r="C5076" i="496"/>
  <c r="BE5075" i="496"/>
  <c r="BC5075" i="496"/>
  <c r="I5075" i="496"/>
  <c r="H5075" i="496"/>
  <c r="E5075" i="496"/>
  <c r="D5075" i="496"/>
  <c r="C5075" i="496"/>
  <c r="BE5074" i="496"/>
  <c r="BC5074" i="496"/>
  <c r="I5074" i="496"/>
  <c r="H5074" i="496"/>
  <c r="E5074" i="496"/>
  <c r="D5074" i="496"/>
  <c r="C5074" i="496"/>
  <c r="BE5073" i="496"/>
  <c r="BC5073" i="496"/>
  <c r="I5073" i="496"/>
  <c r="H5073" i="496"/>
  <c r="E5073" i="496"/>
  <c r="D5073" i="496"/>
  <c r="C5073" i="496"/>
  <c r="BE5072" i="496"/>
  <c r="BC5072" i="496"/>
  <c r="I5072" i="496"/>
  <c r="H5072" i="496"/>
  <c r="E5072" i="496"/>
  <c r="D5072" i="496"/>
  <c r="C5072" i="496"/>
  <c r="BE5071" i="496"/>
  <c r="BC5071" i="496"/>
  <c r="I5071" i="496"/>
  <c r="H5071" i="496"/>
  <c r="E5071" i="496"/>
  <c r="D5071" i="496"/>
  <c r="C5071" i="496"/>
  <c r="BE5070" i="496"/>
  <c r="BC5070" i="496"/>
  <c r="I5070" i="496"/>
  <c r="H5070" i="496"/>
  <c r="E5070" i="496"/>
  <c r="D5070" i="496"/>
  <c r="C5070" i="496"/>
  <c r="BE5069" i="496"/>
  <c r="BC5069" i="496"/>
  <c r="I5069" i="496"/>
  <c r="H5069" i="496"/>
  <c r="E5069" i="496"/>
  <c r="D5069" i="496"/>
  <c r="C5069" i="496"/>
  <c r="BE5068" i="496"/>
  <c r="BC5068" i="496"/>
  <c r="I5068" i="496"/>
  <c r="H5068" i="496"/>
  <c r="E5068" i="496"/>
  <c r="D5068" i="496"/>
  <c r="C5068" i="496"/>
  <c r="BE5067" i="496"/>
  <c r="BC5067" i="496"/>
  <c r="I5067" i="496"/>
  <c r="H5067" i="496"/>
  <c r="E5067" i="496"/>
  <c r="D5067" i="496"/>
  <c r="C5067" i="496"/>
  <c r="BE5066" i="496"/>
  <c r="BC5066" i="496"/>
  <c r="I5066" i="496"/>
  <c r="H5066" i="496"/>
  <c r="E5066" i="496"/>
  <c r="D5066" i="496"/>
  <c r="C5066" i="496"/>
  <c r="BE5065" i="496"/>
  <c r="BC5065" i="496"/>
  <c r="BA5065" i="496"/>
  <c r="I5065" i="496"/>
  <c r="H5065" i="496"/>
  <c r="E5065" i="496"/>
  <c r="D5065" i="496"/>
  <c r="C5065" i="496"/>
  <c r="BE5064" i="496"/>
  <c r="BC5064" i="496"/>
  <c r="I5064" i="496"/>
  <c r="H5064" i="496"/>
  <c r="E5064" i="496"/>
  <c r="D5064" i="496"/>
  <c r="C5064" i="496"/>
  <c r="BE5063" i="496"/>
  <c r="BC5063" i="496"/>
  <c r="I5063" i="496"/>
  <c r="H5063" i="496"/>
  <c r="E5063" i="496"/>
  <c r="D5063" i="496"/>
  <c r="C5063" i="496"/>
  <c r="BE5062" i="496"/>
  <c r="BC5062" i="496"/>
  <c r="I5062" i="496"/>
  <c r="H5062" i="496"/>
  <c r="E5062" i="496"/>
  <c r="D5062" i="496"/>
  <c r="C5062" i="496"/>
  <c r="BE5061" i="496"/>
  <c r="BC5061" i="496"/>
  <c r="I5061" i="496"/>
  <c r="H5061" i="496"/>
  <c r="E5061" i="496"/>
  <c r="D5061" i="496"/>
  <c r="C5061" i="496"/>
  <c r="BE5060" i="496"/>
  <c r="BC5060" i="496"/>
  <c r="I5060" i="496"/>
  <c r="H5060" i="496"/>
  <c r="E5060" i="496"/>
  <c r="D5060" i="496"/>
  <c r="C5060" i="496"/>
  <c r="BE5059" i="496"/>
  <c r="BC5059" i="496"/>
  <c r="I5059" i="496"/>
  <c r="H5059" i="496"/>
  <c r="E5059" i="496"/>
  <c r="D5059" i="496"/>
  <c r="C5059" i="496"/>
  <c r="BE5058" i="496"/>
  <c r="BC5058" i="496"/>
  <c r="I5058" i="496"/>
  <c r="H5058" i="496"/>
  <c r="E5058" i="496"/>
  <c r="D5058" i="496"/>
  <c r="C5058" i="496"/>
  <c r="BE5057" i="496"/>
  <c r="BC5057" i="496"/>
  <c r="I5057" i="496"/>
  <c r="H5057" i="496"/>
  <c r="E5057" i="496"/>
  <c r="D5057" i="496"/>
  <c r="C5057" i="496"/>
  <c r="BE5056" i="496"/>
  <c r="BC5056" i="496"/>
  <c r="I5056" i="496"/>
  <c r="H5056" i="496"/>
  <c r="E5056" i="496"/>
  <c r="D5056" i="496"/>
  <c r="C5056" i="496"/>
  <c r="BE5055" i="496"/>
  <c r="BC5055" i="496"/>
  <c r="I5055" i="496"/>
  <c r="H5055" i="496"/>
  <c r="E5055" i="496"/>
  <c r="D5055" i="496"/>
  <c r="C5055" i="496"/>
  <c r="BE5054" i="496"/>
  <c r="BC5054" i="496"/>
  <c r="I5054" i="496"/>
  <c r="H5054" i="496"/>
  <c r="E5054" i="496"/>
  <c r="D5054" i="496"/>
  <c r="C5054" i="496"/>
  <c r="BE5053" i="496"/>
  <c r="BC5053" i="496"/>
  <c r="I5053" i="496"/>
  <c r="H5053" i="496"/>
  <c r="E5053" i="496"/>
  <c r="D5053" i="496"/>
  <c r="C5053" i="496"/>
  <c r="BE5052" i="496"/>
  <c r="BC5052" i="496"/>
  <c r="I5052" i="496"/>
  <c r="H5052" i="496"/>
  <c r="E5052" i="496"/>
  <c r="D5052" i="496"/>
  <c r="C5052" i="496"/>
  <c r="BE5051" i="496"/>
  <c r="BC5051" i="496"/>
  <c r="I5051" i="496"/>
  <c r="H5051" i="496"/>
  <c r="E5051" i="496"/>
  <c r="D5051" i="496"/>
  <c r="C5051" i="496"/>
  <c r="BE5050" i="496"/>
  <c r="BC5050" i="496"/>
  <c r="I5050" i="496"/>
  <c r="H5050" i="496"/>
  <c r="E5050" i="496"/>
  <c r="D5050" i="496"/>
  <c r="C5050" i="496"/>
  <c r="BE5049" i="496"/>
  <c r="BC5049" i="496"/>
  <c r="I5049" i="496"/>
  <c r="H5049" i="496"/>
  <c r="E5049" i="496"/>
  <c r="D5049" i="496"/>
  <c r="C5049" i="496"/>
  <c r="BE5048" i="496"/>
  <c r="BC5048" i="496"/>
  <c r="I5048" i="496"/>
  <c r="H5048" i="496"/>
  <c r="E5048" i="496"/>
  <c r="D5048" i="496"/>
  <c r="C5048" i="496"/>
  <c r="BE5047" i="496"/>
  <c r="BC5047" i="496"/>
  <c r="I5047" i="496"/>
  <c r="H5047" i="496"/>
  <c r="E5047" i="496"/>
  <c r="D5047" i="496"/>
  <c r="C5047" i="496"/>
  <c r="BE5046" i="496"/>
  <c r="BC5046" i="496"/>
  <c r="I5046" i="496"/>
  <c r="H5046" i="496"/>
  <c r="E5046" i="496"/>
  <c r="D5046" i="496"/>
  <c r="C5046" i="496"/>
  <c r="BE5045" i="496"/>
  <c r="BC5045" i="496"/>
  <c r="I5045" i="496"/>
  <c r="H5045" i="496"/>
  <c r="E5045" i="496"/>
  <c r="D5045" i="496"/>
  <c r="C5045" i="496"/>
  <c r="BE5044" i="496"/>
  <c r="BC5044" i="496"/>
  <c r="I5044" i="496"/>
  <c r="H5044" i="496"/>
  <c r="E5044" i="496"/>
  <c r="D5044" i="496"/>
  <c r="C5044" i="496"/>
  <c r="BE5043" i="496"/>
  <c r="BC5043" i="496"/>
  <c r="I5043" i="496"/>
  <c r="H5043" i="496"/>
  <c r="E5043" i="496"/>
  <c r="D5043" i="496"/>
  <c r="C5043" i="496"/>
  <c r="BE5042" i="496"/>
  <c r="BC5042" i="496"/>
  <c r="I5042" i="496"/>
  <c r="H5042" i="496"/>
  <c r="E5042" i="496"/>
  <c r="D5042" i="496"/>
  <c r="C5042" i="496"/>
  <c r="BE5041" i="496"/>
  <c r="BC5041" i="496"/>
  <c r="I5041" i="496"/>
  <c r="H5041" i="496"/>
  <c r="E5041" i="496"/>
  <c r="D5041" i="496"/>
  <c r="C5041" i="496"/>
  <c r="BE5040" i="496"/>
  <c r="BC5040" i="496"/>
  <c r="I5040" i="496"/>
  <c r="H5040" i="496"/>
  <c r="E5040" i="496"/>
  <c r="D5040" i="496"/>
  <c r="C5040" i="496"/>
  <c r="BE5039" i="496"/>
  <c r="BC5039" i="496"/>
  <c r="I5039" i="496"/>
  <c r="H5039" i="496"/>
  <c r="E5039" i="496"/>
  <c r="D5039" i="496"/>
  <c r="C5039" i="496"/>
  <c r="BE5038" i="496"/>
  <c r="BC5038" i="496"/>
  <c r="BA5038" i="496"/>
  <c r="I5038" i="496"/>
  <c r="H5038" i="496"/>
  <c r="E5038" i="496"/>
  <c r="D5038" i="496"/>
  <c r="C5038" i="496"/>
  <c r="BE5037" i="496"/>
  <c r="BC5037" i="496"/>
  <c r="BA5037" i="496"/>
  <c r="I5037" i="496"/>
  <c r="H5037" i="496"/>
  <c r="E5037" i="496"/>
  <c r="D5037" i="496"/>
  <c r="C5037" i="496"/>
  <c r="BE5036" i="496"/>
  <c r="BC5036" i="496"/>
  <c r="BA5036" i="496"/>
  <c r="I5036" i="496"/>
  <c r="H5036" i="496"/>
  <c r="E5036" i="496"/>
  <c r="D5036" i="496"/>
  <c r="C5036" i="496"/>
  <c r="BE5035" i="496"/>
  <c r="BC5035" i="496"/>
  <c r="I5035" i="496"/>
  <c r="H5035" i="496"/>
  <c r="E5035" i="496"/>
  <c r="D5035" i="496"/>
  <c r="C5035" i="496"/>
  <c r="BE5034" i="496"/>
  <c r="BC5034" i="496"/>
  <c r="I5034" i="496"/>
  <c r="H5034" i="496"/>
  <c r="E5034" i="496"/>
  <c r="D5034" i="496"/>
  <c r="C5034" i="496"/>
  <c r="BE5033" i="496"/>
  <c r="BC5033" i="496"/>
  <c r="I5033" i="496"/>
  <c r="H5033" i="496"/>
  <c r="E5033" i="496"/>
  <c r="D5033" i="496"/>
  <c r="C5033" i="496"/>
  <c r="BE5032" i="496"/>
  <c r="BC5032" i="496"/>
  <c r="I5032" i="496"/>
  <c r="H5032" i="496"/>
  <c r="E5032" i="496"/>
  <c r="D5032" i="496"/>
  <c r="C5032" i="496"/>
  <c r="BE5031" i="496"/>
  <c r="BC5031" i="496"/>
  <c r="I5031" i="496"/>
  <c r="H5031" i="496"/>
  <c r="E5031" i="496"/>
  <c r="D5031" i="496"/>
  <c r="C5031" i="496"/>
  <c r="BE5030" i="496"/>
  <c r="BC5030" i="496"/>
  <c r="I5030" i="496"/>
  <c r="H5030" i="496"/>
  <c r="E5030" i="496"/>
  <c r="D5030" i="496"/>
  <c r="C5030" i="496"/>
  <c r="BE5029" i="496"/>
  <c r="BC5029" i="496"/>
  <c r="I5029" i="496"/>
  <c r="H5029" i="496"/>
  <c r="E5029" i="496"/>
  <c r="D5029" i="496"/>
  <c r="C5029" i="496"/>
  <c r="BE5028" i="496"/>
  <c r="BC5028" i="496"/>
  <c r="BA5028" i="496"/>
  <c r="I5028" i="496"/>
  <c r="H5028" i="496"/>
  <c r="E5028" i="496"/>
  <c r="D5028" i="496"/>
  <c r="C5028" i="496"/>
  <c r="BE5027" i="496"/>
  <c r="BC5027" i="496"/>
  <c r="I5027" i="496"/>
  <c r="H5027" i="496"/>
  <c r="E5027" i="496"/>
  <c r="D5027" i="496"/>
  <c r="C5027" i="496"/>
  <c r="BE5026" i="496"/>
  <c r="BC5026" i="496"/>
  <c r="I5026" i="496"/>
  <c r="H5026" i="496"/>
  <c r="E5026" i="496"/>
  <c r="D5026" i="496"/>
  <c r="C5026" i="496"/>
  <c r="BE5025" i="496"/>
  <c r="BC5025" i="496"/>
  <c r="I5025" i="496"/>
  <c r="H5025" i="496"/>
  <c r="E5025" i="496"/>
  <c r="D5025" i="496"/>
  <c r="C5025" i="496"/>
  <c r="BE5024" i="496"/>
  <c r="BC5024" i="496"/>
  <c r="I5024" i="496"/>
  <c r="H5024" i="496"/>
  <c r="E5024" i="496"/>
  <c r="D5024" i="496"/>
  <c r="C5024" i="496"/>
  <c r="BE5023" i="496"/>
  <c r="BC5023" i="496"/>
  <c r="I5023" i="496"/>
  <c r="H5023" i="496"/>
  <c r="E5023" i="496"/>
  <c r="D5023" i="496"/>
  <c r="C5023" i="496"/>
  <c r="BE5022" i="496"/>
  <c r="BC5022" i="496"/>
  <c r="I5022" i="496"/>
  <c r="H5022" i="496"/>
  <c r="E5022" i="496"/>
  <c r="D5022" i="496"/>
  <c r="C5022" i="496"/>
  <c r="BE5021" i="496"/>
  <c r="BC5021" i="496"/>
  <c r="I5021" i="496"/>
  <c r="H5021" i="496"/>
  <c r="E5021" i="496"/>
  <c r="D5021" i="496"/>
  <c r="C5021" i="496"/>
  <c r="BE5020" i="496"/>
  <c r="BC5020" i="496"/>
  <c r="I5020" i="496"/>
  <c r="H5020" i="496"/>
  <c r="E5020" i="496"/>
  <c r="D5020" i="496"/>
  <c r="C5020" i="496"/>
  <c r="BE5019" i="496"/>
  <c r="BC5019" i="496"/>
  <c r="I5019" i="496"/>
  <c r="H5019" i="496"/>
  <c r="E5019" i="496"/>
  <c r="D5019" i="496"/>
  <c r="C5019" i="496"/>
  <c r="BE5018" i="496"/>
  <c r="BC5018" i="496"/>
  <c r="I5018" i="496"/>
  <c r="H5018" i="496"/>
  <c r="E5018" i="496"/>
  <c r="D5018" i="496"/>
  <c r="C5018" i="496"/>
  <c r="BE5017" i="496"/>
  <c r="BC5017" i="496"/>
  <c r="I5017" i="496"/>
  <c r="H5017" i="496"/>
  <c r="E5017" i="496"/>
  <c r="D5017" i="496"/>
  <c r="C5017" i="496"/>
  <c r="BE5016" i="496"/>
  <c r="BC5016" i="496"/>
  <c r="I5016" i="496"/>
  <c r="H5016" i="496"/>
  <c r="E5016" i="496"/>
  <c r="D5016" i="496"/>
  <c r="C5016" i="496"/>
  <c r="BE5015" i="496"/>
  <c r="BC5015" i="496"/>
  <c r="I5015" i="496"/>
  <c r="H5015" i="496"/>
  <c r="E5015" i="496"/>
  <c r="D5015" i="496"/>
  <c r="C5015" i="496"/>
  <c r="BE5014" i="496"/>
  <c r="BC5014" i="496"/>
  <c r="I5014" i="496"/>
  <c r="H5014" i="496"/>
  <c r="E5014" i="496"/>
  <c r="D5014" i="496"/>
  <c r="C5014" i="496"/>
  <c r="BE5013" i="496"/>
  <c r="BC5013" i="496"/>
  <c r="I5013" i="496"/>
  <c r="H5013" i="496"/>
  <c r="E5013" i="496"/>
  <c r="D5013" i="496"/>
  <c r="C5013" i="496"/>
  <c r="BE5012" i="496"/>
  <c r="BC5012" i="496"/>
  <c r="BA5012" i="496"/>
  <c r="I5012" i="496"/>
  <c r="H5012" i="496"/>
  <c r="E5012" i="496"/>
  <c r="D5012" i="496"/>
  <c r="C5012" i="496"/>
  <c r="BE5011" i="496"/>
  <c r="BC5011" i="496"/>
  <c r="BA5011" i="496"/>
  <c r="I5011" i="496"/>
  <c r="H5011" i="496"/>
  <c r="E5011" i="496"/>
  <c r="D5011" i="496"/>
  <c r="C5011" i="496"/>
  <c r="BE5010" i="496"/>
  <c r="BC5010" i="496"/>
  <c r="BA5010" i="496"/>
  <c r="I5010" i="496"/>
  <c r="H5010" i="496"/>
  <c r="E5010" i="496"/>
  <c r="D5010" i="496"/>
  <c r="C5010" i="496"/>
  <c r="BE5009" i="496"/>
  <c r="BC5009" i="496"/>
  <c r="BA5009" i="496"/>
  <c r="I5009" i="496"/>
  <c r="H5009" i="496"/>
  <c r="E5009" i="496"/>
  <c r="D5009" i="496"/>
  <c r="C5009" i="496"/>
  <c r="BE5008" i="496"/>
  <c r="BC5008" i="496"/>
  <c r="BA5008" i="496"/>
  <c r="I5008" i="496"/>
  <c r="H5008" i="496"/>
  <c r="E5008" i="496"/>
  <c r="D5008" i="496"/>
  <c r="C5008" i="496"/>
  <c r="BE5007" i="496"/>
  <c r="BC5007" i="496"/>
  <c r="BA5007" i="496"/>
  <c r="I5007" i="496"/>
  <c r="H5007" i="496"/>
  <c r="E5007" i="496"/>
  <c r="D5007" i="496"/>
  <c r="C5007" i="496"/>
  <c r="BE5006" i="496"/>
  <c r="BC5006" i="496"/>
  <c r="BA5006" i="496"/>
  <c r="I5006" i="496"/>
  <c r="H5006" i="496"/>
  <c r="E5006" i="496"/>
  <c r="D5006" i="496"/>
  <c r="C5006" i="496"/>
  <c r="BE5005" i="496"/>
  <c r="BC5005" i="496"/>
  <c r="BA5005" i="496"/>
  <c r="I5005" i="496"/>
  <c r="H5005" i="496"/>
  <c r="E5005" i="496"/>
  <c r="D5005" i="496"/>
  <c r="C5005" i="496"/>
  <c r="BE5004" i="496"/>
  <c r="BC5004" i="496"/>
  <c r="BA5004" i="496"/>
  <c r="I5004" i="496"/>
  <c r="H5004" i="496"/>
  <c r="E5004" i="496"/>
  <c r="D5004" i="496"/>
  <c r="C5004" i="496"/>
  <c r="BE5003" i="496"/>
  <c r="BC5003" i="496"/>
  <c r="BA5003" i="496"/>
  <c r="I5003" i="496"/>
  <c r="H5003" i="496"/>
  <c r="E5003" i="496"/>
  <c r="D5003" i="496"/>
  <c r="C5003" i="496"/>
  <c r="BE5002" i="496"/>
  <c r="BC5002" i="496"/>
  <c r="BA5002" i="496"/>
  <c r="I5002" i="496"/>
  <c r="H5002" i="496"/>
  <c r="E5002" i="496"/>
  <c r="D5002" i="496"/>
  <c r="C5002" i="496"/>
  <c r="BE5001" i="496"/>
  <c r="BC5001" i="496"/>
  <c r="BA5001" i="496"/>
  <c r="I5001" i="496"/>
  <c r="H5001" i="496"/>
  <c r="E5001" i="496"/>
  <c r="D5001" i="496"/>
  <c r="C5001" i="496"/>
  <c r="BE5000" i="496"/>
  <c r="BC5000" i="496"/>
  <c r="BA5000" i="496"/>
  <c r="I5000" i="496"/>
  <c r="H5000" i="496"/>
  <c r="E5000" i="496"/>
  <c r="D5000" i="496"/>
  <c r="C5000" i="496"/>
  <c r="BE4999" i="496"/>
  <c r="BC4999" i="496"/>
  <c r="BA4999" i="496"/>
  <c r="I4999" i="496"/>
  <c r="H4999" i="496"/>
  <c r="E4999" i="496"/>
  <c r="D4999" i="496"/>
  <c r="C4999" i="496"/>
  <c r="BE4998" i="496"/>
  <c r="BC4998" i="496"/>
  <c r="BA4998" i="496"/>
  <c r="I4998" i="496"/>
  <c r="H4998" i="496"/>
  <c r="E4998" i="496"/>
  <c r="D4998" i="496"/>
  <c r="C4998" i="496"/>
  <c r="BE4997" i="496"/>
  <c r="BC4997" i="496"/>
  <c r="BA4997" i="496"/>
  <c r="I4997" i="496"/>
  <c r="H4997" i="496"/>
  <c r="E4997" i="496"/>
  <c r="D4997" i="496"/>
  <c r="C4997" i="496"/>
  <c r="BE4996" i="496"/>
  <c r="BC4996" i="496"/>
  <c r="BA4996" i="496"/>
  <c r="I4996" i="496"/>
  <c r="H4996" i="496"/>
  <c r="E4996" i="496"/>
  <c r="D4996" i="496"/>
  <c r="C4996" i="496"/>
  <c r="BE4995" i="496"/>
  <c r="BC4995" i="496"/>
  <c r="BA4995" i="496"/>
  <c r="I4995" i="496"/>
  <c r="H4995" i="496"/>
  <c r="E4995" i="496"/>
  <c r="D4995" i="496"/>
  <c r="C4995" i="496"/>
  <c r="BE4994" i="496"/>
  <c r="BC4994" i="496"/>
  <c r="BA4994" i="496"/>
  <c r="I4994" i="496"/>
  <c r="H4994" i="496"/>
  <c r="E4994" i="496"/>
  <c r="D4994" i="496"/>
  <c r="C4994" i="496"/>
  <c r="BE4993" i="496"/>
  <c r="BC4993" i="496"/>
  <c r="BA4993" i="496"/>
  <c r="I4993" i="496"/>
  <c r="H4993" i="496"/>
  <c r="E4993" i="496"/>
  <c r="D4993" i="496"/>
  <c r="C4993" i="496"/>
  <c r="BE4992" i="496"/>
  <c r="BC4992" i="496"/>
  <c r="BA4992" i="496"/>
  <c r="I4992" i="496"/>
  <c r="H4992" i="496"/>
  <c r="E4992" i="496"/>
  <c r="D4992" i="496"/>
  <c r="C4992" i="496"/>
  <c r="BE4991" i="496"/>
  <c r="BC4991" i="496"/>
  <c r="BA4991" i="496"/>
  <c r="I4991" i="496"/>
  <c r="H4991" i="496"/>
  <c r="E4991" i="496"/>
  <c r="D4991" i="496"/>
  <c r="C4991" i="496"/>
  <c r="BE4990" i="496"/>
  <c r="BC4990" i="496"/>
  <c r="BA4990" i="496"/>
  <c r="I4990" i="496"/>
  <c r="H4990" i="496"/>
  <c r="E4990" i="496"/>
  <c r="D4990" i="496"/>
  <c r="C4990" i="496"/>
  <c r="BE4989" i="496"/>
  <c r="BC4989" i="496"/>
  <c r="BA4989" i="496"/>
  <c r="I4989" i="496"/>
  <c r="H4989" i="496"/>
  <c r="E4989" i="496"/>
  <c r="D4989" i="496"/>
  <c r="C4989" i="496"/>
  <c r="BE4988" i="496"/>
  <c r="BC4988" i="496"/>
  <c r="BA4988" i="496"/>
  <c r="I4988" i="496"/>
  <c r="H4988" i="496"/>
  <c r="E4988" i="496"/>
  <c r="D4988" i="496"/>
  <c r="C4988" i="496"/>
  <c r="BE4987" i="496"/>
  <c r="BC4987" i="496"/>
  <c r="I4987" i="496"/>
  <c r="H4987" i="496"/>
  <c r="E4987" i="496"/>
  <c r="D4987" i="496"/>
  <c r="C4987" i="496"/>
  <c r="BE4986" i="496"/>
  <c r="BC4986" i="496"/>
  <c r="I4986" i="496"/>
  <c r="H4986" i="496"/>
  <c r="E4986" i="496"/>
  <c r="D4986" i="496"/>
  <c r="C4986" i="496"/>
  <c r="BE4985" i="496"/>
  <c r="BC4985" i="496"/>
  <c r="I4985" i="496"/>
  <c r="H4985" i="496"/>
  <c r="E4985" i="496"/>
  <c r="D4985" i="496"/>
  <c r="C4985" i="496"/>
  <c r="BE4984" i="496"/>
  <c r="BC4984" i="496"/>
  <c r="I4984" i="496"/>
  <c r="H4984" i="496"/>
  <c r="E4984" i="496"/>
  <c r="D4984" i="496"/>
  <c r="C4984" i="496"/>
  <c r="BE4983" i="496"/>
  <c r="BC4983" i="496"/>
  <c r="I4983" i="496"/>
  <c r="H4983" i="496"/>
  <c r="E4983" i="496"/>
  <c r="D4983" i="496"/>
  <c r="C4983" i="496"/>
  <c r="BE4982" i="496"/>
  <c r="BC4982" i="496"/>
  <c r="I4982" i="496"/>
  <c r="H4982" i="496"/>
  <c r="E4982" i="496"/>
  <c r="D4982" i="496"/>
  <c r="C4982" i="496"/>
  <c r="BE4981" i="496"/>
  <c r="BC4981" i="496"/>
  <c r="I4981" i="496"/>
  <c r="H4981" i="496"/>
  <c r="E4981" i="496"/>
  <c r="D4981" i="496"/>
  <c r="C4981" i="496"/>
  <c r="BE4980" i="496"/>
  <c r="BC4980" i="496"/>
  <c r="I4980" i="496"/>
  <c r="H4980" i="496"/>
  <c r="E4980" i="496"/>
  <c r="D4980" i="496"/>
  <c r="C4980" i="496"/>
  <c r="BE4979" i="496"/>
  <c r="BC4979" i="496"/>
  <c r="BA4979" i="496"/>
  <c r="I4979" i="496"/>
  <c r="H4979" i="496"/>
  <c r="E4979" i="496"/>
  <c r="D4979" i="496"/>
  <c r="C4979" i="496"/>
  <c r="BE4978" i="496"/>
  <c r="BC4978" i="496"/>
  <c r="BA4978" i="496"/>
  <c r="I4978" i="496"/>
  <c r="H4978" i="496"/>
  <c r="E4978" i="496"/>
  <c r="D4978" i="496"/>
  <c r="C4978" i="496"/>
  <c r="BE4977" i="496"/>
  <c r="BC4977" i="496"/>
  <c r="I4977" i="496"/>
  <c r="H4977" i="496"/>
  <c r="E4977" i="496"/>
  <c r="D4977" i="496"/>
  <c r="C4977" i="496"/>
  <c r="BE4976" i="496"/>
  <c r="BC4976" i="496"/>
  <c r="I4976" i="496"/>
  <c r="H4976" i="496"/>
  <c r="E4976" i="496"/>
  <c r="D4976" i="496"/>
  <c r="C4976" i="496"/>
  <c r="BE4975" i="496"/>
  <c r="BC4975" i="496"/>
  <c r="I4975" i="496"/>
  <c r="H4975" i="496"/>
  <c r="E4975" i="496"/>
  <c r="D4975" i="496"/>
  <c r="C4975" i="496"/>
  <c r="BE4974" i="496"/>
  <c r="BC4974" i="496"/>
  <c r="I4974" i="496"/>
  <c r="H4974" i="496"/>
  <c r="E4974" i="496"/>
  <c r="D4974" i="496"/>
  <c r="C4974" i="496"/>
  <c r="BE4973" i="496"/>
  <c r="BC4973" i="496"/>
  <c r="I4973" i="496"/>
  <c r="H4973" i="496"/>
  <c r="E4973" i="496"/>
  <c r="D4973" i="496"/>
  <c r="C4973" i="496"/>
  <c r="BE4972" i="496"/>
  <c r="BC4972" i="496"/>
  <c r="I4972" i="496"/>
  <c r="H4972" i="496"/>
  <c r="E4972" i="496"/>
  <c r="D4972" i="496"/>
  <c r="C4972" i="496"/>
  <c r="BE4971" i="496"/>
  <c r="BC4971" i="496"/>
  <c r="I4971" i="496"/>
  <c r="H4971" i="496"/>
  <c r="E4971" i="496"/>
  <c r="D4971" i="496"/>
  <c r="C4971" i="496"/>
  <c r="BE4970" i="496"/>
  <c r="BC4970" i="496"/>
  <c r="I4970" i="496"/>
  <c r="H4970" i="496"/>
  <c r="E4970" i="496"/>
  <c r="D4970" i="496"/>
  <c r="C4970" i="496"/>
  <c r="BE4969" i="496"/>
  <c r="BC4969" i="496"/>
  <c r="I4969" i="496"/>
  <c r="H4969" i="496"/>
  <c r="E4969" i="496"/>
  <c r="D4969" i="496"/>
  <c r="C4969" i="496"/>
  <c r="BE4968" i="496"/>
  <c r="BC4968" i="496"/>
  <c r="I4968" i="496"/>
  <c r="H4968" i="496"/>
  <c r="E4968" i="496"/>
  <c r="D4968" i="496"/>
  <c r="C4968" i="496"/>
  <c r="BE4967" i="496"/>
  <c r="BC4967" i="496"/>
  <c r="I4967" i="496"/>
  <c r="H4967" i="496"/>
  <c r="E4967" i="496"/>
  <c r="D4967" i="496"/>
  <c r="C4967" i="496"/>
  <c r="BE4966" i="496"/>
  <c r="BC4966" i="496"/>
  <c r="I4966" i="496"/>
  <c r="H4966" i="496"/>
  <c r="E4966" i="496"/>
  <c r="D4966" i="496"/>
  <c r="C4966" i="496"/>
  <c r="BE4965" i="496"/>
  <c r="BC4965" i="496"/>
  <c r="I4965" i="496"/>
  <c r="H4965" i="496"/>
  <c r="E4965" i="496"/>
  <c r="D4965" i="496"/>
  <c r="C4965" i="496"/>
  <c r="BE4964" i="496"/>
  <c r="BC4964" i="496"/>
  <c r="I4964" i="496"/>
  <c r="H4964" i="496"/>
  <c r="E4964" i="496"/>
  <c r="D4964" i="496"/>
  <c r="C4964" i="496"/>
  <c r="BE4963" i="496"/>
  <c r="BC4963" i="496"/>
  <c r="I4963" i="496"/>
  <c r="H4963" i="496"/>
  <c r="E4963" i="496"/>
  <c r="D4963" i="496"/>
  <c r="C4963" i="496"/>
  <c r="BE4962" i="496"/>
  <c r="BC4962" i="496"/>
  <c r="I4962" i="496"/>
  <c r="H4962" i="496"/>
  <c r="E4962" i="496"/>
  <c r="D4962" i="496"/>
  <c r="C4962" i="496"/>
  <c r="BE4961" i="496"/>
  <c r="BC4961" i="496"/>
  <c r="I4961" i="496"/>
  <c r="H4961" i="496"/>
  <c r="E4961" i="496"/>
  <c r="D4961" i="496"/>
  <c r="C4961" i="496"/>
  <c r="BE4960" i="496"/>
  <c r="BC4960" i="496"/>
  <c r="I4960" i="496"/>
  <c r="H4960" i="496"/>
  <c r="E4960" i="496"/>
  <c r="D4960" i="496"/>
  <c r="C4960" i="496"/>
  <c r="BE4959" i="496"/>
  <c r="BC4959" i="496"/>
  <c r="I4959" i="496"/>
  <c r="H4959" i="496"/>
  <c r="E4959" i="496"/>
  <c r="D4959" i="496"/>
  <c r="C4959" i="496"/>
  <c r="BE4958" i="496"/>
  <c r="BC4958" i="496"/>
  <c r="I4958" i="496"/>
  <c r="H4958" i="496"/>
  <c r="E4958" i="496"/>
  <c r="D4958" i="496"/>
  <c r="C4958" i="496"/>
  <c r="BE4957" i="496"/>
  <c r="BC4957" i="496"/>
  <c r="I4957" i="496"/>
  <c r="H4957" i="496"/>
  <c r="E4957" i="496"/>
  <c r="D4957" i="496"/>
  <c r="C4957" i="496"/>
  <c r="BE4956" i="496"/>
  <c r="BC4956" i="496"/>
  <c r="I4956" i="496"/>
  <c r="H4956" i="496"/>
  <c r="E4956" i="496"/>
  <c r="D4956" i="496"/>
  <c r="C4956" i="496"/>
  <c r="BE4955" i="496"/>
  <c r="BC4955" i="496"/>
  <c r="I4955" i="496"/>
  <c r="H4955" i="496"/>
  <c r="E4955" i="496"/>
  <c r="D4955" i="496"/>
  <c r="C4955" i="496"/>
  <c r="BE4954" i="496"/>
  <c r="BC4954" i="496"/>
  <c r="I4954" i="496"/>
  <c r="H4954" i="496"/>
  <c r="E4954" i="496"/>
  <c r="D4954" i="496"/>
  <c r="C4954" i="496"/>
  <c r="BE4953" i="496"/>
  <c r="BC4953" i="496"/>
  <c r="I4953" i="496"/>
  <c r="H4953" i="496"/>
  <c r="E4953" i="496"/>
  <c r="D4953" i="496"/>
  <c r="C4953" i="496"/>
  <c r="BE4952" i="496"/>
  <c r="BC4952" i="496"/>
  <c r="I4952" i="496"/>
  <c r="H4952" i="496"/>
  <c r="E4952" i="496"/>
  <c r="D4952" i="496"/>
  <c r="C4952" i="496"/>
  <c r="BE4951" i="496"/>
  <c r="BC4951" i="496"/>
  <c r="I4951" i="496"/>
  <c r="H4951" i="496"/>
  <c r="E4951" i="496"/>
  <c r="D4951" i="496"/>
  <c r="C4951" i="496"/>
  <c r="BE4950" i="496"/>
  <c r="BC4950" i="496"/>
  <c r="I4950" i="496"/>
  <c r="H4950" i="496"/>
  <c r="E4950" i="496"/>
  <c r="D4950" i="496"/>
  <c r="C4950" i="496"/>
  <c r="BE4949" i="496"/>
  <c r="BC4949" i="496"/>
  <c r="I4949" i="496"/>
  <c r="H4949" i="496"/>
  <c r="E4949" i="496"/>
  <c r="D4949" i="496"/>
  <c r="C4949" i="496"/>
  <c r="BE4948" i="496"/>
  <c r="BC4948" i="496"/>
  <c r="I4948" i="496"/>
  <c r="H4948" i="496"/>
  <c r="E4948" i="496"/>
  <c r="D4948" i="496"/>
  <c r="C4948" i="496"/>
  <c r="BE4947" i="496"/>
  <c r="BC4947" i="496"/>
  <c r="I4947" i="496"/>
  <c r="H4947" i="496"/>
  <c r="E4947" i="496"/>
  <c r="D4947" i="496"/>
  <c r="C4947" i="496"/>
  <c r="BE4946" i="496"/>
  <c r="BC4946" i="496"/>
  <c r="I4946" i="496"/>
  <c r="H4946" i="496"/>
  <c r="E4946" i="496"/>
  <c r="D4946" i="496"/>
  <c r="C4946" i="496"/>
  <c r="BE4945" i="496"/>
  <c r="BC4945" i="496"/>
  <c r="I4945" i="496"/>
  <c r="H4945" i="496"/>
  <c r="E4945" i="496"/>
  <c r="D4945" i="496"/>
  <c r="C4945" i="496"/>
  <c r="BE4944" i="496"/>
  <c r="BC4944" i="496"/>
  <c r="I4944" i="496"/>
  <c r="H4944" i="496"/>
  <c r="E4944" i="496"/>
  <c r="D4944" i="496"/>
  <c r="C4944" i="496"/>
  <c r="BE4943" i="496"/>
  <c r="BC4943" i="496"/>
  <c r="I4943" i="496"/>
  <c r="H4943" i="496"/>
  <c r="E4943" i="496"/>
  <c r="D4943" i="496"/>
  <c r="C4943" i="496"/>
  <c r="BE4942" i="496"/>
  <c r="BC4942" i="496"/>
  <c r="I4942" i="496"/>
  <c r="H4942" i="496"/>
  <c r="E4942" i="496"/>
  <c r="D4942" i="496"/>
  <c r="C4942" i="496"/>
  <c r="BE4941" i="496"/>
  <c r="BC4941" i="496"/>
  <c r="I4941" i="496"/>
  <c r="H4941" i="496"/>
  <c r="E4941" i="496"/>
  <c r="D4941" i="496"/>
  <c r="C4941" i="496"/>
  <c r="BE4940" i="496"/>
  <c r="BC4940" i="496"/>
  <c r="I4940" i="496"/>
  <c r="H4940" i="496"/>
  <c r="E4940" i="496"/>
  <c r="D4940" i="496"/>
  <c r="C4940" i="496"/>
  <c r="BE4939" i="496"/>
  <c r="BC4939" i="496"/>
  <c r="I4939" i="496"/>
  <c r="H4939" i="496"/>
  <c r="E4939" i="496"/>
  <c r="D4939" i="496"/>
  <c r="C4939" i="496"/>
  <c r="BE4938" i="496"/>
  <c r="BC4938" i="496"/>
  <c r="I4938" i="496"/>
  <c r="H4938" i="496"/>
  <c r="E4938" i="496"/>
  <c r="D4938" i="496"/>
  <c r="C4938" i="496"/>
  <c r="BE4937" i="496"/>
  <c r="BC4937" i="496"/>
  <c r="I4937" i="496"/>
  <c r="H4937" i="496"/>
  <c r="E4937" i="496"/>
  <c r="D4937" i="496"/>
  <c r="C4937" i="496"/>
  <c r="BE4936" i="496"/>
  <c r="BC4936" i="496"/>
  <c r="I4936" i="496"/>
  <c r="H4936" i="496"/>
  <c r="E4936" i="496"/>
  <c r="D4936" i="496"/>
  <c r="C4936" i="496"/>
  <c r="BE4935" i="496"/>
  <c r="BC4935" i="496"/>
  <c r="I4935" i="496"/>
  <c r="H4935" i="496"/>
  <c r="E4935" i="496"/>
  <c r="D4935" i="496"/>
  <c r="C4935" i="496"/>
  <c r="BE4934" i="496"/>
  <c r="BC4934" i="496"/>
  <c r="I4934" i="496"/>
  <c r="H4934" i="496"/>
  <c r="E4934" i="496"/>
  <c r="D4934" i="496"/>
  <c r="C4934" i="496"/>
  <c r="BE4933" i="496"/>
  <c r="BC4933" i="496"/>
  <c r="I4933" i="496"/>
  <c r="H4933" i="496"/>
  <c r="E4933" i="496"/>
  <c r="D4933" i="496"/>
  <c r="C4933" i="496"/>
  <c r="BE4932" i="496"/>
  <c r="BC4932" i="496"/>
  <c r="I4932" i="496"/>
  <c r="H4932" i="496"/>
  <c r="E4932" i="496"/>
  <c r="D4932" i="496"/>
  <c r="C4932" i="496"/>
  <c r="BE4931" i="496"/>
  <c r="BC4931" i="496"/>
  <c r="I4931" i="496"/>
  <c r="H4931" i="496"/>
  <c r="E4931" i="496"/>
  <c r="D4931" i="496"/>
  <c r="C4931" i="496"/>
  <c r="BE4930" i="496"/>
  <c r="BC4930" i="496"/>
  <c r="I4930" i="496"/>
  <c r="H4930" i="496"/>
  <c r="E4930" i="496"/>
  <c r="D4930" i="496"/>
  <c r="C4930" i="496"/>
  <c r="BE4929" i="496"/>
  <c r="BC4929" i="496"/>
  <c r="I4929" i="496"/>
  <c r="H4929" i="496"/>
  <c r="E4929" i="496"/>
  <c r="D4929" i="496"/>
  <c r="C4929" i="496"/>
  <c r="BE4928" i="496"/>
  <c r="BC4928" i="496"/>
  <c r="I4928" i="496"/>
  <c r="H4928" i="496"/>
  <c r="E4928" i="496"/>
  <c r="D4928" i="496"/>
  <c r="C4928" i="496"/>
  <c r="BE4927" i="496"/>
  <c r="BC4927" i="496"/>
  <c r="I4927" i="496"/>
  <c r="H4927" i="496"/>
  <c r="E4927" i="496"/>
  <c r="D4927" i="496"/>
  <c r="C4927" i="496"/>
  <c r="BE4926" i="496"/>
  <c r="BC4926" i="496"/>
  <c r="I4926" i="496"/>
  <c r="H4926" i="496"/>
  <c r="E4926" i="496"/>
  <c r="D4926" i="496"/>
  <c r="C4926" i="496"/>
  <c r="BE4925" i="496"/>
  <c r="BC4925" i="496"/>
  <c r="I4925" i="496"/>
  <c r="H4925" i="496"/>
  <c r="E4925" i="496"/>
  <c r="D4925" i="496"/>
  <c r="C4925" i="496"/>
  <c r="BE4924" i="496"/>
  <c r="BC4924" i="496"/>
  <c r="I4924" i="496"/>
  <c r="H4924" i="496"/>
  <c r="E4924" i="496"/>
  <c r="D4924" i="496"/>
  <c r="C4924" i="496"/>
  <c r="BE4923" i="496"/>
  <c r="BC4923" i="496"/>
  <c r="I4923" i="496"/>
  <c r="H4923" i="496"/>
  <c r="E4923" i="496"/>
  <c r="D4923" i="496"/>
  <c r="C4923" i="496"/>
  <c r="BE4922" i="496"/>
  <c r="BC4922" i="496"/>
  <c r="BA4922" i="496"/>
  <c r="I4922" i="496"/>
  <c r="H4922" i="496"/>
  <c r="E4922" i="496"/>
  <c r="D4922" i="496"/>
  <c r="C4922" i="496"/>
  <c r="BE4921" i="496"/>
  <c r="BC4921" i="496"/>
  <c r="BA4921" i="496"/>
  <c r="I4921" i="496"/>
  <c r="H4921" i="496"/>
  <c r="E4921" i="496"/>
  <c r="D4921" i="496"/>
  <c r="C4921" i="496"/>
  <c r="BE4920" i="496"/>
  <c r="BD4920" i="496"/>
  <c r="BC4920" i="496"/>
  <c r="BA4920" i="496"/>
  <c r="I4920" i="496"/>
  <c r="H4920" i="496"/>
  <c r="E4920" i="496"/>
  <c r="D4920" i="496"/>
  <c r="C4920" i="496"/>
  <c r="BE4919" i="496"/>
  <c r="BC4919" i="496"/>
  <c r="I4919" i="496"/>
  <c r="H4919" i="496"/>
  <c r="E4919" i="496"/>
  <c r="D4919" i="496"/>
  <c r="C4919" i="496"/>
  <c r="BE4918" i="496"/>
  <c r="BC4918" i="496"/>
  <c r="I4918" i="496"/>
  <c r="H4918" i="496"/>
  <c r="E4918" i="496"/>
  <c r="D4918" i="496"/>
  <c r="C4918" i="496"/>
  <c r="BE4917" i="496"/>
  <c r="BC4917" i="496"/>
  <c r="I4917" i="496"/>
  <c r="H4917" i="496"/>
  <c r="E4917" i="496"/>
  <c r="D4917" i="496"/>
  <c r="C4917" i="496"/>
  <c r="BE4916" i="496"/>
  <c r="BC4916" i="496"/>
  <c r="I4916" i="496"/>
  <c r="H4916" i="496"/>
  <c r="E4916" i="496"/>
  <c r="D4916" i="496"/>
  <c r="C4916" i="496"/>
  <c r="BE4915" i="496"/>
  <c r="BC4915" i="496"/>
  <c r="I4915" i="496"/>
  <c r="H4915" i="496"/>
  <c r="E4915" i="496"/>
  <c r="D4915" i="496"/>
  <c r="C4915" i="496"/>
  <c r="BE4914" i="496"/>
  <c r="BC4914" i="496"/>
  <c r="I4914" i="496"/>
  <c r="H4914" i="496"/>
  <c r="E4914" i="496"/>
  <c r="D4914" i="496"/>
  <c r="C4914" i="496"/>
  <c r="BE4913" i="496"/>
  <c r="BC4913" i="496"/>
  <c r="I4913" i="496"/>
  <c r="H4913" i="496"/>
  <c r="E4913" i="496"/>
  <c r="D4913" i="496"/>
  <c r="C4913" i="496"/>
  <c r="BE4912" i="496"/>
  <c r="BC4912" i="496"/>
  <c r="I4912" i="496"/>
  <c r="H4912" i="496"/>
  <c r="E4912" i="496"/>
  <c r="D4912" i="496"/>
  <c r="C4912" i="496"/>
  <c r="BE4911" i="496"/>
  <c r="BC4911" i="496"/>
  <c r="I4911" i="496"/>
  <c r="H4911" i="496"/>
  <c r="E4911" i="496"/>
  <c r="D4911" i="496"/>
  <c r="C4911" i="496"/>
  <c r="BE4910" i="496"/>
  <c r="BC4910" i="496"/>
  <c r="I4910" i="496"/>
  <c r="H4910" i="496"/>
  <c r="E4910" i="496"/>
  <c r="D4910" i="496"/>
  <c r="C4910" i="496"/>
  <c r="BE4909" i="496"/>
  <c r="BC4909" i="496"/>
  <c r="I4909" i="496"/>
  <c r="H4909" i="496"/>
  <c r="E4909" i="496"/>
  <c r="D4909" i="496"/>
  <c r="C4909" i="496"/>
  <c r="BE4908" i="496"/>
  <c r="BC4908" i="496"/>
  <c r="I4908" i="496"/>
  <c r="H4908" i="496"/>
  <c r="E4908" i="496"/>
  <c r="D4908" i="496"/>
  <c r="C4908" i="496"/>
  <c r="BE4907" i="496"/>
  <c r="BC4907" i="496"/>
  <c r="I4907" i="496"/>
  <c r="H4907" i="496"/>
  <c r="E4907" i="496"/>
  <c r="D4907" i="496"/>
  <c r="C4907" i="496"/>
  <c r="BE4906" i="496"/>
  <c r="BC4906" i="496"/>
  <c r="I4906" i="496"/>
  <c r="H4906" i="496"/>
  <c r="E4906" i="496"/>
  <c r="D4906" i="496"/>
  <c r="C4906" i="496"/>
  <c r="BE4905" i="496"/>
  <c r="BC4905" i="496"/>
  <c r="I4905" i="496"/>
  <c r="H4905" i="496"/>
  <c r="E4905" i="496"/>
  <c r="D4905" i="496"/>
  <c r="C4905" i="496"/>
  <c r="BE4904" i="496"/>
  <c r="BC4904" i="496"/>
  <c r="I4904" i="496"/>
  <c r="H4904" i="496"/>
  <c r="E4904" i="496"/>
  <c r="D4904" i="496"/>
  <c r="C4904" i="496"/>
  <c r="BE4903" i="496"/>
  <c r="BC4903" i="496"/>
  <c r="I4903" i="496"/>
  <c r="H4903" i="496"/>
  <c r="E4903" i="496"/>
  <c r="D4903" i="496"/>
  <c r="C4903" i="496"/>
  <c r="BE4902" i="496"/>
  <c r="BC4902" i="496"/>
  <c r="I4902" i="496"/>
  <c r="H4902" i="496"/>
  <c r="E4902" i="496"/>
  <c r="D4902" i="496"/>
  <c r="C4902" i="496"/>
  <c r="BE4901" i="496"/>
  <c r="BC4901" i="496"/>
  <c r="I4901" i="496"/>
  <c r="H4901" i="496"/>
  <c r="E4901" i="496"/>
  <c r="D4901" i="496"/>
  <c r="C4901" i="496"/>
  <c r="BE4900" i="496"/>
  <c r="BC4900" i="496"/>
  <c r="I4900" i="496"/>
  <c r="H4900" i="496"/>
  <c r="E4900" i="496"/>
  <c r="D4900" i="496"/>
  <c r="C4900" i="496"/>
  <c r="BE4899" i="496"/>
  <c r="BC4899" i="496"/>
  <c r="I4899" i="496"/>
  <c r="H4899" i="496"/>
  <c r="E4899" i="496"/>
  <c r="D4899" i="496"/>
  <c r="C4899" i="496"/>
  <c r="BE4898" i="496"/>
  <c r="BC4898" i="496"/>
  <c r="I4898" i="496"/>
  <c r="H4898" i="496"/>
  <c r="E4898" i="496"/>
  <c r="D4898" i="496"/>
  <c r="C4898" i="496"/>
  <c r="BE4897" i="496"/>
  <c r="BC4897" i="496"/>
  <c r="I4897" i="496"/>
  <c r="H4897" i="496"/>
  <c r="E4897" i="496"/>
  <c r="D4897" i="496"/>
  <c r="C4897" i="496"/>
  <c r="BE4896" i="496"/>
  <c r="BC4896" i="496"/>
  <c r="I4896" i="496"/>
  <c r="H4896" i="496"/>
  <c r="E4896" i="496"/>
  <c r="D4896" i="496"/>
  <c r="C4896" i="496"/>
  <c r="BE4895" i="496"/>
  <c r="BC4895" i="496"/>
  <c r="I4895" i="496"/>
  <c r="H4895" i="496"/>
  <c r="E4895" i="496"/>
  <c r="D4895" i="496"/>
  <c r="C4895" i="496"/>
  <c r="BE4894" i="496"/>
  <c r="BC4894" i="496"/>
  <c r="I4894" i="496"/>
  <c r="H4894" i="496"/>
  <c r="E4894" i="496"/>
  <c r="D4894" i="496"/>
  <c r="C4894" i="496"/>
  <c r="BE4893" i="496"/>
  <c r="BC4893" i="496"/>
  <c r="I4893" i="496"/>
  <c r="H4893" i="496"/>
  <c r="E4893" i="496"/>
  <c r="D4893" i="496"/>
  <c r="C4893" i="496"/>
  <c r="BE4892" i="496"/>
  <c r="BC4892" i="496"/>
  <c r="I4892" i="496"/>
  <c r="H4892" i="496"/>
  <c r="E4892" i="496"/>
  <c r="D4892" i="496"/>
  <c r="C4892" i="496"/>
  <c r="BE4891" i="496"/>
  <c r="BC4891" i="496"/>
  <c r="I4891" i="496"/>
  <c r="H4891" i="496"/>
  <c r="E4891" i="496"/>
  <c r="D4891" i="496"/>
  <c r="C4891" i="496"/>
  <c r="BE4890" i="496"/>
  <c r="BC4890" i="496"/>
  <c r="I4890" i="496"/>
  <c r="H4890" i="496"/>
  <c r="E4890" i="496"/>
  <c r="D4890" i="496"/>
  <c r="C4890" i="496"/>
  <c r="BE4889" i="496"/>
  <c r="BC4889" i="496"/>
  <c r="I4889" i="496"/>
  <c r="H4889" i="496"/>
  <c r="E4889" i="496"/>
  <c r="D4889" i="496"/>
  <c r="C4889" i="496"/>
  <c r="BE4888" i="496"/>
  <c r="BC4888" i="496"/>
  <c r="I4888" i="496"/>
  <c r="H4888" i="496"/>
  <c r="E4888" i="496"/>
  <c r="D4888" i="496"/>
  <c r="C4888" i="496"/>
  <c r="BE4887" i="496"/>
  <c r="BC4887" i="496"/>
  <c r="I4887" i="496"/>
  <c r="H4887" i="496"/>
  <c r="E4887" i="496"/>
  <c r="D4887" i="496"/>
  <c r="C4887" i="496"/>
  <c r="BE4886" i="496"/>
  <c r="BC4886" i="496"/>
  <c r="I4886" i="496"/>
  <c r="H4886" i="496"/>
  <c r="E4886" i="496"/>
  <c r="D4886" i="496"/>
  <c r="C4886" i="496"/>
  <c r="BE4885" i="496"/>
  <c r="BC4885" i="496"/>
  <c r="I4885" i="496"/>
  <c r="H4885" i="496"/>
  <c r="E4885" i="496"/>
  <c r="D4885" i="496"/>
  <c r="C4885" i="496"/>
  <c r="BE4884" i="496"/>
  <c r="BC4884" i="496"/>
  <c r="I4884" i="496"/>
  <c r="H4884" i="496"/>
  <c r="E4884" i="496"/>
  <c r="D4884" i="496"/>
  <c r="C4884" i="496"/>
  <c r="BE4883" i="496"/>
  <c r="BC4883" i="496"/>
  <c r="I4883" i="496"/>
  <c r="H4883" i="496"/>
  <c r="E4883" i="496"/>
  <c r="D4883" i="496"/>
  <c r="C4883" i="496"/>
  <c r="BE4882" i="496"/>
  <c r="BC4882" i="496"/>
  <c r="I4882" i="496"/>
  <c r="H4882" i="496"/>
  <c r="E4882" i="496"/>
  <c r="D4882" i="496"/>
  <c r="C4882" i="496"/>
  <c r="BE4881" i="496"/>
  <c r="BC4881" i="496"/>
  <c r="I4881" i="496"/>
  <c r="H4881" i="496"/>
  <c r="E4881" i="496"/>
  <c r="D4881" i="496"/>
  <c r="C4881" i="496"/>
  <c r="BE4880" i="496"/>
  <c r="BC4880" i="496"/>
  <c r="I4880" i="496"/>
  <c r="H4880" i="496"/>
  <c r="E4880" i="496"/>
  <c r="D4880" i="496"/>
  <c r="C4880" i="496"/>
  <c r="BE4879" i="496"/>
  <c r="BC4879" i="496"/>
  <c r="I4879" i="496"/>
  <c r="H4879" i="496"/>
  <c r="E4879" i="496"/>
  <c r="D4879" i="496"/>
  <c r="C4879" i="496"/>
  <c r="BE4878" i="496"/>
  <c r="BC4878" i="496"/>
  <c r="I4878" i="496"/>
  <c r="H4878" i="496"/>
  <c r="E4878" i="496"/>
  <c r="D4878" i="496"/>
  <c r="C4878" i="496"/>
  <c r="BE4877" i="496"/>
  <c r="BC4877" i="496"/>
  <c r="I4877" i="496"/>
  <c r="H4877" i="496"/>
  <c r="E4877" i="496"/>
  <c r="D4877" i="496"/>
  <c r="C4877" i="496"/>
  <c r="BE4876" i="496"/>
  <c r="BC4876" i="496"/>
  <c r="I4876" i="496"/>
  <c r="H4876" i="496"/>
  <c r="E4876" i="496"/>
  <c r="D4876" i="496"/>
  <c r="C4876" i="496"/>
  <c r="BE4875" i="496"/>
  <c r="BC4875" i="496"/>
  <c r="I4875" i="496"/>
  <c r="H4875" i="496"/>
  <c r="E4875" i="496"/>
  <c r="D4875" i="496"/>
  <c r="C4875" i="496"/>
  <c r="BE4874" i="496"/>
  <c r="BC4874" i="496"/>
  <c r="I4874" i="496"/>
  <c r="H4874" i="496"/>
  <c r="E4874" i="496"/>
  <c r="D4874" i="496"/>
  <c r="C4874" i="496"/>
  <c r="BE4873" i="496"/>
  <c r="BC4873" i="496"/>
  <c r="I4873" i="496"/>
  <c r="H4873" i="496"/>
  <c r="E4873" i="496"/>
  <c r="D4873" i="496"/>
  <c r="C4873" i="496"/>
  <c r="BE4872" i="496"/>
  <c r="BC4872" i="496"/>
  <c r="I4872" i="496"/>
  <c r="H4872" i="496"/>
  <c r="E4872" i="496"/>
  <c r="D4872" i="496"/>
  <c r="C4872" i="496"/>
  <c r="BE4871" i="496"/>
  <c r="BC4871" i="496"/>
  <c r="I4871" i="496"/>
  <c r="H4871" i="496"/>
  <c r="E4871" i="496"/>
  <c r="D4871" i="496"/>
  <c r="C4871" i="496"/>
  <c r="BE4870" i="496"/>
  <c r="BC4870" i="496"/>
  <c r="I4870" i="496"/>
  <c r="H4870" i="496"/>
  <c r="E4870" i="496"/>
  <c r="D4870" i="496"/>
  <c r="C4870" i="496"/>
  <c r="BE4869" i="496"/>
  <c r="BC4869" i="496"/>
  <c r="I4869" i="496"/>
  <c r="H4869" i="496"/>
  <c r="E4869" i="496"/>
  <c r="D4869" i="496"/>
  <c r="C4869" i="496"/>
  <c r="BE4868" i="496"/>
  <c r="BC4868" i="496"/>
  <c r="I4868" i="496"/>
  <c r="H4868" i="496"/>
  <c r="E4868" i="496"/>
  <c r="D4868" i="496"/>
  <c r="C4868" i="496"/>
  <c r="BE4867" i="496"/>
  <c r="BC4867" i="496"/>
  <c r="I4867" i="496"/>
  <c r="H4867" i="496"/>
  <c r="E4867" i="496"/>
  <c r="D4867" i="496"/>
  <c r="C4867" i="496"/>
  <c r="BE4866" i="496"/>
  <c r="BC4866" i="496"/>
  <c r="I4866" i="496"/>
  <c r="H4866" i="496"/>
  <c r="E4866" i="496"/>
  <c r="D4866" i="496"/>
  <c r="C4866" i="496"/>
  <c r="BE4865" i="496"/>
  <c r="BC4865" i="496"/>
  <c r="I4865" i="496"/>
  <c r="H4865" i="496"/>
  <c r="E4865" i="496"/>
  <c r="D4865" i="496"/>
  <c r="C4865" i="496"/>
  <c r="BE4864" i="496"/>
  <c r="BC4864" i="496"/>
  <c r="I4864" i="496"/>
  <c r="H4864" i="496"/>
  <c r="E4864" i="496"/>
  <c r="D4864" i="496"/>
  <c r="C4864" i="496"/>
  <c r="BE4863" i="496"/>
  <c r="BC4863" i="496"/>
  <c r="I4863" i="496"/>
  <c r="H4863" i="496"/>
  <c r="E4863" i="496"/>
  <c r="D4863" i="496"/>
  <c r="C4863" i="496"/>
  <c r="BE4862" i="496"/>
  <c r="BC4862" i="496"/>
  <c r="I4862" i="496"/>
  <c r="H4862" i="496"/>
  <c r="E4862" i="496"/>
  <c r="D4862" i="496"/>
  <c r="C4862" i="496"/>
  <c r="BE4861" i="496"/>
  <c r="BC4861" i="496"/>
  <c r="I4861" i="496"/>
  <c r="H4861" i="496"/>
  <c r="E4861" i="496"/>
  <c r="D4861" i="496"/>
  <c r="C4861" i="496"/>
  <c r="BE4860" i="496"/>
  <c r="BC4860" i="496"/>
  <c r="I4860" i="496"/>
  <c r="H4860" i="496"/>
  <c r="E4860" i="496"/>
  <c r="D4860" i="496"/>
  <c r="C4860" i="496"/>
  <c r="BE4859" i="496"/>
  <c r="BC4859" i="496"/>
  <c r="I4859" i="496"/>
  <c r="H4859" i="496"/>
  <c r="E4859" i="496"/>
  <c r="D4859" i="496"/>
  <c r="C4859" i="496"/>
  <c r="BE4858" i="496"/>
  <c r="BC4858" i="496"/>
  <c r="I4858" i="496"/>
  <c r="H4858" i="496"/>
  <c r="E4858" i="496"/>
  <c r="D4858" i="496"/>
  <c r="C4858" i="496"/>
  <c r="BE4857" i="496"/>
  <c r="BC4857" i="496"/>
  <c r="I4857" i="496"/>
  <c r="H4857" i="496"/>
  <c r="E4857" i="496"/>
  <c r="D4857" i="496"/>
  <c r="C4857" i="496"/>
  <c r="BE4856" i="496"/>
  <c r="BC4856" i="496"/>
  <c r="I4856" i="496"/>
  <c r="H4856" i="496"/>
  <c r="E4856" i="496"/>
  <c r="D4856" i="496"/>
  <c r="C4856" i="496"/>
  <c r="BE4855" i="496"/>
  <c r="BC4855" i="496"/>
  <c r="I4855" i="496"/>
  <c r="H4855" i="496"/>
  <c r="E4855" i="496"/>
  <c r="D4855" i="496"/>
  <c r="C4855" i="496"/>
  <c r="BE4854" i="496"/>
  <c r="BC4854" i="496"/>
  <c r="I4854" i="496"/>
  <c r="H4854" i="496"/>
  <c r="E4854" i="496"/>
  <c r="D4854" i="496"/>
  <c r="C4854" i="496"/>
  <c r="BE4853" i="496"/>
  <c r="BC4853" i="496"/>
  <c r="I4853" i="496"/>
  <c r="H4853" i="496"/>
  <c r="E4853" i="496"/>
  <c r="D4853" i="496"/>
  <c r="C4853" i="496"/>
  <c r="BE4852" i="496"/>
  <c r="BC4852" i="496"/>
  <c r="I4852" i="496"/>
  <c r="H4852" i="496"/>
  <c r="E4852" i="496"/>
  <c r="D4852" i="496"/>
  <c r="C4852" i="496"/>
  <c r="BE4851" i="496"/>
  <c r="BC4851" i="496"/>
  <c r="I4851" i="496"/>
  <c r="H4851" i="496"/>
  <c r="E4851" i="496"/>
  <c r="D4851" i="496"/>
  <c r="C4851" i="496"/>
  <c r="BE4850" i="496"/>
  <c r="BC4850" i="496"/>
  <c r="I4850" i="496"/>
  <c r="H4850" i="496"/>
  <c r="E4850" i="496"/>
  <c r="D4850" i="496"/>
  <c r="C4850" i="496"/>
  <c r="BE4849" i="496"/>
  <c r="BC4849" i="496"/>
  <c r="I4849" i="496"/>
  <c r="H4849" i="496"/>
  <c r="E4849" i="496"/>
  <c r="D4849" i="496"/>
  <c r="C4849" i="496"/>
  <c r="BE4848" i="496"/>
  <c r="BC4848" i="496"/>
  <c r="I4848" i="496"/>
  <c r="H4848" i="496"/>
  <c r="E4848" i="496"/>
  <c r="D4848" i="496"/>
  <c r="C4848" i="496"/>
  <c r="BE4847" i="496"/>
  <c r="BC4847" i="496"/>
  <c r="I4847" i="496"/>
  <c r="H4847" i="496"/>
  <c r="E4847" i="496"/>
  <c r="D4847" i="496"/>
  <c r="C4847" i="496"/>
  <c r="BE4846" i="496"/>
  <c r="BC4846" i="496"/>
  <c r="I4846" i="496"/>
  <c r="H4846" i="496"/>
  <c r="E4846" i="496"/>
  <c r="D4846" i="496"/>
  <c r="C4846" i="496"/>
  <c r="BE4845" i="496"/>
  <c r="BC4845" i="496"/>
  <c r="I4845" i="496"/>
  <c r="H4845" i="496"/>
  <c r="E4845" i="496"/>
  <c r="D4845" i="496"/>
  <c r="C4845" i="496"/>
  <c r="BE4844" i="496"/>
  <c r="BC4844" i="496"/>
  <c r="I4844" i="496"/>
  <c r="H4844" i="496"/>
  <c r="E4844" i="496"/>
  <c r="D4844" i="496"/>
  <c r="C4844" i="496"/>
  <c r="BE4843" i="496"/>
  <c r="BC4843" i="496"/>
  <c r="I4843" i="496"/>
  <c r="H4843" i="496"/>
  <c r="E4843" i="496"/>
  <c r="D4843" i="496"/>
  <c r="C4843" i="496"/>
  <c r="BE4842" i="496"/>
  <c r="BC4842" i="496"/>
  <c r="I4842" i="496"/>
  <c r="H4842" i="496"/>
  <c r="E4842" i="496"/>
  <c r="D4842" i="496"/>
  <c r="C4842" i="496"/>
  <c r="BE4841" i="496"/>
  <c r="BC4841" i="496"/>
  <c r="I4841" i="496"/>
  <c r="H4841" i="496"/>
  <c r="E4841" i="496"/>
  <c r="D4841" i="496"/>
  <c r="C4841" i="496"/>
  <c r="BE4840" i="496"/>
  <c r="BC4840" i="496"/>
  <c r="I4840" i="496"/>
  <c r="H4840" i="496"/>
  <c r="E4840" i="496"/>
  <c r="D4840" i="496"/>
  <c r="C4840" i="496"/>
  <c r="BE4839" i="496"/>
  <c r="BC4839" i="496"/>
  <c r="I4839" i="496"/>
  <c r="H4839" i="496"/>
  <c r="E4839" i="496"/>
  <c r="D4839" i="496"/>
  <c r="C4839" i="496"/>
  <c r="BE4838" i="496"/>
  <c r="BC4838" i="496"/>
  <c r="I4838" i="496"/>
  <c r="H4838" i="496"/>
  <c r="E4838" i="496"/>
  <c r="D4838" i="496"/>
  <c r="C4838" i="496"/>
  <c r="BE4837" i="496"/>
  <c r="BC4837" i="496"/>
  <c r="I4837" i="496"/>
  <c r="H4837" i="496"/>
  <c r="E4837" i="496"/>
  <c r="D4837" i="496"/>
  <c r="C4837" i="496"/>
  <c r="BE4836" i="496"/>
  <c r="BC4836" i="496"/>
  <c r="I4836" i="496"/>
  <c r="H4836" i="496"/>
  <c r="E4836" i="496"/>
  <c r="D4836" i="496"/>
  <c r="C4836" i="496"/>
  <c r="BE4835" i="496"/>
  <c r="BC4835" i="496"/>
  <c r="I4835" i="496"/>
  <c r="H4835" i="496"/>
  <c r="E4835" i="496"/>
  <c r="D4835" i="496"/>
  <c r="C4835" i="496"/>
  <c r="BE4834" i="496"/>
  <c r="BC4834" i="496"/>
  <c r="I4834" i="496"/>
  <c r="H4834" i="496"/>
  <c r="E4834" i="496"/>
  <c r="D4834" i="496"/>
  <c r="C4834" i="496"/>
  <c r="BE4833" i="496"/>
  <c r="BC4833" i="496"/>
  <c r="I4833" i="496"/>
  <c r="H4833" i="496"/>
  <c r="E4833" i="496"/>
  <c r="D4833" i="496"/>
  <c r="C4833" i="496"/>
  <c r="BE4832" i="496"/>
  <c r="BC4832" i="496"/>
  <c r="I4832" i="496"/>
  <c r="H4832" i="496"/>
  <c r="E4832" i="496"/>
  <c r="D4832" i="496"/>
  <c r="C4832" i="496"/>
  <c r="BE4831" i="496"/>
  <c r="BC4831" i="496"/>
  <c r="I4831" i="496"/>
  <c r="H4831" i="496"/>
  <c r="E4831" i="496"/>
  <c r="D4831" i="496"/>
  <c r="C4831" i="496"/>
  <c r="BE4830" i="496"/>
  <c r="BC4830" i="496"/>
  <c r="I4830" i="496"/>
  <c r="H4830" i="496"/>
  <c r="E4830" i="496"/>
  <c r="D4830" i="496"/>
  <c r="C4830" i="496"/>
  <c r="BE4829" i="496"/>
  <c r="BC4829" i="496"/>
  <c r="I4829" i="496"/>
  <c r="H4829" i="496"/>
  <c r="E4829" i="496"/>
  <c r="D4829" i="496"/>
  <c r="C4829" i="496"/>
  <c r="BE4828" i="496"/>
  <c r="BC4828" i="496"/>
  <c r="I4828" i="496"/>
  <c r="H4828" i="496"/>
  <c r="E4828" i="496"/>
  <c r="D4828" i="496"/>
  <c r="C4828" i="496"/>
  <c r="BE4827" i="496"/>
  <c r="BC4827" i="496"/>
  <c r="I4827" i="496"/>
  <c r="H4827" i="496"/>
  <c r="E4827" i="496"/>
  <c r="D4827" i="496"/>
  <c r="C4827" i="496"/>
  <c r="BE4826" i="496"/>
  <c r="BC4826" i="496"/>
  <c r="I4826" i="496"/>
  <c r="H4826" i="496"/>
  <c r="E4826" i="496"/>
  <c r="D4826" i="496"/>
  <c r="C4826" i="496"/>
  <c r="BE4825" i="496"/>
  <c r="BC4825" i="496"/>
  <c r="I4825" i="496"/>
  <c r="H4825" i="496"/>
  <c r="E4825" i="496"/>
  <c r="D4825" i="496"/>
  <c r="C4825" i="496"/>
  <c r="BE4824" i="496"/>
  <c r="BC4824" i="496"/>
  <c r="I4824" i="496"/>
  <c r="H4824" i="496"/>
  <c r="E4824" i="496"/>
  <c r="D4824" i="496"/>
  <c r="C4824" i="496"/>
  <c r="BE4823" i="496"/>
  <c r="BC4823" i="496"/>
  <c r="I4823" i="496"/>
  <c r="H4823" i="496"/>
  <c r="E4823" i="496"/>
  <c r="D4823" i="496"/>
  <c r="C4823" i="496"/>
  <c r="BE4822" i="496"/>
  <c r="BC4822" i="496"/>
  <c r="I4822" i="496"/>
  <c r="H4822" i="496"/>
  <c r="E4822" i="496"/>
  <c r="D4822" i="496"/>
  <c r="C4822" i="496"/>
  <c r="BE4821" i="496"/>
  <c r="BC4821" i="496"/>
  <c r="I4821" i="496"/>
  <c r="H4821" i="496"/>
  <c r="E4821" i="496"/>
  <c r="D4821" i="496"/>
  <c r="C4821" i="496"/>
  <c r="BE4820" i="496"/>
  <c r="BC4820" i="496"/>
  <c r="I4820" i="496"/>
  <c r="H4820" i="496"/>
  <c r="E4820" i="496"/>
  <c r="D4820" i="496"/>
  <c r="C4820" i="496"/>
  <c r="BE4819" i="496"/>
  <c r="BC4819" i="496"/>
  <c r="I4819" i="496"/>
  <c r="H4819" i="496"/>
  <c r="E4819" i="496"/>
  <c r="D4819" i="496"/>
  <c r="C4819" i="496"/>
  <c r="BE4818" i="496"/>
  <c r="BC4818" i="496"/>
  <c r="I4818" i="496"/>
  <c r="H4818" i="496"/>
  <c r="E4818" i="496"/>
  <c r="D4818" i="496"/>
  <c r="C4818" i="496"/>
  <c r="BE4817" i="496"/>
  <c r="BC4817" i="496"/>
  <c r="I4817" i="496"/>
  <c r="H4817" i="496"/>
  <c r="E4817" i="496"/>
  <c r="D4817" i="496"/>
  <c r="C4817" i="496"/>
  <c r="BE4816" i="496"/>
  <c r="BC4816" i="496"/>
  <c r="I4816" i="496"/>
  <c r="H4816" i="496"/>
  <c r="E4816" i="496"/>
  <c r="D4816" i="496"/>
  <c r="C4816" i="496"/>
  <c r="BE4815" i="496"/>
  <c r="BC4815" i="496"/>
  <c r="I4815" i="496"/>
  <c r="H4815" i="496"/>
  <c r="E4815" i="496"/>
  <c r="D4815" i="496"/>
  <c r="C4815" i="496"/>
  <c r="BE4814" i="496"/>
  <c r="BC4814" i="496"/>
  <c r="I4814" i="496"/>
  <c r="H4814" i="496"/>
  <c r="E4814" i="496"/>
  <c r="D4814" i="496"/>
  <c r="C4814" i="496"/>
  <c r="BE4813" i="496"/>
  <c r="BC4813" i="496"/>
  <c r="I4813" i="496"/>
  <c r="H4813" i="496"/>
  <c r="E4813" i="496"/>
  <c r="D4813" i="496"/>
  <c r="C4813" i="496"/>
  <c r="BE4812" i="496"/>
  <c r="BC4812" i="496"/>
  <c r="I4812" i="496"/>
  <c r="H4812" i="496"/>
  <c r="E4812" i="496"/>
  <c r="D4812" i="496"/>
  <c r="C4812" i="496"/>
  <c r="BE4811" i="496"/>
  <c r="BC4811" i="496"/>
  <c r="I4811" i="496"/>
  <c r="H4811" i="496"/>
  <c r="E4811" i="496"/>
  <c r="D4811" i="496"/>
  <c r="C4811" i="496"/>
  <c r="BE4810" i="496"/>
  <c r="BC4810" i="496"/>
  <c r="I4810" i="496"/>
  <c r="H4810" i="496"/>
  <c r="E4810" i="496"/>
  <c r="D4810" i="496"/>
  <c r="C4810" i="496"/>
  <c r="BE4809" i="496"/>
  <c r="BC4809" i="496"/>
  <c r="I4809" i="496"/>
  <c r="H4809" i="496"/>
  <c r="E4809" i="496"/>
  <c r="D4809" i="496"/>
  <c r="C4809" i="496"/>
  <c r="BE4808" i="496"/>
  <c r="BC4808" i="496"/>
  <c r="I4808" i="496"/>
  <c r="H4808" i="496"/>
  <c r="E4808" i="496"/>
  <c r="D4808" i="496"/>
  <c r="C4808" i="496"/>
  <c r="BE4807" i="496"/>
  <c r="BC4807" i="496"/>
  <c r="I4807" i="496"/>
  <c r="H4807" i="496"/>
  <c r="E4807" i="496"/>
  <c r="D4807" i="496"/>
  <c r="C4807" i="496"/>
  <c r="BE4806" i="496"/>
  <c r="BC4806" i="496"/>
  <c r="I4806" i="496"/>
  <c r="H4806" i="496"/>
  <c r="E4806" i="496"/>
  <c r="D4806" i="496"/>
  <c r="C4806" i="496"/>
  <c r="BE4805" i="496"/>
  <c r="BC4805" i="496"/>
  <c r="I4805" i="496"/>
  <c r="H4805" i="496"/>
  <c r="E4805" i="496"/>
  <c r="D4805" i="496"/>
  <c r="C4805" i="496"/>
  <c r="BE4804" i="496"/>
  <c r="BC4804" i="496"/>
  <c r="I4804" i="496"/>
  <c r="H4804" i="496"/>
  <c r="E4804" i="496"/>
  <c r="D4804" i="496"/>
  <c r="C4804" i="496"/>
  <c r="BE4803" i="496"/>
  <c r="BC4803" i="496"/>
  <c r="I4803" i="496"/>
  <c r="H4803" i="496"/>
  <c r="E4803" i="496"/>
  <c r="D4803" i="496"/>
  <c r="C4803" i="496"/>
  <c r="BE4802" i="496"/>
  <c r="BC4802" i="496"/>
  <c r="I4802" i="496"/>
  <c r="H4802" i="496"/>
  <c r="E4802" i="496"/>
  <c r="D4802" i="496"/>
  <c r="C4802" i="496"/>
  <c r="BE4801" i="496"/>
  <c r="BC4801" i="496"/>
  <c r="I4801" i="496"/>
  <c r="H4801" i="496"/>
  <c r="E4801" i="496"/>
  <c r="D4801" i="496"/>
  <c r="C4801" i="496"/>
  <c r="BE4800" i="496"/>
  <c r="BC4800" i="496"/>
  <c r="I4800" i="496"/>
  <c r="H4800" i="496"/>
  <c r="E4800" i="496"/>
  <c r="D4800" i="496"/>
  <c r="C4800" i="496"/>
  <c r="BE4799" i="496"/>
  <c r="BC4799" i="496"/>
  <c r="I4799" i="496"/>
  <c r="H4799" i="496"/>
  <c r="E4799" i="496"/>
  <c r="D4799" i="496"/>
  <c r="C4799" i="496"/>
  <c r="BE4798" i="496"/>
  <c r="BC4798" i="496"/>
  <c r="I4798" i="496"/>
  <c r="H4798" i="496"/>
  <c r="E4798" i="496"/>
  <c r="D4798" i="496"/>
  <c r="C4798" i="496"/>
  <c r="BE4797" i="496"/>
  <c r="BC4797" i="496"/>
  <c r="I4797" i="496"/>
  <c r="H4797" i="496"/>
  <c r="E4797" i="496"/>
  <c r="D4797" i="496"/>
  <c r="C4797" i="496"/>
  <c r="BE4796" i="496"/>
  <c r="BC4796" i="496"/>
  <c r="I4796" i="496"/>
  <c r="H4796" i="496"/>
  <c r="E4796" i="496"/>
  <c r="D4796" i="496"/>
  <c r="C4796" i="496"/>
  <c r="BE4795" i="496"/>
  <c r="BC4795" i="496"/>
  <c r="I4795" i="496"/>
  <c r="H4795" i="496"/>
  <c r="E4795" i="496"/>
  <c r="D4795" i="496"/>
  <c r="C4795" i="496"/>
  <c r="BE4794" i="496"/>
  <c r="BC4794" i="496"/>
  <c r="I4794" i="496"/>
  <c r="H4794" i="496"/>
  <c r="E4794" i="496"/>
  <c r="D4794" i="496"/>
  <c r="C4794" i="496"/>
  <c r="BE4793" i="496"/>
  <c r="BC4793" i="496"/>
  <c r="I4793" i="496"/>
  <c r="H4793" i="496"/>
  <c r="E4793" i="496"/>
  <c r="D4793" i="496"/>
  <c r="C4793" i="496"/>
  <c r="BE4792" i="496"/>
  <c r="BC4792" i="496"/>
  <c r="I4792" i="496"/>
  <c r="H4792" i="496"/>
  <c r="E4792" i="496"/>
  <c r="D4792" i="496"/>
  <c r="C4792" i="496"/>
  <c r="BE4791" i="496"/>
  <c r="I4791" i="496"/>
  <c r="H4791" i="496"/>
  <c r="E4791" i="496"/>
  <c r="D4791" i="496"/>
  <c r="C4791" i="496"/>
  <c r="BE4790" i="496"/>
  <c r="BC4790" i="496"/>
  <c r="I4790" i="496"/>
  <c r="H4790" i="496"/>
  <c r="E4790" i="496"/>
  <c r="D4790" i="496"/>
  <c r="C4790" i="496"/>
  <c r="BE4789" i="496"/>
  <c r="BC4789" i="496"/>
  <c r="I4789" i="496"/>
  <c r="H4789" i="496"/>
  <c r="E4789" i="496"/>
  <c r="D4789" i="496"/>
  <c r="C4789" i="496"/>
  <c r="BE4788" i="496"/>
  <c r="BC4788" i="496"/>
  <c r="I4788" i="496"/>
  <c r="H4788" i="496"/>
  <c r="E4788" i="496"/>
  <c r="D4788" i="496"/>
  <c r="C4788" i="496"/>
  <c r="BE4787" i="496"/>
  <c r="BC4787" i="496"/>
  <c r="BA4787" i="496"/>
  <c r="I4787" i="496"/>
  <c r="H4787" i="496"/>
  <c r="E4787" i="496"/>
  <c r="D4787" i="496"/>
  <c r="C4787" i="496"/>
  <c r="BE4786" i="496"/>
  <c r="BC4786" i="496"/>
  <c r="I4786" i="496"/>
  <c r="H4786" i="496"/>
  <c r="E4786" i="496"/>
  <c r="D4786" i="496"/>
  <c r="C4786" i="496"/>
  <c r="BE4785" i="496"/>
  <c r="BC4785" i="496"/>
  <c r="I4785" i="496"/>
  <c r="H4785" i="496"/>
  <c r="E4785" i="496"/>
  <c r="D4785" i="496"/>
  <c r="C4785" i="496"/>
  <c r="BE4784" i="496"/>
  <c r="BC4784" i="496"/>
  <c r="I4784" i="496"/>
  <c r="H4784" i="496"/>
  <c r="E4784" i="496"/>
  <c r="D4784" i="496"/>
  <c r="C4784" i="496"/>
  <c r="BE4783" i="496"/>
  <c r="BC4783" i="496"/>
  <c r="I4783" i="496"/>
  <c r="H4783" i="496"/>
  <c r="E4783" i="496"/>
  <c r="D4783" i="496"/>
  <c r="C4783" i="496"/>
  <c r="BE4782" i="496"/>
  <c r="BC4782" i="496"/>
  <c r="I4782" i="496"/>
  <c r="H4782" i="496"/>
  <c r="E4782" i="496"/>
  <c r="D4782" i="496"/>
  <c r="C4782" i="496"/>
  <c r="BE4781" i="496"/>
  <c r="BC4781" i="496"/>
  <c r="I4781" i="496"/>
  <c r="H4781" i="496"/>
  <c r="E4781" i="496"/>
  <c r="D4781" i="496"/>
  <c r="C4781" i="496"/>
  <c r="BE4780" i="496"/>
  <c r="BC4780" i="496"/>
  <c r="I4780" i="496"/>
  <c r="H4780" i="496"/>
  <c r="E4780" i="496"/>
  <c r="D4780" i="496"/>
  <c r="C4780" i="496"/>
  <c r="BE4779" i="496"/>
  <c r="BC4779" i="496"/>
  <c r="I4779" i="496"/>
  <c r="H4779" i="496"/>
  <c r="E4779" i="496"/>
  <c r="D4779" i="496"/>
  <c r="C4779" i="496"/>
  <c r="BE4778" i="496"/>
  <c r="BC4778" i="496"/>
  <c r="I4778" i="496"/>
  <c r="H4778" i="496"/>
  <c r="E4778" i="496"/>
  <c r="D4778" i="496"/>
  <c r="C4778" i="496"/>
  <c r="BE4777" i="496"/>
  <c r="BC4777" i="496"/>
  <c r="I4777" i="496"/>
  <c r="H4777" i="496"/>
  <c r="E4777" i="496"/>
  <c r="D4777" i="496"/>
  <c r="C4777" i="496"/>
  <c r="BE4776" i="496"/>
  <c r="BC4776" i="496"/>
  <c r="I4776" i="496"/>
  <c r="H4776" i="496"/>
  <c r="E4776" i="496"/>
  <c r="D4776" i="496"/>
  <c r="C4776" i="496"/>
  <c r="BE4775" i="496"/>
  <c r="BC4775" i="496"/>
  <c r="I4775" i="496"/>
  <c r="H4775" i="496"/>
  <c r="E4775" i="496"/>
  <c r="D4775" i="496"/>
  <c r="C4775" i="496"/>
  <c r="BE4774" i="496"/>
  <c r="BC4774" i="496"/>
  <c r="I4774" i="496"/>
  <c r="H4774" i="496"/>
  <c r="E4774" i="496"/>
  <c r="D4774" i="496"/>
  <c r="C4774" i="496"/>
  <c r="BE4773" i="496"/>
  <c r="BC4773" i="496"/>
  <c r="I4773" i="496"/>
  <c r="H4773" i="496"/>
  <c r="E4773" i="496"/>
  <c r="D4773" i="496"/>
  <c r="C4773" i="496"/>
  <c r="BE4772" i="496"/>
  <c r="BC4772" i="496"/>
  <c r="I4772" i="496"/>
  <c r="H4772" i="496"/>
  <c r="E4772" i="496"/>
  <c r="D4772" i="496"/>
  <c r="C4772" i="496"/>
  <c r="BE4771" i="496"/>
  <c r="BC4771" i="496"/>
  <c r="I4771" i="496"/>
  <c r="H4771" i="496"/>
  <c r="E4771" i="496"/>
  <c r="D4771" i="496"/>
  <c r="C4771" i="496"/>
  <c r="BE4770" i="496"/>
  <c r="BC4770" i="496"/>
  <c r="I4770" i="496"/>
  <c r="H4770" i="496"/>
  <c r="E4770" i="496"/>
  <c r="D4770" i="496"/>
  <c r="C4770" i="496"/>
  <c r="BE4769" i="496"/>
  <c r="BC4769" i="496"/>
  <c r="I4769" i="496"/>
  <c r="H4769" i="496"/>
  <c r="E4769" i="496"/>
  <c r="D4769" i="496"/>
  <c r="C4769" i="496"/>
  <c r="BE4768" i="496"/>
  <c r="BC4768" i="496"/>
  <c r="I4768" i="496"/>
  <c r="H4768" i="496"/>
  <c r="E4768" i="496"/>
  <c r="D4768" i="496"/>
  <c r="C4768" i="496"/>
  <c r="BE4767" i="496"/>
  <c r="BC4767" i="496"/>
  <c r="I4767" i="496"/>
  <c r="H4767" i="496"/>
  <c r="E4767" i="496"/>
  <c r="D4767" i="496"/>
  <c r="C4767" i="496"/>
  <c r="BE4766" i="496"/>
  <c r="BC4766" i="496"/>
  <c r="I4766" i="496"/>
  <c r="H4766" i="496"/>
  <c r="E4766" i="496"/>
  <c r="D4766" i="496"/>
  <c r="C4766" i="496"/>
  <c r="BE4765" i="496"/>
  <c r="BC4765" i="496"/>
  <c r="I4765" i="496"/>
  <c r="H4765" i="496"/>
  <c r="E4765" i="496"/>
  <c r="D4765" i="496"/>
  <c r="C4765" i="496"/>
  <c r="BE4764" i="496"/>
  <c r="BC4764" i="496"/>
  <c r="I4764" i="496"/>
  <c r="H4764" i="496"/>
  <c r="E4764" i="496"/>
  <c r="D4764" i="496"/>
  <c r="C4764" i="496"/>
  <c r="BE4763" i="496"/>
  <c r="BC4763" i="496"/>
  <c r="I4763" i="496"/>
  <c r="H4763" i="496"/>
  <c r="E4763" i="496"/>
  <c r="D4763" i="496"/>
  <c r="C4763" i="496"/>
  <c r="BE4762" i="496"/>
  <c r="BC4762" i="496"/>
  <c r="I4762" i="496"/>
  <c r="H4762" i="496"/>
  <c r="E4762" i="496"/>
  <c r="D4762" i="496"/>
  <c r="C4762" i="496"/>
  <c r="BE4761" i="496"/>
  <c r="BC4761" i="496"/>
  <c r="I4761" i="496"/>
  <c r="H4761" i="496"/>
  <c r="E4761" i="496"/>
  <c r="D4761" i="496"/>
  <c r="C4761" i="496"/>
  <c r="BE4760" i="496"/>
  <c r="BC4760" i="496"/>
  <c r="I4760" i="496"/>
  <c r="H4760" i="496"/>
  <c r="E4760" i="496"/>
  <c r="D4760" i="496"/>
  <c r="C4760" i="496"/>
  <c r="BE4759" i="496"/>
  <c r="BC4759" i="496"/>
  <c r="I4759" i="496"/>
  <c r="H4759" i="496"/>
  <c r="E4759" i="496"/>
  <c r="D4759" i="496"/>
  <c r="C4759" i="496"/>
  <c r="BE4758" i="496"/>
  <c r="BC4758" i="496"/>
  <c r="I4758" i="496"/>
  <c r="H4758" i="496"/>
  <c r="E4758" i="496"/>
  <c r="D4758" i="496"/>
  <c r="C4758" i="496"/>
  <c r="BE4757" i="496"/>
  <c r="BC4757" i="496"/>
  <c r="I4757" i="496"/>
  <c r="H4757" i="496"/>
  <c r="E4757" i="496"/>
  <c r="D4757" i="496"/>
  <c r="C4757" i="496"/>
  <c r="BE4756" i="496"/>
  <c r="BC4756" i="496"/>
  <c r="I4756" i="496"/>
  <c r="H4756" i="496"/>
  <c r="E4756" i="496"/>
  <c r="D4756" i="496"/>
  <c r="C4756" i="496"/>
  <c r="BE4755" i="496"/>
  <c r="BC4755" i="496"/>
  <c r="I4755" i="496"/>
  <c r="H4755" i="496"/>
  <c r="E4755" i="496"/>
  <c r="D4755" i="496"/>
  <c r="C4755" i="496"/>
  <c r="BE4754" i="496"/>
  <c r="BC4754" i="496"/>
  <c r="I4754" i="496"/>
  <c r="H4754" i="496"/>
  <c r="E4754" i="496"/>
  <c r="D4754" i="496"/>
  <c r="C4754" i="496"/>
  <c r="BE4753" i="496"/>
  <c r="BC4753" i="496"/>
  <c r="I4753" i="496"/>
  <c r="H4753" i="496"/>
  <c r="E4753" i="496"/>
  <c r="D4753" i="496"/>
  <c r="C4753" i="496"/>
  <c r="BE4752" i="496"/>
  <c r="BC4752" i="496"/>
  <c r="I4752" i="496"/>
  <c r="H4752" i="496"/>
  <c r="E4752" i="496"/>
  <c r="D4752" i="496"/>
  <c r="C4752" i="496"/>
  <c r="BE4751" i="496"/>
  <c r="BC4751" i="496"/>
  <c r="I4751" i="496"/>
  <c r="H4751" i="496"/>
  <c r="E4751" i="496"/>
  <c r="D4751" i="496"/>
  <c r="C4751" i="496"/>
  <c r="BE4750" i="496"/>
  <c r="BC4750" i="496"/>
  <c r="I4750" i="496"/>
  <c r="H4750" i="496"/>
  <c r="E4750" i="496"/>
  <c r="D4750" i="496"/>
  <c r="C4750" i="496"/>
  <c r="BE4749" i="496"/>
  <c r="BC4749" i="496"/>
  <c r="I4749" i="496"/>
  <c r="H4749" i="496"/>
  <c r="E4749" i="496"/>
  <c r="D4749" i="496"/>
  <c r="C4749" i="496"/>
  <c r="BE4748" i="496"/>
  <c r="BC4748" i="496"/>
  <c r="I4748" i="496"/>
  <c r="H4748" i="496"/>
  <c r="E4748" i="496"/>
  <c r="D4748" i="496"/>
  <c r="C4748" i="496"/>
  <c r="BE4747" i="496"/>
  <c r="BC4747" i="496"/>
  <c r="I4747" i="496"/>
  <c r="H4747" i="496"/>
  <c r="E4747" i="496"/>
  <c r="D4747" i="496"/>
  <c r="C4747" i="496"/>
  <c r="BE4746" i="496"/>
  <c r="BC4746" i="496"/>
  <c r="I4746" i="496"/>
  <c r="H4746" i="496"/>
  <c r="E4746" i="496"/>
  <c r="D4746" i="496"/>
  <c r="C4746" i="496"/>
  <c r="BE4745" i="496"/>
  <c r="BC4745" i="496"/>
  <c r="I4745" i="496"/>
  <c r="H4745" i="496"/>
  <c r="E4745" i="496"/>
  <c r="D4745" i="496"/>
  <c r="C4745" i="496"/>
  <c r="BE4744" i="496"/>
  <c r="BC4744" i="496"/>
  <c r="I4744" i="496"/>
  <c r="H4744" i="496"/>
  <c r="E4744" i="496"/>
  <c r="D4744" i="496"/>
  <c r="C4744" i="496"/>
  <c r="BE4743" i="496"/>
  <c r="BC4743" i="496"/>
  <c r="BA4743" i="496"/>
  <c r="I4743" i="496"/>
  <c r="H4743" i="496"/>
  <c r="E4743" i="496"/>
  <c r="D4743" i="496"/>
  <c r="C4743" i="496"/>
  <c r="BE4742" i="496"/>
  <c r="BC4742" i="496"/>
  <c r="BA4742" i="496"/>
  <c r="I4742" i="496"/>
  <c r="H4742" i="496"/>
  <c r="E4742" i="496"/>
  <c r="D4742" i="496"/>
  <c r="C4742" i="496"/>
  <c r="BE4741" i="496"/>
  <c r="BC4741" i="496"/>
  <c r="I4741" i="496"/>
  <c r="H4741" i="496"/>
  <c r="E4741" i="496"/>
  <c r="D4741" i="496"/>
  <c r="C4741" i="496"/>
  <c r="BE4740" i="496"/>
  <c r="BC4740" i="496"/>
  <c r="I4740" i="496"/>
  <c r="H4740" i="496"/>
  <c r="E4740" i="496"/>
  <c r="D4740" i="496"/>
  <c r="C4740" i="496"/>
  <c r="BE4739" i="496"/>
  <c r="BC4739" i="496"/>
  <c r="I4739" i="496"/>
  <c r="H4739" i="496"/>
  <c r="E4739" i="496"/>
  <c r="D4739" i="496"/>
  <c r="C4739" i="496"/>
  <c r="BE4738" i="496"/>
  <c r="BC4738" i="496"/>
  <c r="I4738" i="496"/>
  <c r="H4738" i="496"/>
  <c r="E4738" i="496"/>
  <c r="D4738" i="496"/>
  <c r="C4738" i="496"/>
  <c r="BE4737" i="496"/>
  <c r="BC4737" i="496"/>
  <c r="I4737" i="496"/>
  <c r="H4737" i="496"/>
  <c r="E4737" i="496"/>
  <c r="D4737" i="496"/>
  <c r="C4737" i="496"/>
  <c r="BE4736" i="496"/>
  <c r="BC4736" i="496"/>
  <c r="I4736" i="496"/>
  <c r="H4736" i="496"/>
  <c r="E4736" i="496"/>
  <c r="D4736" i="496"/>
  <c r="C4736" i="496"/>
  <c r="BE4735" i="496"/>
  <c r="BC4735" i="496"/>
  <c r="I4735" i="496"/>
  <c r="H4735" i="496"/>
  <c r="E4735" i="496"/>
  <c r="D4735" i="496"/>
  <c r="C4735" i="496"/>
  <c r="BE4734" i="496"/>
  <c r="BC4734" i="496"/>
  <c r="I4734" i="496"/>
  <c r="H4734" i="496"/>
  <c r="E4734" i="496"/>
  <c r="D4734" i="496"/>
  <c r="C4734" i="496"/>
  <c r="BE4733" i="496"/>
  <c r="BC4733" i="496"/>
  <c r="I4733" i="496"/>
  <c r="H4733" i="496"/>
  <c r="E4733" i="496"/>
  <c r="D4733" i="496"/>
  <c r="C4733" i="496"/>
  <c r="BE4732" i="496"/>
  <c r="BC4732" i="496"/>
  <c r="I4732" i="496"/>
  <c r="H4732" i="496"/>
  <c r="E4732" i="496"/>
  <c r="D4732" i="496"/>
  <c r="C4732" i="496"/>
  <c r="BE4731" i="496"/>
  <c r="BC4731" i="496"/>
  <c r="I4731" i="496"/>
  <c r="H4731" i="496"/>
  <c r="E4731" i="496"/>
  <c r="D4731" i="496"/>
  <c r="C4731" i="496"/>
  <c r="BE4730" i="496"/>
  <c r="BC4730" i="496"/>
  <c r="I4730" i="496"/>
  <c r="H4730" i="496"/>
  <c r="E4730" i="496"/>
  <c r="D4730" i="496"/>
  <c r="C4730" i="496"/>
  <c r="BE4729" i="496"/>
  <c r="BC4729" i="496"/>
  <c r="I4729" i="496"/>
  <c r="H4729" i="496"/>
  <c r="E4729" i="496"/>
  <c r="D4729" i="496"/>
  <c r="C4729" i="496"/>
  <c r="BE4728" i="496"/>
  <c r="BC4728" i="496"/>
  <c r="I4728" i="496"/>
  <c r="H4728" i="496"/>
  <c r="E4728" i="496"/>
  <c r="D4728" i="496"/>
  <c r="C4728" i="496"/>
  <c r="BE4727" i="496"/>
  <c r="BC4727" i="496"/>
  <c r="I4727" i="496"/>
  <c r="H4727" i="496"/>
  <c r="E4727" i="496"/>
  <c r="D4727" i="496"/>
  <c r="C4727" i="496"/>
  <c r="BE4726" i="496"/>
  <c r="BC4726" i="496"/>
  <c r="I4726" i="496"/>
  <c r="H4726" i="496"/>
  <c r="E4726" i="496"/>
  <c r="D4726" i="496"/>
  <c r="C4726" i="496"/>
  <c r="BE4725" i="496"/>
  <c r="BC4725" i="496"/>
  <c r="I4725" i="496"/>
  <c r="H4725" i="496"/>
  <c r="E4725" i="496"/>
  <c r="D4725" i="496"/>
  <c r="C4725" i="496"/>
  <c r="BE4724" i="496"/>
  <c r="BC4724" i="496"/>
  <c r="I4724" i="496"/>
  <c r="H4724" i="496"/>
  <c r="E4724" i="496"/>
  <c r="D4724" i="496"/>
  <c r="C4724" i="496"/>
  <c r="BE4723" i="496"/>
  <c r="BC4723" i="496"/>
  <c r="I4723" i="496"/>
  <c r="H4723" i="496"/>
  <c r="E4723" i="496"/>
  <c r="D4723" i="496"/>
  <c r="C4723" i="496"/>
  <c r="BE4722" i="496"/>
  <c r="BC4722" i="496"/>
  <c r="I4722" i="496"/>
  <c r="H4722" i="496"/>
  <c r="E4722" i="496"/>
  <c r="D4722" i="496"/>
  <c r="C4722" i="496"/>
  <c r="BE4721" i="496"/>
  <c r="BC4721" i="496"/>
  <c r="I4721" i="496"/>
  <c r="H4721" i="496"/>
  <c r="E4721" i="496"/>
  <c r="D4721" i="496"/>
  <c r="C4721" i="496"/>
  <c r="BE4720" i="496"/>
  <c r="BC4720" i="496"/>
  <c r="I4720" i="496"/>
  <c r="H4720" i="496"/>
  <c r="E4720" i="496"/>
  <c r="D4720" i="496"/>
  <c r="C4720" i="496"/>
  <c r="BE4719" i="496"/>
  <c r="BC4719" i="496"/>
  <c r="I4719" i="496"/>
  <c r="H4719" i="496"/>
  <c r="E4719" i="496"/>
  <c r="D4719" i="496"/>
  <c r="C4719" i="496"/>
  <c r="BE4718" i="496"/>
  <c r="BC4718" i="496"/>
  <c r="I4718" i="496"/>
  <c r="H4718" i="496"/>
  <c r="E4718" i="496"/>
  <c r="D4718" i="496"/>
  <c r="C4718" i="496"/>
  <c r="BE4717" i="496"/>
  <c r="BC4717" i="496"/>
  <c r="I4717" i="496"/>
  <c r="H4717" i="496"/>
  <c r="E4717" i="496"/>
  <c r="D4717" i="496"/>
  <c r="C4717" i="496"/>
  <c r="BE4716" i="496"/>
  <c r="BC4716" i="496"/>
  <c r="I4716" i="496"/>
  <c r="H4716" i="496"/>
  <c r="E4716" i="496"/>
  <c r="D4716" i="496"/>
  <c r="C4716" i="496"/>
  <c r="BE4715" i="496"/>
  <c r="BC4715" i="496"/>
  <c r="I4715" i="496"/>
  <c r="H4715" i="496"/>
  <c r="E4715" i="496"/>
  <c r="D4715" i="496"/>
  <c r="C4715" i="496"/>
  <c r="BE4714" i="496"/>
  <c r="BC4714" i="496"/>
  <c r="I4714" i="496"/>
  <c r="H4714" i="496"/>
  <c r="E4714" i="496"/>
  <c r="D4714" i="496"/>
  <c r="C4714" i="496"/>
  <c r="BE4713" i="496"/>
  <c r="BC4713" i="496"/>
  <c r="I4713" i="496"/>
  <c r="H4713" i="496"/>
  <c r="E4713" i="496"/>
  <c r="D4713" i="496"/>
  <c r="C4713" i="496"/>
  <c r="BE4712" i="496"/>
  <c r="BC4712" i="496"/>
  <c r="I4712" i="496"/>
  <c r="H4712" i="496"/>
  <c r="E4712" i="496"/>
  <c r="D4712" i="496"/>
  <c r="C4712" i="496"/>
  <c r="BE4711" i="496"/>
  <c r="BC4711" i="496"/>
  <c r="I4711" i="496"/>
  <c r="H4711" i="496"/>
  <c r="E4711" i="496"/>
  <c r="D4711" i="496"/>
  <c r="C4711" i="496"/>
  <c r="BE4710" i="496"/>
  <c r="BC4710" i="496"/>
  <c r="I4710" i="496"/>
  <c r="H4710" i="496"/>
  <c r="E4710" i="496"/>
  <c r="D4710" i="496"/>
  <c r="C4710" i="496"/>
  <c r="BE4709" i="496"/>
  <c r="BC4709" i="496"/>
  <c r="I4709" i="496"/>
  <c r="H4709" i="496"/>
  <c r="E4709" i="496"/>
  <c r="D4709" i="496"/>
  <c r="C4709" i="496"/>
  <c r="BE4708" i="496"/>
  <c r="BC4708" i="496"/>
  <c r="I4708" i="496"/>
  <c r="H4708" i="496"/>
  <c r="E4708" i="496"/>
  <c r="D4708" i="496"/>
  <c r="C4708" i="496"/>
  <c r="BE4707" i="496"/>
  <c r="BC4707" i="496"/>
  <c r="I4707" i="496"/>
  <c r="H4707" i="496"/>
  <c r="E4707" i="496"/>
  <c r="D4707" i="496"/>
  <c r="C4707" i="496"/>
  <c r="BE4706" i="496"/>
  <c r="BC4706" i="496"/>
  <c r="I4706" i="496"/>
  <c r="H4706" i="496"/>
  <c r="E4706" i="496"/>
  <c r="D4706" i="496"/>
  <c r="C4706" i="496"/>
  <c r="BE4705" i="496"/>
  <c r="BC4705" i="496"/>
  <c r="I4705" i="496"/>
  <c r="H4705" i="496"/>
  <c r="E4705" i="496"/>
  <c r="D4705" i="496"/>
  <c r="C4705" i="496"/>
  <c r="BE4704" i="496"/>
  <c r="BC4704" i="496"/>
  <c r="I4704" i="496"/>
  <c r="H4704" i="496"/>
  <c r="E4704" i="496"/>
  <c r="D4704" i="496"/>
  <c r="C4704" i="496"/>
  <c r="BE4703" i="496"/>
  <c r="BC4703" i="496"/>
  <c r="I4703" i="496"/>
  <c r="H4703" i="496"/>
  <c r="E4703" i="496"/>
  <c r="D4703" i="496"/>
  <c r="C4703" i="496"/>
  <c r="BE4702" i="496"/>
  <c r="BC4702" i="496"/>
  <c r="I4702" i="496"/>
  <c r="H4702" i="496"/>
  <c r="E4702" i="496"/>
  <c r="D4702" i="496"/>
  <c r="C4702" i="496"/>
  <c r="BE4701" i="496"/>
  <c r="BC4701" i="496"/>
  <c r="I4701" i="496"/>
  <c r="H4701" i="496"/>
  <c r="E4701" i="496"/>
  <c r="D4701" i="496"/>
  <c r="C4701" i="496"/>
  <c r="BE4700" i="496"/>
  <c r="BC4700" i="496"/>
  <c r="I4700" i="496"/>
  <c r="H4700" i="496"/>
  <c r="E4700" i="496"/>
  <c r="D4700" i="496"/>
  <c r="C4700" i="496"/>
  <c r="BE4699" i="496"/>
  <c r="BC4699" i="496"/>
  <c r="I4699" i="496"/>
  <c r="H4699" i="496"/>
  <c r="E4699" i="496"/>
  <c r="D4699" i="496"/>
  <c r="C4699" i="496"/>
  <c r="BE4698" i="496"/>
  <c r="BC4698" i="496"/>
  <c r="I4698" i="496"/>
  <c r="H4698" i="496"/>
  <c r="E4698" i="496"/>
  <c r="D4698" i="496"/>
  <c r="C4698" i="496"/>
  <c r="BE4697" i="496"/>
  <c r="BC4697" i="496"/>
  <c r="I4697" i="496"/>
  <c r="H4697" i="496"/>
  <c r="E4697" i="496"/>
  <c r="D4697" i="496"/>
  <c r="C4697" i="496"/>
  <c r="BE4696" i="496"/>
  <c r="BC4696" i="496"/>
  <c r="I4696" i="496"/>
  <c r="H4696" i="496"/>
  <c r="E4696" i="496"/>
  <c r="D4696" i="496"/>
  <c r="C4696" i="496"/>
  <c r="BE4695" i="496"/>
  <c r="BC4695" i="496"/>
  <c r="I4695" i="496"/>
  <c r="H4695" i="496"/>
  <c r="E4695" i="496"/>
  <c r="D4695" i="496"/>
  <c r="C4695" i="496"/>
  <c r="BE4694" i="496"/>
  <c r="BC4694" i="496"/>
  <c r="I4694" i="496"/>
  <c r="H4694" i="496"/>
  <c r="E4694" i="496"/>
  <c r="D4694" i="496"/>
  <c r="C4694" i="496"/>
  <c r="BE4693" i="496"/>
  <c r="BC4693" i="496"/>
  <c r="I4693" i="496"/>
  <c r="H4693" i="496"/>
  <c r="E4693" i="496"/>
  <c r="D4693" i="496"/>
  <c r="C4693" i="496"/>
  <c r="BE4692" i="496"/>
  <c r="BC4692" i="496"/>
  <c r="I4692" i="496"/>
  <c r="H4692" i="496"/>
  <c r="E4692" i="496"/>
  <c r="D4692" i="496"/>
  <c r="C4692" i="496"/>
  <c r="BE4691" i="496"/>
  <c r="BC4691" i="496"/>
  <c r="I4691" i="496"/>
  <c r="H4691" i="496"/>
  <c r="E4691" i="496"/>
  <c r="D4691" i="496"/>
  <c r="C4691" i="496"/>
  <c r="BE4690" i="496"/>
  <c r="BC4690" i="496"/>
  <c r="I4690" i="496"/>
  <c r="H4690" i="496"/>
  <c r="E4690" i="496"/>
  <c r="D4690" i="496"/>
  <c r="C4690" i="496"/>
  <c r="BE4689" i="496"/>
  <c r="BC4689" i="496"/>
  <c r="I4689" i="496"/>
  <c r="H4689" i="496"/>
  <c r="E4689" i="496"/>
  <c r="D4689" i="496"/>
  <c r="C4689" i="496"/>
  <c r="BE4688" i="496"/>
  <c r="BC4688" i="496"/>
  <c r="I4688" i="496"/>
  <c r="H4688" i="496"/>
  <c r="E4688" i="496"/>
  <c r="D4688" i="496"/>
  <c r="C4688" i="496"/>
  <c r="BE4687" i="496"/>
  <c r="BC4687" i="496"/>
  <c r="I4687" i="496"/>
  <c r="H4687" i="496"/>
  <c r="E4687" i="496"/>
  <c r="D4687" i="496"/>
  <c r="C4687" i="496"/>
  <c r="BE4686" i="496"/>
  <c r="BC4686" i="496"/>
  <c r="I4686" i="496"/>
  <c r="H4686" i="496"/>
  <c r="E4686" i="496"/>
  <c r="D4686" i="496"/>
  <c r="C4686" i="496"/>
  <c r="BE4685" i="496"/>
  <c r="BC4685" i="496"/>
  <c r="I4685" i="496"/>
  <c r="H4685" i="496"/>
  <c r="E4685" i="496"/>
  <c r="D4685" i="496"/>
  <c r="C4685" i="496"/>
  <c r="BE4684" i="496"/>
  <c r="BC4684" i="496"/>
  <c r="I4684" i="496"/>
  <c r="H4684" i="496"/>
  <c r="E4684" i="496"/>
  <c r="D4684" i="496"/>
  <c r="C4684" i="496"/>
  <c r="BE4683" i="496"/>
  <c r="BC4683" i="496"/>
  <c r="I4683" i="496"/>
  <c r="H4683" i="496"/>
  <c r="E4683" i="496"/>
  <c r="D4683" i="496"/>
  <c r="C4683" i="496"/>
  <c r="BE4682" i="496"/>
  <c r="BC4682" i="496"/>
  <c r="I4682" i="496"/>
  <c r="H4682" i="496"/>
  <c r="E4682" i="496"/>
  <c r="D4682" i="496"/>
  <c r="C4682" i="496"/>
  <c r="BE4681" i="496"/>
  <c r="BC4681" i="496"/>
  <c r="I4681" i="496"/>
  <c r="H4681" i="496"/>
  <c r="E4681" i="496"/>
  <c r="D4681" i="496"/>
  <c r="C4681" i="496"/>
  <c r="BE4680" i="496"/>
  <c r="BC4680" i="496"/>
  <c r="I4680" i="496"/>
  <c r="H4680" i="496"/>
  <c r="E4680" i="496"/>
  <c r="D4680" i="496"/>
  <c r="C4680" i="496"/>
  <c r="BE4679" i="496"/>
  <c r="BC4679" i="496"/>
  <c r="I4679" i="496"/>
  <c r="H4679" i="496"/>
  <c r="E4679" i="496"/>
  <c r="D4679" i="496"/>
  <c r="C4679" i="496"/>
  <c r="BE4678" i="496"/>
  <c r="BC4678" i="496"/>
  <c r="I4678" i="496"/>
  <c r="H4678" i="496"/>
  <c r="E4678" i="496"/>
  <c r="D4678" i="496"/>
  <c r="C4678" i="496"/>
  <c r="BE4677" i="496"/>
  <c r="BC4677" i="496"/>
  <c r="I4677" i="496"/>
  <c r="H4677" i="496"/>
  <c r="E4677" i="496"/>
  <c r="D4677" i="496"/>
  <c r="C4677" i="496"/>
  <c r="BE4676" i="496"/>
  <c r="BC4676" i="496"/>
  <c r="I4676" i="496"/>
  <c r="H4676" i="496"/>
  <c r="E4676" i="496"/>
  <c r="D4676" i="496"/>
  <c r="C4676" i="496"/>
  <c r="BE4675" i="496"/>
  <c r="BC4675" i="496"/>
  <c r="I4675" i="496"/>
  <c r="H4675" i="496"/>
  <c r="E4675" i="496"/>
  <c r="D4675" i="496"/>
  <c r="C4675" i="496"/>
  <c r="BE4674" i="496"/>
  <c r="BC4674" i="496"/>
  <c r="I4674" i="496"/>
  <c r="H4674" i="496"/>
  <c r="E4674" i="496"/>
  <c r="D4674" i="496"/>
  <c r="C4674" i="496"/>
  <c r="BE4673" i="496"/>
  <c r="BC4673" i="496"/>
  <c r="I4673" i="496"/>
  <c r="H4673" i="496"/>
  <c r="E4673" i="496"/>
  <c r="D4673" i="496"/>
  <c r="C4673" i="496"/>
  <c r="BE4672" i="496"/>
  <c r="BC4672" i="496"/>
  <c r="I4672" i="496"/>
  <c r="H4672" i="496"/>
  <c r="E4672" i="496"/>
  <c r="D4672" i="496"/>
  <c r="C4672" i="496"/>
  <c r="BE4671" i="496"/>
  <c r="BC4671" i="496"/>
  <c r="I4671" i="496"/>
  <c r="H4671" i="496"/>
  <c r="E4671" i="496"/>
  <c r="D4671" i="496"/>
  <c r="C4671" i="496"/>
  <c r="BE4670" i="496"/>
  <c r="BC4670" i="496"/>
  <c r="I4670" i="496"/>
  <c r="H4670" i="496"/>
  <c r="E4670" i="496"/>
  <c r="D4670" i="496"/>
  <c r="C4670" i="496"/>
  <c r="BE4669" i="496"/>
  <c r="BC4669" i="496"/>
  <c r="I4669" i="496"/>
  <c r="H4669" i="496"/>
  <c r="E4669" i="496"/>
  <c r="D4669" i="496"/>
  <c r="C4669" i="496"/>
  <c r="BE4668" i="496"/>
  <c r="BC4668" i="496"/>
  <c r="I4668" i="496"/>
  <c r="H4668" i="496"/>
  <c r="E4668" i="496"/>
  <c r="D4668" i="496"/>
  <c r="C4668" i="496"/>
  <c r="BE4667" i="496"/>
  <c r="BC4667" i="496"/>
  <c r="I4667" i="496"/>
  <c r="H4667" i="496"/>
  <c r="E4667" i="496"/>
  <c r="D4667" i="496"/>
  <c r="C4667" i="496"/>
  <c r="BE4666" i="496"/>
  <c r="BC4666" i="496"/>
  <c r="I4666" i="496"/>
  <c r="H4666" i="496"/>
  <c r="E4666" i="496"/>
  <c r="D4666" i="496"/>
  <c r="C4666" i="496"/>
  <c r="BE4665" i="496"/>
  <c r="BC4665" i="496"/>
  <c r="I4665" i="496"/>
  <c r="H4665" i="496"/>
  <c r="E4665" i="496"/>
  <c r="D4665" i="496"/>
  <c r="C4665" i="496"/>
  <c r="BE4664" i="496"/>
  <c r="BC4664" i="496"/>
  <c r="BA4664" i="496"/>
  <c r="I4664" i="496"/>
  <c r="H4664" i="496"/>
  <c r="E4664" i="496"/>
  <c r="D4664" i="496"/>
  <c r="C4664" i="496"/>
  <c r="BE4663" i="496"/>
  <c r="BC4663" i="496"/>
  <c r="I4663" i="496"/>
  <c r="H4663" i="496"/>
  <c r="E4663" i="496"/>
  <c r="D4663" i="496"/>
  <c r="C4663" i="496"/>
  <c r="BE4662" i="496"/>
  <c r="BC4662" i="496"/>
  <c r="I4662" i="496"/>
  <c r="H4662" i="496"/>
  <c r="E4662" i="496"/>
  <c r="D4662" i="496"/>
  <c r="C4662" i="496"/>
  <c r="BE4661" i="496"/>
  <c r="BC4661" i="496"/>
  <c r="I4661" i="496"/>
  <c r="H4661" i="496"/>
  <c r="E4661" i="496"/>
  <c r="D4661" i="496"/>
  <c r="C4661" i="496"/>
  <c r="BE4660" i="496"/>
  <c r="BC4660" i="496"/>
  <c r="I4660" i="496"/>
  <c r="H4660" i="496"/>
  <c r="E4660" i="496"/>
  <c r="D4660" i="496"/>
  <c r="C4660" i="496"/>
  <c r="BE4659" i="496"/>
  <c r="BC4659" i="496"/>
  <c r="I4659" i="496"/>
  <c r="H4659" i="496"/>
  <c r="E4659" i="496"/>
  <c r="D4659" i="496"/>
  <c r="C4659" i="496"/>
  <c r="BE4658" i="496"/>
  <c r="BC4658" i="496"/>
  <c r="I4658" i="496"/>
  <c r="H4658" i="496"/>
  <c r="E4658" i="496"/>
  <c r="D4658" i="496"/>
  <c r="C4658" i="496"/>
  <c r="BE4657" i="496"/>
  <c r="BC4657" i="496"/>
  <c r="I4657" i="496"/>
  <c r="H4657" i="496"/>
  <c r="E4657" i="496"/>
  <c r="D4657" i="496"/>
  <c r="C4657" i="496"/>
  <c r="BE4656" i="496"/>
  <c r="BC4656" i="496"/>
  <c r="I4656" i="496"/>
  <c r="H4656" i="496"/>
  <c r="E4656" i="496"/>
  <c r="D4656" i="496"/>
  <c r="C4656" i="496"/>
  <c r="BE4655" i="496"/>
  <c r="BC4655" i="496"/>
  <c r="I4655" i="496"/>
  <c r="H4655" i="496"/>
  <c r="E4655" i="496"/>
  <c r="D4655" i="496"/>
  <c r="C4655" i="496"/>
  <c r="BE4654" i="496"/>
  <c r="BC4654" i="496"/>
  <c r="I4654" i="496"/>
  <c r="H4654" i="496"/>
  <c r="E4654" i="496"/>
  <c r="D4654" i="496"/>
  <c r="C4654" i="496"/>
  <c r="BE4653" i="496"/>
  <c r="BC4653" i="496"/>
  <c r="I4653" i="496"/>
  <c r="H4653" i="496"/>
  <c r="E4653" i="496"/>
  <c r="D4653" i="496"/>
  <c r="C4653" i="496"/>
  <c r="BE4652" i="496"/>
  <c r="BC4652" i="496"/>
  <c r="I4652" i="496"/>
  <c r="H4652" i="496"/>
  <c r="E4652" i="496"/>
  <c r="D4652" i="496"/>
  <c r="C4652" i="496"/>
  <c r="BE4651" i="496"/>
  <c r="BC4651" i="496"/>
  <c r="I4651" i="496"/>
  <c r="H4651" i="496"/>
  <c r="E4651" i="496"/>
  <c r="D4651" i="496"/>
  <c r="C4651" i="496"/>
  <c r="BE4650" i="496"/>
  <c r="BC4650" i="496"/>
  <c r="I4650" i="496"/>
  <c r="H4650" i="496"/>
  <c r="E4650" i="496"/>
  <c r="D4650" i="496"/>
  <c r="C4650" i="496"/>
  <c r="BE4649" i="496"/>
  <c r="BC4649" i="496"/>
  <c r="I4649" i="496"/>
  <c r="H4649" i="496"/>
  <c r="E4649" i="496"/>
  <c r="D4649" i="496"/>
  <c r="C4649" i="496"/>
  <c r="BE4648" i="496"/>
  <c r="BC4648" i="496"/>
  <c r="I4648" i="496"/>
  <c r="H4648" i="496"/>
  <c r="E4648" i="496"/>
  <c r="D4648" i="496"/>
  <c r="C4648" i="496"/>
  <c r="BE4647" i="496"/>
  <c r="BC4647" i="496"/>
  <c r="I4647" i="496"/>
  <c r="H4647" i="496"/>
  <c r="E4647" i="496"/>
  <c r="D4647" i="496"/>
  <c r="C4647" i="496"/>
  <c r="BE4646" i="496"/>
  <c r="BC4646" i="496"/>
  <c r="I4646" i="496"/>
  <c r="H4646" i="496"/>
  <c r="E4646" i="496"/>
  <c r="D4646" i="496"/>
  <c r="C4646" i="496"/>
  <c r="BE4645" i="496"/>
  <c r="BC4645" i="496"/>
  <c r="I4645" i="496"/>
  <c r="H4645" i="496"/>
  <c r="E4645" i="496"/>
  <c r="D4645" i="496"/>
  <c r="C4645" i="496"/>
  <c r="BE4644" i="496"/>
  <c r="BC4644" i="496"/>
  <c r="I4644" i="496"/>
  <c r="H4644" i="496"/>
  <c r="E4644" i="496"/>
  <c r="D4644" i="496"/>
  <c r="C4644" i="496"/>
  <c r="BE4643" i="496"/>
  <c r="BC4643" i="496"/>
  <c r="I4643" i="496"/>
  <c r="H4643" i="496"/>
  <c r="E4643" i="496"/>
  <c r="D4643" i="496"/>
  <c r="C4643" i="496"/>
  <c r="BE4642" i="496"/>
  <c r="BC4642" i="496"/>
  <c r="I4642" i="496"/>
  <c r="H4642" i="496"/>
  <c r="E4642" i="496"/>
  <c r="D4642" i="496"/>
  <c r="C4642" i="496"/>
  <c r="BE4641" i="496"/>
  <c r="BC4641" i="496"/>
  <c r="I4641" i="496"/>
  <c r="H4641" i="496"/>
  <c r="E4641" i="496"/>
  <c r="D4641" i="496"/>
  <c r="C4641" i="496"/>
  <c r="BE4640" i="496"/>
  <c r="BC4640" i="496"/>
  <c r="I4640" i="496"/>
  <c r="H4640" i="496"/>
  <c r="E4640" i="496"/>
  <c r="D4640" i="496"/>
  <c r="C4640" i="496"/>
  <c r="BE4639" i="496"/>
  <c r="BC4639" i="496"/>
  <c r="I4639" i="496"/>
  <c r="H4639" i="496"/>
  <c r="E4639" i="496"/>
  <c r="D4639" i="496"/>
  <c r="C4639" i="496"/>
  <c r="BE4638" i="496"/>
  <c r="BC4638" i="496"/>
  <c r="I4638" i="496"/>
  <c r="H4638" i="496"/>
  <c r="E4638" i="496"/>
  <c r="D4638" i="496"/>
  <c r="C4638" i="496"/>
  <c r="BE4637" i="496"/>
  <c r="BC4637" i="496"/>
  <c r="I4637" i="496"/>
  <c r="H4637" i="496"/>
  <c r="E4637" i="496"/>
  <c r="D4637" i="496"/>
  <c r="C4637" i="496"/>
  <c r="BE4636" i="496"/>
  <c r="BC4636" i="496"/>
  <c r="I4636" i="496"/>
  <c r="H4636" i="496"/>
  <c r="E4636" i="496"/>
  <c r="D4636" i="496"/>
  <c r="C4636" i="496"/>
  <c r="BE4635" i="496"/>
  <c r="BC4635" i="496"/>
  <c r="I4635" i="496"/>
  <c r="H4635" i="496"/>
  <c r="E4635" i="496"/>
  <c r="D4635" i="496"/>
  <c r="C4635" i="496"/>
  <c r="BE4634" i="496"/>
  <c r="BC4634" i="496"/>
  <c r="I4634" i="496"/>
  <c r="H4634" i="496"/>
  <c r="E4634" i="496"/>
  <c r="D4634" i="496"/>
  <c r="C4634" i="496"/>
  <c r="BE4633" i="496"/>
  <c r="BC4633" i="496"/>
  <c r="I4633" i="496"/>
  <c r="H4633" i="496"/>
  <c r="E4633" i="496"/>
  <c r="D4633" i="496"/>
  <c r="C4633" i="496"/>
  <c r="BE4632" i="496"/>
  <c r="BC4632" i="496"/>
  <c r="BA4632" i="496"/>
  <c r="I4632" i="496"/>
  <c r="H4632" i="496"/>
  <c r="E4632" i="496"/>
  <c r="D4632" i="496"/>
  <c r="C4632" i="496"/>
  <c r="BE4631" i="496"/>
  <c r="BC4631" i="496"/>
  <c r="I4631" i="496"/>
  <c r="H4631" i="496"/>
  <c r="E4631" i="496"/>
  <c r="D4631" i="496"/>
  <c r="C4631" i="496"/>
  <c r="BE4630" i="496"/>
  <c r="BC4630" i="496"/>
  <c r="I4630" i="496"/>
  <c r="H4630" i="496"/>
  <c r="E4630" i="496"/>
  <c r="D4630" i="496"/>
  <c r="C4630" i="496"/>
  <c r="BE4629" i="496"/>
  <c r="BC4629" i="496"/>
  <c r="I4629" i="496"/>
  <c r="H4629" i="496"/>
  <c r="E4629" i="496"/>
  <c r="D4629" i="496"/>
  <c r="C4629" i="496"/>
  <c r="BE4628" i="496"/>
  <c r="BC4628" i="496"/>
  <c r="I4628" i="496"/>
  <c r="H4628" i="496"/>
  <c r="E4628" i="496"/>
  <c r="D4628" i="496"/>
  <c r="C4628" i="496"/>
  <c r="BE4627" i="496"/>
  <c r="BC4627" i="496"/>
  <c r="I4627" i="496"/>
  <c r="H4627" i="496"/>
  <c r="E4627" i="496"/>
  <c r="D4627" i="496"/>
  <c r="C4627" i="496"/>
  <c r="BE4626" i="496"/>
  <c r="BC4626" i="496"/>
  <c r="I4626" i="496"/>
  <c r="H4626" i="496"/>
  <c r="E4626" i="496"/>
  <c r="D4626" i="496"/>
  <c r="C4626" i="496"/>
  <c r="BE4625" i="496"/>
  <c r="BC4625" i="496"/>
  <c r="I4625" i="496"/>
  <c r="H4625" i="496"/>
  <c r="E4625" i="496"/>
  <c r="D4625" i="496"/>
  <c r="C4625" i="496"/>
  <c r="BE4624" i="496"/>
  <c r="BC4624" i="496"/>
  <c r="I4624" i="496"/>
  <c r="H4624" i="496"/>
  <c r="E4624" i="496"/>
  <c r="D4624" i="496"/>
  <c r="C4624" i="496"/>
  <c r="BE4623" i="496"/>
  <c r="BC4623" i="496"/>
  <c r="I4623" i="496"/>
  <c r="H4623" i="496"/>
  <c r="E4623" i="496"/>
  <c r="D4623" i="496"/>
  <c r="C4623" i="496"/>
  <c r="BE4622" i="496"/>
  <c r="BC4622" i="496"/>
  <c r="I4622" i="496"/>
  <c r="H4622" i="496"/>
  <c r="E4622" i="496"/>
  <c r="D4622" i="496"/>
  <c r="C4622" i="496"/>
  <c r="BE4621" i="496"/>
  <c r="BC4621" i="496"/>
  <c r="I4621" i="496"/>
  <c r="H4621" i="496"/>
  <c r="E4621" i="496"/>
  <c r="D4621" i="496"/>
  <c r="C4621" i="496"/>
  <c r="BE4620" i="496"/>
  <c r="BC4620" i="496"/>
  <c r="I4620" i="496"/>
  <c r="H4620" i="496"/>
  <c r="E4620" i="496"/>
  <c r="D4620" i="496"/>
  <c r="C4620" i="496"/>
  <c r="BE4619" i="496"/>
  <c r="BC4619" i="496"/>
  <c r="I4619" i="496"/>
  <c r="H4619" i="496"/>
  <c r="E4619" i="496"/>
  <c r="D4619" i="496"/>
  <c r="C4619" i="496"/>
  <c r="BE4618" i="496"/>
  <c r="BC4618" i="496"/>
  <c r="I4618" i="496"/>
  <c r="H4618" i="496"/>
  <c r="E4618" i="496"/>
  <c r="D4618" i="496"/>
  <c r="C4618" i="496"/>
  <c r="BE4617" i="496"/>
  <c r="BC4617" i="496"/>
  <c r="I4617" i="496"/>
  <c r="H4617" i="496"/>
  <c r="E4617" i="496"/>
  <c r="D4617" i="496"/>
  <c r="C4617" i="496"/>
  <c r="BE4616" i="496"/>
  <c r="BC4616" i="496"/>
  <c r="I4616" i="496"/>
  <c r="H4616" i="496"/>
  <c r="E4616" i="496"/>
  <c r="D4616" i="496"/>
  <c r="C4616" i="496"/>
  <c r="BE4615" i="496"/>
  <c r="BC4615" i="496"/>
  <c r="I4615" i="496"/>
  <c r="H4615" i="496"/>
  <c r="E4615" i="496"/>
  <c r="D4615" i="496"/>
  <c r="C4615" i="496"/>
  <c r="BE4614" i="496"/>
  <c r="BC4614" i="496"/>
  <c r="I4614" i="496"/>
  <c r="H4614" i="496"/>
  <c r="E4614" i="496"/>
  <c r="D4614" i="496"/>
  <c r="C4614" i="496"/>
  <c r="BE4613" i="496"/>
  <c r="BC4613" i="496"/>
  <c r="I4613" i="496"/>
  <c r="H4613" i="496"/>
  <c r="E4613" i="496"/>
  <c r="D4613" i="496"/>
  <c r="C4613" i="496"/>
  <c r="BE4612" i="496"/>
  <c r="BC4612" i="496"/>
  <c r="I4612" i="496"/>
  <c r="H4612" i="496"/>
  <c r="E4612" i="496"/>
  <c r="D4612" i="496"/>
  <c r="C4612" i="496"/>
  <c r="BE4611" i="496"/>
  <c r="BC4611" i="496"/>
  <c r="I4611" i="496"/>
  <c r="H4611" i="496"/>
  <c r="E4611" i="496"/>
  <c r="D4611" i="496"/>
  <c r="C4611" i="496"/>
  <c r="BE4610" i="496"/>
  <c r="BC4610" i="496"/>
  <c r="I4610" i="496"/>
  <c r="H4610" i="496"/>
  <c r="E4610" i="496"/>
  <c r="D4610" i="496"/>
  <c r="C4610" i="496"/>
  <c r="BE4609" i="496"/>
  <c r="BC4609" i="496"/>
  <c r="I4609" i="496"/>
  <c r="H4609" i="496"/>
  <c r="E4609" i="496"/>
  <c r="D4609" i="496"/>
  <c r="C4609" i="496"/>
  <c r="BE4608" i="496"/>
  <c r="BC4608" i="496"/>
  <c r="I4608" i="496"/>
  <c r="H4608" i="496"/>
  <c r="E4608" i="496"/>
  <c r="D4608" i="496"/>
  <c r="C4608" i="496"/>
  <c r="BE4607" i="496"/>
  <c r="BC4607" i="496"/>
  <c r="I4607" i="496"/>
  <c r="H4607" i="496"/>
  <c r="E4607" i="496"/>
  <c r="D4607" i="496"/>
  <c r="C4607" i="496"/>
  <c r="BE4606" i="496"/>
  <c r="BC4606" i="496"/>
  <c r="I4606" i="496"/>
  <c r="H4606" i="496"/>
  <c r="E4606" i="496"/>
  <c r="D4606" i="496"/>
  <c r="C4606" i="496"/>
  <c r="BE4605" i="496"/>
  <c r="BC4605" i="496"/>
  <c r="I4605" i="496"/>
  <c r="H4605" i="496"/>
  <c r="E4605" i="496"/>
  <c r="D4605" i="496"/>
  <c r="C4605" i="496"/>
  <c r="BE4604" i="496"/>
  <c r="BC4604" i="496"/>
  <c r="I4604" i="496"/>
  <c r="H4604" i="496"/>
  <c r="E4604" i="496"/>
  <c r="D4604" i="496"/>
  <c r="C4604" i="496"/>
  <c r="BE4603" i="496"/>
  <c r="BC4603" i="496"/>
  <c r="I4603" i="496"/>
  <c r="H4603" i="496"/>
  <c r="E4603" i="496"/>
  <c r="D4603" i="496"/>
  <c r="C4603" i="496"/>
  <c r="BE4602" i="496"/>
  <c r="BC4602" i="496"/>
  <c r="I4602" i="496"/>
  <c r="H4602" i="496"/>
  <c r="E4602" i="496"/>
  <c r="D4602" i="496"/>
  <c r="C4602" i="496"/>
  <c r="BE4601" i="496"/>
  <c r="BC4601" i="496"/>
  <c r="I4601" i="496"/>
  <c r="H4601" i="496"/>
  <c r="E4601" i="496"/>
  <c r="D4601" i="496"/>
  <c r="C4601" i="496"/>
  <c r="BE4600" i="496"/>
  <c r="BC4600" i="496"/>
  <c r="I4600" i="496"/>
  <c r="H4600" i="496"/>
  <c r="E4600" i="496"/>
  <c r="D4600" i="496"/>
  <c r="C4600" i="496"/>
  <c r="BE4599" i="496"/>
  <c r="BC4599" i="496"/>
  <c r="I4599" i="496"/>
  <c r="H4599" i="496"/>
  <c r="E4599" i="496"/>
  <c r="D4599" i="496"/>
  <c r="C4599" i="496"/>
  <c r="BE4598" i="496"/>
  <c r="BC4598" i="496"/>
  <c r="I4598" i="496"/>
  <c r="H4598" i="496"/>
  <c r="E4598" i="496"/>
  <c r="D4598" i="496"/>
  <c r="C4598" i="496"/>
  <c r="BE4597" i="496"/>
  <c r="BC4597" i="496"/>
  <c r="I4597" i="496"/>
  <c r="H4597" i="496"/>
  <c r="E4597" i="496"/>
  <c r="D4597" i="496"/>
  <c r="C4597" i="496"/>
  <c r="BE4596" i="496"/>
  <c r="BC4596" i="496"/>
  <c r="I4596" i="496"/>
  <c r="H4596" i="496"/>
  <c r="E4596" i="496"/>
  <c r="D4596" i="496"/>
  <c r="C4596" i="496"/>
  <c r="BE4595" i="496"/>
  <c r="BC4595" i="496"/>
  <c r="I4595" i="496"/>
  <c r="H4595" i="496"/>
  <c r="E4595" i="496"/>
  <c r="D4595" i="496"/>
  <c r="C4595" i="496"/>
  <c r="BE4594" i="496"/>
  <c r="BC4594" i="496"/>
  <c r="I4594" i="496"/>
  <c r="H4594" i="496"/>
  <c r="E4594" i="496"/>
  <c r="D4594" i="496"/>
  <c r="C4594" i="496"/>
  <c r="BE4593" i="496"/>
  <c r="BC4593" i="496"/>
  <c r="I4593" i="496"/>
  <c r="H4593" i="496"/>
  <c r="E4593" i="496"/>
  <c r="D4593" i="496"/>
  <c r="C4593" i="496"/>
  <c r="BE4592" i="496"/>
  <c r="BC4592" i="496"/>
  <c r="I4592" i="496"/>
  <c r="H4592" i="496"/>
  <c r="E4592" i="496"/>
  <c r="D4592" i="496"/>
  <c r="C4592" i="496"/>
  <c r="BE4591" i="496"/>
  <c r="BC4591" i="496"/>
  <c r="I4591" i="496"/>
  <c r="H4591" i="496"/>
  <c r="E4591" i="496"/>
  <c r="D4591" i="496"/>
  <c r="C4591" i="496"/>
  <c r="BE4590" i="496"/>
  <c r="BC4590" i="496"/>
  <c r="I4590" i="496"/>
  <c r="H4590" i="496"/>
  <c r="E4590" i="496"/>
  <c r="D4590" i="496"/>
  <c r="C4590" i="496"/>
  <c r="BE4589" i="496"/>
  <c r="BC4589" i="496"/>
  <c r="I4589" i="496"/>
  <c r="H4589" i="496"/>
  <c r="E4589" i="496"/>
  <c r="D4589" i="496"/>
  <c r="C4589" i="496"/>
  <c r="BE4588" i="496"/>
  <c r="BC4588" i="496"/>
  <c r="I4588" i="496"/>
  <c r="H4588" i="496"/>
  <c r="E4588" i="496"/>
  <c r="D4588" i="496"/>
  <c r="C4588" i="496"/>
  <c r="BE4587" i="496"/>
  <c r="BC4587" i="496"/>
  <c r="I4587" i="496"/>
  <c r="H4587" i="496"/>
  <c r="E4587" i="496"/>
  <c r="D4587" i="496"/>
  <c r="C4587" i="496"/>
  <c r="BE4586" i="496"/>
  <c r="BC4586" i="496"/>
  <c r="I4586" i="496"/>
  <c r="H4586" i="496"/>
  <c r="E4586" i="496"/>
  <c r="D4586" i="496"/>
  <c r="C4586" i="496"/>
  <c r="BE4585" i="496"/>
  <c r="BC4585" i="496"/>
  <c r="I4585" i="496"/>
  <c r="H4585" i="496"/>
  <c r="E4585" i="496"/>
  <c r="D4585" i="496"/>
  <c r="C4585" i="496"/>
  <c r="BE4584" i="496"/>
  <c r="BC4584" i="496"/>
  <c r="I4584" i="496"/>
  <c r="H4584" i="496"/>
  <c r="E4584" i="496"/>
  <c r="D4584" i="496"/>
  <c r="C4584" i="496"/>
  <c r="BE4583" i="496"/>
  <c r="BC4583" i="496"/>
  <c r="I4583" i="496"/>
  <c r="H4583" i="496"/>
  <c r="E4583" i="496"/>
  <c r="D4583" i="496"/>
  <c r="C4583" i="496"/>
  <c r="BE4582" i="496"/>
  <c r="BC4582" i="496"/>
  <c r="I4582" i="496"/>
  <c r="H4582" i="496"/>
  <c r="E4582" i="496"/>
  <c r="D4582" i="496"/>
  <c r="C4582" i="496"/>
  <c r="BE4581" i="496"/>
  <c r="BC4581" i="496"/>
  <c r="I4581" i="496"/>
  <c r="H4581" i="496"/>
  <c r="E4581" i="496"/>
  <c r="D4581" i="496"/>
  <c r="C4581" i="496"/>
  <c r="BE4580" i="496"/>
  <c r="BC4580" i="496"/>
  <c r="I4580" i="496"/>
  <c r="H4580" i="496"/>
  <c r="E4580" i="496"/>
  <c r="D4580" i="496"/>
  <c r="C4580" i="496"/>
  <c r="BE4579" i="496"/>
  <c r="BC4579" i="496"/>
  <c r="I4579" i="496"/>
  <c r="H4579" i="496"/>
  <c r="E4579" i="496"/>
  <c r="D4579" i="496"/>
  <c r="C4579" i="496"/>
  <c r="BE4578" i="496"/>
  <c r="BC4578" i="496"/>
  <c r="I4578" i="496"/>
  <c r="H4578" i="496"/>
  <c r="E4578" i="496"/>
  <c r="D4578" i="496"/>
  <c r="C4578" i="496"/>
  <c r="BE4577" i="496"/>
  <c r="BC4577" i="496"/>
  <c r="I4577" i="496"/>
  <c r="H4577" i="496"/>
  <c r="E4577" i="496"/>
  <c r="D4577" i="496"/>
  <c r="C4577" i="496"/>
  <c r="BE4576" i="496"/>
  <c r="BC4576" i="496"/>
  <c r="I4576" i="496"/>
  <c r="H4576" i="496"/>
  <c r="E4576" i="496"/>
  <c r="D4576" i="496"/>
  <c r="C4576" i="496"/>
  <c r="BE4575" i="496"/>
  <c r="BC4575" i="496"/>
  <c r="I4575" i="496"/>
  <c r="H4575" i="496"/>
  <c r="E4575" i="496"/>
  <c r="D4575" i="496"/>
  <c r="C4575" i="496"/>
  <c r="BE4574" i="496"/>
  <c r="BC4574" i="496"/>
  <c r="I4574" i="496"/>
  <c r="H4574" i="496"/>
  <c r="E4574" i="496"/>
  <c r="D4574" i="496"/>
  <c r="C4574" i="496"/>
  <c r="BE4573" i="496"/>
  <c r="BC4573" i="496"/>
  <c r="I4573" i="496"/>
  <c r="H4573" i="496"/>
  <c r="E4573" i="496"/>
  <c r="D4573" i="496"/>
  <c r="C4573" i="496"/>
  <c r="BE4572" i="496"/>
  <c r="BC4572" i="496"/>
  <c r="I4572" i="496"/>
  <c r="H4572" i="496"/>
  <c r="E4572" i="496"/>
  <c r="D4572" i="496"/>
  <c r="C4572" i="496"/>
  <c r="BE4571" i="496"/>
  <c r="BC4571" i="496"/>
  <c r="I4571" i="496"/>
  <c r="H4571" i="496"/>
  <c r="E4571" i="496"/>
  <c r="D4571" i="496"/>
  <c r="C4571" i="496"/>
  <c r="BE4570" i="496"/>
  <c r="BC4570" i="496"/>
  <c r="I4570" i="496"/>
  <c r="H4570" i="496"/>
  <c r="E4570" i="496"/>
  <c r="D4570" i="496"/>
  <c r="C4570" i="496"/>
  <c r="BE4569" i="496"/>
  <c r="BC4569" i="496"/>
  <c r="I4569" i="496"/>
  <c r="H4569" i="496"/>
  <c r="E4569" i="496"/>
  <c r="D4569" i="496"/>
  <c r="C4569" i="496"/>
  <c r="BE4568" i="496"/>
  <c r="BC4568" i="496"/>
  <c r="I4568" i="496"/>
  <c r="H4568" i="496"/>
  <c r="E4568" i="496"/>
  <c r="D4568" i="496"/>
  <c r="C4568" i="496"/>
  <c r="BE4567" i="496"/>
  <c r="BC4567" i="496"/>
  <c r="I4567" i="496"/>
  <c r="H4567" i="496"/>
  <c r="E4567" i="496"/>
  <c r="D4567" i="496"/>
  <c r="C4567" i="496"/>
  <c r="BE4566" i="496"/>
  <c r="BC4566" i="496"/>
  <c r="I4566" i="496"/>
  <c r="H4566" i="496"/>
  <c r="E4566" i="496"/>
  <c r="D4566" i="496"/>
  <c r="C4566" i="496"/>
  <c r="BE4565" i="496"/>
  <c r="BC4565" i="496"/>
  <c r="I4565" i="496"/>
  <c r="H4565" i="496"/>
  <c r="E4565" i="496"/>
  <c r="D4565" i="496"/>
  <c r="C4565" i="496"/>
  <c r="BE4564" i="496"/>
  <c r="BC4564" i="496"/>
  <c r="I4564" i="496"/>
  <c r="H4564" i="496"/>
  <c r="E4564" i="496"/>
  <c r="D4564" i="496"/>
  <c r="C4564" i="496"/>
  <c r="BE4563" i="496"/>
  <c r="BC4563" i="496"/>
  <c r="I4563" i="496"/>
  <c r="H4563" i="496"/>
  <c r="E4563" i="496"/>
  <c r="D4563" i="496"/>
  <c r="C4563" i="496"/>
  <c r="BE4562" i="496"/>
  <c r="BC4562" i="496"/>
  <c r="I4562" i="496"/>
  <c r="H4562" i="496"/>
  <c r="E4562" i="496"/>
  <c r="D4562" i="496"/>
  <c r="C4562" i="496"/>
  <c r="BE4561" i="496"/>
  <c r="BC4561" i="496"/>
  <c r="I4561" i="496"/>
  <c r="H4561" i="496"/>
  <c r="E4561" i="496"/>
  <c r="D4561" i="496"/>
  <c r="C4561" i="496"/>
  <c r="BE4560" i="496"/>
  <c r="BC4560" i="496"/>
  <c r="I4560" i="496"/>
  <c r="H4560" i="496"/>
  <c r="E4560" i="496"/>
  <c r="D4560" i="496"/>
  <c r="C4560" i="496"/>
  <c r="BE4559" i="496"/>
  <c r="BC4559" i="496"/>
  <c r="I4559" i="496"/>
  <c r="H4559" i="496"/>
  <c r="E4559" i="496"/>
  <c r="D4559" i="496"/>
  <c r="C4559" i="496"/>
  <c r="BE4558" i="496"/>
  <c r="BC4558" i="496"/>
  <c r="I4558" i="496"/>
  <c r="H4558" i="496"/>
  <c r="E4558" i="496"/>
  <c r="D4558" i="496"/>
  <c r="C4558" i="496"/>
  <c r="BE4557" i="496"/>
  <c r="BC4557" i="496"/>
  <c r="I4557" i="496"/>
  <c r="H4557" i="496"/>
  <c r="E4557" i="496"/>
  <c r="D4557" i="496"/>
  <c r="C4557" i="496"/>
  <c r="BE4556" i="496"/>
  <c r="BC4556" i="496"/>
  <c r="I4556" i="496"/>
  <c r="H4556" i="496"/>
  <c r="E4556" i="496"/>
  <c r="D4556" i="496"/>
  <c r="C4556" i="496"/>
  <c r="BE4555" i="496"/>
  <c r="BC4555" i="496"/>
  <c r="I4555" i="496"/>
  <c r="H4555" i="496"/>
  <c r="E4555" i="496"/>
  <c r="D4555" i="496"/>
  <c r="C4555" i="496"/>
  <c r="BE4554" i="496"/>
  <c r="BC4554" i="496"/>
  <c r="I4554" i="496"/>
  <c r="H4554" i="496"/>
  <c r="E4554" i="496"/>
  <c r="D4554" i="496"/>
  <c r="C4554" i="496"/>
  <c r="BE4553" i="496"/>
  <c r="BC4553" i="496"/>
  <c r="I4553" i="496"/>
  <c r="H4553" i="496"/>
  <c r="E4553" i="496"/>
  <c r="D4553" i="496"/>
  <c r="C4553" i="496"/>
  <c r="BE4552" i="496"/>
  <c r="BC4552" i="496"/>
  <c r="I4552" i="496"/>
  <c r="H4552" i="496"/>
  <c r="E4552" i="496"/>
  <c r="D4552" i="496"/>
  <c r="C4552" i="496"/>
  <c r="BE4551" i="496"/>
  <c r="BC4551" i="496"/>
  <c r="I4551" i="496"/>
  <c r="H4551" i="496"/>
  <c r="E4551" i="496"/>
  <c r="D4551" i="496"/>
  <c r="C4551" i="496"/>
  <c r="BE4550" i="496"/>
  <c r="BC4550" i="496"/>
  <c r="I4550" i="496"/>
  <c r="H4550" i="496"/>
  <c r="E4550" i="496"/>
  <c r="D4550" i="496"/>
  <c r="C4550" i="496"/>
  <c r="BE4549" i="496"/>
  <c r="BC4549" i="496"/>
  <c r="I4549" i="496"/>
  <c r="H4549" i="496"/>
  <c r="E4549" i="496"/>
  <c r="D4549" i="496"/>
  <c r="C4549" i="496"/>
  <c r="BE4548" i="496"/>
  <c r="BC4548" i="496"/>
  <c r="I4548" i="496"/>
  <c r="H4548" i="496"/>
  <c r="E4548" i="496"/>
  <c r="D4548" i="496"/>
  <c r="C4548" i="496"/>
  <c r="BE4547" i="496"/>
  <c r="BC4547" i="496"/>
  <c r="I4547" i="496"/>
  <c r="H4547" i="496"/>
  <c r="E4547" i="496"/>
  <c r="D4547" i="496"/>
  <c r="C4547" i="496"/>
  <c r="BE4546" i="496"/>
  <c r="BC4546" i="496"/>
  <c r="I4546" i="496"/>
  <c r="H4546" i="496"/>
  <c r="E4546" i="496"/>
  <c r="D4546" i="496"/>
  <c r="C4546" i="496"/>
  <c r="BE4545" i="496"/>
  <c r="BC4545" i="496"/>
  <c r="I4545" i="496"/>
  <c r="H4545" i="496"/>
  <c r="E4545" i="496"/>
  <c r="D4545" i="496"/>
  <c r="C4545" i="496"/>
  <c r="BE4544" i="496"/>
  <c r="BC4544" i="496"/>
  <c r="I4544" i="496"/>
  <c r="H4544" i="496"/>
  <c r="E4544" i="496"/>
  <c r="D4544" i="496"/>
  <c r="C4544" i="496"/>
  <c r="BE4543" i="496"/>
  <c r="BC4543" i="496"/>
  <c r="I4543" i="496"/>
  <c r="H4543" i="496"/>
  <c r="E4543" i="496"/>
  <c r="D4543" i="496"/>
  <c r="C4543" i="496"/>
  <c r="BE4542" i="496"/>
  <c r="BC4542" i="496"/>
  <c r="I4542" i="496"/>
  <c r="H4542" i="496"/>
  <c r="E4542" i="496"/>
  <c r="D4542" i="496"/>
  <c r="C4542" i="496"/>
  <c r="BE4541" i="496"/>
  <c r="BC4541" i="496"/>
  <c r="I4541" i="496"/>
  <c r="H4541" i="496"/>
  <c r="E4541" i="496"/>
  <c r="D4541" i="496"/>
  <c r="C4541" i="496"/>
  <c r="BE4540" i="496"/>
  <c r="BD4540" i="496"/>
  <c r="BC4540" i="496"/>
  <c r="I4540" i="496"/>
  <c r="H4540" i="496"/>
  <c r="E4540" i="496"/>
  <c r="D4540" i="496"/>
  <c r="C4540" i="496"/>
  <c r="BE4539" i="496"/>
  <c r="BC4539" i="496"/>
  <c r="I4539" i="496"/>
  <c r="H4539" i="496"/>
  <c r="E4539" i="496"/>
  <c r="D4539" i="496"/>
  <c r="C4539" i="496"/>
  <c r="BE4538" i="496"/>
  <c r="BC4538" i="496"/>
  <c r="I4538" i="496"/>
  <c r="H4538" i="496"/>
  <c r="E4538" i="496"/>
  <c r="D4538" i="496"/>
  <c r="C4538" i="496"/>
  <c r="BE4537" i="496"/>
  <c r="BC4537" i="496"/>
  <c r="I4537" i="496"/>
  <c r="H4537" i="496"/>
  <c r="E4537" i="496"/>
  <c r="D4537" i="496"/>
  <c r="C4537" i="496"/>
  <c r="BE4536" i="496"/>
  <c r="BC4536" i="496"/>
  <c r="I4536" i="496"/>
  <c r="H4536" i="496"/>
  <c r="E4536" i="496"/>
  <c r="D4536" i="496"/>
  <c r="C4536" i="496"/>
  <c r="BE4535" i="496"/>
  <c r="BC4535" i="496"/>
  <c r="I4535" i="496"/>
  <c r="H4535" i="496"/>
  <c r="E4535" i="496"/>
  <c r="D4535" i="496"/>
  <c r="C4535" i="496"/>
  <c r="BE4534" i="496"/>
  <c r="BC4534" i="496"/>
  <c r="I4534" i="496"/>
  <c r="H4534" i="496"/>
  <c r="E4534" i="496"/>
  <c r="D4534" i="496"/>
  <c r="C4534" i="496"/>
  <c r="BE4533" i="496"/>
  <c r="BC4533" i="496"/>
  <c r="I4533" i="496"/>
  <c r="H4533" i="496"/>
  <c r="E4533" i="496"/>
  <c r="D4533" i="496"/>
  <c r="C4533" i="496"/>
  <c r="BE4532" i="496"/>
  <c r="BC4532" i="496"/>
  <c r="I4532" i="496"/>
  <c r="H4532" i="496"/>
  <c r="E4532" i="496"/>
  <c r="D4532" i="496"/>
  <c r="C4532" i="496"/>
  <c r="BE4531" i="496"/>
  <c r="BC4531" i="496"/>
  <c r="I4531" i="496"/>
  <c r="H4531" i="496"/>
  <c r="E4531" i="496"/>
  <c r="D4531" i="496"/>
  <c r="C4531" i="496"/>
  <c r="BE4530" i="496"/>
  <c r="BC4530" i="496"/>
  <c r="I4530" i="496"/>
  <c r="H4530" i="496"/>
  <c r="E4530" i="496"/>
  <c r="D4530" i="496"/>
  <c r="C4530" i="496"/>
  <c r="BE4529" i="496"/>
  <c r="BC4529" i="496"/>
  <c r="I4529" i="496"/>
  <c r="H4529" i="496"/>
  <c r="E4529" i="496"/>
  <c r="D4529" i="496"/>
  <c r="C4529" i="496"/>
  <c r="BE4528" i="496"/>
  <c r="BC4528" i="496"/>
  <c r="I4528" i="496"/>
  <c r="H4528" i="496"/>
  <c r="E4528" i="496"/>
  <c r="D4528" i="496"/>
  <c r="C4528" i="496"/>
  <c r="BE4527" i="496"/>
  <c r="BC4527" i="496"/>
  <c r="I4527" i="496"/>
  <c r="H4527" i="496"/>
  <c r="E4527" i="496"/>
  <c r="D4527" i="496"/>
  <c r="C4527" i="496"/>
  <c r="BE4526" i="496"/>
  <c r="BC4526" i="496"/>
  <c r="I4526" i="496"/>
  <c r="H4526" i="496"/>
  <c r="E4526" i="496"/>
  <c r="D4526" i="496"/>
  <c r="C4526" i="496"/>
  <c r="BE4525" i="496"/>
  <c r="BC4525" i="496"/>
  <c r="I4525" i="496"/>
  <c r="H4525" i="496"/>
  <c r="E4525" i="496"/>
  <c r="D4525" i="496"/>
  <c r="C4525" i="496"/>
  <c r="BE4524" i="496"/>
  <c r="BC4524" i="496"/>
  <c r="I4524" i="496"/>
  <c r="H4524" i="496"/>
  <c r="E4524" i="496"/>
  <c r="D4524" i="496"/>
  <c r="C4524" i="496"/>
  <c r="BE4523" i="496"/>
  <c r="BC4523" i="496"/>
  <c r="I4523" i="496"/>
  <c r="H4523" i="496"/>
  <c r="E4523" i="496"/>
  <c r="D4523" i="496"/>
  <c r="C4523" i="496"/>
  <c r="BE4522" i="496"/>
  <c r="BC4522" i="496"/>
  <c r="I4522" i="496"/>
  <c r="H4522" i="496"/>
  <c r="E4522" i="496"/>
  <c r="D4522" i="496"/>
  <c r="C4522" i="496"/>
  <c r="BE4521" i="496"/>
  <c r="BC4521" i="496"/>
  <c r="I4521" i="496"/>
  <c r="H4521" i="496"/>
  <c r="E4521" i="496"/>
  <c r="D4521" i="496"/>
  <c r="C4521" i="496"/>
  <c r="BE4520" i="496"/>
  <c r="BC4520" i="496"/>
  <c r="I4520" i="496"/>
  <c r="H4520" i="496"/>
  <c r="E4520" i="496"/>
  <c r="D4520" i="496"/>
  <c r="C4520" i="496"/>
  <c r="BE4519" i="496"/>
  <c r="BC4519" i="496"/>
  <c r="I4519" i="496"/>
  <c r="H4519" i="496"/>
  <c r="E4519" i="496"/>
  <c r="D4519" i="496"/>
  <c r="C4519" i="496"/>
  <c r="BE4518" i="496"/>
  <c r="BC4518" i="496"/>
  <c r="I4518" i="496"/>
  <c r="H4518" i="496"/>
  <c r="E4518" i="496"/>
  <c r="D4518" i="496"/>
  <c r="C4518" i="496"/>
  <c r="BE4517" i="496"/>
  <c r="BC4517" i="496"/>
  <c r="I4517" i="496"/>
  <c r="H4517" i="496"/>
  <c r="E4517" i="496"/>
  <c r="D4517" i="496"/>
  <c r="C4517" i="496"/>
  <c r="BE4516" i="496"/>
  <c r="BC4516" i="496"/>
  <c r="I4516" i="496"/>
  <c r="H4516" i="496"/>
  <c r="E4516" i="496"/>
  <c r="D4516" i="496"/>
  <c r="C4516" i="496"/>
  <c r="BE4515" i="496"/>
  <c r="BC4515" i="496"/>
  <c r="I4515" i="496"/>
  <c r="H4515" i="496"/>
  <c r="E4515" i="496"/>
  <c r="D4515" i="496"/>
  <c r="C4515" i="496"/>
  <c r="BE4514" i="496"/>
  <c r="BC4514" i="496"/>
  <c r="I4514" i="496"/>
  <c r="H4514" i="496"/>
  <c r="E4514" i="496"/>
  <c r="D4514" i="496"/>
  <c r="C4514" i="496"/>
  <c r="BE4513" i="496"/>
  <c r="BC4513" i="496"/>
  <c r="I4513" i="496"/>
  <c r="H4513" i="496"/>
  <c r="E4513" i="496"/>
  <c r="D4513" i="496"/>
  <c r="C4513" i="496"/>
  <c r="BE4512" i="496"/>
  <c r="BC4512" i="496"/>
  <c r="I4512" i="496"/>
  <c r="H4512" i="496"/>
  <c r="E4512" i="496"/>
  <c r="D4512" i="496"/>
  <c r="C4512" i="496"/>
  <c r="BE4511" i="496"/>
  <c r="BC4511" i="496"/>
  <c r="I4511" i="496"/>
  <c r="H4511" i="496"/>
  <c r="E4511" i="496"/>
  <c r="D4511" i="496"/>
  <c r="C4511" i="496"/>
  <c r="BE4510" i="496"/>
  <c r="BC4510" i="496"/>
  <c r="I4510" i="496"/>
  <c r="H4510" i="496"/>
  <c r="E4510" i="496"/>
  <c r="D4510" i="496"/>
  <c r="C4510" i="496"/>
  <c r="BE4509" i="496"/>
  <c r="BC4509" i="496"/>
  <c r="I4509" i="496"/>
  <c r="H4509" i="496"/>
  <c r="E4509" i="496"/>
  <c r="D4509" i="496"/>
  <c r="C4509" i="496"/>
  <c r="BE4508" i="496"/>
  <c r="BC4508" i="496"/>
  <c r="I4508" i="496"/>
  <c r="H4508" i="496"/>
  <c r="E4508" i="496"/>
  <c r="D4508" i="496"/>
  <c r="C4508" i="496"/>
  <c r="BE4507" i="496"/>
  <c r="BC4507" i="496"/>
  <c r="I4507" i="496"/>
  <c r="H4507" i="496"/>
  <c r="E4507" i="496"/>
  <c r="D4507" i="496"/>
  <c r="C4507" i="496"/>
  <c r="BE4506" i="496"/>
  <c r="BC4506" i="496"/>
  <c r="I4506" i="496"/>
  <c r="H4506" i="496"/>
  <c r="E4506" i="496"/>
  <c r="D4506" i="496"/>
  <c r="C4506" i="496"/>
  <c r="BE4505" i="496"/>
  <c r="BC4505" i="496"/>
  <c r="I4505" i="496"/>
  <c r="H4505" i="496"/>
  <c r="E4505" i="496"/>
  <c r="D4505" i="496"/>
  <c r="C4505" i="496"/>
  <c r="BE4504" i="496"/>
  <c r="BC4504" i="496"/>
  <c r="I4504" i="496"/>
  <c r="H4504" i="496"/>
  <c r="E4504" i="496"/>
  <c r="D4504" i="496"/>
  <c r="C4504" i="496"/>
  <c r="BE4503" i="496"/>
  <c r="BC4503" i="496"/>
  <c r="I4503" i="496"/>
  <c r="H4503" i="496"/>
  <c r="E4503" i="496"/>
  <c r="D4503" i="496"/>
  <c r="C4503" i="496"/>
  <c r="BE4502" i="496"/>
  <c r="BC4502" i="496"/>
  <c r="I4502" i="496"/>
  <c r="H4502" i="496"/>
  <c r="E4502" i="496"/>
  <c r="D4502" i="496"/>
  <c r="C4502" i="496"/>
  <c r="BE4501" i="496"/>
  <c r="BC4501" i="496"/>
  <c r="I4501" i="496"/>
  <c r="H4501" i="496"/>
  <c r="E4501" i="496"/>
  <c r="D4501" i="496"/>
  <c r="C4501" i="496"/>
  <c r="BE4500" i="496"/>
  <c r="BC4500" i="496"/>
  <c r="I4500" i="496"/>
  <c r="H4500" i="496"/>
  <c r="E4500" i="496"/>
  <c r="D4500" i="496"/>
  <c r="C4500" i="496"/>
  <c r="BE4499" i="496"/>
  <c r="BC4499" i="496"/>
  <c r="I4499" i="496"/>
  <c r="H4499" i="496"/>
  <c r="E4499" i="496"/>
  <c r="D4499" i="496"/>
  <c r="C4499" i="496"/>
  <c r="BE4498" i="496"/>
  <c r="BC4498" i="496"/>
  <c r="I4498" i="496"/>
  <c r="H4498" i="496"/>
  <c r="E4498" i="496"/>
  <c r="D4498" i="496"/>
  <c r="C4498" i="496"/>
  <c r="BE4497" i="496"/>
  <c r="BC4497" i="496"/>
  <c r="I4497" i="496"/>
  <c r="H4497" i="496"/>
  <c r="E4497" i="496"/>
  <c r="D4497" i="496"/>
  <c r="C4497" i="496"/>
  <c r="BE4496" i="496"/>
  <c r="BC4496" i="496"/>
  <c r="I4496" i="496"/>
  <c r="H4496" i="496"/>
  <c r="E4496" i="496"/>
  <c r="D4496" i="496"/>
  <c r="C4496" i="496"/>
  <c r="BE4495" i="496"/>
  <c r="BC4495" i="496"/>
  <c r="I4495" i="496"/>
  <c r="H4495" i="496"/>
  <c r="E4495" i="496"/>
  <c r="D4495" i="496"/>
  <c r="C4495" i="496"/>
  <c r="BE4494" i="496"/>
  <c r="BC4494" i="496"/>
  <c r="I4494" i="496"/>
  <c r="H4494" i="496"/>
  <c r="E4494" i="496"/>
  <c r="D4494" i="496"/>
  <c r="C4494" i="496"/>
  <c r="BE4493" i="496"/>
  <c r="BC4493" i="496"/>
  <c r="I4493" i="496"/>
  <c r="H4493" i="496"/>
  <c r="E4493" i="496"/>
  <c r="D4493" i="496"/>
  <c r="C4493" i="496"/>
  <c r="BE4492" i="496"/>
  <c r="BC4492" i="496"/>
  <c r="I4492" i="496"/>
  <c r="H4492" i="496"/>
  <c r="E4492" i="496"/>
  <c r="D4492" i="496"/>
  <c r="C4492" i="496"/>
  <c r="BE4491" i="496"/>
  <c r="BC4491" i="496"/>
  <c r="I4491" i="496"/>
  <c r="H4491" i="496"/>
  <c r="E4491" i="496"/>
  <c r="D4491" i="496"/>
  <c r="C4491" i="496"/>
  <c r="BE4490" i="496"/>
  <c r="BC4490" i="496"/>
  <c r="I4490" i="496"/>
  <c r="H4490" i="496"/>
  <c r="E4490" i="496"/>
  <c r="D4490" i="496"/>
  <c r="C4490" i="496"/>
  <c r="BE4489" i="496"/>
  <c r="BC4489" i="496"/>
  <c r="I4489" i="496"/>
  <c r="H4489" i="496"/>
  <c r="E4489" i="496"/>
  <c r="D4489" i="496"/>
  <c r="C4489" i="496"/>
  <c r="BE4488" i="496"/>
  <c r="BC4488" i="496"/>
  <c r="I4488" i="496"/>
  <c r="H4488" i="496"/>
  <c r="E4488" i="496"/>
  <c r="D4488" i="496"/>
  <c r="C4488" i="496"/>
  <c r="BE4487" i="496"/>
  <c r="BC4487" i="496"/>
  <c r="I4487" i="496"/>
  <c r="H4487" i="496"/>
  <c r="E4487" i="496"/>
  <c r="D4487" i="496"/>
  <c r="C4487" i="496"/>
  <c r="BE4486" i="496"/>
  <c r="BC4486" i="496"/>
  <c r="I4486" i="496"/>
  <c r="H4486" i="496"/>
  <c r="E4486" i="496"/>
  <c r="D4486" i="496"/>
  <c r="C4486" i="496"/>
  <c r="BE4485" i="496"/>
  <c r="BC4485" i="496"/>
  <c r="I4485" i="496"/>
  <c r="H4485" i="496"/>
  <c r="E4485" i="496"/>
  <c r="D4485" i="496"/>
  <c r="C4485" i="496"/>
  <c r="BE4484" i="496"/>
  <c r="BC4484" i="496"/>
  <c r="I4484" i="496"/>
  <c r="H4484" i="496"/>
  <c r="E4484" i="496"/>
  <c r="D4484" i="496"/>
  <c r="C4484" i="496"/>
  <c r="BE4483" i="496"/>
  <c r="BC4483" i="496"/>
  <c r="I4483" i="496"/>
  <c r="H4483" i="496"/>
  <c r="E4483" i="496"/>
  <c r="D4483" i="496"/>
  <c r="C4483" i="496"/>
  <c r="BE4482" i="496"/>
  <c r="BC4482" i="496"/>
  <c r="I4482" i="496"/>
  <c r="H4482" i="496"/>
  <c r="E4482" i="496"/>
  <c r="D4482" i="496"/>
  <c r="C4482" i="496"/>
  <c r="BE4481" i="496"/>
  <c r="BC4481" i="496"/>
  <c r="I4481" i="496"/>
  <c r="H4481" i="496"/>
  <c r="E4481" i="496"/>
  <c r="D4481" i="496"/>
  <c r="C4481" i="496"/>
  <c r="BE4480" i="496"/>
  <c r="BC4480" i="496"/>
  <c r="I4480" i="496"/>
  <c r="H4480" i="496"/>
  <c r="E4480" i="496"/>
  <c r="D4480" i="496"/>
  <c r="C4480" i="496"/>
  <c r="BE4479" i="496"/>
  <c r="BC4479" i="496"/>
  <c r="I4479" i="496"/>
  <c r="H4479" i="496"/>
  <c r="E4479" i="496"/>
  <c r="D4479" i="496"/>
  <c r="C4479" i="496"/>
  <c r="BE4478" i="496"/>
  <c r="BC4478" i="496"/>
  <c r="I4478" i="496"/>
  <c r="H4478" i="496"/>
  <c r="E4478" i="496"/>
  <c r="D4478" i="496"/>
  <c r="C4478" i="496"/>
  <c r="BE4477" i="496"/>
  <c r="BC4477" i="496"/>
  <c r="I4477" i="496"/>
  <c r="H4477" i="496"/>
  <c r="E4477" i="496"/>
  <c r="D4477" i="496"/>
  <c r="C4477" i="496"/>
  <c r="BE4476" i="496"/>
  <c r="BC4476" i="496"/>
  <c r="I4476" i="496"/>
  <c r="H4476" i="496"/>
  <c r="E4476" i="496"/>
  <c r="D4476" i="496"/>
  <c r="C4476" i="496"/>
  <c r="BE4475" i="496"/>
  <c r="BC4475" i="496"/>
  <c r="I4475" i="496"/>
  <c r="H4475" i="496"/>
  <c r="E4475" i="496"/>
  <c r="D4475" i="496"/>
  <c r="C4475" i="496"/>
  <c r="BE4474" i="496"/>
  <c r="BC4474" i="496"/>
  <c r="I4474" i="496"/>
  <c r="H4474" i="496"/>
  <c r="E4474" i="496"/>
  <c r="D4474" i="496"/>
  <c r="C4474" i="496"/>
  <c r="BE4473" i="496"/>
  <c r="BC4473" i="496"/>
  <c r="I4473" i="496"/>
  <c r="H4473" i="496"/>
  <c r="E4473" i="496"/>
  <c r="D4473" i="496"/>
  <c r="C4473" i="496"/>
  <c r="BE4472" i="496"/>
  <c r="BC4472" i="496"/>
  <c r="I4472" i="496"/>
  <c r="H4472" i="496"/>
  <c r="E4472" i="496"/>
  <c r="D4472" i="496"/>
  <c r="C4472" i="496"/>
  <c r="BE4471" i="496"/>
  <c r="BC4471" i="496"/>
  <c r="I4471" i="496"/>
  <c r="H4471" i="496"/>
  <c r="E4471" i="496"/>
  <c r="D4471" i="496"/>
  <c r="C4471" i="496"/>
  <c r="BE4470" i="496"/>
  <c r="BC4470" i="496"/>
  <c r="I4470" i="496"/>
  <c r="H4470" i="496"/>
  <c r="E4470" i="496"/>
  <c r="D4470" i="496"/>
  <c r="C4470" i="496"/>
  <c r="BE4469" i="496"/>
  <c r="BC4469" i="496"/>
  <c r="I4469" i="496"/>
  <c r="H4469" i="496"/>
  <c r="E4469" i="496"/>
  <c r="D4469" i="496"/>
  <c r="C4469" i="496"/>
  <c r="BE4468" i="496"/>
  <c r="BC4468" i="496"/>
  <c r="I4468" i="496"/>
  <c r="H4468" i="496"/>
  <c r="E4468" i="496"/>
  <c r="D4468" i="496"/>
  <c r="C4468" i="496"/>
  <c r="BE4467" i="496"/>
  <c r="BC4467" i="496"/>
  <c r="I4467" i="496"/>
  <c r="H4467" i="496"/>
  <c r="E4467" i="496"/>
  <c r="D4467" i="496"/>
  <c r="C4467" i="496"/>
  <c r="BE4466" i="496"/>
  <c r="BC4466" i="496"/>
  <c r="I4466" i="496"/>
  <c r="H4466" i="496"/>
  <c r="E4466" i="496"/>
  <c r="D4466" i="496"/>
  <c r="C4466" i="496"/>
  <c r="BE4465" i="496"/>
  <c r="BC4465" i="496"/>
  <c r="I4465" i="496"/>
  <c r="H4465" i="496"/>
  <c r="E4465" i="496"/>
  <c r="D4465" i="496"/>
  <c r="C4465" i="496"/>
  <c r="BE4464" i="496"/>
  <c r="BC4464" i="496"/>
  <c r="I4464" i="496"/>
  <c r="H4464" i="496"/>
  <c r="E4464" i="496"/>
  <c r="D4464" i="496"/>
  <c r="C4464" i="496"/>
  <c r="BE4463" i="496"/>
  <c r="BC4463" i="496"/>
  <c r="I4463" i="496"/>
  <c r="H4463" i="496"/>
  <c r="E4463" i="496"/>
  <c r="D4463" i="496"/>
  <c r="C4463" i="496"/>
  <c r="BE4462" i="496"/>
  <c r="BC4462" i="496"/>
  <c r="I4462" i="496"/>
  <c r="H4462" i="496"/>
  <c r="E4462" i="496"/>
  <c r="D4462" i="496"/>
  <c r="C4462" i="496"/>
  <c r="BE4461" i="496"/>
  <c r="BC4461" i="496"/>
  <c r="I4461" i="496"/>
  <c r="H4461" i="496"/>
  <c r="E4461" i="496"/>
  <c r="D4461" i="496"/>
  <c r="C4461" i="496"/>
  <c r="BE4460" i="496"/>
  <c r="BC4460" i="496"/>
  <c r="I4460" i="496"/>
  <c r="H4460" i="496"/>
  <c r="E4460" i="496"/>
  <c r="D4460" i="496"/>
  <c r="C4460" i="496"/>
  <c r="BE4459" i="496"/>
  <c r="BC4459" i="496"/>
  <c r="I4459" i="496"/>
  <c r="H4459" i="496"/>
  <c r="E4459" i="496"/>
  <c r="D4459" i="496"/>
  <c r="C4459" i="496"/>
  <c r="BE4458" i="496"/>
  <c r="BC4458" i="496"/>
  <c r="I4458" i="496"/>
  <c r="H4458" i="496"/>
  <c r="E4458" i="496"/>
  <c r="D4458" i="496"/>
  <c r="C4458" i="496"/>
  <c r="BE4457" i="496"/>
  <c r="BC4457" i="496"/>
  <c r="I4457" i="496"/>
  <c r="H4457" i="496"/>
  <c r="E4457" i="496"/>
  <c r="D4457" i="496"/>
  <c r="C4457" i="496"/>
  <c r="BE4456" i="496"/>
  <c r="BC4456" i="496"/>
  <c r="I4456" i="496"/>
  <c r="H4456" i="496"/>
  <c r="E4456" i="496"/>
  <c r="D4456" i="496"/>
  <c r="C4456" i="496"/>
  <c r="BE4455" i="496"/>
  <c r="BC4455" i="496"/>
  <c r="I4455" i="496"/>
  <c r="H4455" i="496"/>
  <c r="E4455" i="496"/>
  <c r="D4455" i="496"/>
  <c r="C4455" i="496"/>
  <c r="BE4454" i="496"/>
  <c r="BC4454" i="496"/>
  <c r="I4454" i="496"/>
  <c r="H4454" i="496"/>
  <c r="E4454" i="496"/>
  <c r="D4454" i="496"/>
  <c r="C4454" i="496"/>
  <c r="BE4453" i="496"/>
  <c r="BC4453" i="496"/>
  <c r="I4453" i="496"/>
  <c r="H4453" i="496"/>
  <c r="E4453" i="496"/>
  <c r="D4453" i="496"/>
  <c r="C4453" i="496"/>
  <c r="BE4452" i="496"/>
  <c r="BC4452" i="496"/>
  <c r="I4452" i="496"/>
  <c r="H4452" i="496"/>
  <c r="E4452" i="496"/>
  <c r="D4452" i="496"/>
  <c r="C4452" i="496"/>
  <c r="BE4451" i="496"/>
  <c r="BC4451" i="496"/>
  <c r="I4451" i="496"/>
  <c r="H4451" i="496"/>
  <c r="E4451" i="496"/>
  <c r="D4451" i="496"/>
  <c r="C4451" i="496"/>
  <c r="BE4450" i="496"/>
  <c r="BC4450" i="496"/>
  <c r="I4450" i="496"/>
  <c r="H4450" i="496"/>
  <c r="E4450" i="496"/>
  <c r="D4450" i="496"/>
  <c r="C4450" i="496"/>
  <c r="BE4449" i="496"/>
  <c r="BC4449" i="496"/>
  <c r="I4449" i="496"/>
  <c r="H4449" i="496"/>
  <c r="E4449" i="496"/>
  <c r="D4449" i="496"/>
  <c r="C4449" i="496"/>
  <c r="BE4448" i="496"/>
  <c r="BC4448" i="496"/>
  <c r="I4448" i="496"/>
  <c r="H4448" i="496"/>
  <c r="E4448" i="496"/>
  <c r="D4448" i="496"/>
  <c r="C4448" i="496"/>
  <c r="BE4447" i="496"/>
  <c r="BC4447" i="496"/>
  <c r="I4447" i="496"/>
  <c r="H4447" i="496"/>
  <c r="E4447" i="496"/>
  <c r="D4447" i="496"/>
  <c r="C4447" i="496"/>
  <c r="BE4446" i="496"/>
  <c r="BC4446" i="496"/>
  <c r="I4446" i="496"/>
  <c r="H4446" i="496"/>
  <c r="E4446" i="496"/>
  <c r="D4446" i="496"/>
  <c r="C4446" i="496"/>
  <c r="BE4445" i="496"/>
  <c r="BC4445" i="496"/>
  <c r="I4445" i="496"/>
  <c r="H4445" i="496"/>
  <c r="E4445" i="496"/>
  <c r="D4445" i="496"/>
  <c r="C4445" i="496"/>
  <c r="BE4444" i="496"/>
  <c r="BC4444" i="496"/>
  <c r="I4444" i="496"/>
  <c r="H4444" i="496"/>
  <c r="E4444" i="496"/>
  <c r="D4444" i="496"/>
  <c r="C4444" i="496"/>
  <c r="BE4443" i="496"/>
  <c r="BC4443" i="496"/>
  <c r="I4443" i="496"/>
  <c r="H4443" i="496"/>
  <c r="E4443" i="496"/>
  <c r="D4443" i="496"/>
  <c r="C4443" i="496"/>
  <c r="BE4442" i="496"/>
  <c r="BC4442" i="496"/>
  <c r="I4442" i="496"/>
  <c r="H4442" i="496"/>
  <c r="E4442" i="496"/>
  <c r="D4442" i="496"/>
  <c r="C4442" i="496"/>
  <c r="BE4441" i="496"/>
  <c r="BC4441" i="496"/>
  <c r="I4441" i="496"/>
  <c r="H4441" i="496"/>
  <c r="E4441" i="496"/>
  <c r="D4441" i="496"/>
  <c r="C4441" i="496"/>
  <c r="BE4440" i="496"/>
  <c r="BC4440" i="496"/>
  <c r="I4440" i="496"/>
  <c r="H4440" i="496"/>
  <c r="E4440" i="496"/>
  <c r="D4440" i="496"/>
  <c r="C4440" i="496"/>
  <c r="BE4439" i="496"/>
  <c r="BC4439" i="496"/>
  <c r="I4439" i="496"/>
  <c r="H4439" i="496"/>
  <c r="E4439" i="496"/>
  <c r="D4439" i="496"/>
  <c r="C4439" i="496"/>
  <c r="BE4438" i="496"/>
  <c r="BC4438" i="496"/>
  <c r="I4438" i="496"/>
  <c r="H4438" i="496"/>
  <c r="E4438" i="496"/>
  <c r="D4438" i="496"/>
  <c r="C4438" i="496"/>
  <c r="BE4437" i="496"/>
  <c r="BC4437" i="496"/>
  <c r="I4437" i="496"/>
  <c r="H4437" i="496"/>
  <c r="E4437" i="496"/>
  <c r="D4437" i="496"/>
  <c r="C4437" i="496"/>
  <c r="BE4436" i="496"/>
  <c r="BC4436" i="496"/>
  <c r="I4436" i="496"/>
  <c r="H4436" i="496"/>
  <c r="E4436" i="496"/>
  <c r="D4436" i="496"/>
  <c r="C4436" i="496"/>
  <c r="BE4435" i="496"/>
  <c r="BC4435" i="496"/>
  <c r="I4435" i="496"/>
  <c r="H4435" i="496"/>
  <c r="E4435" i="496"/>
  <c r="D4435" i="496"/>
  <c r="C4435" i="496"/>
  <c r="BE4434" i="496"/>
  <c r="BC4434" i="496"/>
  <c r="I4434" i="496"/>
  <c r="H4434" i="496"/>
  <c r="E4434" i="496"/>
  <c r="D4434" i="496"/>
  <c r="C4434" i="496"/>
  <c r="BE4433" i="496"/>
  <c r="BC4433" i="496"/>
  <c r="I4433" i="496"/>
  <c r="H4433" i="496"/>
  <c r="E4433" i="496"/>
  <c r="D4433" i="496"/>
  <c r="C4433" i="496"/>
  <c r="BE4432" i="496"/>
  <c r="BC4432" i="496"/>
  <c r="I4432" i="496"/>
  <c r="H4432" i="496"/>
  <c r="E4432" i="496"/>
  <c r="D4432" i="496"/>
  <c r="C4432" i="496"/>
  <c r="BE4431" i="496"/>
  <c r="BC4431" i="496"/>
  <c r="I4431" i="496"/>
  <c r="H4431" i="496"/>
  <c r="E4431" i="496"/>
  <c r="D4431" i="496"/>
  <c r="C4431" i="496"/>
  <c r="BE4430" i="496"/>
  <c r="BC4430" i="496"/>
  <c r="I4430" i="496"/>
  <c r="H4430" i="496"/>
  <c r="E4430" i="496"/>
  <c r="D4430" i="496"/>
  <c r="C4430" i="496"/>
  <c r="BE4429" i="496"/>
  <c r="BC4429" i="496"/>
  <c r="I4429" i="496"/>
  <c r="H4429" i="496"/>
  <c r="E4429" i="496"/>
  <c r="D4429" i="496"/>
  <c r="C4429" i="496"/>
  <c r="BE4428" i="496"/>
  <c r="BC4428" i="496"/>
  <c r="I4428" i="496"/>
  <c r="H4428" i="496"/>
  <c r="E4428" i="496"/>
  <c r="D4428" i="496"/>
  <c r="C4428" i="496"/>
  <c r="BE4427" i="496"/>
  <c r="BC4427" i="496"/>
  <c r="I4427" i="496"/>
  <c r="H4427" i="496"/>
  <c r="E4427" i="496"/>
  <c r="D4427" i="496"/>
  <c r="C4427" i="496"/>
  <c r="BE4426" i="496"/>
  <c r="BC4426" i="496"/>
  <c r="I4426" i="496"/>
  <c r="H4426" i="496"/>
  <c r="E4426" i="496"/>
  <c r="D4426" i="496"/>
  <c r="C4426" i="496"/>
  <c r="BE4425" i="496"/>
  <c r="BC4425" i="496"/>
  <c r="I4425" i="496"/>
  <c r="H4425" i="496"/>
  <c r="E4425" i="496"/>
  <c r="D4425" i="496"/>
  <c r="C4425" i="496"/>
  <c r="BE4424" i="496"/>
  <c r="BC4424" i="496"/>
  <c r="I4424" i="496"/>
  <c r="H4424" i="496"/>
  <c r="E4424" i="496"/>
  <c r="D4424" i="496"/>
  <c r="C4424" i="496"/>
  <c r="BE4423" i="496"/>
  <c r="BC4423" i="496"/>
  <c r="I4423" i="496"/>
  <c r="H4423" i="496"/>
  <c r="E4423" i="496"/>
  <c r="D4423" i="496"/>
  <c r="C4423" i="496"/>
  <c r="BE4422" i="496"/>
  <c r="BC4422" i="496"/>
  <c r="I4422" i="496"/>
  <c r="H4422" i="496"/>
  <c r="E4422" i="496"/>
  <c r="D4422" i="496"/>
  <c r="C4422" i="496"/>
  <c r="BE4421" i="496"/>
  <c r="BC4421" i="496"/>
  <c r="I4421" i="496"/>
  <c r="H4421" i="496"/>
  <c r="E4421" i="496"/>
  <c r="D4421" i="496"/>
  <c r="C4421" i="496"/>
  <c r="BE4420" i="496"/>
  <c r="BC4420" i="496"/>
  <c r="I4420" i="496"/>
  <c r="H4420" i="496"/>
  <c r="E4420" i="496"/>
  <c r="D4420" i="496"/>
  <c r="C4420" i="496"/>
  <c r="BE4419" i="496"/>
  <c r="BC4419" i="496"/>
  <c r="I4419" i="496"/>
  <c r="H4419" i="496"/>
  <c r="E4419" i="496"/>
  <c r="D4419" i="496"/>
  <c r="C4419" i="496"/>
  <c r="BE4418" i="496"/>
  <c r="BC4418" i="496"/>
  <c r="I4418" i="496"/>
  <c r="H4418" i="496"/>
  <c r="E4418" i="496"/>
  <c r="D4418" i="496"/>
  <c r="C4418" i="496"/>
  <c r="BE4417" i="496"/>
  <c r="BC4417" i="496"/>
  <c r="I4417" i="496"/>
  <c r="H4417" i="496"/>
  <c r="E4417" i="496"/>
  <c r="D4417" i="496"/>
  <c r="C4417" i="496"/>
  <c r="BE4416" i="496"/>
  <c r="BC4416" i="496"/>
  <c r="I4416" i="496"/>
  <c r="H4416" i="496"/>
  <c r="E4416" i="496"/>
  <c r="D4416" i="496"/>
  <c r="C4416" i="496"/>
  <c r="BE4415" i="496"/>
  <c r="BC4415" i="496"/>
  <c r="I4415" i="496"/>
  <c r="H4415" i="496"/>
  <c r="E4415" i="496"/>
  <c r="D4415" i="496"/>
  <c r="C4415" i="496"/>
  <c r="BE4414" i="496"/>
  <c r="BC4414" i="496"/>
  <c r="I4414" i="496"/>
  <c r="H4414" i="496"/>
  <c r="E4414" i="496"/>
  <c r="D4414" i="496"/>
  <c r="C4414" i="496"/>
  <c r="BE4413" i="496"/>
  <c r="BC4413" i="496"/>
  <c r="I4413" i="496"/>
  <c r="H4413" i="496"/>
  <c r="E4413" i="496"/>
  <c r="D4413" i="496"/>
  <c r="C4413" i="496"/>
  <c r="BE4412" i="496"/>
  <c r="BC4412" i="496"/>
  <c r="I4412" i="496"/>
  <c r="H4412" i="496"/>
  <c r="E4412" i="496"/>
  <c r="D4412" i="496"/>
  <c r="C4412" i="496"/>
  <c r="BE4411" i="496"/>
  <c r="BC4411" i="496"/>
  <c r="I4411" i="496"/>
  <c r="H4411" i="496"/>
  <c r="E4411" i="496"/>
  <c r="D4411" i="496"/>
  <c r="C4411" i="496"/>
  <c r="BE4410" i="496"/>
  <c r="BC4410" i="496"/>
  <c r="I4410" i="496"/>
  <c r="H4410" i="496"/>
  <c r="E4410" i="496"/>
  <c r="D4410" i="496"/>
  <c r="C4410" i="496"/>
  <c r="BE4409" i="496"/>
  <c r="BC4409" i="496"/>
  <c r="I4409" i="496"/>
  <c r="H4409" i="496"/>
  <c r="E4409" i="496"/>
  <c r="D4409" i="496"/>
  <c r="C4409" i="496"/>
  <c r="BE4408" i="496"/>
  <c r="BC4408" i="496"/>
  <c r="I4408" i="496"/>
  <c r="H4408" i="496"/>
  <c r="E4408" i="496"/>
  <c r="D4408" i="496"/>
  <c r="C4408" i="496"/>
  <c r="BE4407" i="496"/>
  <c r="BC4407" i="496"/>
  <c r="I4407" i="496"/>
  <c r="H4407" i="496"/>
  <c r="E4407" i="496"/>
  <c r="D4407" i="496"/>
  <c r="C4407" i="496"/>
  <c r="BE4406" i="496"/>
  <c r="BC4406" i="496"/>
  <c r="I4406" i="496"/>
  <c r="H4406" i="496"/>
  <c r="E4406" i="496"/>
  <c r="D4406" i="496"/>
  <c r="C4406" i="496"/>
  <c r="BE4405" i="496"/>
  <c r="BC4405" i="496"/>
  <c r="I4405" i="496"/>
  <c r="H4405" i="496"/>
  <c r="E4405" i="496"/>
  <c r="D4405" i="496"/>
  <c r="C4405" i="496"/>
  <c r="BE4404" i="496"/>
  <c r="BC4404" i="496"/>
  <c r="I4404" i="496"/>
  <c r="H4404" i="496"/>
  <c r="E4404" i="496"/>
  <c r="D4404" i="496"/>
  <c r="C4404" i="496"/>
  <c r="BE4403" i="496"/>
  <c r="BC4403" i="496"/>
  <c r="I4403" i="496"/>
  <c r="H4403" i="496"/>
  <c r="E4403" i="496"/>
  <c r="D4403" i="496"/>
  <c r="C4403" i="496"/>
  <c r="BE4402" i="496"/>
  <c r="BC4402" i="496"/>
  <c r="I4402" i="496"/>
  <c r="H4402" i="496"/>
  <c r="E4402" i="496"/>
  <c r="D4402" i="496"/>
  <c r="C4402" i="496"/>
  <c r="BE4401" i="496"/>
  <c r="BC4401" i="496"/>
  <c r="I4401" i="496"/>
  <c r="H4401" i="496"/>
  <c r="E4401" i="496"/>
  <c r="D4401" i="496"/>
  <c r="C4401" i="496"/>
  <c r="BE4400" i="496"/>
  <c r="BC4400" i="496"/>
  <c r="I4400" i="496"/>
  <c r="H4400" i="496"/>
  <c r="E4400" i="496"/>
  <c r="D4400" i="496"/>
  <c r="C4400" i="496"/>
  <c r="BE4399" i="496"/>
  <c r="BC4399" i="496"/>
  <c r="I4399" i="496"/>
  <c r="H4399" i="496"/>
  <c r="E4399" i="496"/>
  <c r="D4399" i="496"/>
  <c r="C4399" i="496"/>
  <c r="BE4398" i="496"/>
  <c r="BC4398" i="496"/>
  <c r="I4398" i="496"/>
  <c r="H4398" i="496"/>
  <c r="E4398" i="496"/>
  <c r="D4398" i="496"/>
  <c r="C4398" i="496"/>
  <c r="BE4397" i="496"/>
  <c r="BC4397" i="496"/>
  <c r="I4397" i="496"/>
  <c r="H4397" i="496"/>
  <c r="E4397" i="496"/>
  <c r="D4397" i="496"/>
  <c r="C4397" i="496"/>
  <c r="BE4396" i="496"/>
  <c r="BC4396" i="496"/>
  <c r="I4396" i="496"/>
  <c r="H4396" i="496"/>
  <c r="E4396" i="496"/>
  <c r="D4396" i="496"/>
  <c r="C4396" i="496"/>
  <c r="BE4395" i="496"/>
  <c r="BC4395" i="496"/>
  <c r="I4395" i="496"/>
  <c r="H4395" i="496"/>
  <c r="E4395" i="496"/>
  <c r="D4395" i="496"/>
  <c r="C4395" i="496"/>
  <c r="BE4394" i="496"/>
  <c r="BC4394" i="496"/>
  <c r="I4394" i="496"/>
  <c r="H4394" i="496"/>
  <c r="E4394" i="496"/>
  <c r="D4394" i="496"/>
  <c r="C4394" i="496"/>
  <c r="BE4393" i="496"/>
  <c r="BC4393" i="496"/>
  <c r="I4393" i="496"/>
  <c r="H4393" i="496"/>
  <c r="E4393" i="496"/>
  <c r="D4393" i="496"/>
  <c r="C4393" i="496"/>
  <c r="BE4392" i="496"/>
  <c r="BC4392" i="496"/>
  <c r="I4392" i="496"/>
  <c r="H4392" i="496"/>
  <c r="E4392" i="496"/>
  <c r="D4392" i="496"/>
  <c r="C4392" i="496"/>
  <c r="BE4391" i="496"/>
  <c r="BC4391" i="496"/>
  <c r="I4391" i="496"/>
  <c r="H4391" i="496"/>
  <c r="E4391" i="496"/>
  <c r="D4391" i="496"/>
  <c r="C4391" i="496"/>
  <c r="BE4390" i="496"/>
  <c r="BC4390" i="496"/>
  <c r="I4390" i="496"/>
  <c r="H4390" i="496"/>
  <c r="E4390" i="496"/>
  <c r="D4390" i="496"/>
  <c r="C4390" i="496"/>
  <c r="BE4389" i="496"/>
  <c r="BC4389" i="496"/>
  <c r="I4389" i="496"/>
  <c r="H4389" i="496"/>
  <c r="E4389" i="496"/>
  <c r="D4389" i="496"/>
  <c r="C4389" i="496"/>
  <c r="BE4388" i="496"/>
  <c r="BC4388" i="496"/>
  <c r="I4388" i="496"/>
  <c r="H4388" i="496"/>
  <c r="E4388" i="496"/>
  <c r="D4388" i="496"/>
  <c r="C4388" i="496"/>
  <c r="BE4387" i="496"/>
  <c r="BC4387" i="496"/>
  <c r="I4387" i="496"/>
  <c r="H4387" i="496"/>
  <c r="E4387" i="496"/>
  <c r="D4387" i="496"/>
  <c r="C4387" i="496"/>
  <c r="BE4386" i="496"/>
  <c r="BC4386" i="496"/>
  <c r="I4386" i="496"/>
  <c r="H4386" i="496"/>
  <c r="E4386" i="496"/>
  <c r="D4386" i="496"/>
  <c r="C4386" i="496"/>
  <c r="BE4385" i="496"/>
  <c r="BC4385" i="496"/>
  <c r="I4385" i="496"/>
  <c r="H4385" i="496"/>
  <c r="E4385" i="496"/>
  <c r="D4385" i="496"/>
  <c r="C4385" i="496"/>
  <c r="BE4384" i="496"/>
  <c r="BC4384" i="496"/>
  <c r="I4384" i="496"/>
  <c r="H4384" i="496"/>
  <c r="E4384" i="496"/>
  <c r="D4384" i="496"/>
  <c r="C4384" i="496"/>
  <c r="BE4383" i="496"/>
  <c r="BC4383" i="496"/>
  <c r="I4383" i="496"/>
  <c r="H4383" i="496"/>
  <c r="E4383" i="496"/>
  <c r="D4383" i="496"/>
  <c r="C4383" i="496"/>
  <c r="BE4382" i="496"/>
  <c r="BC4382" i="496"/>
  <c r="I4382" i="496"/>
  <c r="H4382" i="496"/>
  <c r="E4382" i="496"/>
  <c r="D4382" i="496"/>
  <c r="C4382" i="496"/>
  <c r="BE4381" i="496"/>
  <c r="BC4381" i="496"/>
  <c r="I4381" i="496"/>
  <c r="H4381" i="496"/>
  <c r="E4381" i="496"/>
  <c r="D4381" i="496"/>
  <c r="C4381" i="496"/>
  <c r="BE4380" i="496"/>
  <c r="BC4380" i="496"/>
  <c r="I4380" i="496"/>
  <c r="H4380" i="496"/>
  <c r="E4380" i="496"/>
  <c r="D4380" i="496"/>
  <c r="C4380" i="496"/>
  <c r="BE4379" i="496"/>
  <c r="BC4379" i="496"/>
  <c r="I4379" i="496"/>
  <c r="H4379" i="496"/>
  <c r="E4379" i="496"/>
  <c r="D4379" i="496"/>
  <c r="C4379" i="496"/>
  <c r="BE4378" i="496"/>
  <c r="BC4378" i="496"/>
  <c r="I4378" i="496"/>
  <c r="H4378" i="496"/>
  <c r="E4378" i="496"/>
  <c r="D4378" i="496"/>
  <c r="C4378" i="496"/>
  <c r="BE4377" i="496"/>
  <c r="BC4377" i="496"/>
  <c r="I4377" i="496"/>
  <c r="H4377" i="496"/>
  <c r="E4377" i="496"/>
  <c r="D4377" i="496"/>
  <c r="C4377" i="496"/>
  <c r="BE4376" i="496"/>
  <c r="BC4376" i="496"/>
  <c r="I4376" i="496"/>
  <c r="H4376" i="496"/>
  <c r="E4376" i="496"/>
  <c r="D4376" i="496"/>
  <c r="C4376" i="496"/>
  <c r="BE4375" i="496"/>
  <c r="BC4375" i="496"/>
  <c r="I4375" i="496"/>
  <c r="H4375" i="496"/>
  <c r="E4375" i="496"/>
  <c r="D4375" i="496"/>
  <c r="C4375" i="496"/>
  <c r="BE4374" i="496"/>
  <c r="BC4374" i="496"/>
  <c r="I4374" i="496"/>
  <c r="H4374" i="496"/>
  <c r="E4374" i="496"/>
  <c r="D4374" i="496"/>
  <c r="C4374" i="496"/>
  <c r="BE4373" i="496"/>
  <c r="BC4373" i="496"/>
  <c r="I4373" i="496"/>
  <c r="H4373" i="496"/>
  <c r="E4373" i="496"/>
  <c r="D4373" i="496"/>
  <c r="C4373" i="496"/>
  <c r="BE4372" i="496"/>
  <c r="BC4372" i="496"/>
  <c r="I4372" i="496"/>
  <c r="H4372" i="496"/>
  <c r="E4372" i="496"/>
  <c r="D4372" i="496"/>
  <c r="C4372" i="496"/>
  <c r="BE4371" i="496"/>
  <c r="BC4371" i="496"/>
  <c r="I4371" i="496"/>
  <c r="H4371" i="496"/>
  <c r="E4371" i="496"/>
  <c r="D4371" i="496"/>
  <c r="C4371" i="496"/>
  <c r="BE4370" i="496"/>
  <c r="BC4370" i="496"/>
  <c r="I4370" i="496"/>
  <c r="H4370" i="496"/>
  <c r="E4370" i="496"/>
  <c r="D4370" i="496"/>
  <c r="C4370" i="496"/>
  <c r="BE4369" i="496"/>
  <c r="BC4369" i="496"/>
  <c r="I4369" i="496"/>
  <c r="H4369" i="496"/>
  <c r="E4369" i="496"/>
  <c r="D4369" i="496"/>
  <c r="C4369" i="496"/>
  <c r="BE4368" i="496"/>
  <c r="BC4368" i="496"/>
  <c r="I4368" i="496"/>
  <c r="H4368" i="496"/>
  <c r="E4368" i="496"/>
  <c r="D4368" i="496"/>
  <c r="C4368" i="496"/>
  <c r="BE4367" i="496"/>
  <c r="BC4367" i="496"/>
  <c r="I4367" i="496"/>
  <c r="H4367" i="496"/>
  <c r="E4367" i="496"/>
  <c r="D4367" i="496"/>
  <c r="C4367" i="496"/>
  <c r="BE4366" i="496"/>
  <c r="BC4366" i="496"/>
  <c r="I4366" i="496"/>
  <c r="H4366" i="496"/>
  <c r="E4366" i="496"/>
  <c r="D4366" i="496"/>
  <c r="C4366" i="496"/>
  <c r="BE4365" i="496"/>
  <c r="BC4365" i="496"/>
  <c r="I4365" i="496"/>
  <c r="H4365" i="496"/>
  <c r="E4365" i="496"/>
  <c r="D4365" i="496"/>
  <c r="C4365" i="496"/>
  <c r="BE4364" i="496"/>
  <c r="BC4364" i="496"/>
  <c r="I4364" i="496"/>
  <c r="H4364" i="496"/>
  <c r="E4364" i="496"/>
  <c r="D4364" i="496"/>
  <c r="C4364" i="496"/>
  <c r="BE4363" i="496"/>
  <c r="BC4363" i="496"/>
  <c r="I4363" i="496"/>
  <c r="H4363" i="496"/>
  <c r="E4363" i="496"/>
  <c r="D4363" i="496"/>
  <c r="C4363" i="496"/>
  <c r="BE4362" i="496"/>
  <c r="BC4362" i="496"/>
  <c r="I4362" i="496"/>
  <c r="H4362" i="496"/>
  <c r="E4362" i="496"/>
  <c r="D4362" i="496"/>
  <c r="C4362" i="496"/>
  <c r="BE4361" i="496"/>
  <c r="BC4361" i="496"/>
  <c r="I4361" i="496"/>
  <c r="H4361" i="496"/>
  <c r="E4361" i="496"/>
  <c r="D4361" i="496"/>
  <c r="C4361" i="496"/>
  <c r="BE4360" i="496"/>
  <c r="BC4360" i="496"/>
  <c r="I4360" i="496"/>
  <c r="H4360" i="496"/>
  <c r="E4360" i="496"/>
  <c r="D4360" i="496"/>
  <c r="C4360" i="496"/>
  <c r="BE4359" i="496"/>
  <c r="BC4359" i="496"/>
  <c r="I4359" i="496"/>
  <c r="H4359" i="496"/>
  <c r="E4359" i="496"/>
  <c r="D4359" i="496"/>
  <c r="C4359" i="496"/>
  <c r="BE4358" i="496"/>
  <c r="BC4358" i="496"/>
  <c r="I4358" i="496"/>
  <c r="H4358" i="496"/>
  <c r="E4358" i="496"/>
  <c r="D4358" i="496"/>
  <c r="C4358" i="496"/>
  <c r="BE4357" i="496"/>
  <c r="BC4357" i="496"/>
  <c r="I4357" i="496"/>
  <c r="H4357" i="496"/>
  <c r="E4357" i="496"/>
  <c r="D4357" i="496"/>
  <c r="C4357" i="496"/>
  <c r="BE4356" i="496"/>
  <c r="BC4356" i="496"/>
  <c r="I4356" i="496"/>
  <c r="H4356" i="496"/>
  <c r="E4356" i="496"/>
  <c r="D4356" i="496"/>
  <c r="C4356" i="496"/>
  <c r="BE4355" i="496"/>
  <c r="BC4355" i="496"/>
  <c r="I4355" i="496"/>
  <c r="H4355" i="496"/>
  <c r="E4355" i="496"/>
  <c r="D4355" i="496"/>
  <c r="C4355" i="496"/>
  <c r="BE4354" i="496"/>
  <c r="BC4354" i="496"/>
  <c r="I4354" i="496"/>
  <c r="H4354" i="496"/>
  <c r="E4354" i="496"/>
  <c r="D4354" i="496"/>
  <c r="C4354" i="496"/>
  <c r="BE4353" i="496"/>
  <c r="BC4353" i="496"/>
  <c r="I4353" i="496"/>
  <c r="H4353" i="496"/>
  <c r="E4353" i="496"/>
  <c r="D4353" i="496"/>
  <c r="C4353" i="496"/>
  <c r="BE4352" i="496"/>
  <c r="BC4352" i="496"/>
  <c r="I4352" i="496"/>
  <c r="H4352" i="496"/>
  <c r="E4352" i="496"/>
  <c r="D4352" i="496"/>
  <c r="C4352" i="496"/>
  <c r="BE4351" i="496"/>
  <c r="BC4351" i="496"/>
  <c r="I4351" i="496"/>
  <c r="H4351" i="496"/>
  <c r="E4351" i="496"/>
  <c r="D4351" i="496"/>
  <c r="C4351" i="496"/>
  <c r="BE4350" i="496"/>
  <c r="BC4350" i="496"/>
  <c r="I4350" i="496"/>
  <c r="H4350" i="496"/>
  <c r="E4350" i="496"/>
  <c r="D4350" i="496"/>
  <c r="C4350" i="496"/>
  <c r="BE4349" i="496"/>
  <c r="BC4349" i="496"/>
  <c r="I4349" i="496"/>
  <c r="H4349" i="496"/>
  <c r="E4349" i="496"/>
  <c r="D4349" i="496"/>
  <c r="C4349" i="496"/>
  <c r="BE4348" i="496"/>
  <c r="BC4348" i="496"/>
  <c r="I4348" i="496"/>
  <c r="H4348" i="496"/>
  <c r="E4348" i="496"/>
  <c r="D4348" i="496"/>
  <c r="C4348" i="496"/>
  <c r="BE4347" i="496"/>
  <c r="BC4347" i="496"/>
  <c r="I4347" i="496"/>
  <c r="H4347" i="496"/>
  <c r="E4347" i="496"/>
  <c r="D4347" i="496"/>
  <c r="C4347" i="496"/>
  <c r="BE4346" i="496"/>
  <c r="BC4346" i="496"/>
  <c r="I4346" i="496"/>
  <c r="H4346" i="496"/>
  <c r="E4346" i="496"/>
  <c r="D4346" i="496"/>
  <c r="C4346" i="496"/>
  <c r="BE4345" i="496"/>
  <c r="BC4345" i="496"/>
  <c r="I4345" i="496"/>
  <c r="H4345" i="496"/>
  <c r="E4345" i="496"/>
  <c r="D4345" i="496"/>
  <c r="C4345" i="496"/>
  <c r="BE4344" i="496"/>
  <c r="BC4344" i="496"/>
  <c r="I4344" i="496"/>
  <c r="H4344" i="496"/>
  <c r="E4344" i="496"/>
  <c r="D4344" i="496"/>
  <c r="C4344" i="496"/>
  <c r="BE4343" i="496"/>
  <c r="BC4343" i="496"/>
  <c r="I4343" i="496"/>
  <c r="H4343" i="496"/>
  <c r="E4343" i="496"/>
  <c r="D4343" i="496"/>
  <c r="C4343" i="496"/>
  <c r="BE4342" i="496"/>
  <c r="BC4342" i="496"/>
  <c r="I4342" i="496"/>
  <c r="H4342" i="496"/>
  <c r="E4342" i="496"/>
  <c r="D4342" i="496"/>
  <c r="C4342" i="496"/>
  <c r="BE4341" i="496"/>
  <c r="BC4341" i="496"/>
  <c r="I4341" i="496"/>
  <c r="H4341" i="496"/>
  <c r="E4341" i="496"/>
  <c r="D4341" i="496"/>
  <c r="C4341" i="496"/>
  <c r="BE4340" i="496"/>
  <c r="BC4340" i="496"/>
  <c r="I4340" i="496"/>
  <c r="H4340" i="496"/>
  <c r="E4340" i="496"/>
  <c r="D4340" i="496"/>
  <c r="C4340" i="496"/>
  <c r="BE4339" i="496"/>
  <c r="BC4339" i="496"/>
  <c r="I4339" i="496"/>
  <c r="H4339" i="496"/>
  <c r="E4339" i="496"/>
  <c r="D4339" i="496"/>
  <c r="C4339" i="496"/>
  <c r="BE4338" i="496"/>
  <c r="BC4338" i="496"/>
  <c r="I4338" i="496"/>
  <c r="H4338" i="496"/>
  <c r="E4338" i="496"/>
  <c r="D4338" i="496"/>
  <c r="C4338" i="496"/>
  <c r="BE4337" i="496"/>
  <c r="BC4337" i="496"/>
  <c r="I4337" i="496"/>
  <c r="H4337" i="496"/>
  <c r="E4337" i="496"/>
  <c r="D4337" i="496"/>
  <c r="C4337" i="496"/>
  <c r="BE4336" i="496"/>
  <c r="BC4336" i="496"/>
  <c r="I4336" i="496"/>
  <c r="H4336" i="496"/>
  <c r="E4336" i="496"/>
  <c r="D4336" i="496"/>
  <c r="C4336" i="496"/>
  <c r="BE4335" i="496"/>
  <c r="BC4335" i="496"/>
  <c r="I4335" i="496"/>
  <c r="H4335" i="496"/>
  <c r="E4335" i="496"/>
  <c r="D4335" i="496"/>
  <c r="C4335" i="496"/>
  <c r="BE4334" i="496"/>
  <c r="BC4334" i="496"/>
  <c r="I4334" i="496"/>
  <c r="H4334" i="496"/>
  <c r="E4334" i="496"/>
  <c r="D4334" i="496"/>
  <c r="C4334" i="496"/>
  <c r="BE4333" i="496"/>
  <c r="BC4333" i="496"/>
  <c r="I4333" i="496"/>
  <c r="H4333" i="496"/>
  <c r="E4333" i="496"/>
  <c r="D4333" i="496"/>
  <c r="C4333" i="496"/>
  <c r="BE4332" i="496"/>
  <c r="BC4332" i="496"/>
  <c r="I4332" i="496"/>
  <c r="H4332" i="496"/>
  <c r="E4332" i="496"/>
  <c r="D4332" i="496"/>
  <c r="C4332" i="496"/>
  <c r="BE4331" i="496"/>
  <c r="BC4331" i="496"/>
  <c r="I4331" i="496"/>
  <c r="H4331" i="496"/>
  <c r="E4331" i="496"/>
  <c r="D4331" i="496"/>
  <c r="C4331" i="496"/>
  <c r="BE4330" i="496"/>
  <c r="BC4330" i="496"/>
  <c r="I4330" i="496"/>
  <c r="H4330" i="496"/>
  <c r="E4330" i="496"/>
  <c r="D4330" i="496"/>
  <c r="C4330" i="496"/>
  <c r="BE4329" i="496"/>
  <c r="BC4329" i="496"/>
  <c r="I4329" i="496"/>
  <c r="H4329" i="496"/>
  <c r="E4329" i="496"/>
  <c r="D4329" i="496"/>
  <c r="C4329" i="496"/>
  <c r="BE4328" i="496"/>
  <c r="BC4328" i="496"/>
  <c r="I4328" i="496"/>
  <c r="H4328" i="496"/>
  <c r="E4328" i="496"/>
  <c r="D4328" i="496"/>
  <c r="C4328" i="496"/>
  <c r="BE4327" i="496"/>
  <c r="BC4327" i="496"/>
  <c r="I4327" i="496"/>
  <c r="H4327" i="496"/>
  <c r="E4327" i="496"/>
  <c r="D4327" i="496"/>
  <c r="C4327" i="496"/>
  <c r="BE4326" i="496"/>
  <c r="BC4326" i="496"/>
  <c r="I4326" i="496"/>
  <c r="H4326" i="496"/>
  <c r="E4326" i="496"/>
  <c r="D4326" i="496"/>
  <c r="C4326" i="496"/>
  <c r="BE4325" i="496"/>
  <c r="BC4325" i="496"/>
  <c r="I4325" i="496"/>
  <c r="H4325" i="496"/>
  <c r="E4325" i="496"/>
  <c r="D4325" i="496"/>
  <c r="C4325" i="496"/>
  <c r="BE4324" i="496"/>
  <c r="BC4324" i="496"/>
  <c r="I4324" i="496"/>
  <c r="H4324" i="496"/>
  <c r="E4324" i="496"/>
  <c r="D4324" i="496"/>
  <c r="C4324" i="496"/>
  <c r="BE4323" i="496"/>
  <c r="BC4323" i="496"/>
  <c r="I4323" i="496"/>
  <c r="H4323" i="496"/>
  <c r="E4323" i="496"/>
  <c r="D4323" i="496"/>
  <c r="C4323" i="496"/>
  <c r="BE4322" i="496"/>
  <c r="BC4322" i="496"/>
  <c r="I4322" i="496"/>
  <c r="H4322" i="496"/>
  <c r="E4322" i="496"/>
  <c r="D4322" i="496"/>
  <c r="C4322" i="496"/>
  <c r="BE4321" i="496"/>
  <c r="BC4321" i="496"/>
  <c r="I4321" i="496"/>
  <c r="H4321" i="496"/>
  <c r="E4321" i="496"/>
  <c r="D4321" i="496"/>
  <c r="C4321" i="496"/>
  <c r="BE4320" i="496"/>
  <c r="BC4320" i="496"/>
  <c r="I4320" i="496"/>
  <c r="H4320" i="496"/>
  <c r="E4320" i="496"/>
  <c r="D4320" i="496"/>
  <c r="C4320" i="496"/>
  <c r="BE4319" i="496"/>
  <c r="BC4319" i="496"/>
  <c r="I4319" i="496"/>
  <c r="H4319" i="496"/>
  <c r="E4319" i="496"/>
  <c r="D4319" i="496"/>
  <c r="C4319" i="496"/>
  <c r="BE4318" i="496"/>
  <c r="BC4318" i="496"/>
  <c r="I4318" i="496"/>
  <c r="H4318" i="496"/>
  <c r="E4318" i="496"/>
  <c r="D4318" i="496"/>
  <c r="C4318" i="496"/>
  <c r="BE4317" i="496"/>
  <c r="BC4317" i="496"/>
  <c r="I4317" i="496"/>
  <c r="H4317" i="496"/>
  <c r="E4317" i="496"/>
  <c r="D4317" i="496"/>
  <c r="C4317" i="496"/>
  <c r="BE4316" i="496"/>
  <c r="BC4316" i="496"/>
  <c r="I4316" i="496"/>
  <c r="H4316" i="496"/>
  <c r="E4316" i="496"/>
  <c r="D4316" i="496"/>
  <c r="C4316" i="496"/>
  <c r="BE4315" i="496"/>
  <c r="BC4315" i="496"/>
  <c r="I4315" i="496"/>
  <c r="H4315" i="496"/>
  <c r="E4315" i="496"/>
  <c r="D4315" i="496"/>
  <c r="C4315" i="496"/>
  <c r="BE4314" i="496"/>
  <c r="BC4314" i="496"/>
  <c r="I4314" i="496"/>
  <c r="H4314" i="496"/>
  <c r="E4314" i="496"/>
  <c r="D4314" i="496"/>
  <c r="C4314" i="496"/>
  <c r="BE4313" i="496"/>
  <c r="BC4313" i="496"/>
  <c r="I4313" i="496"/>
  <c r="H4313" i="496"/>
  <c r="E4313" i="496"/>
  <c r="D4313" i="496"/>
  <c r="C4313" i="496"/>
  <c r="BE4312" i="496"/>
  <c r="BC4312" i="496"/>
  <c r="I4312" i="496"/>
  <c r="H4312" i="496"/>
  <c r="E4312" i="496"/>
  <c r="D4312" i="496"/>
  <c r="C4312" i="496"/>
  <c r="BE4311" i="496"/>
  <c r="BC4311" i="496"/>
  <c r="I4311" i="496"/>
  <c r="H4311" i="496"/>
  <c r="E4311" i="496"/>
  <c r="D4311" i="496"/>
  <c r="C4311" i="496"/>
  <c r="BE4310" i="496"/>
  <c r="BC4310" i="496"/>
  <c r="I4310" i="496"/>
  <c r="H4310" i="496"/>
  <c r="E4310" i="496"/>
  <c r="D4310" i="496"/>
  <c r="C4310" i="496"/>
  <c r="BE4309" i="496"/>
  <c r="BC4309" i="496"/>
  <c r="I4309" i="496"/>
  <c r="H4309" i="496"/>
  <c r="E4309" i="496"/>
  <c r="D4309" i="496"/>
  <c r="C4309" i="496"/>
  <c r="BE4308" i="496"/>
  <c r="BC4308" i="496"/>
  <c r="I4308" i="496"/>
  <c r="H4308" i="496"/>
  <c r="E4308" i="496"/>
  <c r="D4308" i="496"/>
  <c r="C4308" i="496"/>
  <c r="BE4307" i="496"/>
  <c r="BC4307" i="496"/>
  <c r="I4307" i="496"/>
  <c r="H4307" i="496"/>
  <c r="E4307" i="496"/>
  <c r="D4307" i="496"/>
  <c r="C4307" i="496"/>
  <c r="BE4306" i="496"/>
  <c r="BC4306" i="496"/>
  <c r="I4306" i="496"/>
  <c r="H4306" i="496"/>
  <c r="E4306" i="496"/>
  <c r="D4306" i="496"/>
  <c r="C4306" i="496"/>
  <c r="BE4305" i="496"/>
  <c r="BC4305" i="496"/>
  <c r="I4305" i="496"/>
  <c r="H4305" i="496"/>
  <c r="E4305" i="496"/>
  <c r="D4305" i="496"/>
  <c r="C4305" i="496"/>
  <c r="BE4304" i="496"/>
  <c r="BC4304" i="496"/>
  <c r="I4304" i="496"/>
  <c r="H4304" i="496"/>
  <c r="E4304" i="496"/>
  <c r="D4304" i="496"/>
  <c r="C4304" i="496"/>
  <c r="BE4303" i="496"/>
  <c r="BC4303" i="496"/>
  <c r="I4303" i="496"/>
  <c r="H4303" i="496"/>
  <c r="E4303" i="496"/>
  <c r="D4303" i="496"/>
  <c r="C4303" i="496"/>
  <c r="BE4302" i="496"/>
  <c r="BC4302" i="496"/>
  <c r="I4302" i="496"/>
  <c r="H4302" i="496"/>
  <c r="E4302" i="496"/>
  <c r="D4302" i="496"/>
  <c r="C4302" i="496"/>
  <c r="BE4301" i="496"/>
  <c r="BC4301" i="496"/>
  <c r="I4301" i="496"/>
  <c r="H4301" i="496"/>
  <c r="E4301" i="496"/>
  <c r="D4301" i="496"/>
  <c r="C4301" i="496"/>
  <c r="BE4300" i="496"/>
  <c r="BC4300" i="496"/>
  <c r="I4300" i="496"/>
  <c r="H4300" i="496"/>
  <c r="E4300" i="496"/>
  <c r="D4300" i="496"/>
  <c r="C4300" i="496"/>
  <c r="BE4299" i="496"/>
  <c r="BC4299" i="496"/>
  <c r="I4299" i="496"/>
  <c r="H4299" i="496"/>
  <c r="E4299" i="496"/>
  <c r="D4299" i="496"/>
  <c r="C4299" i="496"/>
  <c r="BE4298" i="496"/>
  <c r="BC4298" i="496"/>
  <c r="I4298" i="496"/>
  <c r="H4298" i="496"/>
  <c r="E4298" i="496"/>
  <c r="D4298" i="496"/>
  <c r="C4298" i="496"/>
  <c r="BE4297" i="496"/>
  <c r="BC4297" i="496"/>
  <c r="I4297" i="496"/>
  <c r="H4297" i="496"/>
  <c r="E4297" i="496"/>
  <c r="D4297" i="496"/>
  <c r="C4297" i="496"/>
  <c r="BE4296" i="496"/>
  <c r="BC4296" i="496"/>
  <c r="I4296" i="496"/>
  <c r="H4296" i="496"/>
  <c r="E4296" i="496"/>
  <c r="D4296" i="496"/>
  <c r="C4296" i="496"/>
  <c r="BE4295" i="496"/>
  <c r="BC4295" i="496"/>
  <c r="I4295" i="496"/>
  <c r="H4295" i="496"/>
  <c r="E4295" i="496"/>
  <c r="D4295" i="496"/>
  <c r="C4295" i="496"/>
  <c r="BE4294" i="496"/>
  <c r="BC4294" i="496"/>
  <c r="I4294" i="496"/>
  <c r="H4294" i="496"/>
  <c r="E4294" i="496"/>
  <c r="D4294" i="496"/>
  <c r="C4294" i="496"/>
  <c r="BE4293" i="496"/>
  <c r="BC4293" i="496"/>
  <c r="I4293" i="496"/>
  <c r="H4293" i="496"/>
  <c r="E4293" i="496"/>
  <c r="D4293" i="496"/>
  <c r="C4293" i="496"/>
  <c r="BE4292" i="496"/>
  <c r="BC4292" i="496"/>
  <c r="I4292" i="496"/>
  <c r="H4292" i="496"/>
  <c r="E4292" i="496"/>
  <c r="D4292" i="496"/>
  <c r="C4292" i="496"/>
  <c r="BE4291" i="496"/>
  <c r="BC4291" i="496"/>
  <c r="I4291" i="496"/>
  <c r="H4291" i="496"/>
  <c r="E4291" i="496"/>
  <c r="D4291" i="496"/>
  <c r="C4291" i="496"/>
  <c r="BE4290" i="496"/>
  <c r="BC4290" i="496"/>
  <c r="I4290" i="496"/>
  <c r="H4290" i="496"/>
  <c r="E4290" i="496"/>
  <c r="D4290" i="496"/>
  <c r="C4290" i="496"/>
  <c r="BE4289" i="496"/>
  <c r="BC4289" i="496"/>
  <c r="I4289" i="496"/>
  <c r="H4289" i="496"/>
  <c r="E4289" i="496"/>
  <c r="D4289" i="496"/>
  <c r="C4289" i="496"/>
  <c r="BE4288" i="496"/>
  <c r="BC4288" i="496"/>
  <c r="I4288" i="496"/>
  <c r="H4288" i="496"/>
  <c r="E4288" i="496"/>
  <c r="D4288" i="496"/>
  <c r="C4288" i="496"/>
  <c r="BE4287" i="496"/>
  <c r="BC4287" i="496"/>
  <c r="I4287" i="496"/>
  <c r="H4287" i="496"/>
  <c r="E4287" i="496"/>
  <c r="D4287" i="496"/>
  <c r="C4287" i="496"/>
  <c r="BE4286" i="496"/>
  <c r="BC4286" i="496"/>
  <c r="I4286" i="496"/>
  <c r="H4286" i="496"/>
  <c r="E4286" i="496"/>
  <c r="D4286" i="496"/>
  <c r="C4286" i="496"/>
  <c r="BE4285" i="496"/>
  <c r="BC4285" i="496"/>
  <c r="I4285" i="496"/>
  <c r="H4285" i="496"/>
  <c r="E4285" i="496"/>
  <c r="D4285" i="496"/>
  <c r="C4285" i="496"/>
  <c r="BE4284" i="496"/>
  <c r="BC4284" i="496"/>
  <c r="I4284" i="496"/>
  <c r="H4284" i="496"/>
  <c r="E4284" i="496"/>
  <c r="D4284" i="496"/>
  <c r="C4284" i="496"/>
  <c r="BE4283" i="496"/>
  <c r="BC4283" i="496"/>
  <c r="I4283" i="496"/>
  <c r="H4283" i="496"/>
  <c r="E4283" i="496"/>
  <c r="D4283" i="496"/>
  <c r="C4283" i="496"/>
  <c r="BE4282" i="496"/>
  <c r="BC4282" i="496"/>
  <c r="I4282" i="496"/>
  <c r="H4282" i="496"/>
  <c r="E4282" i="496"/>
  <c r="D4282" i="496"/>
  <c r="C4282" i="496"/>
  <c r="BE4281" i="496"/>
  <c r="BC4281" i="496"/>
  <c r="I4281" i="496"/>
  <c r="H4281" i="496"/>
  <c r="E4281" i="496"/>
  <c r="D4281" i="496"/>
  <c r="C4281" i="496"/>
  <c r="BE4280" i="496"/>
  <c r="BC4280" i="496"/>
  <c r="I4280" i="496"/>
  <c r="H4280" i="496"/>
  <c r="E4280" i="496"/>
  <c r="D4280" i="496"/>
  <c r="C4280" i="496"/>
  <c r="BE4279" i="496"/>
  <c r="BC4279" i="496"/>
  <c r="I4279" i="496"/>
  <c r="H4279" i="496"/>
  <c r="E4279" i="496"/>
  <c r="D4279" i="496"/>
  <c r="C4279" i="496"/>
  <c r="BE4278" i="496"/>
  <c r="BC4278" i="496"/>
  <c r="I4278" i="496"/>
  <c r="H4278" i="496"/>
  <c r="E4278" i="496"/>
  <c r="D4278" i="496"/>
  <c r="C4278" i="496"/>
  <c r="BE4277" i="496"/>
  <c r="BC4277" i="496"/>
  <c r="I4277" i="496"/>
  <c r="H4277" i="496"/>
  <c r="E4277" i="496"/>
  <c r="D4277" i="496"/>
  <c r="C4277" i="496"/>
  <c r="BE4276" i="496"/>
  <c r="BC4276" i="496"/>
  <c r="I4276" i="496"/>
  <c r="H4276" i="496"/>
  <c r="E4276" i="496"/>
  <c r="D4276" i="496"/>
  <c r="C4276" i="496"/>
  <c r="BE4275" i="496"/>
  <c r="BC4275" i="496"/>
  <c r="I4275" i="496"/>
  <c r="H4275" i="496"/>
  <c r="E4275" i="496"/>
  <c r="D4275" i="496"/>
  <c r="C4275" i="496"/>
  <c r="BE4274" i="496"/>
  <c r="BC4274" i="496"/>
  <c r="I4274" i="496"/>
  <c r="H4274" i="496"/>
  <c r="E4274" i="496"/>
  <c r="D4274" i="496"/>
  <c r="C4274" i="496"/>
  <c r="BE4273" i="496"/>
  <c r="BC4273" i="496"/>
  <c r="I4273" i="496"/>
  <c r="H4273" i="496"/>
  <c r="E4273" i="496"/>
  <c r="D4273" i="496"/>
  <c r="C4273" i="496"/>
  <c r="BE4272" i="496"/>
  <c r="BC4272" i="496"/>
  <c r="I4272" i="496"/>
  <c r="H4272" i="496"/>
  <c r="E4272" i="496"/>
  <c r="D4272" i="496"/>
  <c r="C4272" i="496"/>
  <c r="BE4271" i="496"/>
  <c r="BC4271" i="496"/>
  <c r="I4271" i="496"/>
  <c r="H4271" i="496"/>
  <c r="E4271" i="496"/>
  <c r="D4271" i="496"/>
  <c r="C4271" i="496"/>
  <c r="BE4270" i="496"/>
  <c r="BC4270" i="496"/>
  <c r="I4270" i="496"/>
  <c r="H4270" i="496"/>
  <c r="E4270" i="496"/>
  <c r="D4270" i="496"/>
  <c r="C4270" i="496"/>
  <c r="BE4269" i="496"/>
  <c r="BC4269" i="496"/>
  <c r="I4269" i="496"/>
  <c r="H4269" i="496"/>
  <c r="E4269" i="496"/>
  <c r="D4269" i="496"/>
  <c r="C4269" i="496"/>
  <c r="BE4268" i="496"/>
  <c r="BC4268" i="496"/>
  <c r="I4268" i="496"/>
  <c r="H4268" i="496"/>
  <c r="E4268" i="496"/>
  <c r="D4268" i="496"/>
  <c r="C4268" i="496"/>
  <c r="BE4267" i="496"/>
  <c r="BC4267" i="496"/>
  <c r="I4267" i="496"/>
  <c r="H4267" i="496"/>
  <c r="E4267" i="496"/>
  <c r="D4267" i="496"/>
  <c r="C4267" i="496"/>
  <c r="BE4266" i="496"/>
  <c r="BC4266" i="496"/>
  <c r="I4266" i="496"/>
  <c r="H4266" i="496"/>
  <c r="E4266" i="496"/>
  <c r="D4266" i="496"/>
  <c r="C4266" i="496"/>
  <c r="BE4265" i="496"/>
  <c r="BC4265" i="496"/>
  <c r="I4265" i="496"/>
  <c r="H4265" i="496"/>
  <c r="E4265" i="496"/>
  <c r="D4265" i="496"/>
  <c r="C4265" i="496"/>
  <c r="BE4264" i="496"/>
  <c r="BC4264" i="496"/>
  <c r="I4264" i="496"/>
  <c r="H4264" i="496"/>
  <c r="E4264" i="496"/>
  <c r="D4264" i="496"/>
  <c r="C4264" i="496"/>
  <c r="BE4263" i="496"/>
  <c r="BC4263" i="496"/>
  <c r="I4263" i="496"/>
  <c r="H4263" i="496"/>
  <c r="E4263" i="496"/>
  <c r="D4263" i="496"/>
  <c r="C4263" i="496"/>
  <c r="BE4262" i="496"/>
  <c r="BC4262" i="496"/>
  <c r="I4262" i="496"/>
  <c r="H4262" i="496"/>
  <c r="E4262" i="496"/>
  <c r="D4262" i="496"/>
  <c r="C4262" i="496"/>
  <c r="BE4261" i="496"/>
  <c r="BC4261" i="496"/>
  <c r="I4261" i="496"/>
  <c r="H4261" i="496"/>
  <c r="E4261" i="496"/>
  <c r="D4261" i="496"/>
  <c r="C4261" i="496"/>
  <c r="BE4260" i="496"/>
  <c r="BC4260" i="496"/>
  <c r="I4260" i="496"/>
  <c r="H4260" i="496"/>
  <c r="E4260" i="496"/>
  <c r="D4260" i="496"/>
  <c r="C4260" i="496"/>
  <c r="BE4259" i="496"/>
  <c r="BC4259" i="496"/>
  <c r="I4259" i="496"/>
  <c r="H4259" i="496"/>
  <c r="E4259" i="496"/>
  <c r="D4259" i="496"/>
  <c r="C4259" i="496"/>
  <c r="BE4258" i="496"/>
  <c r="BC4258" i="496"/>
  <c r="I4258" i="496"/>
  <c r="H4258" i="496"/>
  <c r="E4258" i="496"/>
  <c r="D4258" i="496"/>
  <c r="C4258" i="496"/>
  <c r="BE4257" i="496"/>
  <c r="BC4257" i="496"/>
  <c r="I4257" i="496"/>
  <c r="H4257" i="496"/>
  <c r="E4257" i="496"/>
  <c r="D4257" i="496"/>
  <c r="C4257" i="496"/>
  <c r="BE4256" i="496"/>
  <c r="BC4256" i="496"/>
  <c r="I4256" i="496"/>
  <c r="H4256" i="496"/>
  <c r="E4256" i="496"/>
  <c r="D4256" i="496"/>
  <c r="C4256" i="496"/>
  <c r="BE4255" i="496"/>
  <c r="BC4255" i="496"/>
  <c r="I4255" i="496"/>
  <c r="H4255" i="496"/>
  <c r="E4255" i="496"/>
  <c r="D4255" i="496"/>
  <c r="C4255" i="496"/>
  <c r="BE4254" i="496"/>
  <c r="BC4254" i="496"/>
  <c r="I4254" i="496"/>
  <c r="H4254" i="496"/>
  <c r="E4254" i="496"/>
  <c r="D4254" i="496"/>
  <c r="C4254" i="496"/>
  <c r="BE4253" i="496"/>
  <c r="BC4253" i="496"/>
  <c r="I4253" i="496"/>
  <c r="H4253" i="496"/>
  <c r="E4253" i="496"/>
  <c r="D4253" i="496"/>
  <c r="C4253" i="496"/>
  <c r="BE4252" i="496"/>
  <c r="BC4252" i="496"/>
  <c r="I4252" i="496"/>
  <c r="H4252" i="496"/>
  <c r="E4252" i="496"/>
  <c r="D4252" i="496"/>
  <c r="C4252" i="496"/>
  <c r="BE4251" i="496"/>
  <c r="BC4251" i="496"/>
  <c r="I4251" i="496"/>
  <c r="H4251" i="496"/>
  <c r="E4251" i="496"/>
  <c r="D4251" i="496"/>
  <c r="C4251" i="496"/>
  <c r="BE4250" i="496"/>
  <c r="BC4250" i="496"/>
  <c r="I4250" i="496"/>
  <c r="H4250" i="496"/>
  <c r="E4250" i="496"/>
  <c r="D4250" i="496"/>
  <c r="C4250" i="496"/>
  <c r="BE4249" i="496"/>
  <c r="BC4249" i="496"/>
  <c r="I4249" i="496"/>
  <c r="H4249" i="496"/>
  <c r="E4249" i="496"/>
  <c r="D4249" i="496"/>
  <c r="C4249" i="496"/>
  <c r="BE4248" i="496"/>
  <c r="BC4248" i="496"/>
  <c r="I4248" i="496"/>
  <c r="H4248" i="496"/>
  <c r="E4248" i="496"/>
  <c r="D4248" i="496"/>
  <c r="C4248" i="496"/>
  <c r="BE4247" i="496"/>
  <c r="BC4247" i="496"/>
  <c r="I4247" i="496"/>
  <c r="H4247" i="496"/>
  <c r="E4247" i="496"/>
  <c r="D4247" i="496"/>
  <c r="C4247" i="496"/>
  <c r="BE4246" i="496"/>
  <c r="BC4246" i="496"/>
  <c r="I4246" i="496"/>
  <c r="H4246" i="496"/>
  <c r="E4246" i="496"/>
  <c r="D4246" i="496"/>
  <c r="C4246" i="496"/>
  <c r="BE4245" i="496"/>
  <c r="BC4245" i="496"/>
  <c r="I4245" i="496"/>
  <c r="H4245" i="496"/>
  <c r="E4245" i="496"/>
  <c r="D4245" i="496"/>
  <c r="C4245" i="496"/>
  <c r="BE4244" i="496"/>
  <c r="BC4244" i="496"/>
  <c r="I4244" i="496"/>
  <c r="H4244" i="496"/>
  <c r="E4244" i="496"/>
  <c r="D4244" i="496"/>
  <c r="C4244" i="496"/>
  <c r="BE4243" i="496"/>
  <c r="BC4243" i="496"/>
  <c r="I4243" i="496"/>
  <c r="H4243" i="496"/>
  <c r="E4243" i="496"/>
  <c r="D4243" i="496"/>
  <c r="C4243" i="496"/>
  <c r="BE4242" i="496"/>
  <c r="BC4242" i="496"/>
  <c r="I4242" i="496"/>
  <c r="H4242" i="496"/>
  <c r="E4242" i="496"/>
  <c r="D4242" i="496"/>
  <c r="C4242" i="496"/>
  <c r="BE4241" i="496"/>
  <c r="BC4241" i="496"/>
  <c r="I4241" i="496"/>
  <c r="H4241" i="496"/>
  <c r="E4241" i="496"/>
  <c r="D4241" i="496"/>
  <c r="C4241" i="496"/>
  <c r="BE4240" i="496"/>
  <c r="BC4240" i="496"/>
  <c r="I4240" i="496"/>
  <c r="H4240" i="496"/>
  <c r="E4240" i="496"/>
  <c r="D4240" i="496"/>
  <c r="C4240" i="496"/>
  <c r="BE4239" i="496"/>
  <c r="BC4239" i="496"/>
  <c r="I4239" i="496"/>
  <c r="H4239" i="496"/>
  <c r="E4239" i="496"/>
  <c r="D4239" i="496"/>
  <c r="C4239" i="496"/>
  <c r="BE4238" i="496"/>
  <c r="BC4238" i="496"/>
  <c r="I4238" i="496"/>
  <c r="H4238" i="496"/>
  <c r="E4238" i="496"/>
  <c r="D4238" i="496"/>
  <c r="C4238" i="496"/>
  <c r="BE4237" i="496"/>
  <c r="BC4237" i="496"/>
  <c r="I4237" i="496"/>
  <c r="H4237" i="496"/>
  <c r="E4237" i="496"/>
  <c r="D4237" i="496"/>
  <c r="C4237" i="496"/>
  <c r="BE4236" i="496"/>
  <c r="BC4236" i="496"/>
  <c r="I4236" i="496"/>
  <c r="H4236" i="496"/>
  <c r="E4236" i="496"/>
  <c r="D4236" i="496"/>
  <c r="C4236" i="496"/>
  <c r="BE4235" i="496"/>
  <c r="BC4235" i="496"/>
  <c r="I4235" i="496"/>
  <c r="H4235" i="496"/>
  <c r="E4235" i="496"/>
  <c r="D4235" i="496"/>
  <c r="C4235" i="496"/>
  <c r="BE4234" i="496"/>
  <c r="BC4234" i="496"/>
  <c r="I4234" i="496"/>
  <c r="H4234" i="496"/>
  <c r="E4234" i="496"/>
  <c r="D4234" i="496"/>
  <c r="C4234" i="496"/>
  <c r="BE4233" i="496"/>
  <c r="BC4233" i="496"/>
  <c r="I4233" i="496"/>
  <c r="H4233" i="496"/>
  <c r="E4233" i="496"/>
  <c r="D4233" i="496"/>
  <c r="C4233" i="496"/>
  <c r="BE4232" i="496"/>
  <c r="BC4232" i="496"/>
  <c r="I4232" i="496"/>
  <c r="H4232" i="496"/>
  <c r="E4232" i="496"/>
  <c r="D4232" i="496"/>
  <c r="C4232" i="496"/>
  <c r="BE4231" i="496"/>
  <c r="BC4231" i="496"/>
  <c r="I4231" i="496"/>
  <c r="H4231" i="496"/>
  <c r="E4231" i="496"/>
  <c r="D4231" i="496"/>
  <c r="C4231" i="496"/>
  <c r="BE4230" i="496"/>
  <c r="BC4230" i="496"/>
  <c r="I4230" i="496"/>
  <c r="H4230" i="496"/>
  <c r="E4230" i="496"/>
  <c r="D4230" i="496"/>
  <c r="C4230" i="496"/>
  <c r="BE4229" i="496"/>
  <c r="BC4229" i="496"/>
  <c r="I4229" i="496"/>
  <c r="H4229" i="496"/>
  <c r="E4229" i="496"/>
  <c r="D4229" i="496"/>
  <c r="C4229" i="496"/>
  <c r="BE4228" i="496"/>
  <c r="BC4228" i="496"/>
  <c r="I4228" i="496"/>
  <c r="H4228" i="496"/>
  <c r="E4228" i="496"/>
  <c r="D4228" i="496"/>
  <c r="C4228" i="496"/>
  <c r="BE4227" i="496"/>
  <c r="BC4227" i="496"/>
  <c r="I4227" i="496"/>
  <c r="H4227" i="496"/>
  <c r="E4227" i="496"/>
  <c r="D4227" i="496"/>
  <c r="C4227" i="496"/>
  <c r="BE4226" i="496"/>
  <c r="BC4226" i="496"/>
  <c r="I4226" i="496"/>
  <c r="H4226" i="496"/>
  <c r="E4226" i="496"/>
  <c r="D4226" i="496"/>
  <c r="C4226" i="496"/>
  <c r="BE4225" i="496"/>
  <c r="BC4225" i="496"/>
  <c r="I4225" i="496"/>
  <c r="H4225" i="496"/>
  <c r="E4225" i="496"/>
  <c r="D4225" i="496"/>
  <c r="C4225" i="496"/>
  <c r="BE4224" i="496"/>
  <c r="BC4224" i="496"/>
  <c r="I4224" i="496"/>
  <c r="H4224" i="496"/>
  <c r="E4224" i="496"/>
  <c r="D4224" i="496"/>
  <c r="C4224" i="496"/>
  <c r="BE4223" i="496"/>
  <c r="BC4223" i="496"/>
  <c r="I4223" i="496"/>
  <c r="H4223" i="496"/>
  <c r="E4223" i="496"/>
  <c r="D4223" i="496"/>
  <c r="C4223" i="496"/>
  <c r="BE4222" i="496"/>
  <c r="BC4222" i="496"/>
  <c r="I4222" i="496"/>
  <c r="H4222" i="496"/>
  <c r="E4222" i="496"/>
  <c r="D4222" i="496"/>
  <c r="C4222" i="496"/>
  <c r="BE4221" i="496"/>
  <c r="BC4221" i="496"/>
  <c r="I4221" i="496"/>
  <c r="H4221" i="496"/>
  <c r="E4221" i="496"/>
  <c r="D4221" i="496"/>
  <c r="C4221" i="496"/>
  <c r="BE4220" i="496"/>
  <c r="BC4220" i="496"/>
  <c r="I4220" i="496"/>
  <c r="H4220" i="496"/>
  <c r="E4220" i="496"/>
  <c r="D4220" i="496"/>
  <c r="C4220" i="496"/>
  <c r="BE4219" i="496"/>
  <c r="BC4219" i="496"/>
  <c r="I4219" i="496"/>
  <c r="H4219" i="496"/>
  <c r="E4219" i="496"/>
  <c r="D4219" i="496"/>
  <c r="C4219" i="496"/>
  <c r="BE4218" i="496"/>
  <c r="BC4218" i="496"/>
  <c r="I4218" i="496"/>
  <c r="H4218" i="496"/>
  <c r="E4218" i="496"/>
  <c r="D4218" i="496"/>
  <c r="C4218" i="496"/>
  <c r="BE4217" i="496"/>
  <c r="BC4217" i="496"/>
  <c r="I4217" i="496"/>
  <c r="H4217" i="496"/>
  <c r="E4217" i="496"/>
  <c r="D4217" i="496"/>
  <c r="C4217" i="496"/>
  <c r="BE4216" i="496"/>
  <c r="BC4216" i="496"/>
  <c r="I4216" i="496"/>
  <c r="H4216" i="496"/>
  <c r="E4216" i="496"/>
  <c r="D4216" i="496"/>
  <c r="C4216" i="496"/>
  <c r="BE4215" i="496"/>
  <c r="BC4215" i="496"/>
  <c r="I4215" i="496"/>
  <c r="H4215" i="496"/>
  <c r="E4215" i="496"/>
  <c r="D4215" i="496"/>
  <c r="C4215" i="496"/>
  <c r="BE4214" i="496"/>
  <c r="BC4214" i="496"/>
  <c r="I4214" i="496"/>
  <c r="H4214" i="496"/>
  <c r="E4214" i="496"/>
  <c r="D4214" i="496"/>
  <c r="C4214" i="496"/>
  <c r="BE4213" i="496"/>
  <c r="BC4213" i="496"/>
  <c r="I4213" i="496"/>
  <c r="H4213" i="496"/>
  <c r="E4213" i="496"/>
  <c r="D4213" i="496"/>
  <c r="C4213" i="496"/>
  <c r="BE4212" i="496"/>
  <c r="BC4212" i="496"/>
  <c r="I4212" i="496"/>
  <c r="H4212" i="496"/>
  <c r="E4212" i="496"/>
  <c r="D4212" i="496"/>
  <c r="C4212" i="496"/>
  <c r="BE4211" i="496"/>
  <c r="BC4211" i="496"/>
  <c r="I4211" i="496"/>
  <c r="H4211" i="496"/>
  <c r="E4211" i="496"/>
  <c r="D4211" i="496"/>
  <c r="C4211" i="496"/>
  <c r="BE4210" i="496"/>
  <c r="BC4210" i="496"/>
  <c r="I4210" i="496"/>
  <c r="H4210" i="496"/>
  <c r="E4210" i="496"/>
  <c r="D4210" i="496"/>
  <c r="C4210" i="496"/>
  <c r="BE4209" i="496"/>
  <c r="BC4209" i="496"/>
  <c r="I4209" i="496"/>
  <c r="H4209" i="496"/>
  <c r="E4209" i="496"/>
  <c r="D4209" i="496"/>
  <c r="C4209" i="496"/>
  <c r="BE4208" i="496"/>
  <c r="BC4208" i="496"/>
  <c r="I4208" i="496"/>
  <c r="H4208" i="496"/>
  <c r="E4208" i="496"/>
  <c r="D4208" i="496"/>
  <c r="C4208" i="496"/>
  <c r="BE4207" i="496"/>
  <c r="BC4207" i="496"/>
  <c r="I4207" i="496"/>
  <c r="H4207" i="496"/>
  <c r="E4207" i="496"/>
  <c r="D4207" i="496"/>
  <c r="C4207" i="496"/>
  <c r="BE4206" i="496"/>
  <c r="BC4206" i="496"/>
  <c r="I4206" i="496"/>
  <c r="H4206" i="496"/>
  <c r="E4206" i="496"/>
  <c r="D4206" i="496"/>
  <c r="C4206" i="496"/>
  <c r="BE4205" i="496"/>
  <c r="BC4205" i="496"/>
  <c r="I4205" i="496"/>
  <c r="H4205" i="496"/>
  <c r="E4205" i="496"/>
  <c r="D4205" i="496"/>
  <c r="C4205" i="496"/>
  <c r="BE4204" i="496"/>
  <c r="BC4204" i="496"/>
  <c r="I4204" i="496"/>
  <c r="H4204" i="496"/>
  <c r="E4204" i="496"/>
  <c r="D4204" i="496"/>
  <c r="C4204" i="496"/>
  <c r="BE4203" i="496"/>
  <c r="BC4203" i="496"/>
  <c r="I4203" i="496"/>
  <c r="H4203" i="496"/>
  <c r="E4203" i="496"/>
  <c r="D4203" i="496"/>
  <c r="C4203" i="496"/>
  <c r="BE4202" i="496"/>
  <c r="BC4202" i="496"/>
  <c r="I4202" i="496"/>
  <c r="H4202" i="496"/>
  <c r="E4202" i="496"/>
  <c r="D4202" i="496"/>
  <c r="C4202" i="496"/>
  <c r="BE4201" i="496"/>
  <c r="BC4201" i="496"/>
  <c r="I4201" i="496"/>
  <c r="H4201" i="496"/>
  <c r="E4201" i="496"/>
  <c r="D4201" i="496"/>
  <c r="C4201" i="496"/>
  <c r="BE4200" i="496"/>
  <c r="BC4200" i="496"/>
  <c r="I4200" i="496"/>
  <c r="H4200" i="496"/>
  <c r="E4200" i="496"/>
  <c r="D4200" i="496"/>
  <c r="C4200" i="496"/>
  <c r="BE4199" i="496"/>
  <c r="BC4199" i="496"/>
  <c r="I4199" i="496"/>
  <c r="H4199" i="496"/>
  <c r="E4199" i="496"/>
  <c r="D4199" i="496"/>
  <c r="C4199" i="496"/>
  <c r="BE4198" i="496"/>
  <c r="BC4198" i="496"/>
  <c r="I4198" i="496"/>
  <c r="H4198" i="496"/>
  <c r="E4198" i="496"/>
  <c r="D4198" i="496"/>
  <c r="C4198" i="496"/>
  <c r="BE4197" i="496"/>
  <c r="BC4197" i="496"/>
  <c r="I4197" i="496"/>
  <c r="H4197" i="496"/>
  <c r="E4197" i="496"/>
  <c r="D4197" i="496"/>
  <c r="C4197" i="496"/>
  <c r="BE4196" i="496"/>
  <c r="BC4196" i="496"/>
  <c r="I4196" i="496"/>
  <c r="H4196" i="496"/>
  <c r="E4196" i="496"/>
  <c r="D4196" i="496"/>
  <c r="C4196" i="496"/>
  <c r="BE4195" i="496"/>
  <c r="BC4195" i="496"/>
  <c r="I4195" i="496"/>
  <c r="H4195" i="496"/>
  <c r="E4195" i="496"/>
  <c r="D4195" i="496"/>
  <c r="C4195" i="496"/>
  <c r="BE4194" i="496"/>
  <c r="BC4194" i="496"/>
  <c r="I4194" i="496"/>
  <c r="H4194" i="496"/>
  <c r="E4194" i="496"/>
  <c r="D4194" i="496"/>
  <c r="C4194" i="496"/>
  <c r="BE4193" i="496"/>
  <c r="BC4193" i="496"/>
  <c r="I4193" i="496"/>
  <c r="H4193" i="496"/>
  <c r="E4193" i="496"/>
  <c r="D4193" i="496"/>
  <c r="C4193" i="496"/>
  <c r="BE4192" i="496"/>
  <c r="BC4192" i="496"/>
  <c r="I4192" i="496"/>
  <c r="H4192" i="496"/>
  <c r="E4192" i="496"/>
  <c r="D4192" i="496"/>
  <c r="C4192" i="496"/>
  <c r="BE4191" i="496"/>
  <c r="BC4191" i="496"/>
  <c r="I4191" i="496"/>
  <c r="H4191" i="496"/>
  <c r="E4191" i="496"/>
  <c r="D4191" i="496"/>
  <c r="C4191" i="496"/>
  <c r="BE4190" i="496"/>
  <c r="BC4190" i="496"/>
  <c r="I4190" i="496"/>
  <c r="H4190" i="496"/>
  <c r="E4190" i="496"/>
  <c r="D4190" i="496"/>
  <c r="C4190" i="496"/>
  <c r="BE4189" i="496"/>
  <c r="BC4189" i="496"/>
  <c r="I4189" i="496"/>
  <c r="H4189" i="496"/>
  <c r="E4189" i="496"/>
  <c r="D4189" i="496"/>
  <c r="C4189" i="496"/>
  <c r="BE4188" i="496"/>
  <c r="BC4188" i="496"/>
  <c r="I4188" i="496"/>
  <c r="H4188" i="496"/>
  <c r="E4188" i="496"/>
  <c r="D4188" i="496"/>
  <c r="C4188" i="496"/>
  <c r="BE4187" i="496"/>
  <c r="BC4187" i="496"/>
  <c r="I4187" i="496"/>
  <c r="H4187" i="496"/>
  <c r="E4187" i="496"/>
  <c r="D4187" i="496"/>
  <c r="C4187" i="496"/>
  <c r="BE4186" i="496"/>
  <c r="BC4186" i="496"/>
  <c r="I4186" i="496"/>
  <c r="H4186" i="496"/>
  <c r="E4186" i="496"/>
  <c r="D4186" i="496"/>
  <c r="C4186" i="496"/>
  <c r="BE4185" i="496"/>
  <c r="BC4185" i="496"/>
  <c r="I4185" i="496"/>
  <c r="H4185" i="496"/>
  <c r="E4185" i="496"/>
  <c r="D4185" i="496"/>
  <c r="C4185" i="496"/>
  <c r="BE4184" i="496"/>
  <c r="BC4184" i="496"/>
  <c r="I4184" i="496"/>
  <c r="H4184" i="496"/>
  <c r="E4184" i="496"/>
  <c r="D4184" i="496"/>
  <c r="C4184" i="496"/>
  <c r="BE4183" i="496"/>
  <c r="BC4183" i="496"/>
  <c r="I4183" i="496"/>
  <c r="H4183" i="496"/>
  <c r="E4183" i="496"/>
  <c r="D4183" i="496"/>
  <c r="C4183" i="496"/>
  <c r="BE4182" i="496"/>
  <c r="BC4182" i="496"/>
  <c r="I4182" i="496"/>
  <c r="H4182" i="496"/>
  <c r="E4182" i="496"/>
  <c r="D4182" i="496"/>
  <c r="C4182" i="496"/>
  <c r="BE4181" i="496"/>
  <c r="BC4181" i="496"/>
  <c r="I4181" i="496"/>
  <c r="H4181" i="496"/>
  <c r="E4181" i="496"/>
  <c r="D4181" i="496"/>
  <c r="C4181" i="496"/>
  <c r="BE4180" i="496"/>
  <c r="BC4180" i="496"/>
  <c r="I4180" i="496"/>
  <c r="H4180" i="496"/>
  <c r="E4180" i="496"/>
  <c r="D4180" i="496"/>
  <c r="C4180" i="496"/>
  <c r="BE4179" i="496"/>
  <c r="BC4179" i="496"/>
  <c r="I4179" i="496"/>
  <c r="H4179" i="496"/>
  <c r="E4179" i="496"/>
  <c r="D4179" i="496"/>
  <c r="C4179" i="496"/>
  <c r="BE4178" i="496"/>
  <c r="BC4178" i="496"/>
  <c r="I4178" i="496"/>
  <c r="H4178" i="496"/>
  <c r="E4178" i="496"/>
  <c r="D4178" i="496"/>
  <c r="C4178" i="496"/>
  <c r="BE4177" i="496"/>
  <c r="BC4177" i="496"/>
  <c r="I4177" i="496"/>
  <c r="H4177" i="496"/>
  <c r="E4177" i="496"/>
  <c r="D4177" i="496"/>
  <c r="C4177" i="496"/>
  <c r="BE4176" i="496"/>
  <c r="BC4176" i="496"/>
  <c r="I4176" i="496"/>
  <c r="H4176" i="496"/>
  <c r="E4176" i="496"/>
  <c r="D4176" i="496"/>
  <c r="C4176" i="496"/>
  <c r="BE4175" i="496"/>
  <c r="BC4175" i="496"/>
  <c r="I4175" i="496"/>
  <c r="H4175" i="496"/>
  <c r="E4175" i="496"/>
  <c r="D4175" i="496"/>
  <c r="C4175" i="496"/>
  <c r="BE4174" i="496"/>
  <c r="BC4174" i="496"/>
  <c r="I4174" i="496"/>
  <c r="H4174" i="496"/>
  <c r="E4174" i="496"/>
  <c r="D4174" i="496"/>
  <c r="C4174" i="496"/>
  <c r="BE4173" i="496"/>
  <c r="BC4173" i="496"/>
  <c r="I4173" i="496"/>
  <c r="H4173" i="496"/>
  <c r="E4173" i="496"/>
  <c r="D4173" i="496"/>
  <c r="C4173" i="496"/>
  <c r="BE4172" i="496"/>
  <c r="BC4172" i="496"/>
  <c r="I4172" i="496"/>
  <c r="H4172" i="496"/>
  <c r="E4172" i="496"/>
  <c r="D4172" i="496"/>
  <c r="C4172" i="496"/>
  <c r="BE4171" i="496"/>
  <c r="BC4171" i="496"/>
  <c r="I4171" i="496"/>
  <c r="H4171" i="496"/>
  <c r="E4171" i="496"/>
  <c r="D4171" i="496"/>
  <c r="C4171" i="496"/>
  <c r="BE4170" i="496"/>
  <c r="BC4170" i="496"/>
  <c r="I4170" i="496"/>
  <c r="H4170" i="496"/>
  <c r="E4170" i="496"/>
  <c r="D4170" i="496"/>
  <c r="C4170" i="496"/>
  <c r="BE4169" i="496"/>
  <c r="BC4169" i="496"/>
  <c r="I4169" i="496"/>
  <c r="H4169" i="496"/>
  <c r="E4169" i="496"/>
  <c r="D4169" i="496"/>
  <c r="C4169" i="496"/>
  <c r="BE4168" i="496"/>
  <c r="BC4168" i="496"/>
  <c r="I4168" i="496"/>
  <c r="H4168" i="496"/>
  <c r="E4168" i="496"/>
  <c r="D4168" i="496"/>
  <c r="C4168" i="496"/>
  <c r="BE4167" i="496"/>
  <c r="BC4167" i="496"/>
  <c r="I4167" i="496"/>
  <c r="H4167" i="496"/>
  <c r="E4167" i="496"/>
  <c r="D4167" i="496"/>
  <c r="C4167" i="496"/>
  <c r="BE4166" i="496"/>
  <c r="BC4166" i="496"/>
  <c r="I4166" i="496"/>
  <c r="H4166" i="496"/>
  <c r="E4166" i="496"/>
  <c r="D4166" i="496"/>
  <c r="C4166" i="496"/>
  <c r="BE4165" i="496"/>
  <c r="BC4165" i="496"/>
  <c r="I4165" i="496"/>
  <c r="H4165" i="496"/>
  <c r="E4165" i="496"/>
  <c r="D4165" i="496"/>
  <c r="C4165" i="496"/>
  <c r="BE4164" i="496"/>
  <c r="BC4164" i="496"/>
  <c r="I4164" i="496"/>
  <c r="H4164" i="496"/>
  <c r="E4164" i="496"/>
  <c r="D4164" i="496"/>
  <c r="C4164" i="496"/>
  <c r="BE4163" i="496"/>
  <c r="BC4163" i="496"/>
  <c r="I4163" i="496"/>
  <c r="H4163" i="496"/>
  <c r="E4163" i="496"/>
  <c r="D4163" i="496"/>
  <c r="C4163" i="496"/>
  <c r="BE4162" i="496"/>
  <c r="BC4162" i="496"/>
  <c r="I4162" i="496"/>
  <c r="H4162" i="496"/>
  <c r="E4162" i="496"/>
  <c r="D4162" i="496"/>
  <c r="C4162" i="496"/>
  <c r="BE4161" i="496"/>
  <c r="BC4161" i="496"/>
  <c r="I4161" i="496"/>
  <c r="H4161" i="496"/>
  <c r="E4161" i="496"/>
  <c r="D4161" i="496"/>
  <c r="C4161" i="496"/>
  <c r="BE4160" i="496"/>
  <c r="BC4160" i="496"/>
  <c r="I4160" i="496"/>
  <c r="H4160" i="496"/>
  <c r="E4160" i="496"/>
  <c r="D4160" i="496"/>
  <c r="C4160" i="496"/>
  <c r="BE4159" i="496"/>
  <c r="BC4159" i="496"/>
  <c r="I4159" i="496"/>
  <c r="H4159" i="496"/>
  <c r="E4159" i="496"/>
  <c r="D4159" i="496"/>
  <c r="C4159" i="496"/>
  <c r="BE4158" i="496"/>
  <c r="BC4158" i="496"/>
  <c r="I4158" i="496"/>
  <c r="H4158" i="496"/>
  <c r="E4158" i="496"/>
  <c r="D4158" i="496"/>
  <c r="C4158" i="496"/>
  <c r="BE4157" i="496"/>
  <c r="BC4157" i="496"/>
  <c r="I4157" i="496"/>
  <c r="H4157" i="496"/>
  <c r="E4157" i="496"/>
  <c r="D4157" i="496"/>
  <c r="C4157" i="496"/>
  <c r="BE4156" i="496"/>
  <c r="BC4156" i="496"/>
  <c r="I4156" i="496"/>
  <c r="H4156" i="496"/>
  <c r="E4156" i="496"/>
  <c r="D4156" i="496"/>
  <c r="C4156" i="496"/>
  <c r="BE4155" i="496"/>
  <c r="BC4155" i="496"/>
  <c r="I4155" i="496"/>
  <c r="H4155" i="496"/>
  <c r="E4155" i="496"/>
  <c r="D4155" i="496"/>
  <c r="C4155" i="496"/>
  <c r="BE4154" i="496"/>
  <c r="BC4154" i="496"/>
  <c r="I4154" i="496"/>
  <c r="H4154" i="496"/>
  <c r="E4154" i="496"/>
  <c r="D4154" i="496"/>
  <c r="C4154" i="496"/>
  <c r="BE4153" i="496"/>
  <c r="BC4153" i="496"/>
  <c r="I4153" i="496"/>
  <c r="H4153" i="496"/>
  <c r="E4153" i="496"/>
  <c r="D4153" i="496"/>
  <c r="C4153" i="496"/>
  <c r="BE4152" i="496"/>
  <c r="BC4152" i="496"/>
  <c r="I4152" i="496"/>
  <c r="H4152" i="496"/>
  <c r="E4152" i="496"/>
  <c r="D4152" i="496"/>
  <c r="C4152" i="496"/>
  <c r="BE4151" i="496"/>
  <c r="BC4151" i="496"/>
  <c r="I4151" i="496"/>
  <c r="H4151" i="496"/>
  <c r="E4151" i="496"/>
  <c r="D4151" i="496"/>
  <c r="C4151" i="496"/>
  <c r="BE4150" i="496"/>
  <c r="BC4150" i="496"/>
  <c r="I4150" i="496"/>
  <c r="H4150" i="496"/>
  <c r="E4150" i="496"/>
  <c r="D4150" i="496"/>
  <c r="C4150" i="496"/>
  <c r="BE4149" i="496"/>
  <c r="BC4149" i="496"/>
  <c r="I4149" i="496"/>
  <c r="H4149" i="496"/>
  <c r="E4149" i="496"/>
  <c r="D4149" i="496"/>
  <c r="C4149" i="496"/>
  <c r="BE4148" i="496"/>
  <c r="BC4148" i="496"/>
  <c r="I4148" i="496"/>
  <c r="H4148" i="496"/>
  <c r="E4148" i="496"/>
  <c r="D4148" i="496"/>
  <c r="C4148" i="496"/>
  <c r="BE4147" i="496"/>
  <c r="BC4147" i="496"/>
  <c r="I4147" i="496"/>
  <c r="H4147" i="496"/>
  <c r="E4147" i="496"/>
  <c r="D4147" i="496"/>
  <c r="C4147" i="496"/>
  <c r="BE4146" i="496"/>
  <c r="BC4146" i="496"/>
  <c r="I4146" i="496"/>
  <c r="H4146" i="496"/>
  <c r="E4146" i="496"/>
  <c r="D4146" i="496"/>
  <c r="C4146" i="496"/>
  <c r="BE4145" i="496"/>
  <c r="BC4145" i="496"/>
  <c r="I4145" i="496"/>
  <c r="H4145" i="496"/>
  <c r="E4145" i="496"/>
  <c r="D4145" i="496"/>
  <c r="C4145" i="496"/>
  <c r="BE4144" i="496"/>
  <c r="BC4144" i="496"/>
  <c r="I4144" i="496"/>
  <c r="H4144" i="496"/>
  <c r="E4144" i="496"/>
  <c r="D4144" i="496"/>
  <c r="C4144" i="496"/>
  <c r="BE4143" i="496"/>
  <c r="BC4143" i="496"/>
  <c r="I4143" i="496"/>
  <c r="H4143" i="496"/>
  <c r="E4143" i="496"/>
  <c r="D4143" i="496"/>
  <c r="C4143" i="496"/>
  <c r="BE4142" i="496"/>
  <c r="BC4142" i="496"/>
  <c r="I4142" i="496"/>
  <c r="H4142" i="496"/>
  <c r="E4142" i="496"/>
  <c r="D4142" i="496"/>
  <c r="C4142" i="496"/>
  <c r="BE4141" i="496"/>
  <c r="BC4141" i="496"/>
  <c r="I4141" i="496"/>
  <c r="H4141" i="496"/>
  <c r="E4141" i="496"/>
  <c r="D4141" i="496"/>
  <c r="C4141" i="496"/>
  <c r="BE4140" i="496"/>
  <c r="BC4140" i="496"/>
  <c r="I4140" i="496"/>
  <c r="H4140" i="496"/>
  <c r="E4140" i="496"/>
  <c r="D4140" i="496"/>
  <c r="C4140" i="496"/>
  <c r="BE4139" i="496"/>
  <c r="BC4139" i="496"/>
  <c r="I4139" i="496"/>
  <c r="H4139" i="496"/>
  <c r="E4139" i="496"/>
  <c r="D4139" i="496"/>
  <c r="C4139" i="496"/>
  <c r="BE4138" i="496"/>
  <c r="BC4138" i="496"/>
  <c r="I4138" i="496"/>
  <c r="H4138" i="496"/>
  <c r="E4138" i="496"/>
  <c r="D4138" i="496"/>
  <c r="C4138" i="496"/>
  <c r="BE4137" i="496"/>
  <c r="BC4137" i="496"/>
  <c r="I4137" i="496"/>
  <c r="H4137" i="496"/>
  <c r="E4137" i="496"/>
  <c r="D4137" i="496"/>
  <c r="C4137" i="496"/>
  <c r="BE4136" i="496"/>
  <c r="BC4136" i="496"/>
  <c r="I4136" i="496"/>
  <c r="H4136" i="496"/>
  <c r="E4136" i="496"/>
  <c r="D4136" i="496"/>
  <c r="C4136" i="496"/>
  <c r="BE4135" i="496"/>
  <c r="BC4135" i="496"/>
  <c r="I4135" i="496"/>
  <c r="H4135" i="496"/>
  <c r="E4135" i="496"/>
  <c r="D4135" i="496"/>
  <c r="C4135" i="496"/>
  <c r="BE4134" i="496"/>
  <c r="BC4134" i="496"/>
  <c r="I4134" i="496"/>
  <c r="H4134" i="496"/>
  <c r="E4134" i="496"/>
  <c r="D4134" i="496"/>
  <c r="C4134" i="496"/>
  <c r="BE4133" i="496"/>
  <c r="BC4133" i="496"/>
  <c r="I4133" i="496"/>
  <c r="H4133" i="496"/>
  <c r="E4133" i="496"/>
  <c r="D4133" i="496"/>
  <c r="C4133" i="496"/>
  <c r="BE4132" i="496"/>
  <c r="BC4132" i="496"/>
  <c r="I4132" i="496"/>
  <c r="H4132" i="496"/>
  <c r="E4132" i="496"/>
  <c r="D4132" i="496"/>
  <c r="C4132" i="496"/>
  <c r="BE4131" i="496"/>
  <c r="BC4131" i="496"/>
  <c r="I4131" i="496"/>
  <c r="H4131" i="496"/>
  <c r="E4131" i="496"/>
  <c r="D4131" i="496"/>
  <c r="C4131" i="496"/>
  <c r="BE4130" i="496"/>
  <c r="BC4130" i="496"/>
  <c r="I4130" i="496"/>
  <c r="H4130" i="496"/>
  <c r="E4130" i="496"/>
  <c r="D4130" i="496"/>
  <c r="C4130" i="496"/>
  <c r="BE4129" i="496"/>
  <c r="BC4129" i="496"/>
  <c r="I4129" i="496"/>
  <c r="H4129" i="496"/>
  <c r="E4129" i="496"/>
  <c r="D4129" i="496"/>
  <c r="C4129" i="496"/>
  <c r="BE4128" i="496"/>
  <c r="BC4128" i="496"/>
  <c r="I4128" i="496"/>
  <c r="H4128" i="496"/>
  <c r="E4128" i="496"/>
  <c r="D4128" i="496"/>
  <c r="C4128" i="496"/>
  <c r="BE4127" i="496"/>
  <c r="BC4127" i="496"/>
  <c r="I4127" i="496"/>
  <c r="H4127" i="496"/>
  <c r="E4127" i="496"/>
  <c r="D4127" i="496"/>
  <c r="C4127" i="496"/>
  <c r="BE4126" i="496"/>
  <c r="BC4126" i="496"/>
  <c r="I4126" i="496"/>
  <c r="H4126" i="496"/>
  <c r="E4126" i="496"/>
  <c r="D4126" i="496"/>
  <c r="C4126" i="496"/>
  <c r="BE4125" i="496"/>
  <c r="BC4125" i="496"/>
  <c r="I4125" i="496"/>
  <c r="H4125" i="496"/>
  <c r="E4125" i="496"/>
  <c r="D4125" i="496"/>
  <c r="C4125" i="496"/>
  <c r="BE4124" i="496"/>
  <c r="BC4124" i="496"/>
  <c r="I4124" i="496"/>
  <c r="H4124" i="496"/>
  <c r="E4124" i="496"/>
  <c r="D4124" i="496"/>
  <c r="C4124" i="496"/>
  <c r="BE4123" i="496"/>
  <c r="BC4123" i="496"/>
  <c r="I4123" i="496"/>
  <c r="H4123" i="496"/>
  <c r="E4123" i="496"/>
  <c r="D4123" i="496"/>
  <c r="C4123" i="496"/>
  <c r="BE4122" i="496"/>
  <c r="BC4122" i="496"/>
  <c r="I4122" i="496"/>
  <c r="H4122" i="496"/>
  <c r="E4122" i="496"/>
  <c r="D4122" i="496"/>
  <c r="C4122" i="496"/>
  <c r="BE4121" i="496"/>
  <c r="BC4121" i="496"/>
  <c r="I4121" i="496"/>
  <c r="H4121" i="496"/>
  <c r="E4121" i="496"/>
  <c r="D4121" i="496"/>
  <c r="C4121" i="496"/>
  <c r="BE4120" i="496"/>
  <c r="BC4120" i="496"/>
  <c r="I4120" i="496"/>
  <c r="H4120" i="496"/>
  <c r="E4120" i="496"/>
  <c r="D4120" i="496"/>
  <c r="C4120" i="496"/>
  <c r="BE4119" i="496"/>
  <c r="BC4119" i="496"/>
  <c r="I4119" i="496"/>
  <c r="H4119" i="496"/>
  <c r="E4119" i="496"/>
  <c r="D4119" i="496"/>
  <c r="C4119" i="496"/>
  <c r="BE4118" i="496"/>
  <c r="BC4118" i="496"/>
  <c r="I4118" i="496"/>
  <c r="H4118" i="496"/>
  <c r="E4118" i="496"/>
  <c r="D4118" i="496"/>
  <c r="C4118" i="496"/>
  <c r="BE4117" i="496"/>
  <c r="BC4117" i="496"/>
  <c r="I4117" i="496"/>
  <c r="H4117" i="496"/>
  <c r="E4117" i="496"/>
  <c r="D4117" i="496"/>
  <c r="C4117" i="496"/>
  <c r="BE4116" i="496"/>
  <c r="BC4116" i="496"/>
  <c r="I4116" i="496"/>
  <c r="H4116" i="496"/>
  <c r="E4116" i="496"/>
  <c r="D4116" i="496"/>
  <c r="C4116" i="496"/>
  <c r="BE4115" i="496"/>
  <c r="BC4115" i="496"/>
  <c r="I4115" i="496"/>
  <c r="H4115" i="496"/>
  <c r="E4115" i="496"/>
  <c r="D4115" i="496"/>
  <c r="C4115" i="496"/>
  <c r="BE4114" i="496"/>
  <c r="BC4114" i="496"/>
  <c r="I4114" i="496"/>
  <c r="H4114" i="496"/>
  <c r="E4114" i="496"/>
  <c r="D4114" i="496"/>
  <c r="C4114" i="496"/>
  <c r="BE4113" i="496"/>
  <c r="BC4113" i="496"/>
  <c r="I4113" i="496"/>
  <c r="H4113" i="496"/>
  <c r="E4113" i="496"/>
  <c r="D4113" i="496"/>
  <c r="C4113" i="496"/>
  <c r="BE4112" i="496"/>
  <c r="BC4112" i="496"/>
  <c r="I4112" i="496"/>
  <c r="H4112" i="496"/>
  <c r="E4112" i="496"/>
  <c r="D4112" i="496"/>
  <c r="C4112" i="496"/>
  <c r="BE4111" i="496"/>
  <c r="BC4111" i="496"/>
  <c r="I4111" i="496"/>
  <c r="H4111" i="496"/>
  <c r="E4111" i="496"/>
  <c r="D4111" i="496"/>
  <c r="C4111" i="496"/>
  <c r="BE4110" i="496"/>
  <c r="BC4110" i="496"/>
  <c r="I4110" i="496"/>
  <c r="H4110" i="496"/>
  <c r="E4110" i="496"/>
  <c r="D4110" i="496"/>
  <c r="C4110" i="496"/>
  <c r="BE4109" i="496"/>
  <c r="BC4109" i="496"/>
  <c r="I4109" i="496"/>
  <c r="H4109" i="496"/>
  <c r="E4109" i="496"/>
  <c r="D4109" i="496"/>
  <c r="C4109" i="496"/>
  <c r="BE4108" i="496"/>
  <c r="BC4108" i="496"/>
  <c r="I4108" i="496"/>
  <c r="H4108" i="496"/>
  <c r="E4108" i="496"/>
  <c r="D4108" i="496"/>
  <c r="C4108" i="496"/>
  <c r="BE4107" i="496"/>
  <c r="BC4107" i="496"/>
  <c r="I4107" i="496"/>
  <c r="H4107" i="496"/>
  <c r="E4107" i="496"/>
  <c r="D4107" i="496"/>
  <c r="C4107" i="496"/>
  <c r="BE4106" i="496"/>
  <c r="BC4106" i="496"/>
  <c r="I4106" i="496"/>
  <c r="H4106" i="496"/>
  <c r="E4106" i="496"/>
  <c r="D4106" i="496"/>
  <c r="C4106" i="496"/>
  <c r="BE4105" i="496"/>
  <c r="BC4105" i="496"/>
  <c r="I4105" i="496"/>
  <c r="H4105" i="496"/>
  <c r="E4105" i="496"/>
  <c r="D4105" i="496"/>
  <c r="C4105" i="496"/>
  <c r="BE4104" i="496"/>
  <c r="BC4104" i="496"/>
  <c r="I4104" i="496"/>
  <c r="H4104" i="496"/>
  <c r="E4104" i="496"/>
  <c r="D4104" i="496"/>
  <c r="C4104" i="496"/>
  <c r="BE4103" i="496"/>
  <c r="BC4103" i="496"/>
  <c r="I4103" i="496"/>
  <c r="H4103" i="496"/>
  <c r="E4103" i="496"/>
  <c r="D4103" i="496"/>
  <c r="C4103" i="496"/>
  <c r="BE4102" i="496"/>
  <c r="BC4102" i="496"/>
  <c r="I4102" i="496"/>
  <c r="H4102" i="496"/>
  <c r="E4102" i="496"/>
  <c r="D4102" i="496"/>
  <c r="C4102" i="496"/>
  <c r="BE4101" i="496"/>
  <c r="BC4101" i="496"/>
  <c r="I4101" i="496"/>
  <c r="H4101" i="496"/>
  <c r="E4101" i="496"/>
  <c r="D4101" i="496"/>
  <c r="C4101" i="496"/>
  <c r="BE4100" i="496"/>
  <c r="BC4100" i="496"/>
  <c r="I4100" i="496"/>
  <c r="H4100" i="496"/>
  <c r="E4100" i="496"/>
  <c r="D4100" i="496"/>
  <c r="C4100" i="496"/>
  <c r="BE4099" i="496"/>
  <c r="BC4099" i="496"/>
  <c r="I4099" i="496"/>
  <c r="H4099" i="496"/>
  <c r="E4099" i="496"/>
  <c r="D4099" i="496"/>
  <c r="C4099" i="496"/>
  <c r="BE4098" i="496"/>
  <c r="BC4098" i="496"/>
  <c r="I4098" i="496"/>
  <c r="H4098" i="496"/>
  <c r="E4098" i="496"/>
  <c r="D4098" i="496"/>
  <c r="C4098" i="496"/>
  <c r="BE4097" i="496"/>
  <c r="BC4097" i="496"/>
  <c r="I4097" i="496"/>
  <c r="H4097" i="496"/>
  <c r="E4097" i="496"/>
  <c r="D4097" i="496"/>
  <c r="C4097" i="496"/>
  <c r="BE4096" i="496"/>
  <c r="BC4096" i="496"/>
  <c r="I4096" i="496"/>
  <c r="H4096" i="496"/>
  <c r="E4096" i="496"/>
  <c r="D4096" i="496"/>
  <c r="C4096" i="496"/>
  <c r="BE4095" i="496"/>
  <c r="BC4095" i="496"/>
  <c r="I4095" i="496"/>
  <c r="H4095" i="496"/>
  <c r="E4095" i="496"/>
  <c r="D4095" i="496"/>
  <c r="C4095" i="496"/>
  <c r="BE4094" i="496"/>
  <c r="BC4094" i="496"/>
  <c r="I4094" i="496"/>
  <c r="H4094" i="496"/>
  <c r="E4094" i="496"/>
  <c r="D4094" i="496"/>
  <c r="C4094" i="496"/>
  <c r="BE4093" i="496"/>
  <c r="BC4093" i="496"/>
  <c r="I4093" i="496"/>
  <c r="H4093" i="496"/>
  <c r="E4093" i="496"/>
  <c r="D4093" i="496"/>
  <c r="C4093" i="496"/>
  <c r="BE4092" i="496"/>
  <c r="BC4092" i="496"/>
  <c r="I4092" i="496"/>
  <c r="H4092" i="496"/>
  <c r="E4092" i="496"/>
  <c r="D4092" i="496"/>
  <c r="C4092" i="496"/>
  <c r="BE4091" i="496"/>
  <c r="BC4091" i="496"/>
  <c r="I4091" i="496"/>
  <c r="H4091" i="496"/>
  <c r="E4091" i="496"/>
  <c r="D4091" i="496"/>
  <c r="C4091" i="496"/>
  <c r="BE4090" i="496"/>
  <c r="BC4090" i="496"/>
  <c r="I4090" i="496"/>
  <c r="H4090" i="496"/>
  <c r="E4090" i="496"/>
  <c r="D4090" i="496"/>
  <c r="C4090" i="496"/>
  <c r="BE4089" i="496"/>
  <c r="BC4089" i="496"/>
  <c r="I4089" i="496"/>
  <c r="H4089" i="496"/>
  <c r="E4089" i="496"/>
  <c r="D4089" i="496"/>
  <c r="C4089" i="496"/>
  <c r="BE4088" i="496"/>
  <c r="BC4088" i="496"/>
  <c r="I4088" i="496"/>
  <c r="H4088" i="496"/>
  <c r="E4088" i="496"/>
  <c r="D4088" i="496"/>
  <c r="C4088" i="496"/>
  <c r="BE4087" i="496"/>
  <c r="BC4087" i="496"/>
  <c r="I4087" i="496"/>
  <c r="H4087" i="496"/>
  <c r="E4087" i="496"/>
  <c r="D4087" i="496"/>
  <c r="C4087" i="496"/>
  <c r="BE4086" i="496"/>
  <c r="BC4086" i="496"/>
  <c r="I4086" i="496"/>
  <c r="H4086" i="496"/>
  <c r="E4086" i="496"/>
  <c r="D4086" i="496"/>
  <c r="C4086" i="496"/>
  <c r="BE4085" i="496"/>
  <c r="BC4085" i="496"/>
  <c r="I4085" i="496"/>
  <c r="H4085" i="496"/>
  <c r="E4085" i="496"/>
  <c r="D4085" i="496"/>
  <c r="C4085" i="496"/>
  <c r="BE4084" i="496"/>
  <c r="BC4084" i="496"/>
  <c r="I4084" i="496"/>
  <c r="H4084" i="496"/>
  <c r="E4084" i="496"/>
  <c r="D4084" i="496"/>
  <c r="C4084" i="496"/>
  <c r="BE4083" i="496"/>
  <c r="BC4083" i="496"/>
  <c r="I4083" i="496"/>
  <c r="H4083" i="496"/>
  <c r="E4083" i="496"/>
  <c r="D4083" i="496"/>
  <c r="C4083" i="496"/>
  <c r="BE4082" i="496"/>
  <c r="BC4082" i="496"/>
  <c r="I4082" i="496"/>
  <c r="H4082" i="496"/>
  <c r="E4082" i="496"/>
  <c r="D4082" i="496"/>
  <c r="C4082" i="496"/>
  <c r="BE4081" i="496"/>
  <c r="BC4081" i="496"/>
  <c r="I4081" i="496"/>
  <c r="H4081" i="496"/>
  <c r="E4081" i="496"/>
  <c r="D4081" i="496"/>
  <c r="C4081" i="496"/>
  <c r="BE4080" i="496"/>
  <c r="BC4080" i="496"/>
  <c r="I4080" i="496"/>
  <c r="H4080" i="496"/>
  <c r="E4080" i="496"/>
  <c r="D4080" i="496"/>
  <c r="C4080" i="496"/>
  <c r="BE4079" i="496"/>
  <c r="BC4079" i="496"/>
  <c r="I4079" i="496"/>
  <c r="H4079" i="496"/>
  <c r="E4079" i="496"/>
  <c r="D4079" i="496"/>
  <c r="C4079" i="496"/>
  <c r="BE4078" i="496"/>
  <c r="BC4078" i="496"/>
  <c r="I4078" i="496"/>
  <c r="H4078" i="496"/>
  <c r="E4078" i="496"/>
  <c r="D4078" i="496"/>
  <c r="C4078" i="496"/>
  <c r="BE4077" i="496"/>
  <c r="BC4077" i="496"/>
  <c r="I4077" i="496"/>
  <c r="H4077" i="496"/>
  <c r="E4077" i="496"/>
  <c r="D4077" i="496"/>
  <c r="C4077" i="496"/>
  <c r="BE4076" i="496"/>
  <c r="BC4076" i="496"/>
  <c r="I4076" i="496"/>
  <c r="H4076" i="496"/>
  <c r="E4076" i="496"/>
  <c r="D4076" i="496"/>
  <c r="C4076" i="496"/>
  <c r="BE4075" i="496"/>
  <c r="BC4075" i="496"/>
  <c r="I4075" i="496"/>
  <c r="H4075" i="496"/>
  <c r="E4075" i="496"/>
  <c r="D4075" i="496"/>
  <c r="C4075" i="496"/>
  <c r="BE4074" i="496"/>
  <c r="BC4074" i="496"/>
  <c r="I4074" i="496"/>
  <c r="H4074" i="496"/>
  <c r="E4074" i="496"/>
  <c r="D4074" i="496"/>
  <c r="C4074" i="496"/>
  <c r="BE4073" i="496"/>
  <c r="BC4073" i="496"/>
  <c r="I4073" i="496"/>
  <c r="H4073" i="496"/>
  <c r="E4073" i="496"/>
  <c r="D4073" i="496"/>
  <c r="C4073" i="496"/>
  <c r="BE4072" i="496"/>
  <c r="BC4072" i="496"/>
  <c r="I4072" i="496"/>
  <c r="H4072" i="496"/>
  <c r="E4072" i="496"/>
  <c r="D4072" i="496"/>
  <c r="C4072" i="496"/>
  <c r="BE4071" i="496"/>
  <c r="BC4071" i="496"/>
  <c r="I4071" i="496"/>
  <c r="H4071" i="496"/>
  <c r="E4071" i="496"/>
  <c r="D4071" i="496"/>
  <c r="C4071" i="496"/>
  <c r="BE4070" i="496"/>
  <c r="BC4070" i="496"/>
  <c r="I4070" i="496"/>
  <c r="H4070" i="496"/>
  <c r="E4070" i="496"/>
  <c r="D4070" i="496"/>
  <c r="C4070" i="496"/>
  <c r="BE4069" i="496"/>
  <c r="BC4069" i="496"/>
  <c r="I4069" i="496"/>
  <c r="H4069" i="496"/>
  <c r="E4069" i="496"/>
  <c r="D4069" i="496"/>
  <c r="C4069" i="496"/>
  <c r="BE4068" i="496"/>
  <c r="BC4068" i="496"/>
  <c r="I4068" i="496"/>
  <c r="H4068" i="496"/>
  <c r="E4068" i="496"/>
  <c r="D4068" i="496"/>
  <c r="C4068" i="496"/>
  <c r="BE4067" i="496"/>
  <c r="BC4067" i="496"/>
  <c r="I4067" i="496"/>
  <c r="H4067" i="496"/>
  <c r="E4067" i="496"/>
  <c r="D4067" i="496"/>
  <c r="C4067" i="496"/>
  <c r="BE4066" i="496"/>
  <c r="BC4066" i="496"/>
  <c r="I4066" i="496"/>
  <c r="H4066" i="496"/>
  <c r="E4066" i="496"/>
  <c r="D4066" i="496"/>
  <c r="C4066" i="496"/>
  <c r="BE4065" i="496"/>
  <c r="BC4065" i="496"/>
  <c r="I4065" i="496"/>
  <c r="H4065" i="496"/>
  <c r="E4065" i="496"/>
  <c r="D4065" i="496"/>
  <c r="C4065" i="496"/>
  <c r="BE4064" i="496"/>
  <c r="BC4064" i="496"/>
  <c r="I4064" i="496"/>
  <c r="H4064" i="496"/>
  <c r="E4064" i="496"/>
  <c r="D4064" i="496"/>
  <c r="C4064" i="496"/>
  <c r="BE4063" i="496"/>
  <c r="BC4063" i="496"/>
  <c r="I4063" i="496"/>
  <c r="H4063" i="496"/>
  <c r="E4063" i="496"/>
  <c r="D4063" i="496"/>
  <c r="C4063" i="496"/>
  <c r="BE4062" i="496"/>
  <c r="BC4062" i="496"/>
  <c r="I4062" i="496"/>
  <c r="H4062" i="496"/>
  <c r="E4062" i="496"/>
  <c r="D4062" i="496"/>
  <c r="C4062" i="496"/>
  <c r="BE4061" i="496"/>
  <c r="BC4061" i="496"/>
  <c r="I4061" i="496"/>
  <c r="H4061" i="496"/>
  <c r="E4061" i="496"/>
  <c r="D4061" i="496"/>
  <c r="C4061" i="496"/>
  <c r="BE4060" i="496"/>
  <c r="BC4060" i="496"/>
  <c r="I4060" i="496"/>
  <c r="H4060" i="496"/>
  <c r="E4060" i="496"/>
  <c r="D4060" i="496"/>
  <c r="C4060" i="496"/>
  <c r="BE4059" i="496"/>
  <c r="BC4059" i="496"/>
  <c r="I4059" i="496"/>
  <c r="H4059" i="496"/>
  <c r="E4059" i="496"/>
  <c r="D4059" i="496"/>
  <c r="C4059" i="496"/>
  <c r="BE4058" i="496"/>
  <c r="BC4058" i="496"/>
  <c r="I4058" i="496"/>
  <c r="H4058" i="496"/>
  <c r="E4058" i="496"/>
  <c r="D4058" i="496"/>
  <c r="C4058" i="496"/>
  <c r="BE4057" i="496"/>
  <c r="BC4057" i="496"/>
  <c r="I4057" i="496"/>
  <c r="H4057" i="496"/>
  <c r="E4057" i="496"/>
  <c r="D4057" i="496"/>
  <c r="C4057" i="496"/>
  <c r="BE4056" i="496"/>
  <c r="BC4056" i="496"/>
  <c r="I4056" i="496"/>
  <c r="H4056" i="496"/>
  <c r="E4056" i="496"/>
  <c r="D4056" i="496"/>
  <c r="C4056" i="496"/>
  <c r="BE4055" i="496"/>
  <c r="BC4055" i="496"/>
  <c r="I4055" i="496"/>
  <c r="H4055" i="496"/>
  <c r="E4055" i="496"/>
  <c r="D4055" i="496"/>
  <c r="C4055" i="496"/>
  <c r="BE4054" i="496"/>
  <c r="BC4054" i="496"/>
  <c r="I4054" i="496"/>
  <c r="H4054" i="496"/>
  <c r="E4054" i="496"/>
  <c r="D4054" i="496"/>
  <c r="C4054" i="496"/>
  <c r="BE4053" i="496"/>
  <c r="BC4053" i="496"/>
  <c r="I4053" i="496"/>
  <c r="H4053" i="496"/>
  <c r="E4053" i="496"/>
  <c r="D4053" i="496"/>
  <c r="C4053" i="496"/>
  <c r="BE4052" i="496"/>
  <c r="BC4052" i="496"/>
  <c r="I4052" i="496"/>
  <c r="H4052" i="496"/>
  <c r="E4052" i="496"/>
  <c r="D4052" i="496"/>
  <c r="C4052" i="496"/>
  <c r="BE4051" i="496"/>
  <c r="BC4051" i="496"/>
  <c r="I4051" i="496"/>
  <c r="H4051" i="496"/>
  <c r="E4051" i="496"/>
  <c r="D4051" i="496"/>
  <c r="C4051" i="496"/>
  <c r="BE4050" i="496"/>
  <c r="BC4050" i="496"/>
  <c r="I4050" i="496"/>
  <c r="H4050" i="496"/>
  <c r="E4050" i="496"/>
  <c r="D4050" i="496"/>
  <c r="C4050" i="496"/>
  <c r="BE4049" i="496"/>
  <c r="BC4049" i="496"/>
  <c r="I4049" i="496"/>
  <c r="H4049" i="496"/>
  <c r="E4049" i="496"/>
  <c r="D4049" i="496"/>
  <c r="C4049" i="496"/>
  <c r="BE4048" i="496"/>
  <c r="BC4048" i="496"/>
  <c r="I4048" i="496"/>
  <c r="H4048" i="496"/>
  <c r="E4048" i="496"/>
  <c r="D4048" i="496"/>
  <c r="C4048" i="496"/>
  <c r="BE4047" i="496"/>
  <c r="BC4047" i="496"/>
  <c r="I4047" i="496"/>
  <c r="H4047" i="496"/>
  <c r="E4047" i="496"/>
  <c r="D4047" i="496"/>
  <c r="C4047" i="496"/>
  <c r="BE4046" i="496"/>
  <c r="BC4046" i="496"/>
  <c r="I4046" i="496"/>
  <c r="H4046" i="496"/>
  <c r="E4046" i="496"/>
  <c r="D4046" i="496"/>
  <c r="C4046" i="496"/>
  <c r="BE4045" i="496"/>
  <c r="BC4045" i="496"/>
  <c r="I4045" i="496"/>
  <c r="H4045" i="496"/>
  <c r="E4045" i="496"/>
  <c r="D4045" i="496"/>
  <c r="C4045" i="496"/>
  <c r="BE4044" i="496"/>
  <c r="BC4044" i="496"/>
  <c r="I4044" i="496"/>
  <c r="H4044" i="496"/>
  <c r="E4044" i="496"/>
  <c r="D4044" i="496"/>
  <c r="C4044" i="496"/>
  <c r="BE4043" i="496"/>
  <c r="BC4043" i="496"/>
  <c r="I4043" i="496"/>
  <c r="H4043" i="496"/>
  <c r="E4043" i="496"/>
  <c r="D4043" i="496"/>
  <c r="C4043" i="496"/>
  <c r="BE4042" i="496"/>
  <c r="BC4042" i="496"/>
  <c r="I4042" i="496"/>
  <c r="H4042" i="496"/>
  <c r="E4042" i="496"/>
  <c r="D4042" i="496"/>
  <c r="C4042" i="496"/>
  <c r="BE4041" i="496"/>
  <c r="BC4041" i="496"/>
  <c r="I4041" i="496"/>
  <c r="H4041" i="496"/>
  <c r="E4041" i="496"/>
  <c r="D4041" i="496"/>
  <c r="C4041" i="496"/>
  <c r="BE4040" i="496"/>
  <c r="BC4040" i="496"/>
  <c r="I4040" i="496"/>
  <c r="H4040" i="496"/>
  <c r="E4040" i="496"/>
  <c r="D4040" i="496"/>
  <c r="C4040" i="496"/>
  <c r="BE4039" i="496"/>
  <c r="BC4039" i="496"/>
  <c r="I4039" i="496"/>
  <c r="H4039" i="496"/>
  <c r="E4039" i="496"/>
  <c r="D4039" i="496"/>
  <c r="C4039" i="496"/>
  <c r="BE4038" i="496"/>
  <c r="BC4038" i="496"/>
  <c r="I4038" i="496"/>
  <c r="H4038" i="496"/>
  <c r="E4038" i="496"/>
  <c r="D4038" i="496"/>
  <c r="C4038" i="496"/>
  <c r="BE4037" i="496"/>
  <c r="BC4037" i="496"/>
  <c r="I4037" i="496"/>
  <c r="H4037" i="496"/>
  <c r="E4037" i="496"/>
  <c r="D4037" i="496"/>
  <c r="C4037" i="496"/>
  <c r="BE4036" i="496"/>
  <c r="BC4036" i="496"/>
  <c r="I4036" i="496"/>
  <c r="H4036" i="496"/>
  <c r="E4036" i="496"/>
  <c r="D4036" i="496"/>
  <c r="C4036" i="496"/>
  <c r="BE4035" i="496"/>
  <c r="BC4035" i="496"/>
  <c r="I4035" i="496"/>
  <c r="H4035" i="496"/>
  <c r="E4035" i="496"/>
  <c r="D4035" i="496"/>
  <c r="C4035" i="496"/>
  <c r="BE4034" i="496"/>
  <c r="BC4034" i="496"/>
  <c r="I4034" i="496"/>
  <c r="H4034" i="496"/>
  <c r="E4034" i="496"/>
  <c r="D4034" i="496"/>
  <c r="C4034" i="496"/>
  <c r="BE4033" i="496"/>
  <c r="BC4033" i="496"/>
  <c r="I4033" i="496"/>
  <c r="H4033" i="496"/>
  <c r="E4033" i="496"/>
  <c r="D4033" i="496"/>
  <c r="C4033" i="496"/>
  <c r="BE4032" i="496"/>
  <c r="BC4032" i="496"/>
  <c r="I4032" i="496"/>
  <c r="H4032" i="496"/>
  <c r="E4032" i="496"/>
  <c r="D4032" i="496"/>
  <c r="C4032" i="496"/>
  <c r="BE4031" i="496"/>
  <c r="BC4031" i="496"/>
  <c r="I4031" i="496"/>
  <c r="H4031" i="496"/>
  <c r="E4031" i="496"/>
  <c r="D4031" i="496"/>
  <c r="C4031" i="496"/>
  <c r="BE4030" i="496"/>
  <c r="BC4030" i="496"/>
  <c r="I4030" i="496"/>
  <c r="H4030" i="496"/>
  <c r="E4030" i="496"/>
  <c r="D4030" i="496"/>
  <c r="C4030" i="496"/>
  <c r="BE4029" i="496"/>
  <c r="BC4029" i="496"/>
  <c r="I4029" i="496"/>
  <c r="H4029" i="496"/>
  <c r="E4029" i="496"/>
  <c r="D4029" i="496"/>
  <c r="C4029" i="496"/>
  <c r="BE4028" i="496"/>
  <c r="BC4028" i="496"/>
  <c r="I4028" i="496"/>
  <c r="H4028" i="496"/>
  <c r="E4028" i="496"/>
  <c r="D4028" i="496"/>
  <c r="C4028" i="496"/>
  <c r="BE4027" i="496"/>
  <c r="BC4027" i="496"/>
  <c r="I4027" i="496"/>
  <c r="H4027" i="496"/>
  <c r="E4027" i="496"/>
  <c r="D4027" i="496"/>
  <c r="C4027" i="496"/>
  <c r="BE4026" i="496"/>
  <c r="BC4026" i="496"/>
  <c r="I4026" i="496"/>
  <c r="H4026" i="496"/>
  <c r="E4026" i="496"/>
  <c r="D4026" i="496"/>
  <c r="C4026" i="496"/>
  <c r="BE4025" i="496"/>
  <c r="BC4025" i="496"/>
  <c r="I4025" i="496"/>
  <c r="H4025" i="496"/>
  <c r="E4025" i="496"/>
  <c r="D4025" i="496"/>
  <c r="C4025" i="496"/>
  <c r="BE4024" i="496"/>
  <c r="BC4024" i="496"/>
  <c r="I4024" i="496"/>
  <c r="H4024" i="496"/>
  <c r="E4024" i="496"/>
  <c r="D4024" i="496"/>
  <c r="C4024" i="496"/>
  <c r="BE4023" i="496"/>
  <c r="BC4023" i="496"/>
  <c r="I4023" i="496"/>
  <c r="H4023" i="496"/>
  <c r="E4023" i="496"/>
  <c r="D4023" i="496"/>
  <c r="C4023" i="496"/>
  <c r="BE4022" i="496"/>
  <c r="BC4022" i="496"/>
  <c r="I4022" i="496"/>
  <c r="H4022" i="496"/>
  <c r="E4022" i="496"/>
  <c r="D4022" i="496"/>
  <c r="C4022" i="496"/>
  <c r="BE4021" i="496"/>
  <c r="BC4021" i="496"/>
  <c r="I4021" i="496"/>
  <c r="H4021" i="496"/>
  <c r="E4021" i="496"/>
  <c r="D4021" i="496"/>
  <c r="C4021" i="496"/>
  <c r="BE4020" i="496"/>
  <c r="BC4020" i="496"/>
  <c r="I4020" i="496"/>
  <c r="H4020" i="496"/>
  <c r="E4020" i="496"/>
  <c r="D4020" i="496"/>
  <c r="C4020" i="496"/>
  <c r="BE4019" i="496"/>
  <c r="BC4019" i="496"/>
  <c r="I4019" i="496"/>
  <c r="H4019" i="496"/>
  <c r="E4019" i="496"/>
  <c r="D4019" i="496"/>
  <c r="C4019" i="496"/>
  <c r="BE4018" i="496"/>
  <c r="BC4018" i="496"/>
  <c r="I4018" i="496"/>
  <c r="H4018" i="496"/>
  <c r="E4018" i="496"/>
  <c r="D4018" i="496"/>
  <c r="C4018" i="496"/>
  <c r="BE4017" i="496"/>
  <c r="BC4017" i="496"/>
  <c r="I4017" i="496"/>
  <c r="H4017" i="496"/>
  <c r="E4017" i="496"/>
  <c r="D4017" i="496"/>
  <c r="C4017" i="496"/>
  <c r="BE4016" i="496"/>
  <c r="BC4016" i="496"/>
  <c r="I4016" i="496"/>
  <c r="H4016" i="496"/>
  <c r="E4016" i="496"/>
  <c r="D4016" i="496"/>
  <c r="C4016" i="496"/>
  <c r="BE4015" i="496"/>
  <c r="BC4015" i="496"/>
  <c r="I4015" i="496"/>
  <c r="H4015" i="496"/>
  <c r="E4015" i="496"/>
  <c r="D4015" i="496"/>
  <c r="C4015" i="496"/>
  <c r="BE4014" i="496"/>
  <c r="BC4014" i="496"/>
  <c r="I4014" i="496"/>
  <c r="H4014" i="496"/>
  <c r="E4014" i="496"/>
  <c r="D4014" i="496"/>
  <c r="C4014" i="496"/>
  <c r="BE4013" i="496"/>
  <c r="BC4013" i="496"/>
  <c r="I4013" i="496"/>
  <c r="H4013" i="496"/>
  <c r="E4013" i="496"/>
  <c r="D4013" i="496"/>
  <c r="C4013" i="496"/>
  <c r="BE4012" i="496"/>
  <c r="BC4012" i="496"/>
  <c r="I4012" i="496"/>
  <c r="H4012" i="496"/>
  <c r="E4012" i="496"/>
  <c r="D4012" i="496"/>
  <c r="C4012" i="496"/>
  <c r="BE4011" i="496"/>
  <c r="BC4011" i="496"/>
  <c r="I4011" i="496"/>
  <c r="H4011" i="496"/>
  <c r="E4011" i="496"/>
  <c r="D4011" i="496"/>
  <c r="C4011" i="496"/>
  <c r="BE4010" i="496"/>
  <c r="BC4010" i="496"/>
  <c r="I4010" i="496"/>
  <c r="H4010" i="496"/>
  <c r="E4010" i="496"/>
  <c r="D4010" i="496"/>
  <c r="C4010" i="496"/>
  <c r="BE4009" i="496"/>
  <c r="BC4009" i="496"/>
  <c r="I4009" i="496"/>
  <c r="H4009" i="496"/>
  <c r="E4009" i="496"/>
  <c r="D4009" i="496"/>
  <c r="C4009" i="496"/>
  <c r="BE4008" i="496"/>
  <c r="BC4008" i="496"/>
  <c r="I4008" i="496"/>
  <c r="H4008" i="496"/>
  <c r="E4008" i="496"/>
  <c r="D4008" i="496"/>
  <c r="C4008" i="496"/>
  <c r="BE4007" i="496"/>
  <c r="BC4007" i="496"/>
  <c r="I4007" i="496"/>
  <c r="H4007" i="496"/>
  <c r="E4007" i="496"/>
  <c r="D4007" i="496"/>
  <c r="C4007" i="496"/>
  <c r="BE4006" i="496"/>
  <c r="BC4006" i="496"/>
  <c r="I4006" i="496"/>
  <c r="H4006" i="496"/>
  <c r="E4006" i="496"/>
  <c r="D4006" i="496"/>
  <c r="C4006" i="496"/>
  <c r="BE4005" i="496"/>
  <c r="BC4005" i="496"/>
  <c r="I4005" i="496"/>
  <c r="H4005" i="496"/>
  <c r="E4005" i="496"/>
  <c r="D4005" i="496"/>
  <c r="C4005" i="496"/>
  <c r="BE4004" i="496"/>
  <c r="BC4004" i="496"/>
  <c r="I4004" i="496"/>
  <c r="H4004" i="496"/>
  <c r="E4004" i="496"/>
  <c r="D4004" i="496"/>
  <c r="C4004" i="496"/>
  <c r="BE4003" i="496"/>
  <c r="BC4003" i="496"/>
  <c r="I4003" i="496"/>
  <c r="H4003" i="496"/>
  <c r="E4003" i="496"/>
  <c r="D4003" i="496"/>
  <c r="C4003" i="496"/>
  <c r="BE4002" i="496"/>
  <c r="BC4002" i="496"/>
  <c r="I4002" i="496"/>
  <c r="H4002" i="496"/>
  <c r="E4002" i="496"/>
  <c r="D4002" i="496"/>
  <c r="C4002" i="496"/>
  <c r="BE4001" i="496"/>
  <c r="BC4001" i="496"/>
  <c r="I4001" i="496"/>
  <c r="H4001" i="496"/>
  <c r="E4001" i="496"/>
  <c r="D4001" i="496"/>
  <c r="C4001" i="496"/>
  <c r="BE4000" i="496"/>
  <c r="BC4000" i="496"/>
  <c r="I4000" i="496"/>
  <c r="H4000" i="496"/>
  <c r="E4000" i="496"/>
  <c r="D4000" i="496"/>
  <c r="C4000" i="496"/>
  <c r="BE3999" i="496"/>
  <c r="BC3999" i="496"/>
  <c r="I3999" i="496"/>
  <c r="H3999" i="496"/>
  <c r="E3999" i="496"/>
  <c r="D3999" i="496"/>
  <c r="C3999" i="496"/>
  <c r="BE3998" i="496"/>
  <c r="BC3998" i="496"/>
  <c r="I3998" i="496"/>
  <c r="H3998" i="496"/>
  <c r="E3998" i="496"/>
  <c r="D3998" i="496"/>
  <c r="C3998" i="496"/>
  <c r="BE3997" i="496"/>
  <c r="BC3997" i="496"/>
  <c r="I3997" i="496"/>
  <c r="H3997" i="496"/>
  <c r="E3997" i="496"/>
  <c r="D3997" i="496"/>
  <c r="C3997" i="496"/>
  <c r="BE3996" i="496"/>
  <c r="BC3996" i="496"/>
  <c r="I3996" i="496"/>
  <c r="H3996" i="496"/>
  <c r="E3996" i="496"/>
  <c r="D3996" i="496"/>
  <c r="C3996" i="496"/>
  <c r="BE3995" i="496"/>
  <c r="BC3995" i="496"/>
  <c r="I3995" i="496"/>
  <c r="H3995" i="496"/>
  <c r="E3995" i="496"/>
  <c r="D3995" i="496"/>
  <c r="C3995" i="496"/>
  <c r="BE3994" i="496"/>
  <c r="BC3994" i="496"/>
  <c r="I3994" i="496"/>
  <c r="H3994" i="496"/>
  <c r="E3994" i="496"/>
  <c r="D3994" i="496"/>
  <c r="C3994" i="496"/>
  <c r="BE3993" i="496"/>
  <c r="BC3993" i="496"/>
  <c r="I3993" i="496"/>
  <c r="H3993" i="496"/>
  <c r="E3993" i="496"/>
  <c r="D3993" i="496"/>
  <c r="C3993" i="496"/>
  <c r="BE3992" i="496"/>
  <c r="BC3992" i="496"/>
  <c r="I3992" i="496"/>
  <c r="H3992" i="496"/>
  <c r="E3992" i="496"/>
  <c r="D3992" i="496"/>
  <c r="C3992" i="496"/>
  <c r="BE3991" i="496"/>
  <c r="BC3991" i="496"/>
  <c r="I3991" i="496"/>
  <c r="H3991" i="496"/>
  <c r="E3991" i="496"/>
  <c r="D3991" i="496"/>
  <c r="C3991" i="496"/>
  <c r="BE3990" i="496"/>
  <c r="BC3990" i="496"/>
  <c r="I3990" i="496"/>
  <c r="H3990" i="496"/>
  <c r="E3990" i="496"/>
  <c r="D3990" i="496"/>
  <c r="C3990" i="496"/>
  <c r="BE3989" i="496"/>
  <c r="BC3989" i="496"/>
  <c r="I3989" i="496"/>
  <c r="H3989" i="496"/>
  <c r="E3989" i="496"/>
  <c r="D3989" i="496"/>
  <c r="C3989" i="496"/>
  <c r="BE3988" i="496"/>
  <c r="BC3988" i="496"/>
  <c r="I3988" i="496"/>
  <c r="H3988" i="496"/>
  <c r="E3988" i="496"/>
  <c r="D3988" i="496"/>
  <c r="C3988" i="496"/>
  <c r="BE3987" i="496"/>
  <c r="BC3987" i="496"/>
  <c r="I3987" i="496"/>
  <c r="H3987" i="496"/>
  <c r="E3987" i="496"/>
  <c r="D3987" i="496"/>
  <c r="C3987" i="496"/>
  <c r="BE3986" i="496"/>
  <c r="BC3986" i="496"/>
  <c r="I3986" i="496"/>
  <c r="H3986" i="496"/>
  <c r="E3986" i="496"/>
  <c r="D3986" i="496"/>
  <c r="C3986" i="496"/>
  <c r="BE3985" i="496"/>
  <c r="BC3985" i="496"/>
  <c r="I3985" i="496"/>
  <c r="H3985" i="496"/>
  <c r="E3985" i="496"/>
  <c r="D3985" i="496"/>
  <c r="C3985" i="496"/>
  <c r="BE3984" i="496"/>
  <c r="BC3984" i="496"/>
  <c r="I3984" i="496"/>
  <c r="H3984" i="496"/>
  <c r="E3984" i="496"/>
  <c r="D3984" i="496"/>
  <c r="C3984" i="496"/>
  <c r="BE3983" i="496"/>
  <c r="BC3983" i="496"/>
  <c r="I3983" i="496"/>
  <c r="H3983" i="496"/>
  <c r="E3983" i="496"/>
  <c r="D3983" i="496"/>
  <c r="C3983" i="496"/>
  <c r="BE3982" i="496"/>
  <c r="BC3982" i="496"/>
  <c r="I3982" i="496"/>
  <c r="H3982" i="496"/>
  <c r="E3982" i="496"/>
  <c r="D3982" i="496"/>
  <c r="C3982" i="496"/>
  <c r="BE3981" i="496"/>
  <c r="BC3981" i="496"/>
  <c r="I3981" i="496"/>
  <c r="H3981" i="496"/>
  <c r="E3981" i="496"/>
  <c r="D3981" i="496"/>
  <c r="C3981" i="496"/>
  <c r="BE3980" i="496"/>
  <c r="BC3980" i="496"/>
  <c r="I3980" i="496"/>
  <c r="H3980" i="496"/>
  <c r="E3980" i="496"/>
  <c r="D3980" i="496"/>
  <c r="C3980" i="496"/>
  <c r="BE3979" i="496"/>
  <c r="BC3979" i="496"/>
  <c r="I3979" i="496"/>
  <c r="H3979" i="496"/>
  <c r="E3979" i="496"/>
  <c r="D3979" i="496"/>
  <c r="C3979" i="496"/>
  <c r="BE3978" i="496"/>
  <c r="BC3978" i="496"/>
  <c r="I3978" i="496"/>
  <c r="H3978" i="496"/>
  <c r="E3978" i="496"/>
  <c r="D3978" i="496"/>
  <c r="C3978" i="496"/>
  <c r="BE3977" i="496"/>
  <c r="BC3977" i="496"/>
  <c r="I3977" i="496"/>
  <c r="H3977" i="496"/>
  <c r="E3977" i="496"/>
  <c r="D3977" i="496"/>
  <c r="C3977" i="496"/>
  <c r="BE3976" i="496"/>
  <c r="BC3976" i="496"/>
  <c r="I3976" i="496"/>
  <c r="H3976" i="496"/>
  <c r="E3976" i="496"/>
  <c r="D3976" i="496"/>
  <c r="C3976" i="496"/>
  <c r="BE3975" i="496"/>
  <c r="BC3975" i="496"/>
  <c r="I3975" i="496"/>
  <c r="H3975" i="496"/>
  <c r="E3975" i="496"/>
  <c r="D3975" i="496"/>
  <c r="C3975" i="496"/>
  <c r="BE3974" i="496"/>
  <c r="BC3974" i="496"/>
  <c r="I3974" i="496"/>
  <c r="H3974" i="496"/>
  <c r="E3974" i="496"/>
  <c r="D3974" i="496"/>
  <c r="C3974" i="496"/>
  <c r="BE3973" i="496"/>
  <c r="BC3973" i="496"/>
  <c r="I3973" i="496"/>
  <c r="H3973" i="496"/>
  <c r="E3973" i="496"/>
  <c r="D3973" i="496"/>
  <c r="C3973" i="496"/>
  <c r="BE3972" i="496"/>
  <c r="BC3972" i="496"/>
  <c r="I3972" i="496"/>
  <c r="H3972" i="496"/>
  <c r="E3972" i="496"/>
  <c r="D3972" i="496"/>
  <c r="C3972" i="496"/>
  <c r="BE3971" i="496"/>
  <c r="BC3971" i="496"/>
  <c r="I3971" i="496"/>
  <c r="H3971" i="496"/>
  <c r="E3971" i="496"/>
  <c r="D3971" i="496"/>
  <c r="C3971" i="496"/>
  <c r="BE3970" i="496"/>
  <c r="BC3970" i="496"/>
  <c r="I3970" i="496"/>
  <c r="H3970" i="496"/>
  <c r="E3970" i="496"/>
  <c r="D3970" i="496"/>
  <c r="C3970" i="496"/>
  <c r="BE3969" i="496"/>
  <c r="BC3969" i="496"/>
  <c r="I3969" i="496"/>
  <c r="H3969" i="496"/>
  <c r="E3969" i="496"/>
  <c r="D3969" i="496"/>
  <c r="C3969" i="496"/>
  <c r="BE3968" i="496"/>
  <c r="BC3968" i="496"/>
  <c r="I3968" i="496"/>
  <c r="H3968" i="496"/>
  <c r="E3968" i="496"/>
  <c r="D3968" i="496"/>
  <c r="C3968" i="496"/>
  <c r="BE3967" i="496"/>
  <c r="BC3967" i="496"/>
  <c r="I3967" i="496"/>
  <c r="H3967" i="496"/>
  <c r="E3967" i="496"/>
  <c r="D3967" i="496"/>
  <c r="C3967" i="496"/>
  <c r="BE3966" i="496"/>
  <c r="BC3966" i="496"/>
  <c r="I3966" i="496"/>
  <c r="H3966" i="496"/>
  <c r="E3966" i="496"/>
  <c r="D3966" i="496"/>
  <c r="C3966" i="496"/>
  <c r="BE3965" i="496"/>
  <c r="BC3965" i="496"/>
  <c r="I3965" i="496"/>
  <c r="H3965" i="496"/>
  <c r="E3965" i="496"/>
  <c r="D3965" i="496"/>
  <c r="C3965" i="496"/>
  <c r="BE3964" i="496"/>
  <c r="BC3964" i="496"/>
  <c r="I3964" i="496"/>
  <c r="H3964" i="496"/>
  <c r="E3964" i="496"/>
  <c r="D3964" i="496"/>
  <c r="C3964" i="496"/>
  <c r="BE3963" i="496"/>
  <c r="BC3963" i="496"/>
  <c r="I3963" i="496"/>
  <c r="H3963" i="496"/>
  <c r="E3963" i="496"/>
  <c r="D3963" i="496"/>
  <c r="C3963" i="496"/>
  <c r="BE3962" i="496"/>
  <c r="BC3962" i="496"/>
  <c r="I3962" i="496"/>
  <c r="H3962" i="496"/>
  <c r="E3962" i="496"/>
  <c r="D3962" i="496"/>
  <c r="C3962" i="496"/>
  <c r="BE3961" i="496"/>
  <c r="BC3961" i="496"/>
  <c r="I3961" i="496"/>
  <c r="H3961" i="496"/>
  <c r="E3961" i="496"/>
  <c r="D3961" i="496"/>
  <c r="C3961" i="496"/>
  <c r="BE3960" i="496"/>
  <c r="BC3960" i="496"/>
  <c r="I3960" i="496"/>
  <c r="H3960" i="496"/>
  <c r="E3960" i="496"/>
  <c r="D3960" i="496"/>
  <c r="C3960" i="496"/>
  <c r="BE3959" i="496"/>
  <c r="BC3959" i="496"/>
  <c r="I3959" i="496"/>
  <c r="H3959" i="496"/>
  <c r="E3959" i="496"/>
  <c r="D3959" i="496"/>
  <c r="C3959" i="496"/>
  <c r="BE3958" i="496"/>
  <c r="BC3958" i="496"/>
  <c r="I3958" i="496"/>
  <c r="H3958" i="496"/>
  <c r="E3958" i="496"/>
  <c r="D3958" i="496"/>
  <c r="C3958" i="496"/>
  <c r="BE3957" i="496"/>
  <c r="BC3957" i="496"/>
  <c r="I3957" i="496"/>
  <c r="H3957" i="496"/>
  <c r="E3957" i="496"/>
  <c r="D3957" i="496"/>
  <c r="C3957" i="496"/>
  <c r="BE3956" i="496"/>
  <c r="BC3956" i="496"/>
  <c r="I3956" i="496"/>
  <c r="H3956" i="496"/>
  <c r="E3956" i="496"/>
  <c r="D3956" i="496"/>
  <c r="C3956" i="496"/>
  <c r="BE3955" i="496"/>
  <c r="BC3955" i="496"/>
  <c r="I3955" i="496"/>
  <c r="H3955" i="496"/>
  <c r="E3955" i="496"/>
  <c r="D3955" i="496"/>
  <c r="C3955" i="496"/>
  <c r="BE3954" i="496"/>
  <c r="BC3954" i="496"/>
  <c r="I3954" i="496"/>
  <c r="H3954" i="496"/>
  <c r="E3954" i="496"/>
  <c r="D3954" i="496"/>
  <c r="C3954" i="496"/>
  <c r="BE3953" i="496"/>
  <c r="BC3953" i="496"/>
  <c r="I3953" i="496"/>
  <c r="H3953" i="496"/>
  <c r="E3953" i="496"/>
  <c r="D3953" i="496"/>
  <c r="C3953" i="496"/>
  <c r="BE3952" i="496"/>
  <c r="BC3952" i="496"/>
  <c r="I3952" i="496"/>
  <c r="H3952" i="496"/>
  <c r="E3952" i="496"/>
  <c r="D3952" i="496"/>
  <c r="C3952" i="496"/>
  <c r="BE3951" i="496"/>
  <c r="BC3951" i="496"/>
  <c r="I3951" i="496"/>
  <c r="H3951" i="496"/>
  <c r="E3951" i="496"/>
  <c r="D3951" i="496"/>
  <c r="C3951" i="496"/>
  <c r="BE3950" i="496"/>
  <c r="BC3950" i="496"/>
  <c r="I3950" i="496"/>
  <c r="H3950" i="496"/>
  <c r="E3950" i="496"/>
  <c r="D3950" i="496"/>
  <c r="C3950" i="496"/>
  <c r="BE3949" i="496"/>
  <c r="BC3949" i="496"/>
  <c r="I3949" i="496"/>
  <c r="H3949" i="496"/>
  <c r="E3949" i="496"/>
  <c r="D3949" i="496"/>
  <c r="C3949" i="496"/>
  <c r="BE3948" i="496"/>
  <c r="BC3948" i="496"/>
  <c r="I3948" i="496"/>
  <c r="H3948" i="496"/>
  <c r="E3948" i="496"/>
  <c r="D3948" i="496"/>
  <c r="C3948" i="496"/>
  <c r="BE3947" i="496"/>
  <c r="BC3947" i="496"/>
  <c r="I3947" i="496"/>
  <c r="H3947" i="496"/>
  <c r="E3947" i="496"/>
  <c r="D3947" i="496"/>
  <c r="C3947" i="496"/>
  <c r="BE3946" i="496"/>
  <c r="BC3946" i="496"/>
  <c r="I3946" i="496"/>
  <c r="H3946" i="496"/>
  <c r="E3946" i="496"/>
  <c r="D3946" i="496"/>
  <c r="C3946" i="496"/>
  <c r="BE3945" i="496"/>
  <c r="BC3945" i="496"/>
  <c r="I3945" i="496"/>
  <c r="H3945" i="496"/>
  <c r="E3945" i="496"/>
  <c r="D3945" i="496"/>
  <c r="C3945" i="496"/>
  <c r="BE3944" i="496"/>
  <c r="BC3944" i="496"/>
  <c r="I3944" i="496"/>
  <c r="H3944" i="496"/>
  <c r="E3944" i="496"/>
  <c r="D3944" i="496"/>
  <c r="C3944" i="496"/>
  <c r="BE3943" i="496"/>
  <c r="BC3943" i="496"/>
  <c r="I3943" i="496"/>
  <c r="H3943" i="496"/>
  <c r="E3943" i="496"/>
  <c r="D3943" i="496"/>
  <c r="C3943" i="496"/>
  <c r="BE3942" i="496"/>
  <c r="BC3942" i="496"/>
  <c r="I3942" i="496"/>
  <c r="H3942" i="496"/>
  <c r="E3942" i="496"/>
  <c r="D3942" i="496"/>
  <c r="C3942" i="496"/>
  <c r="BE3941" i="496"/>
  <c r="BC3941" i="496"/>
  <c r="I3941" i="496"/>
  <c r="H3941" i="496"/>
  <c r="E3941" i="496"/>
  <c r="D3941" i="496"/>
  <c r="C3941" i="496"/>
  <c r="BE3940" i="496"/>
  <c r="BC3940" i="496"/>
  <c r="I3940" i="496"/>
  <c r="H3940" i="496"/>
  <c r="E3940" i="496"/>
  <c r="D3940" i="496"/>
  <c r="C3940" i="496"/>
  <c r="BE3939" i="496"/>
  <c r="BC3939" i="496"/>
  <c r="I3939" i="496"/>
  <c r="H3939" i="496"/>
  <c r="E3939" i="496"/>
  <c r="D3939" i="496"/>
  <c r="C3939" i="496"/>
  <c r="BE3938" i="496"/>
  <c r="BC3938" i="496"/>
  <c r="I3938" i="496"/>
  <c r="H3938" i="496"/>
  <c r="E3938" i="496"/>
  <c r="D3938" i="496"/>
  <c r="C3938" i="496"/>
  <c r="BE3937" i="496"/>
  <c r="BC3937" i="496"/>
  <c r="I3937" i="496"/>
  <c r="H3937" i="496"/>
  <c r="E3937" i="496"/>
  <c r="D3937" i="496"/>
  <c r="C3937" i="496"/>
  <c r="BE3936" i="496"/>
  <c r="BC3936" i="496"/>
  <c r="I3936" i="496"/>
  <c r="H3936" i="496"/>
  <c r="E3936" i="496"/>
  <c r="D3936" i="496"/>
  <c r="C3936" i="496"/>
  <c r="BE3935" i="496"/>
  <c r="BC3935" i="496"/>
  <c r="I3935" i="496"/>
  <c r="H3935" i="496"/>
  <c r="E3935" i="496"/>
  <c r="D3935" i="496"/>
  <c r="C3935" i="496"/>
  <c r="BE3934" i="496"/>
  <c r="BC3934" i="496"/>
  <c r="I3934" i="496"/>
  <c r="H3934" i="496"/>
  <c r="E3934" i="496"/>
  <c r="D3934" i="496"/>
  <c r="C3934" i="496"/>
  <c r="BE3933" i="496"/>
  <c r="BC3933" i="496"/>
  <c r="I3933" i="496"/>
  <c r="H3933" i="496"/>
  <c r="E3933" i="496"/>
  <c r="D3933" i="496"/>
  <c r="C3933" i="496"/>
  <c r="BE3932" i="496"/>
  <c r="BC3932" i="496"/>
  <c r="I3932" i="496"/>
  <c r="H3932" i="496"/>
  <c r="E3932" i="496"/>
  <c r="D3932" i="496"/>
  <c r="C3932" i="496"/>
  <c r="BE3931" i="496"/>
  <c r="BC3931" i="496"/>
  <c r="I3931" i="496"/>
  <c r="H3931" i="496"/>
  <c r="E3931" i="496"/>
  <c r="D3931" i="496"/>
  <c r="C3931" i="496"/>
  <c r="BE3930" i="496"/>
  <c r="BC3930" i="496"/>
  <c r="I3930" i="496"/>
  <c r="H3930" i="496"/>
  <c r="E3930" i="496"/>
  <c r="D3930" i="496"/>
  <c r="C3930" i="496"/>
  <c r="BE3929" i="496"/>
  <c r="BC3929" i="496"/>
  <c r="I3929" i="496"/>
  <c r="H3929" i="496"/>
  <c r="E3929" i="496"/>
  <c r="D3929" i="496"/>
  <c r="C3929" i="496"/>
  <c r="BE3928" i="496"/>
  <c r="BC3928" i="496"/>
  <c r="I3928" i="496"/>
  <c r="H3928" i="496"/>
  <c r="E3928" i="496"/>
  <c r="D3928" i="496"/>
  <c r="C3928" i="496"/>
  <c r="BE3927" i="496"/>
  <c r="BC3927" i="496"/>
  <c r="I3927" i="496"/>
  <c r="H3927" i="496"/>
  <c r="E3927" i="496"/>
  <c r="D3927" i="496"/>
  <c r="C3927" i="496"/>
  <c r="BE3926" i="496"/>
  <c r="BC3926" i="496"/>
  <c r="I3926" i="496"/>
  <c r="H3926" i="496"/>
  <c r="E3926" i="496"/>
  <c r="D3926" i="496"/>
  <c r="C3926" i="496"/>
  <c r="BE3925" i="496"/>
  <c r="BC3925" i="496"/>
  <c r="I3925" i="496"/>
  <c r="H3925" i="496"/>
  <c r="E3925" i="496"/>
  <c r="D3925" i="496"/>
  <c r="C3925" i="496"/>
  <c r="BE3924" i="496"/>
  <c r="BC3924" i="496"/>
  <c r="I3924" i="496"/>
  <c r="H3924" i="496"/>
  <c r="E3924" i="496"/>
  <c r="D3924" i="496"/>
  <c r="C3924" i="496"/>
  <c r="BE3923" i="496"/>
  <c r="BC3923" i="496"/>
  <c r="I3923" i="496"/>
  <c r="H3923" i="496"/>
  <c r="E3923" i="496"/>
  <c r="D3923" i="496"/>
  <c r="C3923" i="496"/>
  <c r="BE3922" i="496"/>
  <c r="BC3922" i="496"/>
  <c r="I3922" i="496"/>
  <c r="H3922" i="496"/>
  <c r="E3922" i="496"/>
  <c r="D3922" i="496"/>
  <c r="C3922" i="496"/>
  <c r="BE3921" i="496"/>
  <c r="BC3921" i="496"/>
  <c r="I3921" i="496"/>
  <c r="H3921" i="496"/>
  <c r="E3921" i="496"/>
  <c r="D3921" i="496"/>
  <c r="C3921" i="496"/>
  <c r="BE3920" i="496"/>
  <c r="BC3920" i="496"/>
  <c r="I3920" i="496"/>
  <c r="H3920" i="496"/>
  <c r="E3920" i="496"/>
  <c r="D3920" i="496"/>
  <c r="C3920" i="496"/>
  <c r="BE3919" i="496"/>
  <c r="BC3919" i="496"/>
  <c r="I3919" i="496"/>
  <c r="H3919" i="496"/>
  <c r="E3919" i="496"/>
  <c r="D3919" i="496"/>
  <c r="C3919" i="496"/>
  <c r="BE3918" i="496"/>
  <c r="BC3918" i="496"/>
  <c r="I3918" i="496"/>
  <c r="H3918" i="496"/>
  <c r="E3918" i="496"/>
  <c r="D3918" i="496"/>
  <c r="C3918" i="496"/>
  <c r="BE3917" i="496"/>
  <c r="BC3917" i="496"/>
  <c r="I3917" i="496"/>
  <c r="H3917" i="496"/>
  <c r="E3917" i="496"/>
  <c r="D3917" i="496"/>
  <c r="C3917" i="496"/>
  <c r="BE3916" i="496"/>
  <c r="BC3916" i="496"/>
  <c r="BA3916" i="496"/>
  <c r="I3916" i="496"/>
  <c r="H3916" i="496"/>
  <c r="E3916" i="496"/>
  <c r="D3916" i="496"/>
  <c r="C3916" i="496"/>
  <c r="BE3915" i="496"/>
  <c r="BC3915" i="496"/>
  <c r="BA3915" i="496"/>
  <c r="I3915" i="496"/>
  <c r="H3915" i="496"/>
  <c r="E3915" i="496"/>
  <c r="D3915" i="496"/>
  <c r="C3915" i="496"/>
  <c r="BE3914" i="496"/>
  <c r="BC3914" i="496"/>
  <c r="BA3914" i="496"/>
  <c r="I3914" i="496"/>
  <c r="H3914" i="496"/>
  <c r="E3914" i="496"/>
  <c r="D3914" i="496"/>
  <c r="C3914" i="496"/>
  <c r="BE3913" i="496"/>
  <c r="BC3913" i="496"/>
  <c r="BA3913" i="496"/>
  <c r="I3913" i="496"/>
  <c r="H3913" i="496"/>
  <c r="E3913" i="496"/>
  <c r="D3913" i="496"/>
  <c r="C3913" i="496"/>
  <c r="BE3912" i="496"/>
  <c r="BC3912" i="496"/>
  <c r="BA3912" i="496"/>
  <c r="I3912" i="496"/>
  <c r="H3912" i="496"/>
  <c r="E3912" i="496"/>
  <c r="D3912" i="496"/>
  <c r="C3912" i="496"/>
  <c r="BE3911" i="496"/>
  <c r="BC3911" i="496"/>
  <c r="BA3911" i="496"/>
  <c r="I3911" i="496"/>
  <c r="H3911" i="496"/>
  <c r="E3911" i="496"/>
  <c r="D3911" i="496"/>
  <c r="C3911" i="496"/>
  <c r="BE3910" i="496"/>
  <c r="BC3910" i="496"/>
  <c r="I3910" i="496"/>
  <c r="H3910" i="496"/>
  <c r="E3910" i="496"/>
  <c r="D3910" i="496"/>
  <c r="C3910" i="496"/>
  <c r="BE3909" i="496"/>
  <c r="BC3909" i="496"/>
  <c r="I3909" i="496"/>
  <c r="H3909" i="496"/>
  <c r="E3909" i="496"/>
  <c r="D3909" i="496"/>
  <c r="C3909" i="496"/>
  <c r="BE3908" i="496"/>
  <c r="BC3908" i="496"/>
  <c r="I3908" i="496"/>
  <c r="H3908" i="496"/>
  <c r="E3908" i="496"/>
  <c r="D3908" i="496"/>
  <c r="C3908" i="496"/>
  <c r="BE3907" i="496"/>
  <c r="BC3907" i="496"/>
  <c r="I3907" i="496"/>
  <c r="H3907" i="496"/>
  <c r="E3907" i="496"/>
  <c r="D3907" i="496"/>
  <c r="C3907" i="496"/>
  <c r="BE3906" i="496"/>
  <c r="BC3906" i="496"/>
  <c r="I3906" i="496"/>
  <c r="H3906" i="496"/>
  <c r="E3906" i="496"/>
  <c r="D3906" i="496"/>
  <c r="C3906" i="496"/>
  <c r="BE3905" i="496"/>
  <c r="BC3905" i="496"/>
  <c r="I3905" i="496"/>
  <c r="H3905" i="496"/>
  <c r="E3905" i="496"/>
  <c r="D3905" i="496"/>
  <c r="C3905" i="496"/>
  <c r="BE3904" i="496"/>
  <c r="BC3904" i="496"/>
  <c r="I3904" i="496"/>
  <c r="H3904" i="496"/>
  <c r="E3904" i="496"/>
  <c r="D3904" i="496"/>
  <c r="C3904" i="496"/>
  <c r="BE3903" i="496"/>
  <c r="BC3903" i="496"/>
  <c r="I3903" i="496"/>
  <c r="H3903" i="496"/>
  <c r="E3903" i="496"/>
  <c r="D3903" i="496"/>
  <c r="C3903" i="496"/>
  <c r="BE3902" i="496"/>
  <c r="BC3902" i="496"/>
  <c r="I3902" i="496"/>
  <c r="H3902" i="496"/>
  <c r="E3902" i="496"/>
  <c r="D3902" i="496"/>
  <c r="C3902" i="496"/>
  <c r="BE3901" i="496"/>
  <c r="BC3901" i="496"/>
  <c r="I3901" i="496"/>
  <c r="H3901" i="496"/>
  <c r="E3901" i="496"/>
  <c r="D3901" i="496"/>
  <c r="C3901" i="496"/>
  <c r="BE3900" i="496"/>
  <c r="BC3900" i="496"/>
  <c r="I3900" i="496"/>
  <c r="H3900" i="496"/>
  <c r="E3900" i="496"/>
  <c r="D3900" i="496"/>
  <c r="C3900" i="496"/>
  <c r="BE3899" i="496"/>
  <c r="BC3899" i="496"/>
  <c r="I3899" i="496"/>
  <c r="H3899" i="496"/>
  <c r="E3899" i="496"/>
  <c r="D3899" i="496"/>
  <c r="C3899" i="496"/>
  <c r="BE3898" i="496"/>
  <c r="BC3898" i="496"/>
  <c r="I3898" i="496"/>
  <c r="H3898" i="496"/>
  <c r="E3898" i="496"/>
  <c r="D3898" i="496"/>
  <c r="C3898" i="496"/>
  <c r="BE3897" i="496"/>
  <c r="BC3897" i="496"/>
  <c r="I3897" i="496"/>
  <c r="H3897" i="496"/>
  <c r="E3897" i="496"/>
  <c r="D3897" i="496"/>
  <c r="C3897" i="496"/>
  <c r="BE3896" i="496"/>
  <c r="BC3896" i="496"/>
  <c r="I3896" i="496"/>
  <c r="H3896" i="496"/>
  <c r="E3896" i="496"/>
  <c r="D3896" i="496"/>
  <c r="C3896" i="496"/>
  <c r="BE3895" i="496"/>
  <c r="BC3895" i="496"/>
  <c r="I3895" i="496"/>
  <c r="H3895" i="496"/>
  <c r="E3895" i="496"/>
  <c r="D3895" i="496"/>
  <c r="C3895" i="496"/>
  <c r="BE3894" i="496"/>
  <c r="BC3894" i="496"/>
  <c r="I3894" i="496"/>
  <c r="H3894" i="496"/>
  <c r="E3894" i="496"/>
  <c r="D3894" i="496"/>
  <c r="C3894" i="496"/>
  <c r="BE3893" i="496"/>
  <c r="BC3893" i="496"/>
  <c r="I3893" i="496"/>
  <c r="H3893" i="496"/>
  <c r="E3893" i="496"/>
  <c r="D3893" i="496"/>
  <c r="C3893" i="496"/>
  <c r="BE3892" i="496"/>
  <c r="BC3892" i="496"/>
  <c r="I3892" i="496"/>
  <c r="H3892" i="496"/>
  <c r="E3892" i="496"/>
  <c r="D3892" i="496"/>
  <c r="C3892" i="496"/>
  <c r="BE3891" i="496"/>
  <c r="BC3891" i="496"/>
  <c r="I3891" i="496"/>
  <c r="H3891" i="496"/>
  <c r="E3891" i="496"/>
  <c r="D3891" i="496"/>
  <c r="C3891" i="496"/>
  <c r="BE3890" i="496"/>
  <c r="BC3890" i="496"/>
  <c r="I3890" i="496"/>
  <c r="H3890" i="496"/>
  <c r="E3890" i="496"/>
  <c r="D3890" i="496"/>
  <c r="C3890" i="496"/>
  <c r="BE3889" i="496"/>
  <c r="BC3889" i="496"/>
  <c r="I3889" i="496"/>
  <c r="H3889" i="496"/>
  <c r="E3889" i="496"/>
  <c r="D3889" i="496"/>
  <c r="C3889" i="496"/>
  <c r="BE3888" i="496"/>
  <c r="BC3888" i="496"/>
  <c r="I3888" i="496"/>
  <c r="H3888" i="496"/>
  <c r="E3888" i="496"/>
  <c r="D3888" i="496"/>
  <c r="C3888" i="496"/>
  <c r="BE3887" i="496"/>
  <c r="BC3887" i="496"/>
  <c r="I3887" i="496"/>
  <c r="H3887" i="496"/>
  <c r="E3887" i="496"/>
  <c r="D3887" i="496"/>
  <c r="C3887" i="496"/>
  <c r="BE3886" i="496"/>
  <c r="BC3886" i="496"/>
  <c r="I3886" i="496"/>
  <c r="H3886" i="496"/>
  <c r="E3886" i="496"/>
  <c r="D3886" i="496"/>
  <c r="C3886" i="496"/>
  <c r="BE3885" i="496"/>
  <c r="BC3885" i="496"/>
  <c r="I3885" i="496"/>
  <c r="H3885" i="496"/>
  <c r="E3885" i="496"/>
  <c r="D3885" i="496"/>
  <c r="C3885" i="496"/>
  <c r="BE3884" i="496"/>
  <c r="BC3884" i="496"/>
  <c r="I3884" i="496"/>
  <c r="H3884" i="496"/>
  <c r="E3884" i="496"/>
  <c r="D3884" i="496"/>
  <c r="C3884" i="496"/>
  <c r="BE3883" i="496"/>
  <c r="BC3883" i="496"/>
  <c r="I3883" i="496"/>
  <c r="H3883" i="496"/>
  <c r="E3883" i="496"/>
  <c r="D3883" i="496"/>
  <c r="C3883" i="496"/>
  <c r="BE3882" i="496"/>
  <c r="BC3882" i="496"/>
  <c r="I3882" i="496"/>
  <c r="H3882" i="496"/>
  <c r="E3882" i="496"/>
  <c r="D3882" i="496"/>
  <c r="C3882" i="496"/>
  <c r="BE3881" i="496"/>
  <c r="BC3881" i="496"/>
  <c r="I3881" i="496"/>
  <c r="H3881" i="496"/>
  <c r="E3881" i="496"/>
  <c r="D3881" i="496"/>
  <c r="C3881" i="496"/>
  <c r="BE3880" i="496"/>
  <c r="BC3880" i="496"/>
  <c r="I3880" i="496"/>
  <c r="H3880" i="496"/>
  <c r="E3880" i="496"/>
  <c r="D3880" i="496"/>
  <c r="C3880" i="496"/>
  <c r="BE3879" i="496"/>
  <c r="BC3879" i="496"/>
  <c r="I3879" i="496"/>
  <c r="H3879" i="496"/>
  <c r="E3879" i="496"/>
  <c r="D3879" i="496"/>
  <c r="C3879" i="496"/>
  <c r="BE3878" i="496"/>
  <c r="BC3878" i="496"/>
  <c r="I3878" i="496"/>
  <c r="H3878" i="496"/>
  <c r="E3878" i="496"/>
  <c r="D3878" i="496"/>
  <c r="C3878" i="496"/>
  <c r="BE3877" i="496"/>
  <c r="BC3877" i="496"/>
  <c r="I3877" i="496"/>
  <c r="H3877" i="496"/>
  <c r="E3877" i="496"/>
  <c r="D3877" i="496"/>
  <c r="C3877" i="496"/>
  <c r="BE3876" i="496"/>
  <c r="BC3876" i="496"/>
  <c r="I3876" i="496"/>
  <c r="H3876" i="496"/>
  <c r="E3876" i="496"/>
  <c r="D3876" i="496"/>
  <c r="C3876" i="496"/>
  <c r="BE3875" i="496"/>
  <c r="BC3875" i="496"/>
  <c r="I3875" i="496"/>
  <c r="H3875" i="496"/>
  <c r="E3875" i="496"/>
  <c r="D3875" i="496"/>
  <c r="C3875" i="496"/>
  <c r="BE3874" i="496"/>
  <c r="BC3874" i="496"/>
  <c r="I3874" i="496"/>
  <c r="H3874" i="496"/>
  <c r="E3874" i="496"/>
  <c r="D3874" i="496"/>
  <c r="C3874" i="496"/>
  <c r="BE3873" i="496"/>
  <c r="BC3873" i="496"/>
  <c r="I3873" i="496"/>
  <c r="H3873" i="496"/>
  <c r="E3873" i="496"/>
  <c r="D3873" i="496"/>
  <c r="C3873" i="496"/>
  <c r="BE3872" i="496"/>
  <c r="BC3872" i="496"/>
  <c r="I3872" i="496"/>
  <c r="H3872" i="496"/>
  <c r="E3872" i="496"/>
  <c r="D3872" i="496"/>
  <c r="C3872" i="496"/>
  <c r="BE3871" i="496"/>
  <c r="BC3871" i="496"/>
  <c r="I3871" i="496"/>
  <c r="H3871" i="496"/>
  <c r="E3871" i="496"/>
  <c r="D3871" i="496"/>
  <c r="C3871" i="496"/>
  <c r="BE3870" i="496"/>
  <c r="BC3870" i="496"/>
  <c r="I3870" i="496"/>
  <c r="H3870" i="496"/>
  <c r="E3870" i="496"/>
  <c r="D3870" i="496"/>
  <c r="C3870" i="496"/>
  <c r="BE3869" i="496"/>
  <c r="BC3869" i="496"/>
  <c r="I3869" i="496"/>
  <c r="H3869" i="496"/>
  <c r="E3869" i="496"/>
  <c r="D3869" i="496"/>
  <c r="C3869" i="496"/>
  <c r="BE3868" i="496"/>
  <c r="BC3868" i="496"/>
  <c r="I3868" i="496"/>
  <c r="H3868" i="496"/>
  <c r="E3868" i="496"/>
  <c r="D3868" i="496"/>
  <c r="C3868" i="496"/>
  <c r="BE3867" i="496"/>
  <c r="BC3867" i="496"/>
  <c r="I3867" i="496"/>
  <c r="H3867" i="496"/>
  <c r="E3867" i="496"/>
  <c r="D3867" i="496"/>
  <c r="C3867" i="496"/>
  <c r="BE3866" i="496"/>
  <c r="BC3866" i="496"/>
  <c r="I3866" i="496"/>
  <c r="H3866" i="496"/>
  <c r="E3866" i="496"/>
  <c r="D3866" i="496"/>
  <c r="C3866" i="496"/>
  <c r="BE3865" i="496"/>
  <c r="BC3865" i="496"/>
  <c r="I3865" i="496"/>
  <c r="H3865" i="496"/>
  <c r="E3865" i="496"/>
  <c r="D3865" i="496"/>
  <c r="C3865" i="496"/>
  <c r="BE3864" i="496"/>
  <c r="BC3864" i="496"/>
  <c r="I3864" i="496"/>
  <c r="H3864" i="496"/>
  <c r="E3864" i="496"/>
  <c r="D3864" i="496"/>
  <c r="C3864" i="496"/>
  <c r="BE3863" i="496"/>
  <c r="BC3863" i="496"/>
  <c r="I3863" i="496"/>
  <c r="H3863" i="496"/>
  <c r="E3863" i="496"/>
  <c r="D3863" i="496"/>
  <c r="C3863" i="496"/>
  <c r="BE3862" i="496"/>
  <c r="BC3862" i="496"/>
  <c r="I3862" i="496"/>
  <c r="H3862" i="496"/>
  <c r="E3862" i="496"/>
  <c r="D3862" i="496"/>
  <c r="C3862" i="496"/>
  <c r="BE3861" i="496"/>
  <c r="BC3861" i="496"/>
  <c r="I3861" i="496"/>
  <c r="H3861" i="496"/>
  <c r="E3861" i="496"/>
  <c r="D3861" i="496"/>
  <c r="C3861" i="496"/>
  <c r="BE3860" i="496"/>
  <c r="BC3860" i="496"/>
  <c r="I3860" i="496"/>
  <c r="H3860" i="496"/>
  <c r="E3860" i="496"/>
  <c r="D3860" i="496"/>
  <c r="C3860" i="496"/>
  <c r="BE3859" i="496"/>
  <c r="BC3859" i="496"/>
  <c r="I3859" i="496"/>
  <c r="H3859" i="496"/>
  <c r="E3859" i="496"/>
  <c r="D3859" i="496"/>
  <c r="C3859" i="496"/>
  <c r="BE3858" i="496"/>
  <c r="BC3858" i="496"/>
  <c r="I3858" i="496"/>
  <c r="H3858" i="496"/>
  <c r="E3858" i="496"/>
  <c r="D3858" i="496"/>
  <c r="C3858" i="496"/>
  <c r="BE3857" i="496"/>
  <c r="BC3857" i="496"/>
  <c r="I3857" i="496"/>
  <c r="H3857" i="496"/>
  <c r="E3857" i="496"/>
  <c r="D3857" i="496"/>
  <c r="C3857" i="496"/>
  <c r="BE3856" i="496"/>
  <c r="BC3856" i="496"/>
  <c r="I3856" i="496"/>
  <c r="H3856" i="496"/>
  <c r="E3856" i="496"/>
  <c r="D3856" i="496"/>
  <c r="C3856" i="496"/>
  <c r="BE3855" i="496"/>
  <c r="BC3855" i="496"/>
  <c r="I3855" i="496"/>
  <c r="H3855" i="496"/>
  <c r="E3855" i="496"/>
  <c r="D3855" i="496"/>
  <c r="C3855" i="496"/>
  <c r="BE3854" i="496"/>
  <c r="BC3854" i="496"/>
  <c r="I3854" i="496"/>
  <c r="H3854" i="496"/>
  <c r="E3854" i="496"/>
  <c r="D3854" i="496"/>
  <c r="C3854" i="496"/>
  <c r="BE3853" i="496"/>
  <c r="BC3853" i="496"/>
  <c r="I3853" i="496"/>
  <c r="H3853" i="496"/>
  <c r="E3853" i="496"/>
  <c r="D3853" i="496"/>
  <c r="C3853" i="496"/>
  <c r="BE3852" i="496"/>
  <c r="BC3852" i="496"/>
  <c r="I3852" i="496"/>
  <c r="H3852" i="496"/>
  <c r="E3852" i="496"/>
  <c r="D3852" i="496"/>
  <c r="C3852" i="496"/>
  <c r="BE3851" i="496"/>
  <c r="BC3851" i="496"/>
  <c r="I3851" i="496"/>
  <c r="H3851" i="496"/>
  <c r="E3851" i="496"/>
  <c r="D3851" i="496"/>
  <c r="C3851" i="496"/>
  <c r="BE3850" i="496"/>
  <c r="BC3850" i="496"/>
  <c r="I3850" i="496"/>
  <c r="H3850" i="496"/>
  <c r="E3850" i="496"/>
  <c r="D3850" i="496"/>
  <c r="C3850" i="496"/>
  <c r="BE3849" i="496"/>
  <c r="BC3849" i="496"/>
  <c r="I3849" i="496"/>
  <c r="H3849" i="496"/>
  <c r="E3849" i="496"/>
  <c r="D3849" i="496"/>
  <c r="C3849" i="496"/>
  <c r="BE3848" i="496"/>
  <c r="BC3848" i="496"/>
  <c r="I3848" i="496"/>
  <c r="H3848" i="496"/>
  <c r="E3848" i="496"/>
  <c r="D3848" i="496"/>
  <c r="C3848" i="496"/>
  <c r="BE3847" i="496"/>
  <c r="BC3847" i="496"/>
  <c r="I3847" i="496"/>
  <c r="H3847" i="496"/>
  <c r="E3847" i="496"/>
  <c r="D3847" i="496"/>
  <c r="C3847" i="496"/>
  <c r="BE3846" i="496"/>
  <c r="BC3846" i="496"/>
  <c r="I3846" i="496"/>
  <c r="H3846" i="496"/>
  <c r="E3846" i="496"/>
  <c r="D3846" i="496"/>
  <c r="C3846" i="496"/>
  <c r="BE3845" i="496"/>
  <c r="BC3845" i="496"/>
  <c r="I3845" i="496"/>
  <c r="H3845" i="496"/>
  <c r="E3845" i="496"/>
  <c r="D3845" i="496"/>
  <c r="C3845" i="496"/>
  <c r="BE3844" i="496"/>
  <c r="BC3844" i="496"/>
  <c r="I3844" i="496"/>
  <c r="H3844" i="496"/>
  <c r="E3844" i="496"/>
  <c r="D3844" i="496"/>
  <c r="C3844" i="496"/>
  <c r="BE3843" i="496"/>
  <c r="BC3843" i="496"/>
  <c r="I3843" i="496"/>
  <c r="H3843" i="496"/>
  <c r="E3843" i="496"/>
  <c r="D3843" i="496"/>
  <c r="C3843" i="496"/>
  <c r="BE3842" i="496"/>
  <c r="BC3842" i="496"/>
  <c r="I3842" i="496"/>
  <c r="H3842" i="496"/>
  <c r="E3842" i="496"/>
  <c r="D3842" i="496"/>
  <c r="C3842" i="496"/>
  <c r="BE3841" i="496"/>
  <c r="BC3841" i="496"/>
  <c r="I3841" i="496"/>
  <c r="H3841" i="496"/>
  <c r="E3841" i="496"/>
  <c r="D3841" i="496"/>
  <c r="C3841" i="496"/>
  <c r="BE3840" i="496"/>
  <c r="BC3840" i="496"/>
  <c r="I3840" i="496"/>
  <c r="H3840" i="496"/>
  <c r="E3840" i="496"/>
  <c r="D3840" i="496"/>
  <c r="C3840" i="496"/>
  <c r="BE3839" i="496"/>
  <c r="BC3839" i="496"/>
  <c r="I3839" i="496"/>
  <c r="H3839" i="496"/>
  <c r="E3839" i="496"/>
  <c r="D3839" i="496"/>
  <c r="C3839" i="496"/>
  <c r="BE3838" i="496"/>
  <c r="BC3838" i="496"/>
  <c r="I3838" i="496"/>
  <c r="H3838" i="496"/>
  <c r="E3838" i="496"/>
  <c r="D3838" i="496"/>
  <c r="C3838" i="496"/>
  <c r="BE3837" i="496"/>
  <c r="BC3837" i="496"/>
  <c r="I3837" i="496"/>
  <c r="H3837" i="496"/>
  <c r="E3837" i="496"/>
  <c r="D3837" i="496"/>
  <c r="C3837" i="496"/>
  <c r="BE3836" i="496"/>
  <c r="BC3836" i="496"/>
  <c r="I3836" i="496"/>
  <c r="H3836" i="496"/>
  <c r="E3836" i="496"/>
  <c r="D3836" i="496"/>
  <c r="C3836" i="496"/>
  <c r="BE3835" i="496"/>
  <c r="BC3835" i="496"/>
  <c r="I3835" i="496"/>
  <c r="H3835" i="496"/>
  <c r="E3835" i="496"/>
  <c r="D3835" i="496"/>
  <c r="C3835" i="496"/>
  <c r="BE3834" i="496"/>
  <c r="BC3834" i="496"/>
  <c r="I3834" i="496"/>
  <c r="H3834" i="496"/>
  <c r="E3834" i="496"/>
  <c r="D3834" i="496"/>
  <c r="C3834" i="496"/>
  <c r="BE3833" i="496"/>
  <c r="BC3833" i="496"/>
  <c r="I3833" i="496"/>
  <c r="H3833" i="496"/>
  <c r="E3833" i="496"/>
  <c r="D3833" i="496"/>
  <c r="C3833" i="496"/>
  <c r="BE3832" i="496"/>
  <c r="BC3832" i="496"/>
  <c r="I3832" i="496"/>
  <c r="H3832" i="496"/>
  <c r="E3832" i="496"/>
  <c r="D3832" i="496"/>
  <c r="C3832" i="496"/>
  <c r="BE3831" i="496"/>
  <c r="BC3831" i="496"/>
  <c r="I3831" i="496"/>
  <c r="H3831" i="496"/>
  <c r="E3831" i="496"/>
  <c r="D3831" i="496"/>
  <c r="C3831" i="496"/>
  <c r="BE3830" i="496"/>
  <c r="BC3830" i="496"/>
  <c r="I3830" i="496"/>
  <c r="H3830" i="496"/>
  <c r="E3830" i="496"/>
  <c r="D3830" i="496"/>
  <c r="C3830" i="496"/>
  <c r="BE3829" i="496"/>
  <c r="BC3829" i="496"/>
  <c r="I3829" i="496"/>
  <c r="H3829" i="496"/>
  <c r="E3829" i="496"/>
  <c r="D3829" i="496"/>
  <c r="C3829" i="496"/>
  <c r="BE3828" i="496"/>
  <c r="BC3828" i="496"/>
  <c r="I3828" i="496"/>
  <c r="H3828" i="496"/>
  <c r="E3828" i="496"/>
  <c r="D3828" i="496"/>
  <c r="C3828" i="496"/>
  <c r="BE3827" i="496"/>
  <c r="BC3827" i="496"/>
  <c r="I3827" i="496"/>
  <c r="H3827" i="496"/>
  <c r="E3827" i="496"/>
  <c r="D3827" i="496"/>
  <c r="C3827" i="496"/>
  <c r="BE3826" i="496"/>
  <c r="BC3826" i="496"/>
  <c r="I3826" i="496"/>
  <c r="H3826" i="496"/>
  <c r="E3826" i="496"/>
  <c r="D3826" i="496"/>
  <c r="C3826" i="496"/>
  <c r="BE3825" i="496"/>
  <c r="BC3825" i="496"/>
  <c r="I3825" i="496"/>
  <c r="H3825" i="496"/>
  <c r="E3825" i="496"/>
  <c r="D3825" i="496"/>
  <c r="C3825" i="496"/>
  <c r="BE3824" i="496"/>
  <c r="BC3824" i="496"/>
  <c r="I3824" i="496"/>
  <c r="H3824" i="496"/>
  <c r="E3824" i="496"/>
  <c r="D3824" i="496"/>
  <c r="C3824" i="496"/>
  <c r="BE3823" i="496"/>
  <c r="BC3823" i="496"/>
  <c r="I3823" i="496"/>
  <c r="H3823" i="496"/>
  <c r="E3823" i="496"/>
  <c r="D3823" i="496"/>
  <c r="C3823" i="496"/>
  <c r="BE3822" i="496"/>
  <c r="BC3822" i="496"/>
  <c r="I3822" i="496"/>
  <c r="H3822" i="496"/>
  <c r="E3822" i="496"/>
  <c r="D3822" i="496"/>
  <c r="C3822" i="496"/>
  <c r="BE3821" i="496"/>
  <c r="BC3821" i="496"/>
  <c r="I3821" i="496"/>
  <c r="H3821" i="496"/>
  <c r="E3821" i="496"/>
  <c r="D3821" i="496"/>
  <c r="C3821" i="496"/>
  <c r="BE3820" i="496"/>
  <c r="BC3820" i="496"/>
  <c r="I3820" i="496"/>
  <c r="H3820" i="496"/>
  <c r="E3820" i="496"/>
  <c r="D3820" i="496"/>
  <c r="C3820" i="496"/>
  <c r="BE3819" i="496"/>
  <c r="BC3819" i="496"/>
  <c r="I3819" i="496"/>
  <c r="H3819" i="496"/>
  <c r="E3819" i="496"/>
  <c r="D3819" i="496"/>
  <c r="C3819" i="496"/>
  <c r="BE3818" i="496"/>
  <c r="BC3818" i="496"/>
  <c r="I3818" i="496"/>
  <c r="H3818" i="496"/>
  <c r="E3818" i="496"/>
  <c r="D3818" i="496"/>
  <c r="C3818" i="496"/>
  <c r="BE3817" i="496"/>
  <c r="BC3817" i="496"/>
  <c r="I3817" i="496"/>
  <c r="H3817" i="496"/>
  <c r="E3817" i="496"/>
  <c r="D3817" i="496"/>
  <c r="C3817" i="496"/>
  <c r="BE3816" i="496"/>
  <c r="BC3816" i="496"/>
  <c r="I3816" i="496"/>
  <c r="H3816" i="496"/>
  <c r="E3816" i="496"/>
  <c r="D3816" i="496"/>
  <c r="C3816" i="496"/>
  <c r="BE3815" i="496"/>
  <c r="BC3815" i="496"/>
  <c r="I3815" i="496"/>
  <c r="H3815" i="496"/>
  <c r="E3815" i="496"/>
  <c r="D3815" i="496"/>
  <c r="C3815" i="496"/>
  <c r="BE3814" i="496"/>
  <c r="BC3814" i="496"/>
  <c r="I3814" i="496"/>
  <c r="H3814" i="496"/>
  <c r="E3814" i="496"/>
  <c r="D3814" i="496"/>
  <c r="C3814" i="496"/>
  <c r="BE3813" i="496"/>
  <c r="BC3813" i="496"/>
  <c r="I3813" i="496"/>
  <c r="H3813" i="496"/>
  <c r="E3813" i="496"/>
  <c r="D3813" i="496"/>
  <c r="C3813" i="496"/>
  <c r="BE3812" i="496"/>
  <c r="BC3812" i="496"/>
  <c r="I3812" i="496"/>
  <c r="H3812" i="496"/>
  <c r="E3812" i="496"/>
  <c r="D3812" i="496"/>
  <c r="C3812" i="496"/>
  <c r="BE3811" i="496"/>
  <c r="BC3811" i="496"/>
  <c r="I3811" i="496"/>
  <c r="H3811" i="496"/>
  <c r="E3811" i="496"/>
  <c r="D3811" i="496"/>
  <c r="C3811" i="496"/>
  <c r="BE3810" i="496"/>
  <c r="BC3810" i="496"/>
  <c r="I3810" i="496"/>
  <c r="H3810" i="496"/>
  <c r="E3810" i="496"/>
  <c r="D3810" i="496"/>
  <c r="C3810" i="496"/>
  <c r="BE3809" i="496"/>
  <c r="BC3809" i="496"/>
  <c r="I3809" i="496"/>
  <c r="H3809" i="496"/>
  <c r="E3809" i="496"/>
  <c r="D3809" i="496"/>
  <c r="C3809" i="496"/>
  <c r="BE3808" i="496"/>
  <c r="BC3808" i="496"/>
  <c r="I3808" i="496"/>
  <c r="H3808" i="496"/>
  <c r="E3808" i="496"/>
  <c r="D3808" i="496"/>
  <c r="C3808" i="496"/>
  <c r="BE3807" i="496"/>
  <c r="BC3807" i="496"/>
  <c r="I3807" i="496"/>
  <c r="H3807" i="496"/>
  <c r="E3807" i="496"/>
  <c r="D3807" i="496"/>
  <c r="C3807" i="496"/>
  <c r="BE3806" i="496"/>
  <c r="BC3806" i="496"/>
  <c r="I3806" i="496"/>
  <c r="H3806" i="496"/>
  <c r="E3806" i="496"/>
  <c r="D3806" i="496"/>
  <c r="C3806" i="496"/>
  <c r="BE3805" i="496"/>
  <c r="BC3805" i="496"/>
  <c r="I3805" i="496"/>
  <c r="H3805" i="496"/>
  <c r="E3805" i="496"/>
  <c r="D3805" i="496"/>
  <c r="C3805" i="496"/>
  <c r="BE3804" i="496"/>
  <c r="BC3804" i="496"/>
  <c r="I3804" i="496"/>
  <c r="H3804" i="496"/>
  <c r="E3804" i="496"/>
  <c r="D3804" i="496"/>
  <c r="C3804" i="496"/>
  <c r="BE3803" i="496"/>
  <c r="BC3803" i="496"/>
  <c r="I3803" i="496"/>
  <c r="H3803" i="496"/>
  <c r="E3803" i="496"/>
  <c r="D3803" i="496"/>
  <c r="C3803" i="496"/>
  <c r="BE3802" i="496"/>
  <c r="BC3802" i="496"/>
  <c r="I3802" i="496"/>
  <c r="H3802" i="496"/>
  <c r="E3802" i="496"/>
  <c r="D3802" i="496"/>
  <c r="C3802" i="496"/>
  <c r="BE3801" i="496"/>
  <c r="BC3801" i="496"/>
  <c r="I3801" i="496"/>
  <c r="H3801" i="496"/>
  <c r="E3801" i="496"/>
  <c r="D3801" i="496"/>
  <c r="C3801" i="496"/>
  <c r="BE3800" i="496"/>
  <c r="BC3800" i="496"/>
  <c r="I3800" i="496"/>
  <c r="H3800" i="496"/>
  <c r="E3800" i="496"/>
  <c r="D3800" i="496"/>
  <c r="C3800" i="496"/>
  <c r="BE3799" i="496"/>
  <c r="BC3799" i="496"/>
  <c r="I3799" i="496"/>
  <c r="H3799" i="496"/>
  <c r="E3799" i="496"/>
  <c r="D3799" i="496"/>
  <c r="C3799" i="496"/>
  <c r="BE3798" i="496"/>
  <c r="BC3798" i="496"/>
  <c r="I3798" i="496"/>
  <c r="H3798" i="496"/>
  <c r="E3798" i="496"/>
  <c r="D3798" i="496"/>
  <c r="C3798" i="496"/>
  <c r="BE3797" i="496"/>
  <c r="BC3797" i="496"/>
  <c r="I3797" i="496"/>
  <c r="H3797" i="496"/>
  <c r="E3797" i="496"/>
  <c r="D3797" i="496"/>
  <c r="C3797" i="496"/>
  <c r="BE3796" i="496"/>
  <c r="BC3796" i="496"/>
  <c r="I3796" i="496"/>
  <c r="H3796" i="496"/>
  <c r="E3796" i="496"/>
  <c r="D3796" i="496"/>
  <c r="C3796" i="496"/>
  <c r="BE3795" i="496"/>
  <c r="BC3795" i="496"/>
  <c r="I3795" i="496"/>
  <c r="H3795" i="496"/>
  <c r="E3795" i="496"/>
  <c r="D3795" i="496"/>
  <c r="C3795" i="496"/>
  <c r="BE3794" i="496"/>
  <c r="BC3794" i="496"/>
  <c r="I3794" i="496"/>
  <c r="H3794" i="496"/>
  <c r="E3794" i="496"/>
  <c r="D3794" i="496"/>
  <c r="C3794" i="496"/>
  <c r="BE3793" i="496"/>
  <c r="BC3793" i="496"/>
  <c r="I3793" i="496"/>
  <c r="H3793" i="496"/>
  <c r="E3793" i="496"/>
  <c r="D3793" i="496"/>
  <c r="C3793" i="496"/>
  <c r="BE3792" i="496"/>
  <c r="BC3792" i="496"/>
  <c r="I3792" i="496"/>
  <c r="H3792" i="496"/>
  <c r="E3792" i="496"/>
  <c r="D3792" i="496"/>
  <c r="C3792" i="496"/>
  <c r="BE3791" i="496"/>
  <c r="BC3791" i="496"/>
  <c r="I3791" i="496"/>
  <c r="H3791" i="496"/>
  <c r="E3791" i="496"/>
  <c r="D3791" i="496"/>
  <c r="C3791" i="496"/>
  <c r="BE3790" i="496"/>
  <c r="BC3790" i="496"/>
  <c r="I3790" i="496"/>
  <c r="H3790" i="496"/>
  <c r="E3790" i="496"/>
  <c r="D3790" i="496"/>
  <c r="C3790" i="496"/>
  <c r="BE3789" i="496"/>
  <c r="BC3789" i="496"/>
  <c r="I3789" i="496"/>
  <c r="H3789" i="496"/>
  <c r="E3789" i="496"/>
  <c r="D3789" i="496"/>
  <c r="C3789" i="496"/>
  <c r="BE3788" i="496"/>
  <c r="BC3788" i="496"/>
  <c r="I3788" i="496"/>
  <c r="H3788" i="496"/>
  <c r="E3788" i="496"/>
  <c r="D3788" i="496"/>
  <c r="C3788" i="496"/>
  <c r="BE3787" i="496"/>
  <c r="BC3787" i="496"/>
  <c r="I3787" i="496"/>
  <c r="H3787" i="496"/>
  <c r="E3787" i="496"/>
  <c r="D3787" i="496"/>
  <c r="C3787" i="496"/>
  <c r="BE3786" i="496"/>
  <c r="BC3786" i="496"/>
  <c r="I3786" i="496"/>
  <c r="H3786" i="496"/>
  <c r="E3786" i="496"/>
  <c r="D3786" i="496"/>
  <c r="C3786" i="496"/>
  <c r="BE3785" i="496"/>
  <c r="BC3785" i="496"/>
  <c r="I3785" i="496"/>
  <c r="H3785" i="496"/>
  <c r="E3785" i="496"/>
  <c r="D3785" i="496"/>
  <c r="C3785" i="496"/>
  <c r="BE3784" i="496"/>
  <c r="BC3784" i="496"/>
  <c r="I3784" i="496"/>
  <c r="H3784" i="496"/>
  <c r="E3784" i="496"/>
  <c r="D3784" i="496"/>
  <c r="C3784" i="496"/>
  <c r="BE3783" i="496"/>
  <c r="BC3783" i="496"/>
  <c r="I3783" i="496"/>
  <c r="H3783" i="496"/>
  <c r="E3783" i="496"/>
  <c r="D3783" i="496"/>
  <c r="C3783" i="496"/>
  <c r="BE3782" i="496"/>
  <c r="BC3782" i="496"/>
  <c r="I3782" i="496"/>
  <c r="H3782" i="496"/>
  <c r="E3782" i="496"/>
  <c r="D3782" i="496"/>
  <c r="C3782" i="496"/>
  <c r="BE3781" i="496"/>
  <c r="BC3781" i="496"/>
  <c r="I3781" i="496"/>
  <c r="H3781" i="496"/>
  <c r="E3781" i="496"/>
  <c r="D3781" i="496"/>
  <c r="C3781" i="496"/>
  <c r="BE3780" i="496"/>
  <c r="BC3780" i="496"/>
  <c r="I3780" i="496"/>
  <c r="H3780" i="496"/>
  <c r="E3780" i="496"/>
  <c r="D3780" i="496"/>
  <c r="C3780" i="496"/>
  <c r="BE3779" i="496"/>
  <c r="BC3779" i="496"/>
  <c r="I3779" i="496"/>
  <c r="H3779" i="496"/>
  <c r="E3779" i="496"/>
  <c r="D3779" i="496"/>
  <c r="C3779" i="496"/>
  <c r="BE3778" i="496"/>
  <c r="BC3778" i="496"/>
  <c r="I3778" i="496"/>
  <c r="H3778" i="496"/>
  <c r="E3778" i="496"/>
  <c r="D3778" i="496"/>
  <c r="C3778" i="496"/>
  <c r="BE3777" i="496"/>
  <c r="BC3777" i="496"/>
  <c r="I3777" i="496"/>
  <c r="H3777" i="496"/>
  <c r="E3777" i="496"/>
  <c r="D3777" i="496"/>
  <c r="C3777" i="496"/>
  <c r="BE3776" i="496"/>
  <c r="BC3776" i="496"/>
  <c r="I3776" i="496"/>
  <c r="H3776" i="496"/>
  <c r="E3776" i="496"/>
  <c r="D3776" i="496"/>
  <c r="C3776" i="496"/>
  <c r="BE3775" i="496"/>
  <c r="BC3775" i="496"/>
  <c r="I3775" i="496"/>
  <c r="H3775" i="496"/>
  <c r="E3775" i="496"/>
  <c r="D3775" i="496"/>
  <c r="C3775" i="496"/>
  <c r="BE3774" i="496"/>
  <c r="BC3774" i="496"/>
  <c r="I3774" i="496"/>
  <c r="H3774" i="496"/>
  <c r="E3774" i="496"/>
  <c r="D3774" i="496"/>
  <c r="C3774" i="496"/>
  <c r="BE3773" i="496"/>
  <c r="BC3773" i="496"/>
  <c r="I3773" i="496"/>
  <c r="H3773" i="496"/>
  <c r="E3773" i="496"/>
  <c r="D3773" i="496"/>
  <c r="C3773" i="496"/>
  <c r="BE3772" i="496"/>
  <c r="BC3772" i="496"/>
  <c r="I3772" i="496"/>
  <c r="H3772" i="496"/>
  <c r="E3772" i="496"/>
  <c r="D3772" i="496"/>
  <c r="C3772" i="496"/>
  <c r="BE3771" i="496"/>
  <c r="BC3771" i="496"/>
  <c r="I3771" i="496"/>
  <c r="H3771" i="496"/>
  <c r="E3771" i="496"/>
  <c r="D3771" i="496"/>
  <c r="C3771" i="496"/>
  <c r="BE3770" i="496"/>
  <c r="BC3770" i="496"/>
  <c r="I3770" i="496"/>
  <c r="H3770" i="496"/>
  <c r="E3770" i="496"/>
  <c r="D3770" i="496"/>
  <c r="C3770" i="496"/>
  <c r="BE3769" i="496"/>
  <c r="BC3769" i="496"/>
  <c r="I3769" i="496"/>
  <c r="H3769" i="496"/>
  <c r="E3769" i="496"/>
  <c r="D3769" i="496"/>
  <c r="C3769" i="496"/>
  <c r="BE3768" i="496"/>
  <c r="BC3768" i="496"/>
  <c r="I3768" i="496"/>
  <c r="H3768" i="496"/>
  <c r="E3768" i="496"/>
  <c r="D3768" i="496"/>
  <c r="C3768" i="496"/>
  <c r="BE3767" i="496"/>
  <c r="BC3767" i="496"/>
  <c r="I3767" i="496"/>
  <c r="H3767" i="496"/>
  <c r="E3767" i="496"/>
  <c r="D3767" i="496"/>
  <c r="C3767" i="496"/>
  <c r="BE3766" i="496"/>
  <c r="BC3766" i="496"/>
  <c r="I3766" i="496"/>
  <c r="H3766" i="496"/>
  <c r="E3766" i="496"/>
  <c r="D3766" i="496"/>
  <c r="C3766" i="496"/>
  <c r="BE3765" i="496"/>
  <c r="BC3765" i="496"/>
  <c r="I3765" i="496"/>
  <c r="H3765" i="496"/>
  <c r="E3765" i="496"/>
  <c r="D3765" i="496"/>
  <c r="C3765" i="496"/>
  <c r="BE3764" i="496"/>
  <c r="BC3764" i="496"/>
  <c r="I3764" i="496"/>
  <c r="H3764" i="496"/>
  <c r="E3764" i="496"/>
  <c r="D3764" i="496"/>
  <c r="C3764" i="496"/>
  <c r="BE3763" i="496"/>
  <c r="BC3763" i="496"/>
  <c r="I3763" i="496"/>
  <c r="H3763" i="496"/>
  <c r="E3763" i="496"/>
  <c r="D3763" i="496"/>
  <c r="C3763" i="496"/>
  <c r="BE3762" i="496"/>
  <c r="BC3762" i="496"/>
  <c r="I3762" i="496"/>
  <c r="H3762" i="496"/>
  <c r="E3762" i="496"/>
  <c r="D3762" i="496"/>
  <c r="C3762" i="496"/>
  <c r="BE3761" i="496"/>
  <c r="BC3761" i="496"/>
  <c r="I3761" i="496"/>
  <c r="H3761" i="496"/>
  <c r="E3761" i="496"/>
  <c r="D3761" i="496"/>
  <c r="C3761" i="496"/>
  <c r="BE3760" i="496"/>
  <c r="BC3760" i="496"/>
  <c r="I3760" i="496"/>
  <c r="H3760" i="496"/>
  <c r="E3760" i="496"/>
  <c r="D3760" i="496"/>
  <c r="C3760" i="496"/>
  <c r="BE3759" i="496"/>
  <c r="BC3759" i="496"/>
  <c r="I3759" i="496"/>
  <c r="H3759" i="496"/>
  <c r="E3759" i="496"/>
  <c r="D3759" i="496"/>
  <c r="C3759" i="496"/>
  <c r="BE3758" i="496"/>
  <c r="BC3758" i="496"/>
  <c r="I3758" i="496"/>
  <c r="H3758" i="496"/>
  <c r="E3758" i="496"/>
  <c r="D3758" i="496"/>
  <c r="C3758" i="496"/>
  <c r="BE3757" i="496"/>
  <c r="BC3757" i="496"/>
  <c r="I3757" i="496"/>
  <c r="H3757" i="496"/>
  <c r="E3757" i="496"/>
  <c r="D3757" i="496"/>
  <c r="C3757" i="496"/>
  <c r="BE3756" i="496"/>
  <c r="BC3756" i="496"/>
  <c r="I3756" i="496"/>
  <c r="H3756" i="496"/>
  <c r="E3756" i="496"/>
  <c r="D3756" i="496"/>
  <c r="C3756" i="496"/>
  <c r="BE3755" i="496"/>
  <c r="BC3755" i="496"/>
  <c r="I3755" i="496"/>
  <c r="H3755" i="496"/>
  <c r="E3755" i="496"/>
  <c r="D3755" i="496"/>
  <c r="C3755" i="496"/>
  <c r="BE3754" i="496"/>
  <c r="BC3754" i="496"/>
  <c r="I3754" i="496"/>
  <c r="H3754" i="496"/>
  <c r="E3754" i="496"/>
  <c r="D3754" i="496"/>
  <c r="C3754" i="496"/>
  <c r="BE3753" i="496"/>
  <c r="BC3753" i="496"/>
  <c r="I3753" i="496"/>
  <c r="H3753" i="496"/>
  <c r="E3753" i="496"/>
  <c r="D3753" i="496"/>
  <c r="C3753" i="496"/>
  <c r="BE3752" i="496"/>
  <c r="BC3752" i="496"/>
  <c r="I3752" i="496"/>
  <c r="H3752" i="496"/>
  <c r="E3752" i="496"/>
  <c r="D3752" i="496"/>
  <c r="C3752" i="496"/>
  <c r="BE3751" i="496"/>
  <c r="BC3751" i="496"/>
  <c r="I3751" i="496"/>
  <c r="H3751" i="496"/>
  <c r="E3751" i="496"/>
  <c r="D3751" i="496"/>
  <c r="C3751" i="496"/>
  <c r="BE3750" i="496"/>
  <c r="BC3750" i="496"/>
  <c r="I3750" i="496"/>
  <c r="H3750" i="496"/>
  <c r="E3750" i="496"/>
  <c r="D3750" i="496"/>
  <c r="C3750" i="496"/>
  <c r="BE3749" i="496"/>
  <c r="BC3749" i="496"/>
  <c r="I3749" i="496"/>
  <c r="H3749" i="496"/>
  <c r="E3749" i="496"/>
  <c r="D3749" i="496"/>
  <c r="C3749" i="496"/>
  <c r="BE3748" i="496"/>
  <c r="BC3748" i="496"/>
  <c r="I3748" i="496"/>
  <c r="H3748" i="496"/>
  <c r="E3748" i="496"/>
  <c r="D3748" i="496"/>
  <c r="C3748" i="496"/>
  <c r="BE3747" i="496"/>
  <c r="BC3747" i="496"/>
  <c r="I3747" i="496"/>
  <c r="H3747" i="496"/>
  <c r="E3747" i="496"/>
  <c r="D3747" i="496"/>
  <c r="C3747" i="496"/>
  <c r="BE3746" i="496"/>
  <c r="BC3746" i="496"/>
  <c r="I3746" i="496"/>
  <c r="H3746" i="496"/>
  <c r="E3746" i="496"/>
  <c r="D3746" i="496"/>
  <c r="C3746" i="496"/>
  <c r="BE3745" i="496"/>
  <c r="BC3745" i="496"/>
  <c r="I3745" i="496"/>
  <c r="H3745" i="496"/>
  <c r="E3745" i="496"/>
  <c r="D3745" i="496"/>
  <c r="C3745" i="496"/>
  <c r="BE3744" i="496"/>
  <c r="BC3744" i="496"/>
  <c r="I3744" i="496"/>
  <c r="H3744" i="496"/>
  <c r="E3744" i="496"/>
  <c r="D3744" i="496"/>
  <c r="C3744" i="496"/>
  <c r="BE3743" i="496"/>
  <c r="BC3743" i="496"/>
  <c r="I3743" i="496"/>
  <c r="H3743" i="496"/>
  <c r="E3743" i="496"/>
  <c r="D3743" i="496"/>
  <c r="C3743" i="496"/>
  <c r="BE3742" i="496"/>
  <c r="BC3742" i="496"/>
  <c r="I3742" i="496"/>
  <c r="H3742" i="496"/>
  <c r="E3742" i="496"/>
  <c r="D3742" i="496"/>
  <c r="C3742" i="496"/>
  <c r="BE3741" i="496"/>
  <c r="BC3741" i="496"/>
  <c r="I3741" i="496"/>
  <c r="H3741" i="496"/>
  <c r="E3741" i="496"/>
  <c r="D3741" i="496"/>
  <c r="C3741" i="496"/>
  <c r="BE3740" i="496"/>
  <c r="BC3740" i="496"/>
  <c r="I3740" i="496"/>
  <c r="H3740" i="496"/>
  <c r="E3740" i="496"/>
  <c r="D3740" i="496"/>
  <c r="C3740" i="496"/>
  <c r="BE3739" i="496"/>
  <c r="BC3739" i="496"/>
  <c r="I3739" i="496"/>
  <c r="H3739" i="496"/>
  <c r="E3739" i="496"/>
  <c r="D3739" i="496"/>
  <c r="C3739" i="496"/>
  <c r="BE3738" i="496"/>
  <c r="BC3738" i="496"/>
  <c r="I3738" i="496"/>
  <c r="H3738" i="496"/>
  <c r="E3738" i="496"/>
  <c r="D3738" i="496"/>
  <c r="C3738" i="496"/>
  <c r="BE3737" i="496"/>
  <c r="BC3737" i="496"/>
  <c r="I3737" i="496"/>
  <c r="H3737" i="496"/>
  <c r="E3737" i="496"/>
  <c r="D3737" i="496"/>
  <c r="C3737" i="496"/>
  <c r="BE3736" i="496"/>
  <c r="BC3736" i="496"/>
  <c r="I3736" i="496"/>
  <c r="H3736" i="496"/>
  <c r="E3736" i="496"/>
  <c r="D3736" i="496"/>
  <c r="C3736" i="496"/>
  <c r="BE3735" i="496"/>
  <c r="BC3735" i="496"/>
  <c r="I3735" i="496"/>
  <c r="H3735" i="496"/>
  <c r="E3735" i="496"/>
  <c r="D3735" i="496"/>
  <c r="C3735" i="496"/>
  <c r="BE3734" i="496"/>
  <c r="BC3734" i="496"/>
  <c r="I3734" i="496"/>
  <c r="H3734" i="496"/>
  <c r="E3734" i="496"/>
  <c r="D3734" i="496"/>
  <c r="C3734" i="496"/>
  <c r="BE3733" i="496"/>
  <c r="BC3733" i="496"/>
  <c r="I3733" i="496"/>
  <c r="H3733" i="496"/>
  <c r="E3733" i="496"/>
  <c r="D3733" i="496"/>
  <c r="C3733" i="496"/>
  <c r="BE3732" i="496"/>
  <c r="BC3732" i="496"/>
  <c r="I3732" i="496"/>
  <c r="H3732" i="496"/>
  <c r="E3732" i="496"/>
  <c r="D3732" i="496"/>
  <c r="C3732" i="496"/>
  <c r="BE3731" i="496"/>
  <c r="BC3731" i="496"/>
  <c r="I3731" i="496"/>
  <c r="H3731" i="496"/>
  <c r="E3731" i="496"/>
  <c r="D3731" i="496"/>
  <c r="C3731" i="496"/>
  <c r="BE3730" i="496"/>
  <c r="BC3730" i="496"/>
  <c r="I3730" i="496"/>
  <c r="H3730" i="496"/>
  <c r="E3730" i="496"/>
  <c r="D3730" i="496"/>
  <c r="C3730" i="496"/>
  <c r="BE3729" i="496"/>
  <c r="BC3729" i="496"/>
  <c r="I3729" i="496"/>
  <c r="H3729" i="496"/>
  <c r="E3729" i="496"/>
  <c r="D3729" i="496"/>
  <c r="C3729" i="496"/>
  <c r="BE3728" i="496"/>
  <c r="BC3728" i="496"/>
  <c r="I3728" i="496"/>
  <c r="H3728" i="496"/>
  <c r="E3728" i="496"/>
  <c r="D3728" i="496"/>
  <c r="C3728" i="496"/>
  <c r="BE3727" i="496"/>
  <c r="BC3727" i="496"/>
  <c r="I3727" i="496"/>
  <c r="H3727" i="496"/>
  <c r="E3727" i="496"/>
  <c r="D3727" i="496"/>
  <c r="C3727" i="496"/>
  <c r="BE3726" i="496"/>
  <c r="BC3726" i="496"/>
  <c r="I3726" i="496"/>
  <c r="H3726" i="496"/>
  <c r="E3726" i="496"/>
  <c r="D3726" i="496"/>
  <c r="C3726" i="496"/>
  <c r="BE3725" i="496"/>
  <c r="BC3725" i="496"/>
  <c r="I3725" i="496"/>
  <c r="H3725" i="496"/>
  <c r="E3725" i="496"/>
  <c r="D3725" i="496"/>
  <c r="C3725" i="496"/>
  <c r="BE3724" i="496"/>
  <c r="BC3724" i="496"/>
  <c r="I3724" i="496"/>
  <c r="H3724" i="496"/>
  <c r="E3724" i="496"/>
  <c r="D3724" i="496"/>
  <c r="C3724" i="496"/>
  <c r="BE3723" i="496"/>
  <c r="BC3723" i="496"/>
  <c r="I3723" i="496"/>
  <c r="H3723" i="496"/>
  <c r="E3723" i="496"/>
  <c r="D3723" i="496"/>
  <c r="C3723" i="496"/>
  <c r="BE3722" i="496"/>
  <c r="BC3722" i="496"/>
  <c r="I3722" i="496"/>
  <c r="H3722" i="496"/>
  <c r="E3722" i="496"/>
  <c r="D3722" i="496"/>
  <c r="C3722" i="496"/>
  <c r="BE3721" i="496"/>
  <c r="BC3721" i="496"/>
  <c r="I3721" i="496"/>
  <c r="H3721" i="496"/>
  <c r="E3721" i="496"/>
  <c r="D3721" i="496"/>
  <c r="C3721" i="496"/>
  <c r="BE3720" i="496"/>
  <c r="BC3720" i="496"/>
  <c r="I3720" i="496"/>
  <c r="H3720" i="496"/>
  <c r="E3720" i="496"/>
  <c r="D3720" i="496"/>
  <c r="C3720" i="496"/>
  <c r="BE3719" i="496"/>
  <c r="BC3719" i="496"/>
  <c r="I3719" i="496"/>
  <c r="H3719" i="496"/>
  <c r="E3719" i="496"/>
  <c r="D3719" i="496"/>
  <c r="C3719" i="496"/>
  <c r="BE3718" i="496"/>
  <c r="BC3718" i="496"/>
  <c r="I3718" i="496"/>
  <c r="H3718" i="496"/>
  <c r="E3718" i="496"/>
  <c r="D3718" i="496"/>
  <c r="C3718" i="496"/>
  <c r="BE3717" i="496"/>
  <c r="BC3717" i="496"/>
  <c r="I3717" i="496"/>
  <c r="H3717" i="496"/>
  <c r="E3717" i="496"/>
  <c r="D3717" i="496"/>
  <c r="C3717" i="496"/>
  <c r="BE3716" i="496"/>
  <c r="BC3716" i="496"/>
  <c r="I3716" i="496"/>
  <c r="H3716" i="496"/>
  <c r="E3716" i="496"/>
  <c r="D3716" i="496"/>
  <c r="C3716" i="496"/>
  <c r="BE3715" i="496"/>
  <c r="BC3715" i="496"/>
  <c r="I3715" i="496"/>
  <c r="H3715" i="496"/>
  <c r="E3715" i="496"/>
  <c r="D3715" i="496"/>
  <c r="C3715" i="496"/>
  <c r="BE3714" i="496"/>
  <c r="BC3714" i="496"/>
  <c r="I3714" i="496"/>
  <c r="H3714" i="496"/>
  <c r="E3714" i="496"/>
  <c r="D3714" i="496"/>
  <c r="C3714" i="496"/>
  <c r="BE3713" i="496"/>
  <c r="BC3713" i="496"/>
  <c r="I3713" i="496"/>
  <c r="H3713" i="496"/>
  <c r="E3713" i="496"/>
  <c r="D3713" i="496"/>
  <c r="C3713" i="496"/>
  <c r="BE3712" i="496"/>
  <c r="BC3712" i="496"/>
  <c r="I3712" i="496"/>
  <c r="H3712" i="496"/>
  <c r="E3712" i="496"/>
  <c r="D3712" i="496"/>
  <c r="C3712" i="496"/>
  <c r="BE3711" i="496"/>
  <c r="BC3711" i="496"/>
  <c r="I3711" i="496"/>
  <c r="H3711" i="496"/>
  <c r="E3711" i="496"/>
  <c r="D3711" i="496"/>
  <c r="C3711" i="496"/>
  <c r="BE3710" i="496"/>
  <c r="BC3710" i="496"/>
  <c r="I3710" i="496"/>
  <c r="H3710" i="496"/>
  <c r="E3710" i="496"/>
  <c r="D3710" i="496"/>
  <c r="C3710" i="496"/>
  <c r="BE3709" i="496"/>
  <c r="BC3709" i="496"/>
  <c r="I3709" i="496"/>
  <c r="H3709" i="496"/>
  <c r="E3709" i="496"/>
  <c r="D3709" i="496"/>
  <c r="C3709" i="496"/>
  <c r="BE3708" i="496"/>
  <c r="BC3708" i="496"/>
  <c r="I3708" i="496"/>
  <c r="H3708" i="496"/>
  <c r="E3708" i="496"/>
  <c r="D3708" i="496"/>
  <c r="C3708" i="496"/>
  <c r="BE3707" i="496"/>
  <c r="BC3707" i="496"/>
  <c r="I3707" i="496"/>
  <c r="H3707" i="496"/>
  <c r="E3707" i="496"/>
  <c r="D3707" i="496"/>
  <c r="C3707" i="496"/>
  <c r="BE3706" i="496"/>
  <c r="BC3706" i="496"/>
  <c r="I3706" i="496"/>
  <c r="H3706" i="496"/>
  <c r="E3706" i="496"/>
  <c r="D3706" i="496"/>
  <c r="C3706" i="496"/>
  <c r="BE3705" i="496"/>
  <c r="BC3705" i="496"/>
  <c r="I3705" i="496"/>
  <c r="H3705" i="496"/>
  <c r="E3705" i="496"/>
  <c r="D3705" i="496"/>
  <c r="C3705" i="496"/>
  <c r="BE3704" i="496"/>
  <c r="BC3704" i="496"/>
  <c r="I3704" i="496"/>
  <c r="H3704" i="496"/>
  <c r="E3704" i="496"/>
  <c r="D3704" i="496"/>
  <c r="C3704" i="496"/>
  <c r="BE3703" i="496"/>
  <c r="BC3703" i="496"/>
  <c r="I3703" i="496"/>
  <c r="H3703" i="496"/>
  <c r="E3703" i="496"/>
  <c r="D3703" i="496"/>
  <c r="C3703" i="496"/>
  <c r="BE3702" i="496"/>
  <c r="BC3702" i="496"/>
  <c r="I3702" i="496"/>
  <c r="H3702" i="496"/>
  <c r="E3702" i="496"/>
  <c r="D3702" i="496"/>
  <c r="C3702" i="496"/>
  <c r="BE3701" i="496"/>
  <c r="BC3701" i="496"/>
  <c r="I3701" i="496"/>
  <c r="H3701" i="496"/>
  <c r="E3701" i="496"/>
  <c r="D3701" i="496"/>
  <c r="C3701" i="496"/>
  <c r="BE3700" i="496"/>
  <c r="BC3700" i="496"/>
  <c r="I3700" i="496"/>
  <c r="H3700" i="496"/>
  <c r="E3700" i="496"/>
  <c r="D3700" i="496"/>
  <c r="C3700" i="496"/>
  <c r="BE3699" i="496"/>
  <c r="BC3699" i="496"/>
  <c r="I3699" i="496"/>
  <c r="H3699" i="496"/>
  <c r="E3699" i="496"/>
  <c r="D3699" i="496"/>
  <c r="C3699" i="496"/>
  <c r="BE3698" i="496"/>
  <c r="BC3698" i="496"/>
  <c r="I3698" i="496"/>
  <c r="H3698" i="496"/>
  <c r="E3698" i="496"/>
  <c r="D3698" i="496"/>
  <c r="C3698" i="496"/>
  <c r="BE3697" i="496"/>
  <c r="BC3697" i="496"/>
  <c r="I3697" i="496"/>
  <c r="H3697" i="496"/>
  <c r="E3697" i="496"/>
  <c r="D3697" i="496"/>
  <c r="C3697" i="496"/>
  <c r="BE3696" i="496"/>
  <c r="BC3696" i="496"/>
  <c r="I3696" i="496"/>
  <c r="H3696" i="496"/>
  <c r="E3696" i="496"/>
  <c r="D3696" i="496"/>
  <c r="C3696" i="496"/>
  <c r="BE3695" i="496"/>
  <c r="BC3695" i="496"/>
  <c r="I3695" i="496"/>
  <c r="H3695" i="496"/>
  <c r="E3695" i="496"/>
  <c r="D3695" i="496"/>
  <c r="C3695" i="496"/>
  <c r="BE3694" i="496"/>
  <c r="BC3694" i="496"/>
  <c r="I3694" i="496"/>
  <c r="H3694" i="496"/>
  <c r="E3694" i="496"/>
  <c r="D3694" i="496"/>
  <c r="C3694" i="496"/>
  <c r="BE3693" i="496"/>
  <c r="BC3693" i="496"/>
  <c r="I3693" i="496"/>
  <c r="H3693" i="496"/>
  <c r="E3693" i="496"/>
  <c r="D3693" i="496"/>
  <c r="C3693" i="496"/>
  <c r="BE3692" i="496"/>
  <c r="BC3692" i="496"/>
  <c r="I3692" i="496"/>
  <c r="H3692" i="496"/>
  <c r="E3692" i="496"/>
  <c r="D3692" i="496"/>
  <c r="C3692" i="496"/>
  <c r="BE3691" i="496"/>
  <c r="BC3691" i="496"/>
  <c r="I3691" i="496"/>
  <c r="H3691" i="496"/>
  <c r="E3691" i="496"/>
  <c r="D3691" i="496"/>
  <c r="C3691" i="496"/>
  <c r="BE3690" i="496"/>
  <c r="BC3690" i="496"/>
  <c r="I3690" i="496"/>
  <c r="H3690" i="496"/>
  <c r="E3690" i="496"/>
  <c r="D3690" i="496"/>
  <c r="C3690" i="496"/>
  <c r="BE3689" i="496"/>
  <c r="BC3689" i="496"/>
  <c r="I3689" i="496"/>
  <c r="H3689" i="496"/>
  <c r="E3689" i="496"/>
  <c r="D3689" i="496"/>
  <c r="C3689" i="496"/>
  <c r="BE3688" i="496"/>
  <c r="BC3688" i="496"/>
  <c r="I3688" i="496"/>
  <c r="H3688" i="496"/>
  <c r="E3688" i="496"/>
  <c r="D3688" i="496"/>
  <c r="C3688" i="496"/>
  <c r="BE3687" i="496"/>
  <c r="BC3687" i="496"/>
  <c r="I3687" i="496"/>
  <c r="H3687" i="496"/>
  <c r="E3687" i="496"/>
  <c r="D3687" i="496"/>
  <c r="C3687" i="496"/>
  <c r="BE3686" i="496"/>
  <c r="BC3686" i="496"/>
  <c r="I3686" i="496"/>
  <c r="H3686" i="496"/>
  <c r="E3686" i="496"/>
  <c r="D3686" i="496"/>
  <c r="C3686" i="496"/>
  <c r="BE3685" i="496"/>
  <c r="BC3685" i="496"/>
  <c r="I3685" i="496"/>
  <c r="H3685" i="496"/>
  <c r="E3685" i="496"/>
  <c r="D3685" i="496"/>
  <c r="C3685" i="496"/>
  <c r="BE3684" i="496"/>
  <c r="BC3684" i="496"/>
  <c r="I3684" i="496"/>
  <c r="H3684" i="496"/>
  <c r="E3684" i="496"/>
  <c r="D3684" i="496"/>
  <c r="C3684" i="496"/>
  <c r="BE3683" i="496"/>
  <c r="BC3683" i="496"/>
  <c r="I3683" i="496"/>
  <c r="H3683" i="496"/>
  <c r="E3683" i="496"/>
  <c r="D3683" i="496"/>
  <c r="C3683" i="496"/>
  <c r="BE3682" i="496"/>
  <c r="BC3682" i="496"/>
  <c r="I3682" i="496"/>
  <c r="H3682" i="496"/>
  <c r="E3682" i="496"/>
  <c r="D3682" i="496"/>
  <c r="C3682" i="496"/>
  <c r="BE3681" i="496"/>
  <c r="BC3681" i="496"/>
  <c r="I3681" i="496"/>
  <c r="H3681" i="496"/>
  <c r="E3681" i="496"/>
  <c r="D3681" i="496"/>
  <c r="C3681" i="496"/>
  <c r="BE3680" i="496"/>
  <c r="BC3680" i="496"/>
  <c r="I3680" i="496"/>
  <c r="H3680" i="496"/>
  <c r="E3680" i="496"/>
  <c r="D3680" i="496"/>
  <c r="C3680" i="496"/>
  <c r="BE3679" i="496"/>
  <c r="BC3679" i="496"/>
  <c r="I3679" i="496"/>
  <c r="H3679" i="496"/>
  <c r="E3679" i="496"/>
  <c r="D3679" i="496"/>
  <c r="C3679" i="496"/>
  <c r="BE3678" i="496"/>
  <c r="BC3678" i="496"/>
  <c r="I3678" i="496"/>
  <c r="H3678" i="496"/>
  <c r="E3678" i="496"/>
  <c r="D3678" i="496"/>
  <c r="C3678" i="496"/>
  <c r="BE3677" i="496"/>
  <c r="BC3677" i="496"/>
  <c r="I3677" i="496"/>
  <c r="H3677" i="496"/>
  <c r="E3677" i="496"/>
  <c r="D3677" i="496"/>
  <c r="C3677" i="496"/>
  <c r="BE3676" i="496"/>
  <c r="BC3676" i="496"/>
  <c r="I3676" i="496"/>
  <c r="H3676" i="496"/>
  <c r="E3676" i="496"/>
  <c r="D3676" i="496"/>
  <c r="C3676" i="496"/>
  <c r="BE3675" i="496"/>
  <c r="BC3675" i="496"/>
  <c r="I3675" i="496"/>
  <c r="H3675" i="496"/>
  <c r="E3675" i="496"/>
  <c r="D3675" i="496"/>
  <c r="C3675" i="496"/>
  <c r="BE3674" i="496"/>
  <c r="BC3674" i="496"/>
  <c r="I3674" i="496"/>
  <c r="H3674" i="496"/>
  <c r="E3674" i="496"/>
  <c r="D3674" i="496"/>
  <c r="C3674" i="496"/>
  <c r="BE3673" i="496"/>
  <c r="BC3673" i="496"/>
  <c r="I3673" i="496"/>
  <c r="H3673" i="496"/>
  <c r="E3673" i="496"/>
  <c r="D3673" i="496"/>
  <c r="C3673" i="496"/>
  <c r="BE3672" i="496"/>
  <c r="BC3672" i="496"/>
  <c r="I3672" i="496"/>
  <c r="H3672" i="496"/>
  <c r="E3672" i="496"/>
  <c r="D3672" i="496"/>
  <c r="C3672" i="496"/>
  <c r="BE3671" i="496"/>
  <c r="BC3671" i="496"/>
  <c r="I3671" i="496"/>
  <c r="H3671" i="496"/>
  <c r="E3671" i="496"/>
  <c r="D3671" i="496"/>
  <c r="C3671" i="496"/>
  <c r="BE3670" i="496"/>
  <c r="BC3670" i="496"/>
  <c r="I3670" i="496"/>
  <c r="H3670" i="496"/>
  <c r="E3670" i="496"/>
  <c r="D3670" i="496"/>
  <c r="C3670" i="496"/>
  <c r="BE3669" i="496"/>
  <c r="BC3669" i="496"/>
  <c r="I3669" i="496"/>
  <c r="H3669" i="496"/>
  <c r="E3669" i="496"/>
  <c r="D3669" i="496"/>
  <c r="C3669" i="496"/>
  <c r="BE3668" i="496"/>
  <c r="BC3668" i="496"/>
  <c r="I3668" i="496"/>
  <c r="H3668" i="496"/>
  <c r="E3668" i="496"/>
  <c r="D3668" i="496"/>
  <c r="C3668" i="496"/>
  <c r="BE3667" i="496"/>
  <c r="BC3667" i="496"/>
  <c r="I3667" i="496"/>
  <c r="H3667" i="496"/>
  <c r="E3667" i="496"/>
  <c r="D3667" i="496"/>
  <c r="C3667" i="496"/>
  <c r="BE3666" i="496"/>
  <c r="BC3666" i="496"/>
  <c r="I3666" i="496"/>
  <c r="H3666" i="496"/>
  <c r="E3666" i="496"/>
  <c r="D3666" i="496"/>
  <c r="C3666" i="496"/>
  <c r="BE3665" i="496"/>
  <c r="BC3665" i="496"/>
  <c r="I3665" i="496"/>
  <c r="H3665" i="496"/>
  <c r="E3665" i="496"/>
  <c r="D3665" i="496"/>
  <c r="C3665" i="496"/>
  <c r="BE3664" i="496"/>
  <c r="BC3664" i="496"/>
  <c r="I3664" i="496"/>
  <c r="H3664" i="496"/>
  <c r="E3664" i="496"/>
  <c r="D3664" i="496"/>
  <c r="C3664" i="496"/>
  <c r="BE3663" i="496"/>
  <c r="BC3663" i="496"/>
  <c r="I3663" i="496"/>
  <c r="H3663" i="496"/>
  <c r="E3663" i="496"/>
  <c r="D3663" i="496"/>
  <c r="C3663" i="496"/>
  <c r="BE3662" i="496"/>
  <c r="BC3662" i="496"/>
  <c r="I3662" i="496"/>
  <c r="H3662" i="496"/>
  <c r="E3662" i="496"/>
  <c r="D3662" i="496"/>
  <c r="C3662" i="496"/>
  <c r="BE3661" i="496"/>
  <c r="BC3661" i="496"/>
  <c r="I3661" i="496"/>
  <c r="H3661" i="496"/>
  <c r="E3661" i="496"/>
  <c r="D3661" i="496"/>
  <c r="C3661" i="496"/>
  <c r="BE3660" i="496"/>
  <c r="BC3660" i="496"/>
  <c r="I3660" i="496"/>
  <c r="H3660" i="496"/>
  <c r="E3660" i="496"/>
  <c r="D3660" i="496"/>
  <c r="C3660" i="496"/>
  <c r="BE3659" i="496"/>
  <c r="BC3659" i="496"/>
  <c r="I3659" i="496"/>
  <c r="H3659" i="496"/>
  <c r="E3659" i="496"/>
  <c r="D3659" i="496"/>
  <c r="C3659" i="496"/>
  <c r="BE3658" i="496"/>
  <c r="BC3658" i="496"/>
  <c r="I3658" i="496"/>
  <c r="H3658" i="496"/>
  <c r="E3658" i="496"/>
  <c r="D3658" i="496"/>
  <c r="C3658" i="496"/>
  <c r="BE3657" i="496"/>
  <c r="BC3657" i="496"/>
  <c r="I3657" i="496"/>
  <c r="H3657" i="496"/>
  <c r="E3657" i="496"/>
  <c r="D3657" i="496"/>
  <c r="C3657" i="496"/>
  <c r="BE3656" i="496"/>
  <c r="BC3656" i="496"/>
  <c r="I3656" i="496"/>
  <c r="H3656" i="496"/>
  <c r="E3656" i="496"/>
  <c r="D3656" i="496"/>
  <c r="C3656" i="496"/>
  <c r="BE3655" i="496"/>
  <c r="BC3655" i="496"/>
  <c r="I3655" i="496"/>
  <c r="H3655" i="496"/>
  <c r="E3655" i="496"/>
  <c r="D3655" i="496"/>
  <c r="C3655" i="496"/>
  <c r="BE3654" i="496"/>
  <c r="BC3654" i="496"/>
  <c r="I3654" i="496"/>
  <c r="H3654" i="496"/>
  <c r="E3654" i="496"/>
  <c r="D3654" i="496"/>
  <c r="C3654" i="496"/>
  <c r="BE3653" i="496"/>
  <c r="BC3653" i="496"/>
  <c r="I3653" i="496"/>
  <c r="H3653" i="496"/>
  <c r="E3653" i="496"/>
  <c r="D3653" i="496"/>
  <c r="C3653" i="496"/>
  <c r="BE3652" i="496"/>
  <c r="BC3652" i="496"/>
  <c r="I3652" i="496"/>
  <c r="H3652" i="496"/>
  <c r="E3652" i="496"/>
  <c r="D3652" i="496"/>
  <c r="C3652" i="496"/>
  <c r="BE3651" i="496"/>
  <c r="BC3651" i="496"/>
  <c r="I3651" i="496"/>
  <c r="H3651" i="496"/>
  <c r="E3651" i="496"/>
  <c r="D3651" i="496"/>
  <c r="C3651" i="496"/>
  <c r="BE3650" i="496"/>
  <c r="BC3650" i="496"/>
  <c r="I3650" i="496"/>
  <c r="H3650" i="496"/>
  <c r="E3650" i="496"/>
  <c r="D3650" i="496"/>
  <c r="C3650" i="496"/>
  <c r="BE3649" i="496"/>
  <c r="BC3649" i="496"/>
  <c r="I3649" i="496"/>
  <c r="H3649" i="496"/>
  <c r="E3649" i="496"/>
  <c r="D3649" i="496"/>
  <c r="C3649" i="496"/>
  <c r="BE3648" i="496"/>
  <c r="BC3648" i="496"/>
  <c r="I3648" i="496"/>
  <c r="H3648" i="496"/>
  <c r="E3648" i="496"/>
  <c r="D3648" i="496"/>
  <c r="C3648" i="496"/>
  <c r="BE3647" i="496"/>
  <c r="BC3647" i="496"/>
  <c r="I3647" i="496"/>
  <c r="H3647" i="496"/>
  <c r="E3647" i="496"/>
  <c r="D3647" i="496"/>
  <c r="C3647" i="496"/>
  <c r="BE3646" i="496"/>
  <c r="BC3646" i="496"/>
  <c r="I3646" i="496"/>
  <c r="H3646" i="496"/>
  <c r="E3646" i="496"/>
  <c r="D3646" i="496"/>
  <c r="C3646" i="496"/>
  <c r="BE3645" i="496"/>
  <c r="BC3645" i="496"/>
  <c r="I3645" i="496"/>
  <c r="H3645" i="496"/>
  <c r="E3645" i="496"/>
  <c r="D3645" i="496"/>
  <c r="C3645" i="496"/>
  <c r="BE3644" i="496"/>
  <c r="BC3644" i="496"/>
  <c r="I3644" i="496"/>
  <c r="H3644" i="496"/>
  <c r="E3644" i="496"/>
  <c r="D3644" i="496"/>
  <c r="C3644" i="496"/>
  <c r="BE3643" i="496"/>
  <c r="BC3643" i="496"/>
  <c r="I3643" i="496"/>
  <c r="H3643" i="496"/>
  <c r="E3643" i="496"/>
  <c r="D3643" i="496"/>
  <c r="C3643" i="496"/>
  <c r="BE3642" i="496"/>
  <c r="BC3642" i="496"/>
  <c r="I3642" i="496"/>
  <c r="H3642" i="496"/>
  <c r="E3642" i="496"/>
  <c r="D3642" i="496"/>
  <c r="C3642" i="496"/>
  <c r="BE3641" i="496"/>
  <c r="BC3641" i="496"/>
  <c r="I3641" i="496"/>
  <c r="H3641" i="496"/>
  <c r="E3641" i="496"/>
  <c r="D3641" i="496"/>
  <c r="C3641" i="496"/>
  <c r="BE3640" i="496"/>
  <c r="BC3640" i="496"/>
  <c r="I3640" i="496"/>
  <c r="H3640" i="496"/>
  <c r="E3640" i="496"/>
  <c r="D3640" i="496"/>
  <c r="C3640" i="496"/>
  <c r="BE3639" i="496"/>
  <c r="BC3639" i="496"/>
  <c r="I3639" i="496"/>
  <c r="H3639" i="496"/>
  <c r="E3639" i="496"/>
  <c r="D3639" i="496"/>
  <c r="C3639" i="496"/>
  <c r="BE3638" i="496"/>
  <c r="BC3638" i="496"/>
  <c r="I3638" i="496"/>
  <c r="H3638" i="496"/>
  <c r="E3638" i="496"/>
  <c r="D3638" i="496"/>
  <c r="C3638" i="496"/>
  <c r="BE3637" i="496"/>
  <c r="BC3637" i="496"/>
  <c r="I3637" i="496"/>
  <c r="H3637" i="496"/>
  <c r="E3637" i="496"/>
  <c r="D3637" i="496"/>
  <c r="C3637" i="496"/>
  <c r="BE3636" i="496"/>
  <c r="BC3636" i="496"/>
  <c r="I3636" i="496"/>
  <c r="H3636" i="496"/>
  <c r="E3636" i="496"/>
  <c r="D3636" i="496"/>
  <c r="C3636" i="496"/>
  <c r="BE3635" i="496"/>
  <c r="BC3635" i="496"/>
  <c r="I3635" i="496"/>
  <c r="H3635" i="496"/>
  <c r="E3635" i="496"/>
  <c r="D3635" i="496"/>
  <c r="C3635" i="496"/>
  <c r="BE3634" i="496"/>
  <c r="BC3634" i="496"/>
  <c r="I3634" i="496"/>
  <c r="H3634" i="496"/>
  <c r="E3634" i="496"/>
  <c r="D3634" i="496"/>
  <c r="C3634" i="496"/>
  <c r="BE3633" i="496"/>
  <c r="BC3633" i="496"/>
  <c r="I3633" i="496"/>
  <c r="H3633" i="496"/>
  <c r="E3633" i="496"/>
  <c r="D3633" i="496"/>
  <c r="C3633" i="496"/>
  <c r="BE3632" i="496"/>
  <c r="BC3632" i="496"/>
  <c r="I3632" i="496"/>
  <c r="H3632" i="496"/>
  <c r="E3632" i="496"/>
  <c r="D3632" i="496"/>
  <c r="C3632" i="496"/>
  <c r="BE3631" i="496"/>
  <c r="BC3631" i="496"/>
  <c r="I3631" i="496"/>
  <c r="H3631" i="496"/>
  <c r="E3631" i="496"/>
  <c r="D3631" i="496"/>
  <c r="C3631" i="496"/>
  <c r="BE3630" i="496"/>
  <c r="BC3630" i="496"/>
  <c r="I3630" i="496"/>
  <c r="H3630" i="496"/>
  <c r="E3630" i="496"/>
  <c r="D3630" i="496"/>
  <c r="C3630" i="496"/>
  <c r="BE3629" i="496"/>
  <c r="BC3629" i="496"/>
  <c r="I3629" i="496"/>
  <c r="H3629" i="496"/>
  <c r="E3629" i="496"/>
  <c r="D3629" i="496"/>
  <c r="C3629" i="496"/>
  <c r="BE3628" i="496"/>
  <c r="BC3628" i="496"/>
  <c r="I3628" i="496"/>
  <c r="H3628" i="496"/>
  <c r="E3628" i="496"/>
  <c r="D3628" i="496"/>
  <c r="C3628" i="496"/>
  <c r="BE3627" i="496"/>
  <c r="BC3627" i="496"/>
  <c r="I3627" i="496"/>
  <c r="H3627" i="496"/>
  <c r="E3627" i="496"/>
  <c r="D3627" i="496"/>
  <c r="C3627" i="496"/>
  <c r="BE3626" i="496"/>
  <c r="BC3626" i="496"/>
  <c r="I3626" i="496"/>
  <c r="H3626" i="496"/>
  <c r="E3626" i="496"/>
  <c r="D3626" i="496"/>
  <c r="C3626" i="496"/>
  <c r="BE3625" i="496"/>
  <c r="BC3625" i="496"/>
  <c r="I3625" i="496"/>
  <c r="H3625" i="496"/>
  <c r="E3625" i="496"/>
  <c r="D3625" i="496"/>
  <c r="C3625" i="496"/>
  <c r="BE3624" i="496"/>
  <c r="BC3624" i="496"/>
  <c r="I3624" i="496"/>
  <c r="H3624" i="496"/>
  <c r="E3624" i="496"/>
  <c r="D3624" i="496"/>
  <c r="C3624" i="496"/>
  <c r="BE3623" i="496"/>
  <c r="BC3623" i="496"/>
  <c r="I3623" i="496"/>
  <c r="H3623" i="496"/>
  <c r="E3623" i="496"/>
  <c r="D3623" i="496"/>
  <c r="C3623" i="496"/>
  <c r="BE3622" i="496"/>
  <c r="BC3622" i="496"/>
  <c r="I3622" i="496"/>
  <c r="H3622" i="496"/>
  <c r="E3622" i="496"/>
  <c r="D3622" i="496"/>
  <c r="C3622" i="496"/>
  <c r="BE3621" i="496"/>
  <c r="BC3621" i="496"/>
  <c r="I3621" i="496"/>
  <c r="H3621" i="496"/>
  <c r="E3621" i="496"/>
  <c r="D3621" i="496"/>
  <c r="C3621" i="496"/>
  <c r="BE3620" i="496"/>
  <c r="BC3620" i="496"/>
  <c r="I3620" i="496"/>
  <c r="H3620" i="496"/>
  <c r="E3620" i="496"/>
  <c r="D3620" i="496"/>
  <c r="C3620" i="496"/>
  <c r="BE3619" i="496"/>
  <c r="BC3619" i="496"/>
  <c r="I3619" i="496"/>
  <c r="H3619" i="496"/>
  <c r="E3619" i="496"/>
  <c r="D3619" i="496"/>
  <c r="C3619" i="496"/>
  <c r="BE3618" i="496"/>
  <c r="BC3618" i="496"/>
  <c r="I3618" i="496"/>
  <c r="H3618" i="496"/>
  <c r="E3618" i="496"/>
  <c r="D3618" i="496"/>
  <c r="C3618" i="496"/>
  <c r="BE3617" i="496"/>
  <c r="BC3617" i="496"/>
  <c r="I3617" i="496"/>
  <c r="H3617" i="496"/>
  <c r="E3617" i="496"/>
  <c r="D3617" i="496"/>
  <c r="C3617" i="496"/>
  <c r="BE3616" i="496"/>
  <c r="BC3616" i="496"/>
  <c r="I3616" i="496"/>
  <c r="H3616" i="496"/>
  <c r="E3616" i="496"/>
  <c r="D3616" i="496"/>
  <c r="C3616" i="496"/>
  <c r="BE3615" i="496"/>
  <c r="BC3615" i="496"/>
  <c r="I3615" i="496"/>
  <c r="H3615" i="496"/>
  <c r="E3615" i="496"/>
  <c r="D3615" i="496"/>
  <c r="C3615" i="496"/>
  <c r="BE3614" i="496"/>
  <c r="BC3614" i="496"/>
  <c r="I3614" i="496"/>
  <c r="H3614" i="496"/>
  <c r="E3614" i="496"/>
  <c r="D3614" i="496"/>
  <c r="C3614" i="496"/>
  <c r="BE3613" i="496"/>
  <c r="BC3613" i="496"/>
  <c r="I3613" i="496"/>
  <c r="H3613" i="496"/>
  <c r="E3613" i="496"/>
  <c r="D3613" i="496"/>
  <c r="C3613" i="496"/>
  <c r="BE3612" i="496"/>
  <c r="BC3612" i="496"/>
  <c r="I3612" i="496"/>
  <c r="H3612" i="496"/>
  <c r="E3612" i="496"/>
  <c r="D3612" i="496"/>
  <c r="C3612" i="496"/>
  <c r="BE3611" i="496"/>
  <c r="BC3611" i="496"/>
  <c r="I3611" i="496"/>
  <c r="H3611" i="496"/>
  <c r="E3611" i="496"/>
  <c r="D3611" i="496"/>
  <c r="C3611" i="496"/>
  <c r="BE3610" i="496"/>
  <c r="BC3610" i="496"/>
  <c r="I3610" i="496"/>
  <c r="H3610" i="496"/>
  <c r="E3610" i="496"/>
  <c r="D3610" i="496"/>
  <c r="C3610" i="496"/>
  <c r="BE3609" i="496"/>
  <c r="BC3609" i="496"/>
  <c r="I3609" i="496"/>
  <c r="H3609" i="496"/>
  <c r="E3609" i="496"/>
  <c r="D3609" i="496"/>
  <c r="C3609" i="496"/>
  <c r="BE3608" i="496"/>
  <c r="BC3608" i="496"/>
  <c r="I3608" i="496"/>
  <c r="H3608" i="496"/>
  <c r="E3608" i="496"/>
  <c r="D3608" i="496"/>
  <c r="C3608" i="496"/>
  <c r="BE3607" i="496"/>
  <c r="BC3607" i="496"/>
  <c r="I3607" i="496"/>
  <c r="H3607" i="496"/>
  <c r="E3607" i="496"/>
  <c r="D3607" i="496"/>
  <c r="C3607" i="496"/>
  <c r="BE3606" i="496"/>
  <c r="BC3606" i="496"/>
  <c r="I3606" i="496"/>
  <c r="H3606" i="496"/>
  <c r="E3606" i="496"/>
  <c r="D3606" i="496"/>
  <c r="C3606" i="496"/>
  <c r="BE3605" i="496"/>
  <c r="BC3605" i="496"/>
  <c r="I3605" i="496"/>
  <c r="H3605" i="496"/>
  <c r="E3605" i="496"/>
  <c r="D3605" i="496"/>
  <c r="C3605" i="496"/>
  <c r="BE3604" i="496"/>
  <c r="BC3604" i="496"/>
  <c r="I3604" i="496"/>
  <c r="H3604" i="496"/>
  <c r="E3604" i="496"/>
  <c r="D3604" i="496"/>
  <c r="C3604" i="496"/>
  <c r="BE3603" i="496"/>
  <c r="BC3603" i="496"/>
  <c r="I3603" i="496"/>
  <c r="H3603" i="496"/>
  <c r="E3603" i="496"/>
  <c r="D3603" i="496"/>
  <c r="C3603" i="496"/>
  <c r="BE3602" i="496"/>
  <c r="BC3602" i="496"/>
  <c r="I3602" i="496"/>
  <c r="H3602" i="496"/>
  <c r="E3602" i="496"/>
  <c r="D3602" i="496"/>
  <c r="C3602" i="496"/>
  <c r="BE3601" i="496"/>
  <c r="BC3601" i="496"/>
  <c r="I3601" i="496"/>
  <c r="H3601" i="496"/>
  <c r="E3601" i="496"/>
  <c r="D3601" i="496"/>
  <c r="C3601" i="496"/>
  <c r="BE3600" i="496"/>
  <c r="BC3600" i="496"/>
  <c r="I3600" i="496"/>
  <c r="H3600" i="496"/>
  <c r="E3600" i="496"/>
  <c r="D3600" i="496"/>
  <c r="C3600" i="496"/>
  <c r="BE3599" i="496"/>
  <c r="BC3599" i="496"/>
  <c r="I3599" i="496"/>
  <c r="H3599" i="496"/>
  <c r="E3599" i="496"/>
  <c r="D3599" i="496"/>
  <c r="C3599" i="496"/>
  <c r="BE3598" i="496"/>
  <c r="BC3598" i="496"/>
  <c r="I3598" i="496"/>
  <c r="H3598" i="496"/>
  <c r="E3598" i="496"/>
  <c r="D3598" i="496"/>
  <c r="C3598" i="496"/>
  <c r="BE3597" i="496"/>
  <c r="BC3597" i="496"/>
  <c r="I3597" i="496"/>
  <c r="H3597" i="496"/>
  <c r="E3597" i="496"/>
  <c r="D3597" i="496"/>
  <c r="C3597" i="496"/>
  <c r="BE3596" i="496"/>
  <c r="BC3596" i="496"/>
  <c r="I3596" i="496"/>
  <c r="H3596" i="496"/>
  <c r="E3596" i="496"/>
  <c r="D3596" i="496"/>
  <c r="C3596" i="496"/>
  <c r="BE3595" i="496"/>
  <c r="BC3595" i="496"/>
  <c r="I3595" i="496"/>
  <c r="H3595" i="496"/>
  <c r="E3595" i="496"/>
  <c r="D3595" i="496"/>
  <c r="C3595" i="496"/>
  <c r="BE3594" i="496"/>
  <c r="BC3594" i="496"/>
  <c r="I3594" i="496"/>
  <c r="H3594" i="496"/>
  <c r="E3594" i="496"/>
  <c r="D3594" i="496"/>
  <c r="C3594" i="496"/>
  <c r="BE3593" i="496"/>
  <c r="BC3593" i="496"/>
  <c r="I3593" i="496"/>
  <c r="H3593" i="496"/>
  <c r="E3593" i="496"/>
  <c r="D3593" i="496"/>
  <c r="C3593" i="496"/>
  <c r="BE3592" i="496"/>
  <c r="BC3592" i="496"/>
  <c r="I3592" i="496"/>
  <c r="H3592" i="496"/>
  <c r="E3592" i="496"/>
  <c r="D3592" i="496"/>
  <c r="C3592" i="496"/>
  <c r="BE3591" i="496"/>
  <c r="BC3591" i="496"/>
  <c r="I3591" i="496"/>
  <c r="H3591" i="496"/>
  <c r="E3591" i="496"/>
  <c r="D3591" i="496"/>
  <c r="C3591" i="496"/>
  <c r="BE3590" i="496"/>
  <c r="BC3590" i="496"/>
  <c r="I3590" i="496"/>
  <c r="H3590" i="496"/>
  <c r="E3590" i="496"/>
  <c r="D3590" i="496"/>
  <c r="C3590" i="496"/>
  <c r="BE3589" i="496"/>
  <c r="BC3589" i="496"/>
  <c r="I3589" i="496"/>
  <c r="H3589" i="496"/>
  <c r="E3589" i="496"/>
  <c r="D3589" i="496"/>
  <c r="C3589" i="496"/>
  <c r="BE3588" i="496"/>
  <c r="BC3588" i="496"/>
  <c r="I3588" i="496"/>
  <c r="H3588" i="496"/>
  <c r="E3588" i="496"/>
  <c r="D3588" i="496"/>
  <c r="C3588" i="496"/>
  <c r="BE3587" i="496"/>
  <c r="BC3587" i="496"/>
  <c r="I3587" i="496"/>
  <c r="H3587" i="496"/>
  <c r="E3587" i="496"/>
  <c r="D3587" i="496"/>
  <c r="C3587" i="496"/>
  <c r="BE3586" i="496"/>
  <c r="BC3586" i="496"/>
  <c r="I3586" i="496"/>
  <c r="H3586" i="496"/>
  <c r="E3586" i="496"/>
  <c r="D3586" i="496"/>
  <c r="C3586" i="496"/>
  <c r="BE3585" i="496"/>
  <c r="BC3585" i="496"/>
  <c r="I3585" i="496"/>
  <c r="H3585" i="496"/>
  <c r="E3585" i="496"/>
  <c r="D3585" i="496"/>
  <c r="C3585" i="496"/>
  <c r="BE3584" i="496"/>
  <c r="BC3584" i="496"/>
  <c r="I3584" i="496"/>
  <c r="H3584" i="496"/>
  <c r="E3584" i="496"/>
  <c r="D3584" i="496"/>
  <c r="C3584" i="496"/>
  <c r="BE3583" i="496"/>
  <c r="BC3583" i="496"/>
  <c r="I3583" i="496"/>
  <c r="H3583" i="496"/>
  <c r="E3583" i="496"/>
  <c r="D3583" i="496"/>
  <c r="C3583" i="496"/>
  <c r="BE3582" i="496"/>
  <c r="BC3582" i="496"/>
  <c r="I3582" i="496"/>
  <c r="H3582" i="496"/>
  <c r="E3582" i="496"/>
  <c r="D3582" i="496"/>
  <c r="C3582" i="496"/>
  <c r="BE3581" i="496"/>
  <c r="BC3581" i="496"/>
  <c r="I3581" i="496"/>
  <c r="H3581" i="496"/>
  <c r="E3581" i="496"/>
  <c r="D3581" i="496"/>
  <c r="C3581" i="496"/>
  <c r="BE3580" i="496"/>
  <c r="BC3580" i="496"/>
  <c r="I3580" i="496"/>
  <c r="H3580" i="496"/>
  <c r="E3580" i="496"/>
  <c r="D3580" i="496"/>
  <c r="C3580" i="496"/>
  <c r="BE3579" i="496"/>
  <c r="BC3579" i="496"/>
  <c r="I3579" i="496"/>
  <c r="H3579" i="496"/>
  <c r="E3579" i="496"/>
  <c r="D3579" i="496"/>
  <c r="C3579" i="496"/>
  <c r="BE3578" i="496"/>
  <c r="BC3578" i="496"/>
  <c r="I3578" i="496"/>
  <c r="H3578" i="496"/>
  <c r="E3578" i="496"/>
  <c r="D3578" i="496"/>
  <c r="C3578" i="496"/>
  <c r="BE3577" i="496"/>
  <c r="BC3577" i="496"/>
  <c r="I3577" i="496"/>
  <c r="H3577" i="496"/>
  <c r="E3577" i="496"/>
  <c r="D3577" i="496"/>
  <c r="C3577" i="496"/>
  <c r="BE3576" i="496"/>
  <c r="BC3576" i="496"/>
  <c r="I3576" i="496"/>
  <c r="H3576" i="496"/>
  <c r="E3576" i="496"/>
  <c r="D3576" i="496"/>
  <c r="C3576" i="496"/>
  <c r="BE3575" i="496"/>
  <c r="BC3575" i="496"/>
  <c r="I3575" i="496"/>
  <c r="H3575" i="496"/>
  <c r="E3575" i="496"/>
  <c r="D3575" i="496"/>
  <c r="C3575" i="496"/>
  <c r="BE3574" i="496"/>
  <c r="BC3574" i="496"/>
  <c r="I3574" i="496"/>
  <c r="H3574" i="496"/>
  <c r="E3574" i="496"/>
  <c r="D3574" i="496"/>
  <c r="C3574" i="496"/>
  <c r="BE3573" i="496"/>
  <c r="BC3573" i="496"/>
  <c r="I3573" i="496"/>
  <c r="H3573" i="496"/>
  <c r="E3573" i="496"/>
  <c r="D3573" i="496"/>
  <c r="C3573" i="496"/>
  <c r="BE3572" i="496"/>
  <c r="BC3572" i="496"/>
  <c r="I3572" i="496"/>
  <c r="H3572" i="496"/>
  <c r="E3572" i="496"/>
  <c r="D3572" i="496"/>
  <c r="C3572" i="496"/>
  <c r="BE3571" i="496"/>
  <c r="BC3571" i="496"/>
  <c r="I3571" i="496"/>
  <c r="H3571" i="496"/>
  <c r="E3571" i="496"/>
  <c r="D3571" i="496"/>
  <c r="C3571" i="496"/>
  <c r="BE3570" i="496"/>
  <c r="BC3570" i="496"/>
  <c r="I3570" i="496"/>
  <c r="H3570" i="496"/>
  <c r="E3570" i="496"/>
  <c r="D3570" i="496"/>
  <c r="C3570" i="496"/>
  <c r="BE3569" i="496"/>
  <c r="BC3569" i="496"/>
  <c r="I3569" i="496"/>
  <c r="H3569" i="496"/>
  <c r="E3569" i="496"/>
  <c r="D3569" i="496"/>
  <c r="C3569" i="496"/>
  <c r="BE3568" i="496"/>
  <c r="BC3568" i="496"/>
  <c r="I3568" i="496"/>
  <c r="H3568" i="496"/>
  <c r="E3568" i="496"/>
  <c r="D3568" i="496"/>
  <c r="C3568" i="496"/>
  <c r="BE3567" i="496"/>
  <c r="BC3567" i="496"/>
  <c r="I3567" i="496"/>
  <c r="H3567" i="496"/>
  <c r="E3567" i="496"/>
  <c r="D3567" i="496"/>
  <c r="C3567" i="496"/>
  <c r="BE3566" i="496"/>
  <c r="BC3566" i="496"/>
  <c r="I3566" i="496"/>
  <c r="H3566" i="496"/>
  <c r="E3566" i="496"/>
  <c r="D3566" i="496"/>
  <c r="C3566" i="496"/>
  <c r="BE3565" i="496"/>
  <c r="BC3565" i="496"/>
  <c r="I3565" i="496"/>
  <c r="H3565" i="496"/>
  <c r="E3565" i="496"/>
  <c r="D3565" i="496"/>
  <c r="C3565" i="496"/>
  <c r="BE3564" i="496"/>
  <c r="BC3564" i="496"/>
  <c r="I3564" i="496"/>
  <c r="H3564" i="496"/>
  <c r="E3564" i="496"/>
  <c r="D3564" i="496"/>
  <c r="C3564" i="496"/>
  <c r="BE3563" i="496"/>
  <c r="BC3563" i="496"/>
  <c r="I3563" i="496"/>
  <c r="H3563" i="496"/>
  <c r="E3563" i="496"/>
  <c r="D3563" i="496"/>
  <c r="C3563" i="496"/>
  <c r="BE3562" i="496"/>
  <c r="BC3562" i="496"/>
  <c r="I3562" i="496"/>
  <c r="H3562" i="496"/>
  <c r="E3562" i="496"/>
  <c r="D3562" i="496"/>
  <c r="C3562" i="496"/>
  <c r="BE3561" i="496"/>
  <c r="BC3561" i="496"/>
  <c r="I3561" i="496"/>
  <c r="H3561" i="496"/>
  <c r="E3561" i="496"/>
  <c r="D3561" i="496"/>
  <c r="C3561" i="496"/>
  <c r="BE3560" i="496"/>
  <c r="BC3560" i="496"/>
  <c r="I3560" i="496"/>
  <c r="H3560" i="496"/>
  <c r="E3560" i="496"/>
  <c r="D3560" i="496"/>
  <c r="C3560" i="496"/>
  <c r="BE3559" i="496"/>
  <c r="BC3559" i="496"/>
  <c r="I3559" i="496"/>
  <c r="H3559" i="496"/>
  <c r="E3559" i="496"/>
  <c r="D3559" i="496"/>
  <c r="C3559" i="496"/>
  <c r="BE3558" i="496"/>
  <c r="BC3558" i="496"/>
  <c r="I3558" i="496"/>
  <c r="H3558" i="496"/>
  <c r="E3558" i="496"/>
  <c r="D3558" i="496"/>
  <c r="C3558" i="496"/>
  <c r="BE3557" i="496"/>
  <c r="BC3557" i="496"/>
  <c r="I3557" i="496"/>
  <c r="H3557" i="496"/>
  <c r="E3557" i="496"/>
  <c r="D3557" i="496"/>
  <c r="C3557" i="496"/>
  <c r="BE3556" i="496"/>
  <c r="BC3556" i="496"/>
  <c r="I3556" i="496"/>
  <c r="H3556" i="496"/>
  <c r="E3556" i="496"/>
  <c r="D3556" i="496"/>
  <c r="C3556" i="496"/>
  <c r="BE3555" i="496"/>
  <c r="BC3555" i="496"/>
  <c r="I3555" i="496"/>
  <c r="H3555" i="496"/>
  <c r="E3555" i="496"/>
  <c r="D3555" i="496"/>
  <c r="C3555" i="496"/>
  <c r="BE3554" i="496"/>
  <c r="BC3554" i="496"/>
  <c r="I3554" i="496"/>
  <c r="H3554" i="496"/>
  <c r="E3554" i="496"/>
  <c r="D3554" i="496"/>
  <c r="C3554" i="496"/>
  <c r="BE3553" i="496"/>
  <c r="BC3553" i="496"/>
  <c r="I3553" i="496"/>
  <c r="H3553" i="496"/>
  <c r="E3553" i="496"/>
  <c r="D3553" i="496"/>
  <c r="C3553" i="496"/>
  <c r="BE3552" i="496"/>
  <c r="BC3552" i="496"/>
  <c r="I3552" i="496"/>
  <c r="H3552" i="496"/>
  <c r="E3552" i="496"/>
  <c r="D3552" i="496"/>
  <c r="C3552" i="496"/>
  <c r="BE3551" i="496"/>
  <c r="BC3551" i="496"/>
  <c r="I3551" i="496"/>
  <c r="H3551" i="496"/>
  <c r="E3551" i="496"/>
  <c r="D3551" i="496"/>
  <c r="C3551" i="496"/>
  <c r="BE3550" i="496"/>
  <c r="BC3550" i="496"/>
  <c r="I3550" i="496"/>
  <c r="H3550" i="496"/>
  <c r="E3550" i="496"/>
  <c r="D3550" i="496"/>
  <c r="C3550" i="496"/>
  <c r="BE3549" i="496"/>
  <c r="BC3549" i="496"/>
  <c r="I3549" i="496"/>
  <c r="H3549" i="496"/>
  <c r="E3549" i="496"/>
  <c r="D3549" i="496"/>
  <c r="C3549" i="496"/>
  <c r="BE3548" i="496"/>
  <c r="BC3548" i="496"/>
  <c r="I3548" i="496"/>
  <c r="H3548" i="496"/>
  <c r="E3548" i="496"/>
  <c r="D3548" i="496"/>
  <c r="C3548" i="496"/>
  <c r="BE3547" i="496"/>
  <c r="BC3547" i="496"/>
  <c r="I3547" i="496"/>
  <c r="H3547" i="496"/>
  <c r="E3547" i="496"/>
  <c r="D3547" i="496"/>
  <c r="C3547" i="496"/>
  <c r="BE3546" i="496"/>
  <c r="BC3546" i="496"/>
  <c r="I3546" i="496"/>
  <c r="H3546" i="496"/>
  <c r="E3546" i="496"/>
  <c r="D3546" i="496"/>
  <c r="C3546" i="496"/>
  <c r="BE3545" i="496"/>
  <c r="BC3545" i="496"/>
  <c r="I3545" i="496"/>
  <c r="H3545" i="496"/>
  <c r="E3545" i="496"/>
  <c r="D3545" i="496"/>
  <c r="C3545" i="496"/>
  <c r="BE3544" i="496"/>
  <c r="BC3544" i="496"/>
  <c r="I3544" i="496"/>
  <c r="H3544" i="496"/>
  <c r="E3544" i="496"/>
  <c r="D3544" i="496"/>
  <c r="C3544" i="496"/>
  <c r="BE3543" i="496"/>
  <c r="BC3543" i="496"/>
  <c r="I3543" i="496"/>
  <c r="H3543" i="496"/>
  <c r="E3543" i="496"/>
  <c r="D3543" i="496"/>
  <c r="C3543" i="496"/>
  <c r="BE3542" i="496"/>
  <c r="BC3542" i="496"/>
  <c r="I3542" i="496"/>
  <c r="H3542" i="496"/>
  <c r="E3542" i="496"/>
  <c r="D3542" i="496"/>
  <c r="C3542" i="496"/>
  <c r="BE3541" i="496"/>
  <c r="BC3541" i="496"/>
  <c r="I3541" i="496"/>
  <c r="H3541" i="496"/>
  <c r="E3541" i="496"/>
  <c r="D3541" i="496"/>
  <c r="C3541" i="496"/>
  <c r="BE3540" i="496"/>
  <c r="BC3540" i="496"/>
  <c r="I3540" i="496"/>
  <c r="H3540" i="496"/>
  <c r="E3540" i="496"/>
  <c r="D3540" i="496"/>
  <c r="C3540" i="496"/>
  <c r="BE3539" i="496"/>
  <c r="BC3539" i="496"/>
  <c r="I3539" i="496"/>
  <c r="H3539" i="496"/>
  <c r="E3539" i="496"/>
  <c r="D3539" i="496"/>
  <c r="C3539" i="496"/>
  <c r="BE3538" i="496"/>
  <c r="BC3538" i="496"/>
  <c r="I3538" i="496"/>
  <c r="H3538" i="496"/>
  <c r="E3538" i="496"/>
  <c r="D3538" i="496"/>
  <c r="C3538" i="496"/>
  <c r="BE3537" i="496"/>
  <c r="BC3537" i="496"/>
  <c r="I3537" i="496"/>
  <c r="H3537" i="496"/>
  <c r="E3537" i="496"/>
  <c r="D3537" i="496"/>
  <c r="C3537" i="496"/>
  <c r="BE3536" i="496"/>
  <c r="BC3536" i="496"/>
  <c r="I3536" i="496"/>
  <c r="H3536" i="496"/>
  <c r="E3536" i="496"/>
  <c r="D3536" i="496"/>
  <c r="C3536" i="496"/>
  <c r="BE3535" i="496"/>
  <c r="BC3535" i="496"/>
  <c r="I3535" i="496"/>
  <c r="H3535" i="496"/>
  <c r="E3535" i="496"/>
  <c r="D3535" i="496"/>
  <c r="C3535" i="496"/>
  <c r="BE3534" i="496"/>
  <c r="BC3534" i="496"/>
  <c r="I3534" i="496"/>
  <c r="H3534" i="496"/>
  <c r="E3534" i="496"/>
  <c r="D3534" i="496"/>
  <c r="C3534" i="496"/>
  <c r="BE3533" i="496"/>
  <c r="BC3533" i="496"/>
  <c r="I3533" i="496"/>
  <c r="H3533" i="496"/>
  <c r="E3533" i="496"/>
  <c r="D3533" i="496"/>
  <c r="C3533" i="496"/>
  <c r="BE3532" i="496"/>
  <c r="BC3532" i="496"/>
  <c r="I3532" i="496"/>
  <c r="H3532" i="496"/>
  <c r="E3532" i="496"/>
  <c r="D3532" i="496"/>
  <c r="C3532" i="496"/>
  <c r="BE3531" i="496"/>
  <c r="BC3531" i="496"/>
  <c r="I3531" i="496"/>
  <c r="H3531" i="496"/>
  <c r="E3531" i="496"/>
  <c r="D3531" i="496"/>
  <c r="C3531" i="496"/>
  <c r="BE3530" i="496"/>
  <c r="BC3530" i="496"/>
  <c r="I3530" i="496"/>
  <c r="H3530" i="496"/>
  <c r="E3530" i="496"/>
  <c r="D3530" i="496"/>
  <c r="C3530" i="496"/>
  <c r="BE3529" i="496"/>
  <c r="BC3529" i="496"/>
  <c r="I3529" i="496"/>
  <c r="H3529" i="496"/>
  <c r="E3529" i="496"/>
  <c r="D3529" i="496"/>
  <c r="C3529" i="496"/>
  <c r="BE3528" i="496"/>
  <c r="BC3528" i="496"/>
  <c r="I3528" i="496"/>
  <c r="H3528" i="496"/>
  <c r="E3528" i="496"/>
  <c r="D3528" i="496"/>
  <c r="C3528" i="496"/>
  <c r="BE3527" i="496"/>
  <c r="BC3527" i="496"/>
  <c r="I3527" i="496"/>
  <c r="H3527" i="496"/>
  <c r="E3527" i="496"/>
  <c r="D3527" i="496"/>
  <c r="C3527" i="496"/>
  <c r="BE3526" i="496"/>
  <c r="BC3526" i="496"/>
  <c r="I3526" i="496"/>
  <c r="H3526" i="496"/>
  <c r="E3526" i="496"/>
  <c r="D3526" i="496"/>
  <c r="C3526" i="496"/>
  <c r="BE3525" i="496"/>
  <c r="BC3525" i="496"/>
  <c r="I3525" i="496"/>
  <c r="H3525" i="496"/>
  <c r="E3525" i="496"/>
  <c r="D3525" i="496"/>
  <c r="C3525" i="496"/>
  <c r="BE3524" i="496"/>
  <c r="BC3524" i="496"/>
  <c r="I3524" i="496"/>
  <c r="H3524" i="496"/>
  <c r="E3524" i="496"/>
  <c r="D3524" i="496"/>
  <c r="C3524" i="496"/>
  <c r="BE3523" i="496"/>
  <c r="BC3523" i="496"/>
  <c r="I3523" i="496"/>
  <c r="H3523" i="496"/>
  <c r="E3523" i="496"/>
  <c r="D3523" i="496"/>
  <c r="C3523" i="496"/>
  <c r="BE3522" i="496"/>
  <c r="BC3522" i="496"/>
  <c r="I3522" i="496"/>
  <c r="H3522" i="496"/>
  <c r="E3522" i="496"/>
  <c r="D3522" i="496"/>
  <c r="C3522" i="496"/>
  <c r="BE3521" i="496"/>
  <c r="BC3521" i="496"/>
  <c r="I3521" i="496"/>
  <c r="H3521" i="496"/>
  <c r="E3521" i="496"/>
  <c r="D3521" i="496"/>
  <c r="C3521" i="496"/>
  <c r="BE3520" i="496"/>
  <c r="BC3520" i="496"/>
  <c r="I3520" i="496"/>
  <c r="H3520" i="496"/>
  <c r="E3520" i="496"/>
  <c r="D3520" i="496"/>
  <c r="C3520" i="496"/>
  <c r="BE3519" i="496"/>
  <c r="BC3519" i="496"/>
  <c r="I3519" i="496"/>
  <c r="H3519" i="496"/>
  <c r="E3519" i="496"/>
  <c r="D3519" i="496"/>
  <c r="C3519" i="496"/>
  <c r="BE3518" i="496"/>
  <c r="BC3518" i="496"/>
  <c r="I3518" i="496"/>
  <c r="H3518" i="496"/>
  <c r="E3518" i="496"/>
  <c r="D3518" i="496"/>
  <c r="C3518" i="496"/>
  <c r="BE3517" i="496"/>
  <c r="BC3517" i="496"/>
  <c r="I3517" i="496"/>
  <c r="H3517" i="496"/>
  <c r="E3517" i="496"/>
  <c r="D3517" i="496"/>
  <c r="C3517" i="496"/>
  <c r="BE3516" i="496"/>
  <c r="BC3516" i="496"/>
  <c r="I3516" i="496"/>
  <c r="H3516" i="496"/>
  <c r="E3516" i="496"/>
  <c r="D3516" i="496"/>
  <c r="C3516" i="496"/>
  <c r="BE3515" i="496"/>
  <c r="BC3515" i="496"/>
  <c r="I3515" i="496"/>
  <c r="H3515" i="496"/>
  <c r="E3515" i="496"/>
  <c r="D3515" i="496"/>
  <c r="C3515" i="496"/>
  <c r="BE3514" i="496"/>
  <c r="BC3514" i="496"/>
  <c r="I3514" i="496"/>
  <c r="H3514" i="496"/>
  <c r="E3514" i="496"/>
  <c r="D3514" i="496"/>
  <c r="C3514" i="496"/>
  <c r="BE3513" i="496"/>
  <c r="BC3513" i="496"/>
  <c r="I3513" i="496"/>
  <c r="H3513" i="496"/>
  <c r="E3513" i="496"/>
  <c r="D3513" i="496"/>
  <c r="C3513" i="496"/>
  <c r="BE3512" i="496"/>
  <c r="BC3512" i="496"/>
  <c r="I3512" i="496"/>
  <c r="H3512" i="496"/>
  <c r="E3512" i="496"/>
  <c r="D3512" i="496"/>
  <c r="C3512" i="496"/>
  <c r="BE3511" i="496"/>
  <c r="BC3511" i="496"/>
  <c r="I3511" i="496"/>
  <c r="H3511" i="496"/>
  <c r="E3511" i="496"/>
  <c r="D3511" i="496"/>
  <c r="C3511" i="496"/>
  <c r="BE3510" i="496"/>
  <c r="BC3510" i="496"/>
  <c r="I3510" i="496"/>
  <c r="H3510" i="496"/>
  <c r="E3510" i="496"/>
  <c r="D3510" i="496"/>
  <c r="C3510" i="496"/>
  <c r="BE3509" i="496"/>
  <c r="BC3509" i="496"/>
  <c r="I3509" i="496"/>
  <c r="H3509" i="496"/>
  <c r="E3509" i="496"/>
  <c r="D3509" i="496"/>
  <c r="C3509" i="496"/>
  <c r="BE3508" i="496"/>
  <c r="BC3508" i="496"/>
  <c r="I3508" i="496"/>
  <c r="H3508" i="496"/>
  <c r="E3508" i="496"/>
  <c r="D3508" i="496"/>
  <c r="C3508" i="496"/>
  <c r="BE3507" i="496"/>
  <c r="BC3507" i="496"/>
  <c r="I3507" i="496"/>
  <c r="H3507" i="496"/>
  <c r="E3507" i="496"/>
  <c r="D3507" i="496"/>
  <c r="C3507" i="496"/>
  <c r="BE3506" i="496"/>
  <c r="BC3506" i="496"/>
  <c r="I3506" i="496"/>
  <c r="H3506" i="496"/>
  <c r="E3506" i="496"/>
  <c r="D3506" i="496"/>
  <c r="C3506" i="496"/>
  <c r="BE3505" i="496"/>
  <c r="BC3505" i="496"/>
  <c r="I3505" i="496"/>
  <c r="H3505" i="496"/>
  <c r="E3505" i="496"/>
  <c r="D3505" i="496"/>
  <c r="C3505" i="496"/>
  <c r="BE3504" i="496"/>
  <c r="BC3504" i="496"/>
  <c r="I3504" i="496"/>
  <c r="H3504" i="496"/>
  <c r="E3504" i="496"/>
  <c r="D3504" i="496"/>
  <c r="C3504" i="496"/>
  <c r="BE3503" i="496"/>
  <c r="BC3503" i="496"/>
  <c r="I3503" i="496"/>
  <c r="H3503" i="496"/>
  <c r="E3503" i="496"/>
  <c r="D3503" i="496"/>
  <c r="C3503" i="496"/>
  <c r="BE3502" i="496"/>
  <c r="BC3502" i="496"/>
  <c r="I3502" i="496"/>
  <c r="H3502" i="496"/>
  <c r="E3502" i="496"/>
  <c r="D3502" i="496"/>
  <c r="C3502" i="496"/>
  <c r="BE3501" i="496"/>
  <c r="BC3501" i="496"/>
  <c r="I3501" i="496"/>
  <c r="H3501" i="496"/>
  <c r="E3501" i="496"/>
  <c r="D3501" i="496"/>
  <c r="C3501" i="496"/>
  <c r="BE3500" i="496"/>
  <c r="BC3500" i="496"/>
  <c r="I3500" i="496"/>
  <c r="H3500" i="496"/>
  <c r="E3500" i="496"/>
  <c r="D3500" i="496"/>
  <c r="C3500" i="496"/>
  <c r="BE3499" i="496"/>
  <c r="BC3499" i="496"/>
  <c r="I3499" i="496"/>
  <c r="H3499" i="496"/>
  <c r="E3499" i="496"/>
  <c r="D3499" i="496"/>
  <c r="C3499" i="496"/>
  <c r="BE3498" i="496"/>
  <c r="BC3498" i="496"/>
  <c r="I3498" i="496"/>
  <c r="H3498" i="496"/>
  <c r="E3498" i="496"/>
  <c r="D3498" i="496"/>
  <c r="C3498" i="496"/>
  <c r="BE3497" i="496"/>
  <c r="BC3497" i="496"/>
  <c r="I3497" i="496"/>
  <c r="H3497" i="496"/>
  <c r="E3497" i="496"/>
  <c r="D3497" i="496"/>
  <c r="C3497" i="496"/>
  <c r="BE3496" i="496"/>
  <c r="BC3496" i="496"/>
  <c r="I3496" i="496"/>
  <c r="H3496" i="496"/>
  <c r="E3496" i="496"/>
  <c r="D3496" i="496"/>
  <c r="C3496" i="496"/>
  <c r="BE3495" i="496"/>
  <c r="BC3495" i="496"/>
  <c r="I3495" i="496"/>
  <c r="H3495" i="496"/>
  <c r="E3495" i="496"/>
  <c r="D3495" i="496"/>
  <c r="C3495" i="496"/>
  <c r="BE3494" i="496"/>
  <c r="BC3494" i="496"/>
  <c r="I3494" i="496"/>
  <c r="H3494" i="496"/>
  <c r="E3494" i="496"/>
  <c r="D3494" i="496"/>
  <c r="C3494" i="496"/>
  <c r="BE3493" i="496"/>
  <c r="BC3493" i="496"/>
  <c r="I3493" i="496"/>
  <c r="H3493" i="496"/>
  <c r="E3493" i="496"/>
  <c r="D3493" i="496"/>
  <c r="C3493" i="496"/>
  <c r="BE3492" i="496"/>
  <c r="BC3492" i="496"/>
  <c r="I3492" i="496"/>
  <c r="H3492" i="496"/>
  <c r="E3492" i="496"/>
  <c r="D3492" i="496"/>
  <c r="C3492" i="496"/>
  <c r="BE3491" i="496"/>
  <c r="BC3491" i="496"/>
  <c r="I3491" i="496"/>
  <c r="H3491" i="496"/>
  <c r="E3491" i="496"/>
  <c r="D3491" i="496"/>
  <c r="C3491" i="496"/>
  <c r="BE3490" i="496"/>
  <c r="BC3490" i="496"/>
  <c r="I3490" i="496"/>
  <c r="H3490" i="496"/>
  <c r="E3490" i="496"/>
  <c r="D3490" i="496"/>
  <c r="C3490" i="496"/>
  <c r="BE3489" i="496"/>
  <c r="BC3489" i="496"/>
  <c r="I3489" i="496"/>
  <c r="H3489" i="496"/>
  <c r="E3489" i="496"/>
  <c r="D3489" i="496"/>
  <c r="C3489" i="496"/>
  <c r="BE3488" i="496"/>
  <c r="BC3488" i="496"/>
  <c r="I3488" i="496"/>
  <c r="H3488" i="496"/>
  <c r="E3488" i="496"/>
  <c r="D3488" i="496"/>
  <c r="C3488" i="496"/>
  <c r="BE3487" i="496"/>
  <c r="BC3487" i="496"/>
  <c r="I3487" i="496"/>
  <c r="H3487" i="496"/>
  <c r="E3487" i="496"/>
  <c r="D3487" i="496"/>
  <c r="C3487" i="496"/>
  <c r="BE3486" i="496"/>
  <c r="BC3486" i="496"/>
  <c r="I3486" i="496"/>
  <c r="H3486" i="496"/>
  <c r="E3486" i="496"/>
  <c r="D3486" i="496"/>
  <c r="C3486" i="496"/>
  <c r="BE3485" i="496"/>
  <c r="BC3485" i="496"/>
  <c r="I3485" i="496"/>
  <c r="H3485" i="496"/>
  <c r="E3485" i="496"/>
  <c r="D3485" i="496"/>
  <c r="C3485" i="496"/>
  <c r="BE3484" i="496"/>
  <c r="BC3484" i="496"/>
  <c r="I3484" i="496"/>
  <c r="H3484" i="496"/>
  <c r="E3484" i="496"/>
  <c r="D3484" i="496"/>
  <c r="C3484" i="496"/>
  <c r="BE3483" i="496"/>
  <c r="BC3483" i="496"/>
  <c r="I3483" i="496"/>
  <c r="H3483" i="496"/>
  <c r="E3483" i="496"/>
  <c r="D3483" i="496"/>
  <c r="C3483" i="496"/>
  <c r="BE3482" i="496"/>
  <c r="BC3482" i="496"/>
  <c r="I3482" i="496"/>
  <c r="H3482" i="496"/>
  <c r="E3482" i="496"/>
  <c r="D3482" i="496"/>
  <c r="C3482" i="496"/>
  <c r="BE3481" i="496"/>
  <c r="BC3481" i="496"/>
  <c r="I3481" i="496"/>
  <c r="H3481" i="496"/>
  <c r="E3481" i="496"/>
  <c r="D3481" i="496"/>
  <c r="C3481" i="496"/>
  <c r="BE3480" i="496"/>
  <c r="BC3480" i="496"/>
  <c r="I3480" i="496"/>
  <c r="H3480" i="496"/>
  <c r="E3480" i="496"/>
  <c r="D3480" i="496"/>
  <c r="C3480" i="496"/>
  <c r="BE3479" i="496"/>
  <c r="BC3479" i="496"/>
  <c r="I3479" i="496"/>
  <c r="H3479" i="496"/>
  <c r="E3479" i="496"/>
  <c r="D3479" i="496"/>
  <c r="C3479" i="496"/>
  <c r="BE3478" i="496"/>
  <c r="BC3478" i="496"/>
  <c r="I3478" i="496"/>
  <c r="H3478" i="496"/>
  <c r="E3478" i="496"/>
  <c r="D3478" i="496"/>
  <c r="C3478" i="496"/>
  <c r="BE3477" i="496"/>
  <c r="BC3477" i="496"/>
  <c r="I3477" i="496"/>
  <c r="H3477" i="496"/>
  <c r="E3477" i="496"/>
  <c r="D3477" i="496"/>
  <c r="C3477" i="496"/>
  <c r="BE3476" i="496"/>
  <c r="BC3476" i="496"/>
  <c r="I3476" i="496"/>
  <c r="H3476" i="496"/>
  <c r="E3476" i="496"/>
  <c r="D3476" i="496"/>
  <c r="C3476" i="496"/>
  <c r="BE3475" i="496"/>
  <c r="BC3475" i="496"/>
  <c r="I3475" i="496"/>
  <c r="H3475" i="496"/>
  <c r="E3475" i="496"/>
  <c r="D3475" i="496"/>
  <c r="C3475" i="496"/>
  <c r="BE3474" i="496"/>
  <c r="BC3474" i="496"/>
  <c r="I3474" i="496"/>
  <c r="H3474" i="496"/>
  <c r="E3474" i="496"/>
  <c r="D3474" i="496"/>
  <c r="C3474" i="496"/>
  <c r="BE3473" i="496"/>
  <c r="BC3473" i="496"/>
  <c r="I3473" i="496"/>
  <c r="H3473" i="496"/>
  <c r="E3473" i="496"/>
  <c r="D3473" i="496"/>
  <c r="C3473" i="496"/>
  <c r="BE3472" i="496"/>
  <c r="BC3472" i="496"/>
  <c r="I3472" i="496"/>
  <c r="H3472" i="496"/>
  <c r="E3472" i="496"/>
  <c r="D3472" i="496"/>
  <c r="C3472" i="496"/>
  <c r="BE3471" i="496"/>
  <c r="BC3471" i="496"/>
  <c r="I3471" i="496"/>
  <c r="H3471" i="496"/>
  <c r="E3471" i="496"/>
  <c r="D3471" i="496"/>
  <c r="C3471" i="496"/>
  <c r="BE3470" i="496"/>
  <c r="BC3470" i="496"/>
  <c r="I3470" i="496"/>
  <c r="H3470" i="496"/>
  <c r="E3470" i="496"/>
  <c r="D3470" i="496"/>
  <c r="C3470" i="496"/>
  <c r="BE3469" i="496"/>
  <c r="BC3469" i="496"/>
  <c r="I3469" i="496"/>
  <c r="H3469" i="496"/>
  <c r="E3469" i="496"/>
  <c r="D3469" i="496"/>
  <c r="C3469" i="496"/>
  <c r="BE3468" i="496"/>
  <c r="BC3468" i="496"/>
  <c r="I3468" i="496"/>
  <c r="H3468" i="496"/>
  <c r="E3468" i="496"/>
  <c r="D3468" i="496"/>
  <c r="C3468" i="496"/>
  <c r="BE3467" i="496"/>
  <c r="BC3467" i="496"/>
  <c r="I3467" i="496"/>
  <c r="H3467" i="496"/>
  <c r="E3467" i="496"/>
  <c r="D3467" i="496"/>
  <c r="C3467" i="496"/>
  <c r="BE3466" i="496"/>
  <c r="BC3466" i="496"/>
  <c r="I3466" i="496"/>
  <c r="H3466" i="496"/>
  <c r="E3466" i="496"/>
  <c r="D3466" i="496"/>
  <c r="C3466" i="496"/>
  <c r="BE3465" i="496"/>
  <c r="BC3465" i="496"/>
  <c r="I3465" i="496"/>
  <c r="H3465" i="496"/>
  <c r="E3465" i="496"/>
  <c r="D3465" i="496"/>
  <c r="C3465" i="496"/>
  <c r="BE3464" i="496"/>
  <c r="BC3464" i="496"/>
  <c r="I3464" i="496"/>
  <c r="H3464" i="496"/>
  <c r="E3464" i="496"/>
  <c r="D3464" i="496"/>
  <c r="C3464" i="496"/>
  <c r="BE3463" i="496"/>
  <c r="BC3463" i="496"/>
  <c r="I3463" i="496"/>
  <c r="H3463" i="496"/>
  <c r="E3463" i="496"/>
  <c r="D3463" i="496"/>
  <c r="C3463" i="496"/>
  <c r="BE3462" i="496"/>
  <c r="BC3462" i="496"/>
  <c r="I3462" i="496"/>
  <c r="H3462" i="496"/>
  <c r="E3462" i="496"/>
  <c r="D3462" i="496"/>
  <c r="C3462" i="496"/>
  <c r="BE3461" i="496"/>
  <c r="BC3461" i="496"/>
  <c r="I3461" i="496"/>
  <c r="H3461" i="496"/>
  <c r="E3461" i="496"/>
  <c r="D3461" i="496"/>
  <c r="C3461" i="496"/>
  <c r="BE3460" i="496"/>
  <c r="BC3460" i="496"/>
  <c r="I3460" i="496"/>
  <c r="H3460" i="496"/>
  <c r="E3460" i="496"/>
  <c r="D3460" i="496"/>
  <c r="C3460" i="496"/>
  <c r="BE3459" i="496"/>
  <c r="BC3459" i="496"/>
  <c r="I3459" i="496"/>
  <c r="H3459" i="496"/>
  <c r="E3459" i="496"/>
  <c r="D3459" i="496"/>
  <c r="C3459" i="496"/>
  <c r="BE3458" i="496"/>
  <c r="BC3458" i="496"/>
  <c r="I3458" i="496"/>
  <c r="H3458" i="496"/>
  <c r="E3458" i="496"/>
  <c r="D3458" i="496"/>
  <c r="C3458" i="496"/>
  <c r="BE3457" i="496"/>
  <c r="BC3457" i="496"/>
  <c r="I3457" i="496"/>
  <c r="H3457" i="496"/>
  <c r="E3457" i="496"/>
  <c r="D3457" i="496"/>
  <c r="C3457" i="496"/>
  <c r="BE3456" i="496"/>
  <c r="BC3456" i="496"/>
  <c r="I3456" i="496"/>
  <c r="H3456" i="496"/>
  <c r="E3456" i="496"/>
  <c r="D3456" i="496"/>
  <c r="C3456" i="496"/>
  <c r="BE3455" i="496"/>
  <c r="BC3455" i="496"/>
  <c r="I3455" i="496"/>
  <c r="H3455" i="496"/>
  <c r="E3455" i="496"/>
  <c r="D3455" i="496"/>
  <c r="C3455" i="496"/>
  <c r="BE3454" i="496"/>
  <c r="BC3454" i="496"/>
  <c r="I3454" i="496"/>
  <c r="H3454" i="496"/>
  <c r="E3454" i="496"/>
  <c r="D3454" i="496"/>
  <c r="C3454" i="496"/>
  <c r="BE3453" i="496"/>
  <c r="BC3453" i="496"/>
  <c r="I3453" i="496"/>
  <c r="H3453" i="496"/>
  <c r="E3453" i="496"/>
  <c r="D3453" i="496"/>
  <c r="C3453" i="496"/>
  <c r="BE3452" i="496"/>
  <c r="BC3452" i="496"/>
  <c r="I3452" i="496"/>
  <c r="H3452" i="496"/>
  <c r="E3452" i="496"/>
  <c r="D3452" i="496"/>
  <c r="C3452" i="496"/>
  <c r="BE3451" i="496"/>
  <c r="BC3451" i="496"/>
  <c r="I3451" i="496"/>
  <c r="H3451" i="496"/>
  <c r="E3451" i="496"/>
  <c r="D3451" i="496"/>
  <c r="C3451" i="496"/>
  <c r="BE3450" i="496"/>
  <c r="BC3450" i="496"/>
  <c r="I3450" i="496"/>
  <c r="H3450" i="496"/>
  <c r="E3450" i="496"/>
  <c r="D3450" i="496"/>
  <c r="C3450" i="496"/>
  <c r="BE3449" i="496"/>
  <c r="BC3449" i="496"/>
  <c r="I3449" i="496"/>
  <c r="H3449" i="496"/>
  <c r="E3449" i="496"/>
  <c r="D3449" i="496"/>
  <c r="C3449" i="496"/>
  <c r="BE3448" i="496"/>
  <c r="BC3448" i="496"/>
  <c r="I3448" i="496"/>
  <c r="H3448" i="496"/>
  <c r="E3448" i="496"/>
  <c r="D3448" i="496"/>
  <c r="C3448" i="496"/>
  <c r="BE3447" i="496"/>
  <c r="BC3447" i="496"/>
  <c r="I3447" i="496"/>
  <c r="H3447" i="496"/>
  <c r="E3447" i="496"/>
  <c r="D3447" i="496"/>
  <c r="C3447" i="496"/>
  <c r="BE3446" i="496"/>
  <c r="BC3446" i="496"/>
  <c r="I3446" i="496"/>
  <c r="H3446" i="496"/>
  <c r="E3446" i="496"/>
  <c r="D3446" i="496"/>
  <c r="C3446" i="496"/>
  <c r="BE3445" i="496"/>
  <c r="BC3445" i="496"/>
  <c r="I3445" i="496"/>
  <c r="H3445" i="496"/>
  <c r="E3445" i="496"/>
  <c r="D3445" i="496"/>
  <c r="C3445" i="496"/>
  <c r="BE3444" i="496"/>
  <c r="BC3444" i="496"/>
  <c r="I3444" i="496"/>
  <c r="H3444" i="496"/>
  <c r="E3444" i="496"/>
  <c r="D3444" i="496"/>
  <c r="C3444" i="496"/>
  <c r="BE3443" i="496"/>
  <c r="BC3443" i="496"/>
  <c r="I3443" i="496"/>
  <c r="H3443" i="496"/>
  <c r="E3443" i="496"/>
  <c r="D3443" i="496"/>
  <c r="C3443" i="496"/>
  <c r="BE3442" i="496"/>
  <c r="BC3442" i="496"/>
  <c r="I3442" i="496"/>
  <c r="H3442" i="496"/>
  <c r="E3442" i="496"/>
  <c r="D3442" i="496"/>
  <c r="C3442" i="496"/>
  <c r="BE3441" i="496"/>
  <c r="BC3441" i="496"/>
  <c r="I3441" i="496"/>
  <c r="H3441" i="496"/>
  <c r="E3441" i="496"/>
  <c r="D3441" i="496"/>
  <c r="C3441" i="496"/>
  <c r="BE3440" i="496"/>
  <c r="BC3440" i="496"/>
  <c r="I3440" i="496"/>
  <c r="H3440" i="496"/>
  <c r="E3440" i="496"/>
  <c r="D3440" i="496"/>
  <c r="C3440" i="496"/>
  <c r="BE3439" i="496"/>
  <c r="BC3439" i="496"/>
  <c r="I3439" i="496"/>
  <c r="H3439" i="496"/>
  <c r="E3439" i="496"/>
  <c r="D3439" i="496"/>
  <c r="C3439" i="496"/>
  <c r="BE3438" i="496"/>
  <c r="BC3438" i="496"/>
  <c r="I3438" i="496"/>
  <c r="H3438" i="496"/>
  <c r="E3438" i="496"/>
  <c r="D3438" i="496"/>
  <c r="C3438" i="496"/>
  <c r="BE3437" i="496"/>
  <c r="BC3437" i="496"/>
  <c r="I3437" i="496"/>
  <c r="H3437" i="496"/>
  <c r="E3437" i="496"/>
  <c r="D3437" i="496"/>
  <c r="C3437" i="496"/>
  <c r="BE3436" i="496"/>
  <c r="BC3436" i="496"/>
  <c r="I3436" i="496"/>
  <c r="H3436" i="496"/>
  <c r="E3436" i="496"/>
  <c r="D3436" i="496"/>
  <c r="C3436" i="496"/>
  <c r="BE3435" i="496"/>
  <c r="BC3435" i="496"/>
  <c r="I3435" i="496"/>
  <c r="H3435" i="496"/>
  <c r="E3435" i="496"/>
  <c r="D3435" i="496"/>
  <c r="C3435" i="496"/>
  <c r="BE3434" i="496"/>
  <c r="BC3434" i="496"/>
  <c r="I3434" i="496"/>
  <c r="H3434" i="496"/>
  <c r="E3434" i="496"/>
  <c r="D3434" i="496"/>
  <c r="C3434" i="496"/>
  <c r="BE3433" i="496"/>
  <c r="BC3433" i="496"/>
  <c r="I3433" i="496"/>
  <c r="H3433" i="496"/>
  <c r="E3433" i="496"/>
  <c r="D3433" i="496"/>
  <c r="C3433" i="496"/>
  <c r="BE3432" i="496"/>
  <c r="BC3432" i="496"/>
  <c r="I3432" i="496"/>
  <c r="H3432" i="496"/>
  <c r="E3432" i="496"/>
  <c r="D3432" i="496"/>
  <c r="C3432" i="496"/>
  <c r="BE3431" i="496"/>
  <c r="BC3431" i="496"/>
  <c r="I3431" i="496"/>
  <c r="H3431" i="496"/>
  <c r="E3431" i="496"/>
  <c r="D3431" i="496"/>
  <c r="C3431" i="496"/>
  <c r="BE3430" i="496"/>
  <c r="BC3430" i="496"/>
  <c r="I3430" i="496"/>
  <c r="H3430" i="496"/>
  <c r="E3430" i="496"/>
  <c r="D3430" i="496"/>
  <c r="C3430" i="496"/>
  <c r="BE3429" i="496"/>
  <c r="BC3429" i="496"/>
  <c r="I3429" i="496"/>
  <c r="H3429" i="496"/>
  <c r="E3429" i="496"/>
  <c r="D3429" i="496"/>
  <c r="C3429" i="496"/>
  <c r="BE3428" i="496"/>
  <c r="BC3428" i="496"/>
  <c r="I3428" i="496"/>
  <c r="H3428" i="496"/>
  <c r="E3428" i="496"/>
  <c r="D3428" i="496"/>
  <c r="C3428" i="496"/>
  <c r="BE3427" i="496"/>
  <c r="BC3427" i="496"/>
  <c r="I3427" i="496"/>
  <c r="H3427" i="496"/>
  <c r="E3427" i="496"/>
  <c r="D3427" i="496"/>
  <c r="C3427" i="496"/>
  <c r="BE3426" i="496"/>
  <c r="BC3426" i="496"/>
  <c r="I3426" i="496"/>
  <c r="H3426" i="496"/>
  <c r="E3426" i="496"/>
  <c r="D3426" i="496"/>
  <c r="C3426" i="496"/>
  <c r="BE3425" i="496"/>
  <c r="BC3425" i="496"/>
  <c r="I3425" i="496"/>
  <c r="H3425" i="496"/>
  <c r="E3425" i="496"/>
  <c r="D3425" i="496"/>
  <c r="C3425" i="496"/>
  <c r="BE3424" i="496"/>
  <c r="BC3424" i="496"/>
  <c r="I3424" i="496"/>
  <c r="H3424" i="496"/>
  <c r="E3424" i="496"/>
  <c r="D3424" i="496"/>
  <c r="C3424" i="496"/>
  <c r="BE3423" i="496"/>
  <c r="BC3423" i="496"/>
  <c r="I3423" i="496"/>
  <c r="H3423" i="496"/>
  <c r="E3423" i="496"/>
  <c r="D3423" i="496"/>
  <c r="C3423" i="496"/>
  <c r="BE3422" i="496"/>
  <c r="BC3422" i="496"/>
  <c r="I3422" i="496"/>
  <c r="H3422" i="496"/>
  <c r="E3422" i="496"/>
  <c r="D3422" i="496"/>
  <c r="C3422" i="496"/>
  <c r="BE3421" i="496"/>
  <c r="BC3421" i="496"/>
  <c r="I3421" i="496"/>
  <c r="H3421" i="496"/>
  <c r="E3421" i="496"/>
  <c r="D3421" i="496"/>
  <c r="C3421" i="496"/>
  <c r="BE3420" i="496"/>
  <c r="BC3420" i="496"/>
  <c r="I3420" i="496"/>
  <c r="H3420" i="496"/>
  <c r="E3420" i="496"/>
  <c r="D3420" i="496"/>
  <c r="C3420" i="496"/>
  <c r="BE3419" i="496"/>
  <c r="BC3419" i="496"/>
  <c r="I3419" i="496"/>
  <c r="H3419" i="496"/>
  <c r="E3419" i="496"/>
  <c r="D3419" i="496"/>
  <c r="C3419" i="496"/>
  <c r="BE3418" i="496"/>
  <c r="BC3418" i="496"/>
  <c r="I3418" i="496"/>
  <c r="H3418" i="496"/>
  <c r="E3418" i="496"/>
  <c r="D3418" i="496"/>
  <c r="C3418" i="496"/>
  <c r="BE3417" i="496"/>
  <c r="BC3417" i="496"/>
  <c r="I3417" i="496"/>
  <c r="H3417" i="496"/>
  <c r="E3417" i="496"/>
  <c r="D3417" i="496"/>
  <c r="C3417" i="496"/>
  <c r="BE3416" i="496"/>
  <c r="BC3416" i="496"/>
  <c r="I3416" i="496"/>
  <c r="H3416" i="496"/>
  <c r="E3416" i="496"/>
  <c r="D3416" i="496"/>
  <c r="C3416" i="496"/>
  <c r="BE3415" i="496"/>
  <c r="BC3415" i="496"/>
  <c r="I3415" i="496"/>
  <c r="H3415" i="496"/>
  <c r="E3415" i="496"/>
  <c r="D3415" i="496"/>
  <c r="C3415" i="496"/>
  <c r="BE3414" i="496"/>
  <c r="BC3414" i="496"/>
  <c r="I3414" i="496"/>
  <c r="H3414" i="496"/>
  <c r="E3414" i="496"/>
  <c r="D3414" i="496"/>
  <c r="C3414" i="496"/>
  <c r="BE3413" i="496"/>
  <c r="BC3413" i="496"/>
  <c r="I3413" i="496"/>
  <c r="H3413" i="496"/>
  <c r="E3413" i="496"/>
  <c r="D3413" i="496"/>
  <c r="C3413" i="496"/>
  <c r="BE3412" i="496"/>
  <c r="BC3412" i="496"/>
  <c r="I3412" i="496"/>
  <c r="H3412" i="496"/>
  <c r="E3412" i="496"/>
  <c r="D3412" i="496"/>
  <c r="C3412" i="496"/>
  <c r="BE3411" i="496"/>
  <c r="BC3411" i="496"/>
  <c r="I3411" i="496"/>
  <c r="H3411" i="496"/>
  <c r="E3411" i="496"/>
  <c r="D3411" i="496"/>
  <c r="C3411" i="496"/>
  <c r="BE3410" i="496"/>
  <c r="BC3410" i="496"/>
  <c r="I3410" i="496"/>
  <c r="H3410" i="496"/>
  <c r="E3410" i="496"/>
  <c r="D3410" i="496"/>
  <c r="C3410" i="496"/>
  <c r="BE3409" i="496"/>
  <c r="BC3409" i="496"/>
  <c r="I3409" i="496"/>
  <c r="H3409" i="496"/>
  <c r="E3409" i="496"/>
  <c r="D3409" i="496"/>
  <c r="C3409" i="496"/>
  <c r="BE3408" i="496"/>
  <c r="BC3408" i="496"/>
  <c r="I3408" i="496"/>
  <c r="H3408" i="496"/>
  <c r="E3408" i="496"/>
  <c r="D3408" i="496"/>
  <c r="C3408" i="496"/>
  <c r="BE3407" i="496"/>
  <c r="BC3407" i="496"/>
  <c r="I3407" i="496"/>
  <c r="H3407" i="496"/>
  <c r="E3407" i="496"/>
  <c r="D3407" i="496"/>
  <c r="C3407" i="496"/>
  <c r="BE3406" i="496"/>
  <c r="BC3406" i="496"/>
  <c r="I3406" i="496"/>
  <c r="H3406" i="496"/>
  <c r="E3406" i="496"/>
  <c r="D3406" i="496"/>
  <c r="C3406" i="496"/>
  <c r="BE3405" i="496"/>
  <c r="BC3405" i="496"/>
  <c r="I3405" i="496"/>
  <c r="H3405" i="496"/>
  <c r="E3405" i="496"/>
  <c r="D3405" i="496"/>
  <c r="C3405" i="496"/>
  <c r="BE3404" i="496"/>
  <c r="BC3404" i="496"/>
  <c r="I3404" i="496"/>
  <c r="H3404" i="496"/>
  <c r="E3404" i="496"/>
  <c r="D3404" i="496"/>
  <c r="C3404" i="496"/>
  <c r="BE3403" i="496"/>
  <c r="BC3403" i="496"/>
  <c r="I3403" i="496"/>
  <c r="H3403" i="496"/>
  <c r="E3403" i="496"/>
  <c r="D3403" i="496"/>
  <c r="C3403" i="496"/>
  <c r="BE3402" i="496"/>
  <c r="BC3402" i="496"/>
  <c r="I3402" i="496"/>
  <c r="H3402" i="496"/>
  <c r="E3402" i="496"/>
  <c r="D3402" i="496"/>
  <c r="C3402" i="496"/>
  <c r="BE3401" i="496"/>
  <c r="BC3401" i="496"/>
  <c r="I3401" i="496"/>
  <c r="H3401" i="496"/>
  <c r="E3401" i="496"/>
  <c r="D3401" i="496"/>
  <c r="C3401" i="496"/>
  <c r="BE3400" i="496"/>
  <c r="BC3400" i="496"/>
  <c r="I3400" i="496"/>
  <c r="H3400" i="496"/>
  <c r="E3400" i="496"/>
  <c r="D3400" i="496"/>
  <c r="C3400" i="496"/>
  <c r="BE3399" i="496"/>
  <c r="BC3399" i="496"/>
  <c r="I3399" i="496"/>
  <c r="H3399" i="496"/>
  <c r="E3399" i="496"/>
  <c r="D3399" i="496"/>
  <c r="C3399" i="496"/>
  <c r="BE3398" i="496"/>
  <c r="BC3398" i="496"/>
  <c r="I3398" i="496"/>
  <c r="H3398" i="496"/>
  <c r="E3398" i="496"/>
  <c r="D3398" i="496"/>
  <c r="C3398" i="496"/>
  <c r="BE3397" i="496"/>
  <c r="BC3397" i="496"/>
  <c r="I3397" i="496"/>
  <c r="H3397" i="496"/>
  <c r="E3397" i="496"/>
  <c r="D3397" i="496"/>
  <c r="C3397" i="496"/>
  <c r="BE3396" i="496"/>
  <c r="BC3396" i="496"/>
  <c r="I3396" i="496"/>
  <c r="H3396" i="496"/>
  <c r="E3396" i="496"/>
  <c r="D3396" i="496"/>
  <c r="C3396" i="496"/>
  <c r="BE3395" i="496"/>
  <c r="BC3395" i="496"/>
  <c r="I3395" i="496"/>
  <c r="H3395" i="496"/>
  <c r="E3395" i="496"/>
  <c r="D3395" i="496"/>
  <c r="C3395" i="496"/>
  <c r="BE3394" i="496"/>
  <c r="BC3394" i="496"/>
  <c r="I3394" i="496"/>
  <c r="H3394" i="496"/>
  <c r="E3394" i="496"/>
  <c r="D3394" i="496"/>
  <c r="C3394" i="496"/>
  <c r="BE3393" i="496"/>
  <c r="BC3393" i="496"/>
  <c r="I3393" i="496"/>
  <c r="H3393" i="496"/>
  <c r="E3393" i="496"/>
  <c r="D3393" i="496"/>
  <c r="C3393" i="496"/>
  <c r="BE3392" i="496"/>
  <c r="BC3392" i="496"/>
  <c r="I3392" i="496"/>
  <c r="H3392" i="496"/>
  <c r="E3392" i="496"/>
  <c r="D3392" i="496"/>
  <c r="C3392" i="496"/>
  <c r="BE3391" i="496"/>
  <c r="BC3391" i="496"/>
  <c r="I3391" i="496"/>
  <c r="H3391" i="496"/>
  <c r="E3391" i="496"/>
  <c r="D3391" i="496"/>
  <c r="C3391" i="496"/>
  <c r="BE3390" i="496"/>
  <c r="BC3390" i="496"/>
  <c r="I3390" i="496"/>
  <c r="H3390" i="496"/>
  <c r="E3390" i="496"/>
  <c r="D3390" i="496"/>
  <c r="C3390" i="496"/>
  <c r="BE3389" i="496"/>
  <c r="BC3389" i="496"/>
  <c r="I3389" i="496"/>
  <c r="H3389" i="496"/>
  <c r="E3389" i="496"/>
  <c r="D3389" i="496"/>
  <c r="C3389" i="496"/>
  <c r="BE3388" i="496"/>
  <c r="BC3388" i="496"/>
  <c r="I3388" i="496"/>
  <c r="H3388" i="496"/>
  <c r="E3388" i="496"/>
  <c r="D3388" i="496"/>
  <c r="C3388" i="496"/>
  <c r="BE3387" i="496"/>
  <c r="BC3387" i="496"/>
  <c r="I3387" i="496"/>
  <c r="H3387" i="496"/>
  <c r="E3387" i="496"/>
  <c r="D3387" i="496"/>
  <c r="C3387" i="496"/>
  <c r="BE3386" i="496"/>
  <c r="BC3386" i="496"/>
  <c r="I3386" i="496"/>
  <c r="H3386" i="496"/>
  <c r="E3386" i="496"/>
  <c r="D3386" i="496"/>
  <c r="C3386" i="496"/>
  <c r="BE3385" i="496"/>
  <c r="BC3385" i="496"/>
  <c r="I3385" i="496"/>
  <c r="H3385" i="496"/>
  <c r="E3385" i="496"/>
  <c r="D3385" i="496"/>
  <c r="C3385" i="496"/>
  <c r="BE3384" i="496"/>
  <c r="BC3384" i="496"/>
  <c r="I3384" i="496"/>
  <c r="H3384" i="496"/>
  <c r="E3384" i="496"/>
  <c r="D3384" i="496"/>
  <c r="C3384" i="496"/>
  <c r="BE3383" i="496"/>
  <c r="BC3383" i="496"/>
  <c r="I3383" i="496"/>
  <c r="H3383" i="496"/>
  <c r="E3383" i="496"/>
  <c r="D3383" i="496"/>
  <c r="C3383" i="496"/>
  <c r="BE3382" i="496"/>
  <c r="BC3382" i="496"/>
  <c r="I3382" i="496"/>
  <c r="H3382" i="496"/>
  <c r="E3382" i="496"/>
  <c r="D3382" i="496"/>
  <c r="C3382" i="496"/>
  <c r="BE3381" i="496"/>
  <c r="BC3381" i="496"/>
  <c r="I3381" i="496"/>
  <c r="H3381" i="496"/>
  <c r="E3381" i="496"/>
  <c r="D3381" i="496"/>
  <c r="C3381" i="496"/>
  <c r="BE3380" i="496"/>
  <c r="BC3380" i="496"/>
  <c r="I3380" i="496"/>
  <c r="H3380" i="496"/>
  <c r="E3380" i="496"/>
  <c r="D3380" i="496"/>
  <c r="C3380" i="496"/>
  <c r="BE3379" i="496"/>
  <c r="BC3379" i="496"/>
  <c r="I3379" i="496"/>
  <c r="H3379" i="496"/>
  <c r="E3379" i="496"/>
  <c r="D3379" i="496"/>
  <c r="C3379" i="496"/>
  <c r="BE3378" i="496"/>
  <c r="BC3378" i="496"/>
  <c r="I3378" i="496"/>
  <c r="H3378" i="496"/>
  <c r="E3378" i="496"/>
  <c r="D3378" i="496"/>
  <c r="C3378" i="496"/>
  <c r="BE3377" i="496"/>
  <c r="BC3377" i="496"/>
  <c r="I3377" i="496"/>
  <c r="H3377" i="496"/>
  <c r="E3377" i="496"/>
  <c r="D3377" i="496"/>
  <c r="C3377" i="496"/>
  <c r="BE3376" i="496"/>
  <c r="BC3376" i="496"/>
  <c r="I3376" i="496"/>
  <c r="H3376" i="496"/>
  <c r="E3376" i="496"/>
  <c r="D3376" i="496"/>
  <c r="C3376" i="496"/>
  <c r="BE3375" i="496"/>
  <c r="BC3375" i="496"/>
  <c r="I3375" i="496"/>
  <c r="H3375" i="496"/>
  <c r="E3375" i="496"/>
  <c r="D3375" i="496"/>
  <c r="C3375" i="496"/>
  <c r="BE3374" i="496"/>
  <c r="BC3374" i="496"/>
  <c r="I3374" i="496"/>
  <c r="H3374" i="496"/>
  <c r="E3374" i="496"/>
  <c r="D3374" i="496"/>
  <c r="C3374" i="496"/>
  <c r="BE3373" i="496"/>
  <c r="BC3373" i="496"/>
  <c r="I3373" i="496"/>
  <c r="H3373" i="496"/>
  <c r="E3373" i="496"/>
  <c r="D3373" i="496"/>
  <c r="C3373" i="496"/>
  <c r="BE3372" i="496"/>
  <c r="BC3372" i="496"/>
  <c r="I3372" i="496"/>
  <c r="H3372" i="496"/>
  <c r="E3372" i="496"/>
  <c r="D3372" i="496"/>
  <c r="C3372" i="496"/>
  <c r="BE3371" i="496"/>
  <c r="BC3371" i="496"/>
  <c r="I3371" i="496"/>
  <c r="H3371" i="496"/>
  <c r="E3371" i="496"/>
  <c r="D3371" i="496"/>
  <c r="C3371" i="496"/>
  <c r="BE3370" i="496"/>
  <c r="BC3370" i="496"/>
  <c r="I3370" i="496"/>
  <c r="H3370" i="496"/>
  <c r="E3370" i="496"/>
  <c r="D3370" i="496"/>
  <c r="C3370" i="496"/>
  <c r="BE3369" i="496"/>
  <c r="BC3369" i="496"/>
  <c r="I3369" i="496"/>
  <c r="H3369" i="496"/>
  <c r="E3369" i="496"/>
  <c r="D3369" i="496"/>
  <c r="C3369" i="496"/>
  <c r="BE3368" i="496"/>
  <c r="BC3368" i="496"/>
  <c r="I3368" i="496"/>
  <c r="H3368" i="496"/>
  <c r="E3368" i="496"/>
  <c r="D3368" i="496"/>
  <c r="C3368" i="496"/>
  <c r="BE3367" i="496"/>
  <c r="BC3367" i="496"/>
  <c r="I3367" i="496"/>
  <c r="H3367" i="496"/>
  <c r="E3367" i="496"/>
  <c r="D3367" i="496"/>
  <c r="C3367" i="496"/>
  <c r="BE3366" i="496"/>
  <c r="BC3366" i="496"/>
  <c r="I3366" i="496"/>
  <c r="H3366" i="496"/>
  <c r="E3366" i="496"/>
  <c r="D3366" i="496"/>
  <c r="C3366" i="496"/>
  <c r="BE3365" i="496"/>
  <c r="BC3365" i="496"/>
  <c r="I3365" i="496"/>
  <c r="H3365" i="496"/>
  <c r="E3365" i="496"/>
  <c r="D3365" i="496"/>
  <c r="C3365" i="496"/>
  <c r="BE3364" i="496"/>
  <c r="BC3364" i="496"/>
  <c r="I3364" i="496"/>
  <c r="H3364" i="496"/>
  <c r="E3364" i="496"/>
  <c r="D3364" i="496"/>
  <c r="C3364" i="496"/>
  <c r="BE3363" i="496"/>
  <c r="BC3363" i="496"/>
  <c r="I3363" i="496"/>
  <c r="H3363" i="496"/>
  <c r="E3363" i="496"/>
  <c r="D3363" i="496"/>
  <c r="C3363" i="496"/>
  <c r="BE3362" i="496"/>
  <c r="BC3362" i="496"/>
  <c r="I3362" i="496"/>
  <c r="H3362" i="496"/>
  <c r="E3362" i="496"/>
  <c r="D3362" i="496"/>
  <c r="C3362" i="496"/>
  <c r="BE3361" i="496"/>
  <c r="BC3361" i="496"/>
  <c r="I3361" i="496"/>
  <c r="H3361" i="496"/>
  <c r="E3361" i="496"/>
  <c r="D3361" i="496"/>
  <c r="C3361" i="496"/>
  <c r="BE3360" i="496"/>
  <c r="BC3360" i="496"/>
  <c r="I3360" i="496"/>
  <c r="H3360" i="496"/>
  <c r="E3360" i="496"/>
  <c r="D3360" i="496"/>
  <c r="C3360" i="496"/>
  <c r="BE3359" i="496"/>
  <c r="BC3359" i="496"/>
  <c r="I3359" i="496"/>
  <c r="H3359" i="496"/>
  <c r="E3359" i="496"/>
  <c r="D3359" i="496"/>
  <c r="C3359" i="496"/>
  <c r="BE3358" i="496"/>
  <c r="BC3358" i="496"/>
  <c r="I3358" i="496"/>
  <c r="H3358" i="496"/>
  <c r="E3358" i="496"/>
  <c r="D3358" i="496"/>
  <c r="C3358" i="496"/>
  <c r="BE3357" i="496"/>
  <c r="BC3357" i="496"/>
  <c r="I3357" i="496"/>
  <c r="H3357" i="496"/>
  <c r="E3357" i="496"/>
  <c r="D3357" i="496"/>
  <c r="C3357" i="496"/>
  <c r="BE3356" i="496"/>
  <c r="BC3356" i="496"/>
  <c r="I3356" i="496"/>
  <c r="H3356" i="496"/>
  <c r="E3356" i="496"/>
  <c r="D3356" i="496"/>
  <c r="C3356" i="496"/>
  <c r="BE3355" i="496"/>
  <c r="BC3355" i="496"/>
  <c r="I3355" i="496"/>
  <c r="H3355" i="496"/>
  <c r="E3355" i="496"/>
  <c r="D3355" i="496"/>
  <c r="C3355" i="496"/>
  <c r="BE3354" i="496"/>
  <c r="BC3354" i="496"/>
  <c r="I3354" i="496"/>
  <c r="H3354" i="496"/>
  <c r="E3354" i="496"/>
  <c r="D3354" i="496"/>
  <c r="C3354" i="496"/>
  <c r="BE3353" i="496"/>
  <c r="BC3353" i="496"/>
  <c r="I3353" i="496"/>
  <c r="H3353" i="496"/>
  <c r="E3353" i="496"/>
  <c r="D3353" i="496"/>
  <c r="C3353" i="496"/>
  <c r="BE3352" i="496"/>
  <c r="BC3352" i="496"/>
  <c r="I3352" i="496"/>
  <c r="H3352" i="496"/>
  <c r="E3352" i="496"/>
  <c r="D3352" i="496"/>
  <c r="C3352" i="496"/>
  <c r="BE3351" i="496"/>
  <c r="BC3351" i="496"/>
  <c r="I3351" i="496"/>
  <c r="H3351" i="496"/>
  <c r="E3351" i="496"/>
  <c r="D3351" i="496"/>
  <c r="C3351" i="496"/>
  <c r="BE3350" i="496"/>
  <c r="BC3350" i="496"/>
  <c r="I3350" i="496"/>
  <c r="H3350" i="496"/>
  <c r="E3350" i="496"/>
  <c r="D3350" i="496"/>
  <c r="C3350" i="496"/>
  <c r="BE3349" i="496"/>
  <c r="BC3349" i="496"/>
  <c r="I3349" i="496"/>
  <c r="H3349" i="496"/>
  <c r="E3349" i="496"/>
  <c r="D3349" i="496"/>
  <c r="C3349" i="496"/>
  <c r="BE3348" i="496"/>
  <c r="BC3348" i="496"/>
  <c r="I3348" i="496"/>
  <c r="H3348" i="496"/>
  <c r="E3348" i="496"/>
  <c r="D3348" i="496"/>
  <c r="C3348" i="496"/>
  <c r="BE3347" i="496"/>
  <c r="BC3347" i="496"/>
  <c r="I3347" i="496"/>
  <c r="H3347" i="496"/>
  <c r="E3347" i="496"/>
  <c r="D3347" i="496"/>
  <c r="C3347" i="496"/>
  <c r="BE3346" i="496"/>
  <c r="BC3346" i="496"/>
  <c r="I3346" i="496"/>
  <c r="H3346" i="496"/>
  <c r="E3346" i="496"/>
  <c r="D3346" i="496"/>
  <c r="C3346" i="496"/>
  <c r="BE3345" i="496"/>
  <c r="BC3345" i="496"/>
  <c r="I3345" i="496"/>
  <c r="H3345" i="496"/>
  <c r="E3345" i="496"/>
  <c r="D3345" i="496"/>
  <c r="C3345" i="496"/>
  <c r="BE3344" i="496"/>
  <c r="BC3344" i="496"/>
  <c r="I3344" i="496"/>
  <c r="H3344" i="496"/>
  <c r="E3344" i="496"/>
  <c r="D3344" i="496"/>
  <c r="C3344" i="496"/>
  <c r="BE3343" i="496"/>
  <c r="BC3343" i="496"/>
  <c r="I3343" i="496"/>
  <c r="H3343" i="496"/>
  <c r="E3343" i="496"/>
  <c r="D3343" i="496"/>
  <c r="C3343" i="496"/>
  <c r="BE3342" i="496"/>
  <c r="BC3342" i="496"/>
  <c r="I3342" i="496"/>
  <c r="H3342" i="496"/>
  <c r="E3342" i="496"/>
  <c r="D3342" i="496"/>
  <c r="C3342" i="496"/>
  <c r="BE3341" i="496"/>
  <c r="BC3341" i="496"/>
  <c r="I3341" i="496"/>
  <c r="H3341" i="496"/>
  <c r="E3341" i="496"/>
  <c r="D3341" i="496"/>
  <c r="C3341" i="496"/>
  <c r="BE3340" i="496"/>
  <c r="BC3340" i="496"/>
  <c r="I3340" i="496"/>
  <c r="H3340" i="496"/>
  <c r="E3340" i="496"/>
  <c r="D3340" i="496"/>
  <c r="C3340" i="496"/>
  <c r="BE3339" i="496"/>
  <c r="BC3339" i="496"/>
  <c r="I3339" i="496"/>
  <c r="H3339" i="496"/>
  <c r="E3339" i="496"/>
  <c r="D3339" i="496"/>
  <c r="C3339" i="496"/>
  <c r="BE3338" i="496"/>
  <c r="BC3338" i="496"/>
  <c r="I3338" i="496"/>
  <c r="H3338" i="496"/>
  <c r="E3338" i="496"/>
  <c r="D3338" i="496"/>
  <c r="C3338" i="496"/>
  <c r="BE3337" i="496"/>
  <c r="BC3337" i="496"/>
  <c r="I3337" i="496"/>
  <c r="H3337" i="496"/>
  <c r="E3337" i="496"/>
  <c r="D3337" i="496"/>
  <c r="C3337" i="496"/>
  <c r="BE3336" i="496"/>
  <c r="BC3336" i="496"/>
  <c r="I3336" i="496"/>
  <c r="H3336" i="496"/>
  <c r="E3336" i="496"/>
  <c r="D3336" i="496"/>
  <c r="C3336" i="496"/>
  <c r="BE3335" i="496"/>
  <c r="BC3335" i="496"/>
  <c r="I3335" i="496"/>
  <c r="H3335" i="496"/>
  <c r="E3335" i="496"/>
  <c r="D3335" i="496"/>
  <c r="C3335" i="496"/>
  <c r="BE3334" i="496"/>
  <c r="BC3334" i="496"/>
  <c r="I3334" i="496"/>
  <c r="H3334" i="496"/>
  <c r="E3334" i="496"/>
  <c r="D3334" i="496"/>
  <c r="C3334" i="496"/>
  <c r="BE3333" i="496"/>
  <c r="BC3333" i="496"/>
  <c r="I3333" i="496"/>
  <c r="H3333" i="496"/>
  <c r="E3333" i="496"/>
  <c r="D3333" i="496"/>
  <c r="C3333" i="496"/>
  <c r="BE3332" i="496"/>
  <c r="BC3332" i="496"/>
  <c r="I3332" i="496"/>
  <c r="H3332" i="496"/>
  <c r="E3332" i="496"/>
  <c r="D3332" i="496"/>
  <c r="C3332" i="496"/>
  <c r="BE3331" i="496"/>
  <c r="BC3331" i="496"/>
  <c r="I3331" i="496"/>
  <c r="H3331" i="496"/>
  <c r="E3331" i="496"/>
  <c r="D3331" i="496"/>
  <c r="C3331" i="496"/>
  <c r="BE3330" i="496"/>
  <c r="BC3330" i="496"/>
  <c r="I3330" i="496"/>
  <c r="H3330" i="496"/>
  <c r="E3330" i="496"/>
  <c r="D3330" i="496"/>
  <c r="C3330" i="496"/>
  <c r="BE3329" i="496"/>
  <c r="BC3329" i="496"/>
  <c r="I3329" i="496"/>
  <c r="H3329" i="496"/>
  <c r="E3329" i="496"/>
  <c r="D3329" i="496"/>
  <c r="C3329" i="496"/>
  <c r="BE3328" i="496"/>
  <c r="BC3328" i="496"/>
  <c r="I3328" i="496"/>
  <c r="H3328" i="496"/>
  <c r="E3328" i="496"/>
  <c r="D3328" i="496"/>
  <c r="C3328" i="496"/>
  <c r="BE3327" i="496"/>
  <c r="BC3327" i="496"/>
  <c r="I3327" i="496"/>
  <c r="H3327" i="496"/>
  <c r="E3327" i="496"/>
  <c r="D3327" i="496"/>
  <c r="C3327" i="496"/>
  <c r="BE3326" i="496"/>
  <c r="BC3326" i="496"/>
  <c r="I3326" i="496"/>
  <c r="H3326" i="496"/>
  <c r="E3326" i="496"/>
  <c r="D3326" i="496"/>
  <c r="C3326" i="496"/>
  <c r="BE3325" i="496"/>
  <c r="BC3325" i="496"/>
  <c r="I3325" i="496"/>
  <c r="H3325" i="496"/>
  <c r="E3325" i="496"/>
  <c r="D3325" i="496"/>
  <c r="C3325" i="496"/>
  <c r="BE3324" i="496"/>
  <c r="BC3324" i="496"/>
  <c r="I3324" i="496"/>
  <c r="H3324" i="496"/>
  <c r="E3324" i="496"/>
  <c r="D3324" i="496"/>
  <c r="C3324" i="496"/>
  <c r="BE3323" i="496"/>
  <c r="BC3323" i="496"/>
  <c r="I3323" i="496"/>
  <c r="H3323" i="496"/>
  <c r="E3323" i="496"/>
  <c r="D3323" i="496"/>
  <c r="C3323" i="496"/>
  <c r="BE3322" i="496"/>
  <c r="BC3322" i="496"/>
  <c r="I3322" i="496"/>
  <c r="H3322" i="496"/>
  <c r="E3322" i="496"/>
  <c r="D3322" i="496"/>
  <c r="C3322" i="496"/>
  <c r="BE3321" i="496"/>
  <c r="BC3321" i="496"/>
  <c r="I3321" i="496"/>
  <c r="H3321" i="496"/>
  <c r="E3321" i="496"/>
  <c r="D3321" i="496"/>
  <c r="C3321" i="496"/>
  <c r="BE3320" i="496"/>
  <c r="BC3320" i="496"/>
  <c r="I3320" i="496"/>
  <c r="H3320" i="496"/>
  <c r="E3320" i="496"/>
  <c r="D3320" i="496"/>
  <c r="C3320" i="496"/>
  <c r="BE3319" i="496"/>
  <c r="BC3319" i="496"/>
  <c r="I3319" i="496"/>
  <c r="H3319" i="496"/>
  <c r="E3319" i="496"/>
  <c r="D3319" i="496"/>
  <c r="C3319" i="496"/>
  <c r="BE3318" i="496"/>
  <c r="BC3318" i="496"/>
  <c r="I3318" i="496"/>
  <c r="H3318" i="496"/>
  <c r="E3318" i="496"/>
  <c r="D3318" i="496"/>
  <c r="C3318" i="496"/>
  <c r="BE3317" i="496"/>
  <c r="BC3317" i="496"/>
  <c r="I3317" i="496"/>
  <c r="H3317" i="496"/>
  <c r="E3317" i="496"/>
  <c r="D3317" i="496"/>
  <c r="C3317" i="496"/>
  <c r="BE3316" i="496"/>
  <c r="BC3316" i="496"/>
  <c r="I3316" i="496"/>
  <c r="H3316" i="496"/>
  <c r="E3316" i="496"/>
  <c r="D3316" i="496"/>
  <c r="C3316" i="496"/>
  <c r="BE3315" i="496"/>
  <c r="BC3315" i="496"/>
  <c r="I3315" i="496"/>
  <c r="H3315" i="496"/>
  <c r="E3315" i="496"/>
  <c r="D3315" i="496"/>
  <c r="C3315" i="496"/>
  <c r="BE3314" i="496"/>
  <c r="BC3314" i="496"/>
  <c r="I3314" i="496"/>
  <c r="H3314" i="496"/>
  <c r="E3314" i="496"/>
  <c r="D3314" i="496"/>
  <c r="C3314" i="496"/>
  <c r="BE3313" i="496"/>
  <c r="BC3313" i="496"/>
  <c r="I3313" i="496"/>
  <c r="H3313" i="496"/>
  <c r="E3313" i="496"/>
  <c r="D3313" i="496"/>
  <c r="C3313" i="496"/>
  <c r="BE3312" i="496"/>
  <c r="BC3312" i="496"/>
  <c r="I3312" i="496"/>
  <c r="H3312" i="496"/>
  <c r="E3312" i="496"/>
  <c r="D3312" i="496"/>
  <c r="C3312" i="496"/>
  <c r="BE3311" i="496"/>
  <c r="BC3311" i="496"/>
  <c r="I3311" i="496"/>
  <c r="H3311" i="496"/>
  <c r="E3311" i="496"/>
  <c r="D3311" i="496"/>
  <c r="C3311" i="496"/>
  <c r="BE3310" i="496"/>
  <c r="BC3310" i="496"/>
  <c r="I3310" i="496"/>
  <c r="H3310" i="496"/>
  <c r="E3310" i="496"/>
  <c r="D3310" i="496"/>
  <c r="C3310" i="496"/>
  <c r="BE3309" i="496"/>
  <c r="BC3309" i="496"/>
  <c r="I3309" i="496"/>
  <c r="H3309" i="496"/>
  <c r="E3309" i="496"/>
  <c r="D3309" i="496"/>
  <c r="C3309" i="496"/>
  <c r="BE3308" i="496"/>
  <c r="BC3308" i="496"/>
  <c r="I3308" i="496"/>
  <c r="H3308" i="496"/>
  <c r="E3308" i="496"/>
  <c r="D3308" i="496"/>
  <c r="C3308" i="496"/>
  <c r="BE3307" i="496"/>
  <c r="BC3307" i="496"/>
  <c r="I3307" i="496"/>
  <c r="H3307" i="496"/>
  <c r="E3307" i="496"/>
  <c r="D3307" i="496"/>
  <c r="C3307" i="496"/>
  <c r="BE3306" i="496"/>
  <c r="BC3306" i="496"/>
  <c r="I3306" i="496"/>
  <c r="H3306" i="496"/>
  <c r="E3306" i="496"/>
  <c r="D3306" i="496"/>
  <c r="C3306" i="496"/>
  <c r="BE3305" i="496"/>
  <c r="BC3305" i="496"/>
  <c r="I3305" i="496"/>
  <c r="H3305" i="496"/>
  <c r="E3305" i="496"/>
  <c r="D3305" i="496"/>
  <c r="C3305" i="496"/>
  <c r="BE3304" i="496"/>
  <c r="BC3304" i="496"/>
  <c r="I3304" i="496"/>
  <c r="H3304" i="496"/>
  <c r="E3304" i="496"/>
  <c r="D3304" i="496"/>
  <c r="C3304" i="496"/>
  <c r="BE3303" i="496"/>
  <c r="BC3303" i="496"/>
  <c r="I3303" i="496"/>
  <c r="H3303" i="496"/>
  <c r="E3303" i="496"/>
  <c r="D3303" i="496"/>
  <c r="C3303" i="496"/>
  <c r="BE3302" i="496"/>
  <c r="BC3302" i="496"/>
  <c r="I3302" i="496"/>
  <c r="H3302" i="496"/>
  <c r="E3302" i="496"/>
  <c r="D3302" i="496"/>
  <c r="C3302" i="496"/>
  <c r="BE3301" i="496"/>
  <c r="BC3301" i="496"/>
  <c r="I3301" i="496"/>
  <c r="H3301" i="496"/>
  <c r="E3301" i="496"/>
  <c r="D3301" i="496"/>
  <c r="C3301" i="496"/>
  <c r="BE3300" i="496"/>
  <c r="BC3300" i="496"/>
  <c r="I3300" i="496"/>
  <c r="H3300" i="496"/>
  <c r="E3300" i="496"/>
  <c r="D3300" i="496"/>
  <c r="C3300" i="496"/>
  <c r="BE3299" i="496"/>
  <c r="BC3299" i="496"/>
  <c r="I3299" i="496"/>
  <c r="H3299" i="496"/>
  <c r="E3299" i="496"/>
  <c r="D3299" i="496"/>
  <c r="C3299" i="496"/>
  <c r="BE3298" i="496"/>
  <c r="BC3298" i="496"/>
  <c r="I3298" i="496"/>
  <c r="H3298" i="496"/>
  <c r="E3298" i="496"/>
  <c r="D3298" i="496"/>
  <c r="C3298" i="496"/>
  <c r="BE3297" i="496"/>
  <c r="BC3297" i="496"/>
  <c r="I3297" i="496"/>
  <c r="H3297" i="496"/>
  <c r="E3297" i="496"/>
  <c r="D3297" i="496"/>
  <c r="C3297" i="496"/>
  <c r="BE3296" i="496"/>
  <c r="BC3296" i="496"/>
  <c r="I3296" i="496"/>
  <c r="H3296" i="496"/>
  <c r="E3296" i="496"/>
  <c r="D3296" i="496"/>
  <c r="C3296" i="496"/>
  <c r="BE3295" i="496"/>
  <c r="BC3295" i="496"/>
  <c r="I3295" i="496"/>
  <c r="H3295" i="496"/>
  <c r="E3295" i="496"/>
  <c r="D3295" i="496"/>
  <c r="C3295" i="496"/>
  <c r="BE3294" i="496"/>
  <c r="BC3294" i="496"/>
  <c r="I3294" i="496"/>
  <c r="H3294" i="496"/>
  <c r="E3294" i="496"/>
  <c r="D3294" i="496"/>
  <c r="C3294" i="496"/>
  <c r="BE3293" i="496"/>
  <c r="BC3293" i="496"/>
  <c r="I3293" i="496"/>
  <c r="H3293" i="496"/>
  <c r="E3293" i="496"/>
  <c r="D3293" i="496"/>
  <c r="C3293" i="496"/>
  <c r="BE3292" i="496"/>
  <c r="BC3292" i="496"/>
  <c r="I3292" i="496"/>
  <c r="H3292" i="496"/>
  <c r="E3292" i="496"/>
  <c r="D3292" i="496"/>
  <c r="C3292" i="496"/>
  <c r="BE3291" i="496"/>
  <c r="BC3291" i="496"/>
  <c r="I3291" i="496"/>
  <c r="H3291" i="496"/>
  <c r="E3291" i="496"/>
  <c r="D3291" i="496"/>
  <c r="C3291" i="496"/>
  <c r="BE3290" i="496"/>
  <c r="BC3290" i="496"/>
  <c r="I3290" i="496"/>
  <c r="H3290" i="496"/>
  <c r="E3290" i="496"/>
  <c r="D3290" i="496"/>
  <c r="C3290" i="496"/>
  <c r="BE3289" i="496"/>
  <c r="BC3289" i="496"/>
  <c r="I3289" i="496"/>
  <c r="H3289" i="496"/>
  <c r="E3289" i="496"/>
  <c r="D3289" i="496"/>
  <c r="C3289" i="496"/>
  <c r="BE3288" i="496"/>
  <c r="BC3288" i="496"/>
  <c r="I3288" i="496"/>
  <c r="H3288" i="496"/>
  <c r="E3288" i="496"/>
  <c r="D3288" i="496"/>
  <c r="C3288" i="496"/>
  <c r="BE3287" i="496"/>
  <c r="BC3287" i="496"/>
  <c r="I3287" i="496"/>
  <c r="H3287" i="496"/>
  <c r="E3287" i="496"/>
  <c r="D3287" i="496"/>
  <c r="C3287" i="496"/>
  <c r="BE3286" i="496"/>
  <c r="BC3286" i="496"/>
  <c r="I3286" i="496"/>
  <c r="H3286" i="496"/>
  <c r="E3286" i="496"/>
  <c r="D3286" i="496"/>
  <c r="C3286" i="496"/>
  <c r="BE3285" i="496"/>
  <c r="BC3285" i="496"/>
  <c r="I3285" i="496"/>
  <c r="H3285" i="496"/>
  <c r="E3285" i="496"/>
  <c r="D3285" i="496"/>
  <c r="C3285" i="496"/>
  <c r="BE3284" i="496"/>
  <c r="BC3284" i="496"/>
  <c r="I3284" i="496"/>
  <c r="H3284" i="496"/>
  <c r="E3284" i="496"/>
  <c r="D3284" i="496"/>
  <c r="C3284" i="496"/>
  <c r="BE3283" i="496"/>
  <c r="BC3283" i="496"/>
  <c r="I3283" i="496"/>
  <c r="H3283" i="496"/>
  <c r="E3283" i="496"/>
  <c r="D3283" i="496"/>
  <c r="C3283" i="496"/>
  <c r="BE3282" i="496"/>
  <c r="BC3282" i="496"/>
  <c r="I3282" i="496"/>
  <c r="H3282" i="496"/>
  <c r="E3282" i="496"/>
  <c r="D3282" i="496"/>
  <c r="C3282" i="496"/>
  <c r="BE3281" i="496"/>
  <c r="BC3281" i="496"/>
  <c r="I3281" i="496"/>
  <c r="H3281" i="496"/>
  <c r="E3281" i="496"/>
  <c r="D3281" i="496"/>
  <c r="C3281" i="496"/>
  <c r="BE3280" i="496"/>
  <c r="BC3280" i="496"/>
  <c r="I3280" i="496"/>
  <c r="H3280" i="496"/>
  <c r="E3280" i="496"/>
  <c r="D3280" i="496"/>
  <c r="C3280" i="496"/>
  <c r="BE3279" i="496"/>
  <c r="BC3279" i="496"/>
  <c r="I3279" i="496"/>
  <c r="H3279" i="496"/>
  <c r="E3279" i="496"/>
  <c r="D3279" i="496"/>
  <c r="C3279" i="496"/>
  <c r="BE3278" i="496"/>
  <c r="BC3278" i="496"/>
  <c r="I3278" i="496"/>
  <c r="H3278" i="496"/>
  <c r="E3278" i="496"/>
  <c r="D3278" i="496"/>
  <c r="C3278" i="496"/>
  <c r="BE3277" i="496"/>
  <c r="BC3277" i="496"/>
  <c r="I3277" i="496"/>
  <c r="H3277" i="496"/>
  <c r="E3277" i="496"/>
  <c r="D3277" i="496"/>
  <c r="C3277" i="496"/>
  <c r="BE3276" i="496"/>
  <c r="BC3276" i="496"/>
  <c r="I3276" i="496"/>
  <c r="H3276" i="496"/>
  <c r="E3276" i="496"/>
  <c r="D3276" i="496"/>
  <c r="C3276" i="496"/>
  <c r="BE3275" i="496"/>
  <c r="BC3275" i="496"/>
  <c r="I3275" i="496"/>
  <c r="H3275" i="496"/>
  <c r="E3275" i="496"/>
  <c r="D3275" i="496"/>
  <c r="C3275" i="496"/>
  <c r="BE3274" i="496"/>
  <c r="BC3274" i="496"/>
  <c r="I3274" i="496"/>
  <c r="H3274" i="496"/>
  <c r="E3274" i="496"/>
  <c r="D3274" i="496"/>
  <c r="C3274" i="496"/>
  <c r="BE3273" i="496"/>
  <c r="BC3273" i="496"/>
  <c r="I3273" i="496"/>
  <c r="H3273" i="496"/>
  <c r="E3273" i="496"/>
  <c r="D3273" i="496"/>
  <c r="C3273" i="496"/>
  <c r="BE3272" i="496"/>
  <c r="BC3272" i="496"/>
  <c r="I3272" i="496"/>
  <c r="H3272" i="496"/>
  <c r="E3272" i="496"/>
  <c r="D3272" i="496"/>
  <c r="C3272" i="496"/>
  <c r="BE3271" i="496"/>
  <c r="BC3271" i="496"/>
  <c r="I3271" i="496"/>
  <c r="H3271" i="496"/>
  <c r="E3271" i="496"/>
  <c r="D3271" i="496"/>
  <c r="C3271" i="496"/>
  <c r="BE3270" i="496"/>
  <c r="BC3270" i="496"/>
  <c r="I3270" i="496"/>
  <c r="H3270" i="496"/>
  <c r="E3270" i="496"/>
  <c r="D3270" i="496"/>
  <c r="C3270" i="496"/>
  <c r="BE3269" i="496"/>
  <c r="BC3269" i="496"/>
  <c r="I3269" i="496"/>
  <c r="H3269" i="496"/>
  <c r="E3269" i="496"/>
  <c r="D3269" i="496"/>
  <c r="C3269" i="496"/>
  <c r="BE3268" i="496"/>
  <c r="BC3268" i="496"/>
  <c r="I3268" i="496"/>
  <c r="H3268" i="496"/>
  <c r="E3268" i="496"/>
  <c r="D3268" i="496"/>
  <c r="C3268" i="496"/>
  <c r="BE3267" i="496"/>
  <c r="BC3267" i="496"/>
  <c r="I3267" i="496"/>
  <c r="H3267" i="496"/>
  <c r="E3267" i="496"/>
  <c r="D3267" i="496"/>
  <c r="C3267" i="496"/>
  <c r="BE3266" i="496"/>
  <c r="BC3266" i="496"/>
  <c r="I3266" i="496"/>
  <c r="H3266" i="496"/>
  <c r="E3266" i="496"/>
  <c r="D3266" i="496"/>
  <c r="C3266" i="496"/>
  <c r="BE3265" i="496"/>
  <c r="BC3265" i="496"/>
  <c r="I3265" i="496"/>
  <c r="H3265" i="496"/>
  <c r="E3265" i="496"/>
  <c r="D3265" i="496"/>
  <c r="C3265" i="496"/>
  <c r="BE3264" i="496"/>
  <c r="BC3264" i="496"/>
  <c r="I3264" i="496"/>
  <c r="H3264" i="496"/>
  <c r="E3264" i="496"/>
  <c r="D3264" i="496"/>
  <c r="C3264" i="496"/>
  <c r="BE3263" i="496"/>
  <c r="BC3263" i="496"/>
  <c r="I3263" i="496"/>
  <c r="H3263" i="496"/>
  <c r="E3263" i="496"/>
  <c r="D3263" i="496"/>
  <c r="C3263" i="496"/>
  <c r="BE3262" i="496"/>
  <c r="BC3262" i="496"/>
  <c r="I3262" i="496"/>
  <c r="H3262" i="496"/>
  <c r="E3262" i="496"/>
  <c r="D3262" i="496"/>
  <c r="C3262" i="496"/>
  <c r="BE3261" i="496"/>
  <c r="BC3261" i="496"/>
  <c r="I3261" i="496"/>
  <c r="H3261" i="496"/>
  <c r="E3261" i="496"/>
  <c r="D3261" i="496"/>
  <c r="C3261" i="496"/>
  <c r="BE3260" i="496"/>
  <c r="BC3260" i="496"/>
  <c r="I3260" i="496"/>
  <c r="H3260" i="496"/>
  <c r="E3260" i="496"/>
  <c r="D3260" i="496"/>
  <c r="C3260" i="496"/>
  <c r="BE3259" i="496"/>
  <c r="BC3259" i="496"/>
  <c r="I3259" i="496"/>
  <c r="H3259" i="496"/>
  <c r="E3259" i="496"/>
  <c r="D3259" i="496"/>
  <c r="C3259" i="496"/>
  <c r="BE3258" i="496"/>
  <c r="BC3258" i="496"/>
  <c r="I3258" i="496"/>
  <c r="H3258" i="496"/>
  <c r="E3258" i="496"/>
  <c r="D3258" i="496"/>
  <c r="C3258" i="496"/>
  <c r="BE3257" i="496"/>
  <c r="BC3257" i="496"/>
  <c r="I3257" i="496"/>
  <c r="H3257" i="496"/>
  <c r="E3257" i="496"/>
  <c r="D3257" i="496"/>
  <c r="C3257" i="496"/>
  <c r="BE3256" i="496"/>
  <c r="BC3256" i="496"/>
  <c r="I3256" i="496"/>
  <c r="H3256" i="496"/>
  <c r="E3256" i="496"/>
  <c r="D3256" i="496"/>
  <c r="C3256" i="496"/>
  <c r="BE3255" i="496"/>
  <c r="BC3255" i="496"/>
  <c r="I3255" i="496"/>
  <c r="H3255" i="496"/>
  <c r="E3255" i="496"/>
  <c r="D3255" i="496"/>
  <c r="C3255" i="496"/>
  <c r="BE3254" i="496"/>
  <c r="BC3254" i="496"/>
  <c r="I3254" i="496"/>
  <c r="H3254" i="496"/>
  <c r="E3254" i="496"/>
  <c r="D3254" i="496"/>
  <c r="C3254" i="496"/>
  <c r="BE3253" i="496"/>
  <c r="BC3253" i="496"/>
  <c r="I3253" i="496"/>
  <c r="H3253" i="496"/>
  <c r="E3253" i="496"/>
  <c r="D3253" i="496"/>
  <c r="C3253" i="496"/>
  <c r="BE3252" i="496"/>
  <c r="BC3252" i="496"/>
  <c r="I3252" i="496"/>
  <c r="H3252" i="496"/>
  <c r="E3252" i="496"/>
  <c r="D3252" i="496"/>
  <c r="C3252" i="496"/>
  <c r="BE3251" i="496"/>
  <c r="BC3251" i="496"/>
  <c r="I3251" i="496"/>
  <c r="H3251" i="496"/>
  <c r="E3251" i="496"/>
  <c r="D3251" i="496"/>
  <c r="C3251" i="496"/>
  <c r="BE3250" i="496"/>
  <c r="BC3250" i="496"/>
  <c r="I3250" i="496"/>
  <c r="H3250" i="496"/>
  <c r="E3250" i="496"/>
  <c r="D3250" i="496"/>
  <c r="C3250" i="496"/>
  <c r="BE3249" i="496"/>
  <c r="BC3249" i="496"/>
  <c r="I3249" i="496"/>
  <c r="H3249" i="496"/>
  <c r="E3249" i="496"/>
  <c r="D3249" i="496"/>
  <c r="C3249" i="496"/>
  <c r="BE3248" i="496"/>
  <c r="BC3248" i="496"/>
  <c r="I3248" i="496"/>
  <c r="H3248" i="496"/>
  <c r="E3248" i="496"/>
  <c r="D3248" i="496"/>
  <c r="C3248" i="496"/>
  <c r="BE3247" i="496"/>
  <c r="BC3247" i="496"/>
  <c r="I3247" i="496"/>
  <c r="H3247" i="496"/>
  <c r="E3247" i="496"/>
  <c r="D3247" i="496"/>
  <c r="C3247" i="496"/>
  <c r="BE3246" i="496"/>
  <c r="BC3246" i="496"/>
  <c r="I3246" i="496"/>
  <c r="H3246" i="496"/>
  <c r="E3246" i="496"/>
  <c r="D3246" i="496"/>
  <c r="C3246" i="496"/>
  <c r="BE3245" i="496"/>
  <c r="BC3245" i="496"/>
  <c r="I3245" i="496"/>
  <c r="H3245" i="496"/>
  <c r="E3245" i="496"/>
  <c r="D3245" i="496"/>
  <c r="C3245" i="496"/>
  <c r="BE3244" i="496"/>
  <c r="BC3244" i="496"/>
  <c r="I3244" i="496"/>
  <c r="H3244" i="496"/>
  <c r="E3244" i="496"/>
  <c r="D3244" i="496"/>
  <c r="C3244" i="496"/>
  <c r="BE3243" i="496"/>
  <c r="BC3243" i="496"/>
  <c r="I3243" i="496"/>
  <c r="H3243" i="496"/>
  <c r="E3243" i="496"/>
  <c r="D3243" i="496"/>
  <c r="C3243" i="496"/>
  <c r="BE3242" i="496"/>
  <c r="BC3242" i="496"/>
  <c r="I3242" i="496"/>
  <c r="H3242" i="496"/>
  <c r="E3242" i="496"/>
  <c r="D3242" i="496"/>
  <c r="C3242" i="496"/>
  <c r="BE3241" i="496"/>
  <c r="BC3241" i="496"/>
  <c r="I3241" i="496"/>
  <c r="H3241" i="496"/>
  <c r="E3241" i="496"/>
  <c r="D3241" i="496"/>
  <c r="C3241" i="496"/>
  <c r="BE3240" i="496"/>
  <c r="BC3240" i="496"/>
  <c r="I3240" i="496"/>
  <c r="H3240" i="496"/>
  <c r="E3240" i="496"/>
  <c r="D3240" i="496"/>
  <c r="C3240" i="496"/>
  <c r="BE3239" i="496"/>
  <c r="BC3239" i="496"/>
  <c r="I3239" i="496"/>
  <c r="H3239" i="496"/>
  <c r="E3239" i="496"/>
  <c r="D3239" i="496"/>
  <c r="C3239" i="496"/>
  <c r="BE3238" i="496"/>
  <c r="BC3238" i="496"/>
  <c r="I3238" i="496"/>
  <c r="H3238" i="496"/>
  <c r="E3238" i="496"/>
  <c r="D3238" i="496"/>
  <c r="C3238" i="496"/>
  <c r="BE3237" i="496"/>
  <c r="BC3237" i="496"/>
  <c r="I3237" i="496"/>
  <c r="H3237" i="496"/>
  <c r="E3237" i="496"/>
  <c r="D3237" i="496"/>
  <c r="C3237" i="496"/>
  <c r="BE3236" i="496"/>
  <c r="BC3236" i="496"/>
  <c r="I3236" i="496"/>
  <c r="H3236" i="496"/>
  <c r="E3236" i="496"/>
  <c r="D3236" i="496"/>
  <c r="C3236" i="496"/>
  <c r="BE3235" i="496"/>
  <c r="BC3235" i="496"/>
  <c r="I3235" i="496"/>
  <c r="H3235" i="496"/>
  <c r="E3235" i="496"/>
  <c r="D3235" i="496"/>
  <c r="C3235" i="496"/>
  <c r="BE3234" i="496"/>
  <c r="BC3234" i="496"/>
  <c r="I3234" i="496"/>
  <c r="H3234" i="496"/>
  <c r="E3234" i="496"/>
  <c r="D3234" i="496"/>
  <c r="C3234" i="496"/>
  <c r="BE3233" i="496"/>
  <c r="BC3233" i="496"/>
  <c r="I3233" i="496"/>
  <c r="H3233" i="496"/>
  <c r="E3233" i="496"/>
  <c r="D3233" i="496"/>
  <c r="C3233" i="496"/>
  <c r="BE3232" i="496"/>
  <c r="BC3232" i="496"/>
  <c r="I3232" i="496"/>
  <c r="H3232" i="496"/>
  <c r="E3232" i="496"/>
  <c r="D3232" i="496"/>
  <c r="C3232" i="496"/>
  <c r="BE3231" i="496"/>
  <c r="BC3231" i="496"/>
  <c r="I3231" i="496"/>
  <c r="H3231" i="496"/>
  <c r="E3231" i="496"/>
  <c r="D3231" i="496"/>
  <c r="C3231" i="496"/>
  <c r="BE3230" i="496"/>
  <c r="BC3230" i="496"/>
  <c r="I3230" i="496"/>
  <c r="H3230" i="496"/>
  <c r="E3230" i="496"/>
  <c r="D3230" i="496"/>
  <c r="C3230" i="496"/>
  <c r="BE3229" i="496"/>
  <c r="BC3229" i="496"/>
  <c r="I3229" i="496"/>
  <c r="H3229" i="496"/>
  <c r="E3229" i="496"/>
  <c r="D3229" i="496"/>
  <c r="C3229" i="496"/>
  <c r="BE3228" i="496"/>
  <c r="BC3228" i="496"/>
  <c r="I3228" i="496"/>
  <c r="H3228" i="496"/>
  <c r="E3228" i="496"/>
  <c r="D3228" i="496"/>
  <c r="C3228" i="496"/>
  <c r="BE3227" i="496"/>
  <c r="BC3227" i="496"/>
  <c r="I3227" i="496"/>
  <c r="H3227" i="496"/>
  <c r="E3227" i="496"/>
  <c r="D3227" i="496"/>
  <c r="C3227" i="496"/>
  <c r="BE3226" i="496"/>
  <c r="BC3226" i="496"/>
  <c r="I3226" i="496"/>
  <c r="H3226" i="496"/>
  <c r="E3226" i="496"/>
  <c r="D3226" i="496"/>
  <c r="C3226" i="496"/>
  <c r="BE3225" i="496"/>
  <c r="BC3225" i="496"/>
  <c r="I3225" i="496"/>
  <c r="H3225" i="496"/>
  <c r="E3225" i="496"/>
  <c r="D3225" i="496"/>
  <c r="C3225" i="496"/>
  <c r="BE3224" i="496"/>
  <c r="BC3224" i="496"/>
  <c r="I3224" i="496"/>
  <c r="H3224" i="496"/>
  <c r="E3224" i="496"/>
  <c r="D3224" i="496"/>
  <c r="C3224" i="496"/>
  <c r="BE3223" i="496"/>
  <c r="BC3223" i="496"/>
  <c r="I3223" i="496"/>
  <c r="H3223" i="496"/>
  <c r="E3223" i="496"/>
  <c r="D3223" i="496"/>
  <c r="C3223" i="496"/>
  <c r="BE3222" i="496"/>
  <c r="BC3222" i="496"/>
  <c r="I3222" i="496"/>
  <c r="H3222" i="496"/>
  <c r="E3222" i="496"/>
  <c r="D3222" i="496"/>
  <c r="C3222" i="496"/>
  <c r="BE3221" i="496"/>
  <c r="BC3221" i="496"/>
  <c r="I3221" i="496"/>
  <c r="H3221" i="496"/>
  <c r="E3221" i="496"/>
  <c r="D3221" i="496"/>
  <c r="C3221" i="496"/>
  <c r="BE3220" i="496"/>
  <c r="BC3220" i="496"/>
  <c r="I3220" i="496"/>
  <c r="H3220" i="496"/>
  <c r="E3220" i="496"/>
  <c r="D3220" i="496"/>
  <c r="C3220" i="496"/>
  <c r="BE3219" i="496"/>
  <c r="BC3219" i="496"/>
  <c r="I3219" i="496"/>
  <c r="H3219" i="496"/>
  <c r="E3219" i="496"/>
  <c r="D3219" i="496"/>
  <c r="C3219" i="496"/>
  <c r="BE3218" i="496"/>
  <c r="BC3218" i="496"/>
  <c r="I3218" i="496"/>
  <c r="H3218" i="496"/>
  <c r="E3218" i="496"/>
  <c r="D3218" i="496"/>
  <c r="C3218" i="496"/>
  <c r="BE3217" i="496"/>
  <c r="BC3217" i="496"/>
  <c r="I3217" i="496"/>
  <c r="H3217" i="496"/>
  <c r="E3217" i="496"/>
  <c r="D3217" i="496"/>
  <c r="C3217" i="496"/>
  <c r="BE3216" i="496"/>
  <c r="BC3216" i="496"/>
  <c r="I3216" i="496"/>
  <c r="H3216" i="496"/>
  <c r="E3216" i="496"/>
  <c r="D3216" i="496"/>
  <c r="C3216" i="496"/>
  <c r="BE3215" i="496"/>
  <c r="BC3215" i="496"/>
  <c r="I3215" i="496"/>
  <c r="H3215" i="496"/>
  <c r="E3215" i="496"/>
  <c r="D3215" i="496"/>
  <c r="C3215" i="496"/>
  <c r="BE3214" i="496"/>
  <c r="BC3214" i="496"/>
  <c r="I3214" i="496"/>
  <c r="H3214" i="496"/>
  <c r="E3214" i="496"/>
  <c r="D3214" i="496"/>
  <c r="C3214" i="496"/>
  <c r="BE3213" i="496"/>
  <c r="BC3213" i="496"/>
  <c r="I3213" i="496"/>
  <c r="H3213" i="496"/>
  <c r="E3213" i="496"/>
  <c r="D3213" i="496"/>
  <c r="C3213" i="496"/>
  <c r="BE3212" i="496"/>
  <c r="BC3212" i="496"/>
  <c r="I3212" i="496"/>
  <c r="H3212" i="496"/>
  <c r="E3212" i="496"/>
  <c r="D3212" i="496"/>
  <c r="C3212" i="496"/>
  <c r="BE3211" i="496"/>
  <c r="BC3211" i="496"/>
  <c r="I3211" i="496"/>
  <c r="H3211" i="496"/>
  <c r="E3211" i="496"/>
  <c r="D3211" i="496"/>
  <c r="C3211" i="496"/>
  <c r="BE3210" i="496"/>
  <c r="BC3210" i="496"/>
  <c r="I3210" i="496"/>
  <c r="H3210" i="496"/>
  <c r="E3210" i="496"/>
  <c r="D3210" i="496"/>
  <c r="C3210" i="496"/>
  <c r="BE3209" i="496"/>
  <c r="BC3209" i="496"/>
  <c r="I3209" i="496"/>
  <c r="H3209" i="496"/>
  <c r="E3209" i="496"/>
  <c r="D3209" i="496"/>
  <c r="C3209" i="496"/>
  <c r="BE3208" i="496"/>
  <c r="BC3208" i="496"/>
  <c r="I3208" i="496"/>
  <c r="H3208" i="496"/>
  <c r="E3208" i="496"/>
  <c r="D3208" i="496"/>
  <c r="C3208" i="496"/>
  <c r="BE3207" i="496"/>
  <c r="BC3207" i="496"/>
  <c r="I3207" i="496"/>
  <c r="H3207" i="496"/>
  <c r="E3207" i="496"/>
  <c r="D3207" i="496"/>
  <c r="C3207" i="496"/>
  <c r="BE3206" i="496"/>
  <c r="BC3206" i="496"/>
  <c r="I3206" i="496"/>
  <c r="H3206" i="496"/>
  <c r="E3206" i="496"/>
  <c r="D3206" i="496"/>
  <c r="C3206" i="496"/>
  <c r="BE3205" i="496"/>
  <c r="BC3205" i="496"/>
  <c r="I3205" i="496"/>
  <c r="H3205" i="496"/>
  <c r="E3205" i="496"/>
  <c r="D3205" i="496"/>
  <c r="C3205" i="496"/>
  <c r="BE3204" i="496"/>
  <c r="BC3204" i="496"/>
  <c r="I3204" i="496"/>
  <c r="H3204" i="496"/>
  <c r="E3204" i="496"/>
  <c r="D3204" i="496"/>
  <c r="C3204" i="496"/>
  <c r="BE3203" i="496"/>
  <c r="BC3203" i="496"/>
  <c r="I3203" i="496"/>
  <c r="H3203" i="496"/>
  <c r="E3203" i="496"/>
  <c r="D3203" i="496"/>
  <c r="C3203" i="496"/>
  <c r="BE3202" i="496"/>
  <c r="BC3202" i="496"/>
  <c r="I3202" i="496"/>
  <c r="H3202" i="496"/>
  <c r="E3202" i="496"/>
  <c r="D3202" i="496"/>
  <c r="C3202" i="496"/>
  <c r="BE3201" i="496"/>
  <c r="BC3201" i="496"/>
  <c r="I3201" i="496"/>
  <c r="H3201" i="496"/>
  <c r="E3201" i="496"/>
  <c r="D3201" i="496"/>
  <c r="C3201" i="496"/>
  <c r="BE3200" i="496"/>
  <c r="BC3200" i="496"/>
  <c r="I3200" i="496"/>
  <c r="H3200" i="496"/>
  <c r="E3200" i="496"/>
  <c r="D3200" i="496"/>
  <c r="C3200" i="496"/>
  <c r="BE3199" i="496"/>
  <c r="BC3199" i="496"/>
  <c r="I3199" i="496"/>
  <c r="H3199" i="496"/>
  <c r="E3199" i="496"/>
  <c r="D3199" i="496"/>
  <c r="C3199" i="496"/>
  <c r="BE3198" i="496"/>
  <c r="BC3198" i="496"/>
  <c r="I3198" i="496"/>
  <c r="H3198" i="496"/>
  <c r="E3198" i="496"/>
  <c r="D3198" i="496"/>
  <c r="C3198" i="496"/>
  <c r="BE3197" i="496"/>
  <c r="BC3197" i="496"/>
  <c r="I3197" i="496"/>
  <c r="H3197" i="496"/>
  <c r="E3197" i="496"/>
  <c r="D3197" i="496"/>
  <c r="C3197" i="496"/>
  <c r="BE3196" i="496"/>
  <c r="BC3196" i="496"/>
  <c r="I3196" i="496"/>
  <c r="H3196" i="496"/>
  <c r="E3196" i="496"/>
  <c r="D3196" i="496"/>
  <c r="C3196" i="496"/>
  <c r="BE3195" i="496"/>
  <c r="BC3195" i="496"/>
  <c r="I3195" i="496"/>
  <c r="H3195" i="496"/>
  <c r="E3195" i="496"/>
  <c r="D3195" i="496"/>
  <c r="C3195" i="496"/>
  <c r="BE3194" i="496"/>
  <c r="BC3194" i="496"/>
  <c r="I3194" i="496"/>
  <c r="H3194" i="496"/>
  <c r="E3194" i="496"/>
  <c r="D3194" i="496"/>
  <c r="C3194" i="496"/>
  <c r="BE3193" i="496"/>
  <c r="BC3193" i="496"/>
  <c r="I3193" i="496"/>
  <c r="H3193" i="496"/>
  <c r="E3193" i="496"/>
  <c r="D3193" i="496"/>
  <c r="C3193" i="496"/>
  <c r="BE3192" i="496"/>
  <c r="BC3192" i="496"/>
  <c r="I3192" i="496"/>
  <c r="H3192" i="496"/>
  <c r="E3192" i="496"/>
  <c r="D3192" i="496"/>
  <c r="C3192" i="496"/>
  <c r="BE3191" i="496"/>
  <c r="BC3191" i="496"/>
  <c r="I3191" i="496"/>
  <c r="H3191" i="496"/>
  <c r="E3191" i="496"/>
  <c r="D3191" i="496"/>
  <c r="C3191" i="496"/>
  <c r="BE3190" i="496"/>
  <c r="BC3190" i="496"/>
  <c r="I3190" i="496"/>
  <c r="H3190" i="496"/>
  <c r="E3190" i="496"/>
  <c r="D3190" i="496"/>
  <c r="C3190" i="496"/>
  <c r="BE3189" i="496"/>
  <c r="BC3189" i="496"/>
  <c r="BA3189" i="496"/>
  <c r="I3189" i="496"/>
  <c r="H3189" i="496"/>
  <c r="E3189" i="496"/>
  <c r="D3189" i="496"/>
  <c r="C3189" i="496"/>
  <c r="BE3188" i="496"/>
  <c r="BC3188" i="496"/>
  <c r="BA3188" i="496"/>
  <c r="I3188" i="496"/>
  <c r="H3188" i="496"/>
  <c r="E3188" i="496"/>
  <c r="D3188" i="496"/>
  <c r="C3188" i="496"/>
  <c r="BE3187" i="496"/>
  <c r="BC3187" i="496"/>
  <c r="BA3187" i="496"/>
  <c r="I3187" i="496"/>
  <c r="H3187" i="496"/>
  <c r="E3187" i="496"/>
  <c r="D3187" i="496"/>
  <c r="C3187" i="496"/>
  <c r="BE3186" i="496"/>
  <c r="BC3186" i="496"/>
  <c r="BA3186" i="496"/>
  <c r="I3186" i="496"/>
  <c r="H3186" i="496"/>
  <c r="E3186" i="496"/>
  <c r="D3186" i="496"/>
  <c r="C3186" i="496"/>
  <c r="BE3185" i="496"/>
  <c r="BC3185" i="496"/>
  <c r="BA3185" i="496"/>
  <c r="I3185" i="496"/>
  <c r="H3185" i="496"/>
  <c r="E3185" i="496"/>
  <c r="D3185" i="496"/>
  <c r="C3185" i="496"/>
  <c r="BE3184" i="496"/>
  <c r="BC3184" i="496"/>
  <c r="BA3184" i="496"/>
  <c r="I3184" i="496"/>
  <c r="H3184" i="496"/>
  <c r="E3184" i="496"/>
  <c r="D3184" i="496"/>
  <c r="C3184" i="496"/>
  <c r="BE3183" i="496"/>
  <c r="BC3183" i="496"/>
  <c r="BA3183" i="496"/>
  <c r="I3183" i="496"/>
  <c r="H3183" i="496"/>
  <c r="E3183" i="496"/>
  <c r="D3183" i="496"/>
  <c r="C3183" i="496"/>
  <c r="BE3182" i="496"/>
  <c r="BC3182" i="496"/>
  <c r="BA3182" i="496"/>
  <c r="I3182" i="496"/>
  <c r="H3182" i="496"/>
  <c r="E3182" i="496"/>
  <c r="D3182" i="496"/>
  <c r="C3182" i="496"/>
  <c r="BE3181" i="496"/>
  <c r="BC3181" i="496"/>
  <c r="BA3181" i="496"/>
  <c r="I3181" i="496"/>
  <c r="H3181" i="496"/>
  <c r="E3181" i="496"/>
  <c r="D3181" i="496"/>
  <c r="C3181" i="496"/>
  <c r="BE3180" i="496"/>
  <c r="BC3180" i="496"/>
  <c r="BA3180" i="496"/>
  <c r="I3180" i="496"/>
  <c r="H3180" i="496"/>
  <c r="E3180" i="496"/>
  <c r="D3180" i="496"/>
  <c r="C3180" i="496"/>
  <c r="BE3179" i="496"/>
  <c r="BC3179" i="496"/>
  <c r="BA3179" i="496"/>
  <c r="I3179" i="496"/>
  <c r="H3179" i="496"/>
  <c r="E3179" i="496"/>
  <c r="D3179" i="496"/>
  <c r="C3179" i="496"/>
  <c r="BE3178" i="496"/>
  <c r="BC3178" i="496"/>
  <c r="BA3178" i="496"/>
  <c r="I3178" i="496"/>
  <c r="H3178" i="496"/>
  <c r="E3178" i="496"/>
  <c r="D3178" i="496"/>
  <c r="C3178" i="496"/>
  <c r="BE3177" i="496"/>
  <c r="BC3177" i="496"/>
  <c r="BA3177" i="496"/>
  <c r="I3177" i="496"/>
  <c r="H3177" i="496"/>
  <c r="E3177" i="496"/>
  <c r="D3177" i="496"/>
  <c r="C3177" i="496"/>
  <c r="BE3176" i="496"/>
  <c r="BC3176" i="496"/>
  <c r="BA3176" i="496"/>
  <c r="I3176" i="496"/>
  <c r="H3176" i="496"/>
  <c r="E3176" i="496"/>
  <c r="D3176" i="496"/>
  <c r="C3176" i="496"/>
  <c r="BE3175" i="496"/>
  <c r="BC3175" i="496"/>
  <c r="BA3175" i="496"/>
  <c r="I3175" i="496"/>
  <c r="H3175" i="496"/>
  <c r="E3175" i="496"/>
  <c r="D3175" i="496"/>
  <c r="C3175" i="496"/>
  <c r="BE3174" i="496"/>
  <c r="BC3174" i="496"/>
  <c r="BA3174" i="496"/>
  <c r="I3174" i="496"/>
  <c r="H3174" i="496"/>
  <c r="E3174" i="496"/>
  <c r="D3174" i="496"/>
  <c r="C3174" i="496"/>
  <c r="BE3173" i="496"/>
  <c r="BC3173" i="496"/>
  <c r="BA3173" i="496"/>
  <c r="I3173" i="496"/>
  <c r="H3173" i="496"/>
  <c r="E3173" i="496"/>
  <c r="D3173" i="496"/>
  <c r="C3173" i="496"/>
  <c r="BE3172" i="496"/>
  <c r="BC3172" i="496"/>
  <c r="BA3172" i="496"/>
  <c r="I3172" i="496"/>
  <c r="H3172" i="496"/>
  <c r="E3172" i="496"/>
  <c r="D3172" i="496"/>
  <c r="C3172" i="496"/>
  <c r="BE3171" i="496"/>
  <c r="BC3171" i="496"/>
  <c r="BA3171" i="496"/>
  <c r="I3171" i="496"/>
  <c r="H3171" i="496"/>
  <c r="E3171" i="496"/>
  <c r="D3171" i="496"/>
  <c r="C3171" i="496"/>
  <c r="BE3170" i="496"/>
  <c r="BC3170" i="496"/>
  <c r="BA3170" i="496"/>
  <c r="I3170" i="496"/>
  <c r="H3170" i="496"/>
  <c r="E3170" i="496"/>
  <c r="D3170" i="496"/>
  <c r="C3170" i="496"/>
  <c r="BE3169" i="496"/>
  <c r="BC3169" i="496"/>
  <c r="BA3169" i="496"/>
  <c r="I3169" i="496"/>
  <c r="H3169" i="496"/>
  <c r="E3169" i="496"/>
  <c r="D3169" i="496"/>
  <c r="C3169" i="496"/>
  <c r="BE3168" i="496"/>
  <c r="BC3168" i="496"/>
  <c r="BA3168" i="496"/>
  <c r="I3168" i="496"/>
  <c r="H3168" i="496"/>
  <c r="E3168" i="496"/>
  <c r="D3168" i="496"/>
  <c r="C3168" i="496"/>
  <c r="BE3167" i="496"/>
  <c r="BC3167" i="496"/>
  <c r="BA3167" i="496"/>
  <c r="I3167" i="496"/>
  <c r="H3167" i="496"/>
  <c r="E3167" i="496"/>
  <c r="D3167" i="496"/>
  <c r="C3167" i="496"/>
  <c r="BE3166" i="496"/>
  <c r="BC3166" i="496"/>
  <c r="BA3166" i="496"/>
  <c r="I3166" i="496"/>
  <c r="H3166" i="496"/>
  <c r="E3166" i="496"/>
  <c r="D3166" i="496"/>
  <c r="C3166" i="496"/>
  <c r="BE3165" i="496"/>
  <c r="BC3165" i="496"/>
  <c r="BA3165" i="496"/>
  <c r="I3165" i="496"/>
  <c r="H3165" i="496"/>
  <c r="E3165" i="496"/>
  <c r="D3165" i="496"/>
  <c r="C3165" i="496"/>
  <c r="BE3164" i="496"/>
  <c r="BC3164" i="496"/>
  <c r="BA3164" i="496"/>
  <c r="I3164" i="496"/>
  <c r="H3164" i="496"/>
  <c r="E3164" i="496"/>
  <c r="D3164" i="496"/>
  <c r="C3164" i="496"/>
  <c r="BE3163" i="496"/>
  <c r="BC3163" i="496"/>
  <c r="BA3163" i="496"/>
  <c r="I3163" i="496"/>
  <c r="H3163" i="496"/>
  <c r="E3163" i="496"/>
  <c r="D3163" i="496"/>
  <c r="C3163" i="496"/>
  <c r="BE3162" i="496"/>
  <c r="BC3162" i="496"/>
  <c r="BA3162" i="496"/>
  <c r="I3162" i="496"/>
  <c r="H3162" i="496"/>
  <c r="E3162" i="496"/>
  <c r="D3162" i="496"/>
  <c r="C3162" i="496"/>
  <c r="BE3161" i="496"/>
  <c r="BC3161" i="496"/>
  <c r="BA3161" i="496"/>
  <c r="I3161" i="496"/>
  <c r="H3161" i="496"/>
  <c r="E3161" i="496"/>
  <c r="D3161" i="496"/>
  <c r="C3161" i="496"/>
  <c r="BE3160" i="496"/>
  <c r="BC3160" i="496"/>
  <c r="BA3160" i="496"/>
  <c r="I3160" i="496"/>
  <c r="H3160" i="496"/>
  <c r="E3160" i="496"/>
  <c r="D3160" i="496"/>
  <c r="C3160" i="496"/>
  <c r="BE3159" i="496"/>
  <c r="BC3159" i="496"/>
  <c r="BA3159" i="496"/>
  <c r="I3159" i="496"/>
  <c r="H3159" i="496"/>
  <c r="E3159" i="496"/>
  <c r="D3159" i="496"/>
  <c r="C3159" i="496"/>
  <c r="BE3158" i="496"/>
  <c r="BC3158" i="496"/>
  <c r="BA3158" i="496"/>
  <c r="I3158" i="496"/>
  <c r="H3158" i="496"/>
  <c r="E3158" i="496"/>
  <c r="D3158" i="496"/>
  <c r="C3158" i="496"/>
  <c r="BE3157" i="496"/>
  <c r="BC3157" i="496"/>
  <c r="BA3157" i="496"/>
  <c r="I3157" i="496"/>
  <c r="H3157" i="496"/>
  <c r="E3157" i="496"/>
  <c r="D3157" i="496"/>
  <c r="C3157" i="496"/>
  <c r="BE3156" i="496"/>
  <c r="BC3156" i="496"/>
  <c r="BA3156" i="496"/>
  <c r="I3156" i="496"/>
  <c r="H3156" i="496"/>
  <c r="E3156" i="496"/>
  <c r="D3156" i="496"/>
  <c r="C3156" i="496"/>
  <c r="BE3155" i="496"/>
  <c r="BC3155" i="496"/>
  <c r="BA3155" i="496"/>
  <c r="I3155" i="496"/>
  <c r="H3155" i="496"/>
  <c r="E3155" i="496"/>
  <c r="D3155" i="496"/>
  <c r="C3155" i="496"/>
  <c r="BE3154" i="496"/>
  <c r="BC3154" i="496"/>
  <c r="BA3154" i="496"/>
  <c r="I3154" i="496"/>
  <c r="H3154" i="496"/>
  <c r="E3154" i="496"/>
  <c r="D3154" i="496"/>
  <c r="C3154" i="496"/>
  <c r="BE3153" i="496"/>
  <c r="BC3153" i="496"/>
  <c r="BA3153" i="496"/>
  <c r="I3153" i="496"/>
  <c r="H3153" i="496"/>
  <c r="E3153" i="496"/>
  <c r="D3153" i="496"/>
  <c r="C3153" i="496"/>
  <c r="BE3152" i="496"/>
  <c r="BC3152" i="496"/>
  <c r="BA3152" i="496"/>
  <c r="I3152" i="496"/>
  <c r="H3152" i="496"/>
  <c r="E3152" i="496"/>
  <c r="D3152" i="496"/>
  <c r="C3152" i="496"/>
  <c r="BE3151" i="496"/>
  <c r="BC3151" i="496"/>
  <c r="BA3151" i="496"/>
  <c r="I3151" i="496"/>
  <c r="H3151" i="496"/>
  <c r="E3151" i="496"/>
  <c r="D3151" i="496"/>
  <c r="C3151" i="496"/>
  <c r="BE3150" i="496"/>
  <c r="BC3150" i="496"/>
  <c r="BA3150" i="496"/>
  <c r="I3150" i="496"/>
  <c r="H3150" i="496"/>
  <c r="E3150" i="496"/>
  <c r="D3150" i="496"/>
  <c r="C3150" i="496"/>
  <c r="BE3149" i="496"/>
  <c r="BC3149" i="496"/>
  <c r="BA3149" i="496"/>
  <c r="I3149" i="496"/>
  <c r="H3149" i="496"/>
  <c r="E3149" i="496"/>
  <c r="D3149" i="496"/>
  <c r="C3149" i="496"/>
  <c r="BE3148" i="496"/>
  <c r="BC3148" i="496"/>
  <c r="BA3148" i="496"/>
  <c r="I3148" i="496"/>
  <c r="H3148" i="496"/>
  <c r="E3148" i="496"/>
  <c r="D3148" i="496"/>
  <c r="C3148" i="496"/>
  <c r="BE3147" i="496"/>
  <c r="BC3147" i="496"/>
  <c r="BA3147" i="496"/>
  <c r="I3147" i="496"/>
  <c r="H3147" i="496"/>
  <c r="E3147" i="496"/>
  <c r="D3147" i="496"/>
  <c r="C3147" i="496"/>
  <c r="BE3146" i="496"/>
  <c r="BC3146" i="496"/>
  <c r="BA3146" i="496"/>
  <c r="I3146" i="496"/>
  <c r="H3146" i="496"/>
  <c r="E3146" i="496"/>
  <c r="D3146" i="496"/>
  <c r="C3146" i="496"/>
  <c r="BE3145" i="496"/>
  <c r="BC3145" i="496"/>
  <c r="BA3145" i="496"/>
  <c r="I3145" i="496"/>
  <c r="H3145" i="496"/>
  <c r="E3145" i="496"/>
  <c r="D3145" i="496"/>
  <c r="C3145" i="496"/>
  <c r="BE3144" i="496"/>
  <c r="BC3144" i="496"/>
  <c r="BA3144" i="496"/>
  <c r="I3144" i="496"/>
  <c r="H3144" i="496"/>
  <c r="E3144" i="496"/>
  <c r="D3144" i="496"/>
  <c r="C3144" i="496"/>
  <c r="BE3143" i="496"/>
  <c r="BC3143" i="496"/>
  <c r="BA3143" i="496"/>
  <c r="I3143" i="496"/>
  <c r="H3143" i="496"/>
  <c r="E3143" i="496"/>
  <c r="D3143" i="496"/>
  <c r="C3143" i="496"/>
  <c r="BE3142" i="496"/>
  <c r="BC3142" i="496"/>
  <c r="BA3142" i="496"/>
  <c r="I3142" i="496"/>
  <c r="H3142" i="496"/>
  <c r="E3142" i="496"/>
  <c r="D3142" i="496"/>
  <c r="C3142" i="496"/>
  <c r="BE3141" i="496"/>
  <c r="BC3141" i="496"/>
  <c r="BA3141" i="496"/>
  <c r="I3141" i="496"/>
  <c r="H3141" i="496"/>
  <c r="E3141" i="496"/>
  <c r="D3141" i="496"/>
  <c r="C3141" i="496"/>
  <c r="BE3140" i="496"/>
  <c r="BC3140" i="496"/>
  <c r="BA3140" i="496"/>
  <c r="I3140" i="496"/>
  <c r="H3140" i="496"/>
  <c r="E3140" i="496"/>
  <c r="D3140" i="496"/>
  <c r="C3140" i="496"/>
  <c r="BE3139" i="496"/>
  <c r="BC3139" i="496"/>
  <c r="BA3139" i="496"/>
  <c r="I3139" i="496"/>
  <c r="H3139" i="496"/>
  <c r="E3139" i="496"/>
  <c r="D3139" i="496"/>
  <c r="C3139" i="496"/>
  <c r="BE3138" i="496"/>
  <c r="BC3138" i="496"/>
  <c r="BA3138" i="496"/>
  <c r="I3138" i="496"/>
  <c r="H3138" i="496"/>
  <c r="E3138" i="496"/>
  <c r="D3138" i="496"/>
  <c r="C3138" i="496"/>
  <c r="BE3137" i="496"/>
  <c r="BC3137" i="496"/>
  <c r="BA3137" i="496"/>
  <c r="I3137" i="496"/>
  <c r="H3137" i="496"/>
  <c r="E3137" i="496"/>
  <c r="D3137" i="496"/>
  <c r="C3137" i="496"/>
  <c r="BE3136" i="496"/>
  <c r="BC3136" i="496"/>
  <c r="BA3136" i="496"/>
  <c r="I3136" i="496"/>
  <c r="H3136" i="496"/>
  <c r="E3136" i="496"/>
  <c r="D3136" i="496"/>
  <c r="C3136" i="496"/>
  <c r="BE3135" i="496"/>
  <c r="BC3135" i="496"/>
  <c r="BA3135" i="496"/>
  <c r="I3135" i="496"/>
  <c r="H3135" i="496"/>
  <c r="E3135" i="496"/>
  <c r="D3135" i="496"/>
  <c r="C3135" i="496"/>
  <c r="BE3134" i="496"/>
  <c r="BC3134" i="496"/>
  <c r="BA3134" i="496"/>
  <c r="I3134" i="496"/>
  <c r="H3134" i="496"/>
  <c r="E3134" i="496"/>
  <c r="D3134" i="496"/>
  <c r="C3134" i="496"/>
  <c r="BE3133" i="496"/>
  <c r="BC3133" i="496"/>
  <c r="BA3133" i="496"/>
  <c r="I3133" i="496"/>
  <c r="H3133" i="496"/>
  <c r="E3133" i="496"/>
  <c r="D3133" i="496"/>
  <c r="C3133" i="496"/>
  <c r="BE3132" i="496"/>
  <c r="BC3132" i="496"/>
  <c r="BA3132" i="496"/>
  <c r="I3132" i="496"/>
  <c r="H3132" i="496"/>
  <c r="E3132" i="496"/>
  <c r="D3132" i="496"/>
  <c r="C3132" i="496"/>
  <c r="BE3131" i="496"/>
  <c r="BC3131" i="496"/>
  <c r="BA3131" i="496"/>
  <c r="I3131" i="496"/>
  <c r="H3131" i="496"/>
  <c r="E3131" i="496"/>
  <c r="D3131" i="496"/>
  <c r="C3131" i="496"/>
  <c r="BE3130" i="496"/>
  <c r="BC3130" i="496"/>
  <c r="BA3130" i="496"/>
  <c r="I3130" i="496"/>
  <c r="H3130" i="496"/>
  <c r="E3130" i="496"/>
  <c r="D3130" i="496"/>
  <c r="C3130" i="496"/>
  <c r="BE3129" i="496"/>
  <c r="BC3129" i="496"/>
  <c r="BA3129" i="496"/>
  <c r="I3129" i="496"/>
  <c r="H3129" i="496"/>
  <c r="E3129" i="496"/>
  <c r="D3129" i="496"/>
  <c r="C3129" i="496"/>
  <c r="BE3128" i="496"/>
  <c r="BC3128" i="496"/>
  <c r="I3128" i="496"/>
  <c r="H3128" i="496"/>
  <c r="E3128" i="496"/>
  <c r="D3128" i="496"/>
  <c r="C3128" i="496"/>
  <c r="BE3127" i="496"/>
  <c r="BC3127" i="496"/>
  <c r="I3127" i="496"/>
  <c r="H3127" i="496"/>
  <c r="E3127" i="496"/>
  <c r="D3127" i="496"/>
  <c r="C3127" i="496"/>
  <c r="BE3126" i="496"/>
  <c r="BC3126" i="496"/>
  <c r="I3126" i="496"/>
  <c r="H3126" i="496"/>
  <c r="E3126" i="496"/>
  <c r="D3126" i="496"/>
  <c r="C3126" i="496"/>
  <c r="BE3125" i="496"/>
  <c r="BC3125" i="496"/>
  <c r="I3125" i="496"/>
  <c r="H3125" i="496"/>
  <c r="E3125" i="496"/>
  <c r="D3125" i="496"/>
  <c r="C3125" i="496"/>
  <c r="BE3124" i="496"/>
  <c r="BC3124" i="496"/>
  <c r="I3124" i="496"/>
  <c r="H3124" i="496"/>
  <c r="E3124" i="496"/>
  <c r="D3124" i="496"/>
  <c r="C3124" i="496"/>
  <c r="BE3123" i="496"/>
  <c r="BC3123" i="496"/>
  <c r="I3123" i="496"/>
  <c r="H3123" i="496"/>
  <c r="E3123" i="496"/>
  <c r="D3123" i="496"/>
  <c r="C3123" i="496"/>
  <c r="BE3122" i="496"/>
  <c r="BC3122" i="496"/>
  <c r="I3122" i="496"/>
  <c r="H3122" i="496"/>
  <c r="E3122" i="496"/>
  <c r="D3122" i="496"/>
  <c r="C3122" i="496"/>
  <c r="BE3121" i="496"/>
  <c r="BC3121" i="496"/>
  <c r="I3121" i="496"/>
  <c r="H3121" i="496"/>
  <c r="E3121" i="496"/>
  <c r="D3121" i="496"/>
  <c r="C3121" i="496"/>
  <c r="BE3120" i="496"/>
  <c r="BC3120" i="496"/>
  <c r="I3120" i="496"/>
  <c r="H3120" i="496"/>
  <c r="E3120" i="496"/>
  <c r="D3120" i="496"/>
  <c r="C3120" i="496"/>
  <c r="BE3119" i="496"/>
  <c r="BC3119" i="496"/>
  <c r="I3119" i="496"/>
  <c r="H3119" i="496"/>
  <c r="E3119" i="496"/>
  <c r="D3119" i="496"/>
  <c r="C3119" i="496"/>
  <c r="BE3118" i="496"/>
  <c r="BC3118" i="496"/>
  <c r="I3118" i="496"/>
  <c r="H3118" i="496"/>
  <c r="E3118" i="496"/>
  <c r="D3118" i="496"/>
  <c r="C3118" i="496"/>
  <c r="BE3117" i="496"/>
  <c r="BC3117" i="496"/>
  <c r="I3117" i="496"/>
  <c r="H3117" i="496"/>
  <c r="E3117" i="496"/>
  <c r="D3117" i="496"/>
  <c r="C3117" i="496"/>
  <c r="BE3116" i="496"/>
  <c r="BC3116" i="496"/>
  <c r="I3116" i="496"/>
  <c r="H3116" i="496"/>
  <c r="E3116" i="496"/>
  <c r="D3116" i="496"/>
  <c r="C3116" i="496"/>
  <c r="BE3115" i="496"/>
  <c r="BC3115" i="496"/>
  <c r="I3115" i="496"/>
  <c r="H3115" i="496"/>
  <c r="E3115" i="496"/>
  <c r="D3115" i="496"/>
  <c r="C3115" i="496"/>
  <c r="BE3114" i="496"/>
  <c r="BC3114" i="496"/>
  <c r="I3114" i="496"/>
  <c r="H3114" i="496"/>
  <c r="E3114" i="496"/>
  <c r="D3114" i="496"/>
  <c r="C3114" i="496"/>
  <c r="BE3113" i="496"/>
  <c r="BC3113" i="496"/>
  <c r="I3113" i="496"/>
  <c r="H3113" i="496"/>
  <c r="E3113" i="496"/>
  <c r="D3113" i="496"/>
  <c r="C3113" i="496"/>
  <c r="BE3112" i="496"/>
  <c r="BC3112" i="496"/>
  <c r="I3112" i="496"/>
  <c r="H3112" i="496"/>
  <c r="E3112" i="496"/>
  <c r="D3112" i="496"/>
  <c r="C3112" i="496"/>
  <c r="BE3111" i="496"/>
  <c r="BC3111" i="496"/>
  <c r="I3111" i="496"/>
  <c r="H3111" i="496"/>
  <c r="E3111" i="496"/>
  <c r="D3111" i="496"/>
  <c r="C3111" i="496"/>
  <c r="BE3110" i="496"/>
  <c r="BC3110" i="496"/>
  <c r="I3110" i="496"/>
  <c r="H3110" i="496"/>
  <c r="E3110" i="496"/>
  <c r="D3110" i="496"/>
  <c r="C3110" i="496"/>
  <c r="BE3109" i="496"/>
  <c r="BC3109" i="496"/>
  <c r="I3109" i="496"/>
  <c r="H3109" i="496"/>
  <c r="E3109" i="496"/>
  <c r="D3109" i="496"/>
  <c r="C3109" i="496"/>
  <c r="BE3108" i="496"/>
  <c r="BC3108" i="496"/>
  <c r="I3108" i="496"/>
  <c r="H3108" i="496"/>
  <c r="E3108" i="496"/>
  <c r="D3108" i="496"/>
  <c r="C3108" i="496"/>
  <c r="BE3107" i="496"/>
  <c r="BC3107" i="496"/>
  <c r="I3107" i="496"/>
  <c r="H3107" i="496"/>
  <c r="E3107" i="496"/>
  <c r="D3107" i="496"/>
  <c r="C3107" i="496"/>
  <c r="BE3106" i="496"/>
  <c r="BC3106" i="496"/>
  <c r="I3106" i="496"/>
  <c r="H3106" i="496"/>
  <c r="E3106" i="496"/>
  <c r="D3106" i="496"/>
  <c r="C3106" i="496"/>
  <c r="BE3105" i="496"/>
  <c r="BC3105" i="496"/>
  <c r="I3105" i="496"/>
  <c r="H3105" i="496"/>
  <c r="E3105" i="496"/>
  <c r="D3105" i="496"/>
  <c r="C3105" i="496"/>
  <c r="BE3104" i="496"/>
  <c r="BC3104" i="496"/>
  <c r="I3104" i="496"/>
  <c r="H3104" i="496"/>
  <c r="E3104" i="496"/>
  <c r="D3104" i="496"/>
  <c r="C3104" i="496"/>
  <c r="BE3103" i="496"/>
  <c r="BC3103" i="496"/>
  <c r="I3103" i="496"/>
  <c r="H3103" i="496"/>
  <c r="E3103" i="496"/>
  <c r="D3103" i="496"/>
  <c r="C3103" i="496"/>
  <c r="BE3102" i="496"/>
  <c r="BC3102" i="496"/>
  <c r="I3102" i="496"/>
  <c r="H3102" i="496"/>
  <c r="E3102" i="496"/>
  <c r="D3102" i="496"/>
  <c r="C3102" i="496"/>
  <c r="BE3101" i="496"/>
  <c r="BC3101" i="496"/>
  <c r="I3101" i="496"/>
  <c r="H3101" i="496"/>
  <c r="E3101" i="496"/>
  <c r="D3101" i="496"/>
  <c r="C3101" i="496"/>
  <c r="BE3100" i="496"/>
  <c r="BC3100" i="496"/>
  <c r="I3100" i="496"/>
  <c r="H3100" i="496"/>
  <c r="E3100" i="496"/>
  <c r="D3100" i="496"/>
  <c r="C3100" i="496"/>
  <c r="BE3099" i="496"/>
  <c r="BC3099" i="496"/>
  <c r="I3099" i="496"/>
  <c r="H3099" i="496"/>
  <c r="E3099" i="496"/>
  <c r="D3099" i="496"/>
  <c r="C3099" i="496"/>
  <c r="BE3098" i="496"/>
  <c r="BC3098" i="496"/>
  <c r="I3098" i="496"/>
  <c r="H3098" i="496"/>
  <c r="E3098" i="496"/>
  <c r="D3098" i="496"/>
  <c r="C3098" i="496"/>
  <c r="BE3097" i="496"/>
  <c r="BC3097" i="496"/>
  <c r="I3097" i="496"/>
  <c r="H3097" i="496"/>
  <c r="E3097" i="496"/>
  <c r="D3097" i="496"/>
  <c r="C3097" i="496"/>
  <c r="BE3096" i="496"/>
  <c r="BC3096" i="496"/>
  <c r="I3096" i="496"/>
  <c r="H3096" i="496"/>
  <c r="E3096" i="496"/>
  <c r="D3096" i="496"/>
  <c r="C3096" i="496"/>
  <c r="BE3095" i="496"/>
  <c r="BC3095" i="496"/>
  <c r="I3095" i="496"/>
  <c r="H3095" i="496"/>
  <c r="E3095" i="496"/>
  <c r="D3095" i="496"/>
  <c r="C3095" i="496"/>
  <c r="BE3094" i="496"/>
  <c r="BC3094" i="496"/>
  <c r="I3094" i="496"/>
  <c r="H3094" i="496"/>
  <c r="E3094" i="496"/>
  <c r="D3094" i="496"/>
  <c r="C3094" i="496"/>
  <c r="BE3093" i="496"/>
  <c r="BC3093" i="496"/>
  <c r="I3093" i="496"/>
  <c r="H3093" i="496"/>
  <c r="E3093" i="496"/>
  <c r="D3093" i="496"/>
  <c r="C3093" i="496"/>
  <c r="BE3092" i="496"/>
  <c r="BC3092" i="496"/>
  <c r="I3092" i="496"/>
  <c r="H3092" i="496"/>
  <c r="E3092" i="496"/>
  <c r="D3092" i="496"/>
  <c r="C3092" i="496"/>
  <c r="BE3091" i="496"/>
  <c r="BC3091" i="496"/>
  <c r="I3091" i="496"/>
  <c r="H3091" i="496"/>
  <c r="E3091" i="496"/>
  <c r="D3091" i="496"/>
  <c r="C3091" i="496"/>
  <c r="BE3090" i="496"/>
  <c r="BC3090" i="496"/>
  <c r="I3090" i="496"/>
  <c r="H3090" i="496"/>
  <c r="E3090" i="496"/>
  <c r="D3090" i="496"/>
  <c r="C3090" i="496"/>
  <c r="BE3089" i="496"/>
  <c r="BC3089" i="496"/>
  <c r="I3089" i="496"/>
  <c r="H3089" i="496"/>
  <c r="E3089" i="496"/>
  <c r="D3089" i="496"/>
  <c r="C3089" i="496"/>
  <c r="BE3088" i="496"/>
  <c r="BC3088" i="496"/>
  <c r="I3088" i="496"/>
  <c r="H3088" i="496"/>
  <c r="E3088" i="496"/>
  <c r="D3088" i="496"/>
  <c r="C3088" i="496"/>
  <c r="BE3087" i="496"/>
  <c r="BC3087" i="496"/>
  <c r="I3087" i="496"/>
  <c r="H3087" i="496"/>
  <c r="E3087" i="496"/>
  <c r="D3087" i="496"/>
  <c r="C3087" i="496"/>
  <c r="BE3086" i="496"/>
  <c r="BC3086" i="496"/>
  <c r="I3086" i="496"/>
  <c r="H3086" i="496"/>
  <c r="E3086" i="496"/>
  <c r="D3086" i="496"/>
  <c r="C3086" i="496"/>
  <c r="BE3085" i="496"/>
  <c r="BC3085" i="496"/>
  <c r="I3085" i="496"/>
  <c r="H3085" i="496"/>
  <c r="E3085" i="496"/>
  <c r="D3085" i="496"/>
  <c r="C3085" i="496"/>
  <c r="BE3084" i="496"/>
  <c r="BC3084" i="496"/>
  <c r="I3084" i="496"/>
  <c r="H3084" i="496"/>
  <c r="E3084" i="496"/>
  <c r="D3084" i="496"/>
  <c r="C3084" i="496"/>
  <c r="BE3083" i="496"/>
  <c r="BC3083" i="496"/>
  <c r="I3083" i="496"/>
  <c r="H3083" i="496"/>
  <c r="E3083" i="496"/>
  <c r="D3083" i="496"/>
  <c r="C3083" i="496"/>
  <c r="BE3082" i="496"/>
  <c r="BC3082" i="496"/>
  <c r="I3082" i="496"/>
  <c r="H3082" i="496"/>
  <c r="E3082" i="496"/>
  <c r="D3082" i="496"/>
  <c r="C3082" i="496"/>
  <c r="BE3081" i="496"/>
  <c r="BC3081" i="496"/>
  <c r="I3081" i="496"/>
  <c r="H3081" i="496"/>
  <c r="E3081" i="496"/>
  <c r="D3081" i="496"/>
  <c r="C3081" i="496"/>
  <c r="BE3080" i="496"/>
  <c r="BC3080" i="496"/>
  <c r="I3080" i="496"/>
  <c r="H3080" i="496"/>
  <c r="E3080" i="496"/>
  <c r="D3080" i="496"/>
  <c r="C3080" i="496"/>
  <c r="BE3079" i="496"/>
  <c r="BC3079" i="496"/>
  <c r="I3079" i="496"/>
  <c r="H3079" i="496"/>
  <c r="E3079" i="496"/>
  <c r="D3079" i="496"/>
  <c r="C3079" i="496"/>
  <c r="BE3078" i="496"/>
  <c r="BC3078" i="496"/>
  <c r="I3078" i="496"/>
  <c r="H3078" i="496"/>
  <c r="E3078" i="496"/>
  <c r="D3078" i="496"/>
  <c r="C3078" i="496"/>
  <c r="BE3077" i="496"/>
  <c r="BC3077" i="496"/>
  <c r="I3077" i="496"/>
  <c r="H3077" i="496"/>
  <c r="E3077" i="496"/>
  <c r="D3077" i="496"/>
  <c r="C3077" i="496"/>
  <c r="BE3076" i="496"/>
  <c r="BC3076" i="496"/>
  <c r="I3076" i="496"/>
  <c r="H3076" i="496"/>
  <c r="E3076" i="496"/>
  <c r="D3076" i="496"/>
  <c r="C3076" i="496"/>
  <c r="BE3075" i="496"/>
  <c r="BC3075" i="496"/>
  <c r="I3075" i="496"/>
  <c r="H3075" i="496"/>
  <c r="E3075" i="496"/>
  <c r="D3075" i="496"/>
  <c r="C3075" i="496"/>
  <c r="BE3074" i="496"/>
  <c r="BC3074" i="496"/>
  <c r="I3074" i="496"/>
  <c r="H3074" i="496"/>
  <c r="E3074" i="496"/>
  <c r="D3074" i="496"/>
  <c r="C3074" i="496"/>
  <c r="BE3073" i="496"/>
  <c r="BC3073" i="496"/>
  <c r="I3073" i="496"/>
  <c r="H3073" i="496"/>
  <c r="E3073" i="496"/>
  <c r="D3073" i="496"/>
  <c r="C3073" i="496"/>
  <c r="BE3072" i="496"/>
  <c r="BC3072" i="496"/>
  <c r="I3072" i="496"/>
  <c r="H3072" i="496"/>
  <c r="E3072" i="496"/>
  <c r="D3072" i="496"/>
  <c r="C3072" i="496"/>
  <c r="BE3071" i="496"/>
  <c r="BC3071" i="496"/>
  <c r="I3071" i="496"/>
  <c r="H3071" i="496"/>
  <c r="E3071" i="496"/>
  <c r="D3071" i="496"/>
  <c r="C3071" i="496"/>
  <c r="BE3070" i="496"/>
  <c r="BC3070" i="496"/>
  <c r="I3070" i="496"/>
  <c r="H3070" i="496"/>
  <c r="E3070" i="496"/>
  <c r="D3070" i="496"/>
  <c r="C3070" i="496"/>
  <c r="BE3069" i="496"/>
  <c r="BC3069" i="496"/>
  <c r="I3069" i="496"/>
  <c r="H3069" i="496"/>
  <c r="E3069" i="496"/>
  <c r="D3069" i="496"/>
  <c r="C3069" i="496"/>
  <c r="BE3068" i="496"/>
  <c r="BC3068" i="496"/>
  <c r="I3068" i="496"/>
  <c r="H3068" i="496"/>
  <c r="E3068" i="496"/>
  <c r="D3068" i="496"/>
  <c r="C3068" i="496"/>
  <c r="BE3067" i="496"/>
  <c r="BC3067" i="496"/>
  <c r="I3067" i="496"/>
  <c r="H3067" i="496"/>
  <c r="E3067" i="496"/>
  <c r="D3067" i="496"/>
  <c r="C3067" i="496"/>
  <c r="BE3066" i="496"/>
  <c r="BC3066" i="496"/>
  <c r="I3066" i="496"/>
  <c r="H3066" i="496"/>
  <c r="E3066" i="496"/>
  <c r="D3066" i="496"/>
  <c r="C3066" i="496"/>
  <c r="BE3065" i="496"/>
  <c r="BC3065" i="496"/>
  <c r="I3065" i="496"/>
  <c r="H3065" i="496"/>
  <c r="E3065" i="496"/>
  <c r="D3065" i="496"/>
  <c r="C3065" i="496"/>
  <c r="BE3064" i="496"/>
  <c r="BC3064" i="496"/>
  <c r="I3064" i="496"/>
  <c r="H3064" i="496"/>
  <c r="E3064" i="496"/>
  <c r="D3064" i="496"/>
  <c r="C3064" i="496"/>
  <c r="BE3063" i="496"/>
  <c r="BC3063" i="496"/>
  <c r="I3063" i="496"/>
  <c r="H3063" i="496"/>
  <c r="E3063" i="496"/>
  <c r="D3063" i="496"/>
  <c r="C3063" i="496"/>
  <c r="BE3062" i="496"/>
  <c r="BC3062" i="496"/>
  <c r="I3062" i="496"/>
  <c r="H3062" i="496"/>
  <c r="E3062" i="496"/>
  <c r="D3062" i="496"/>
  <c r="C3062" i="496"/>
  <c r="BE3061" i="496"/>
  <c r="BC3061" i="496"/>
  <c r="I3061" i="496"/>
  <c r="H3061" i="496"/>
  <c r="E3061" i="496"/>
  <c r="D3061" i="496"/>
  <c r="C3061" i="496"/>
  <c r="BE3060" i="496"/>
  <c r="BC3060" i="496"/>
  <c r="I3060" i="496"/>
  <c r="H3060" i="496"/>
  <c r="E3060" i="496"/>
  <c r="D3060" i="496"/>
  <c r="C3060" i="496"/>
  <c r="BE3059" i="496"/>
  <c r="BC3059" i="496"/>
  <c r="I3059" i="496"/>
  <c r="H3059" i="496"/>
  <c r="E3059" i="496"/>
  <c r="D3059" i="496"/>
  <c r="C3059" i="496"/>
  <c r="BE3058" i="496"/>
  <c r="BC3058" i="496"/>
  <c r="I3058" i="496"/>
  <c r="H3058" i="496"/>
  <c r="E3058" i="496"/>
  <c r="D3058" i="496"/>
  <c r="C3058" i="496"/>
  <c r="BE3057" i="496"/>
  <c r="BC3057" i="496"/>
  <c r="I3057" i="496"/>
  <c r="H3057" i="496"/>
  <c r="E3057" i="496"/>
  <c r="D3057" i="496"/>
  <c r="C3057" i="496"/>
  <c r="BE3056" i="496"/>
  <c r="BC3056" i="496"/>
  <c r="I3056" i="496"/>
  <c r="H3056" i="496"/>
  <c r="E3056" i="496"/>
  <c r="D3056" i="496"/>
  <c r="C3056" i="496"/>
  <c r="BE3055" i="496"/>
  <c r="BC3055" i="496"/>
  <c r="I3055" i="496"/>
  <c r="H3055" i="496"/>
  <c r="E3055" i="496"/>
  <c r="D3055" i="496"/>
  <c r="C3055" i="496"/>
  <c r="BE3054" i="496"/>
  <c r="BC3054" i="496"/>
  <c r="I3054" i="496"/>
  <c r="H3054" i="496"/>
  <c r="E3054" i="496"/>
  <c r="D3054" i="496"/>
  <c r="C3054" i="496"/>
  <c r="BE3053" i="496"/>
  <c r="BC3053" i="496"/>
  <c r="I3053" i="496"/>
  <c r="H3053" i="496"/>
  <c r="E3053" i="496"/>
  <c r="D3053" i="496"/>
  <c r="C3053" i="496"/>
  <c r="BE3052" i="496"/>
  <c r="BC3052" i="496"/>
  <c r="I3052" i="496"/>
  <c r="H3052" i="496"/>
  <c r="E3052" i="496"/>
  <c r="D3052" i="496"/>
  <c r="C3052" i="496"/>
  <c r="BE3051" i="496"/>
  <c r="BC3051" i="496"/>
  <c r="I3051" i="496"/>
  <c r="H3051" i="496"/>
  <c r="E3051" i="496"/>
  <c r="D3051" i="496"/>
  <c r="C3051" i="496"/>
  <c r="BE3050" i="496"/>
  <c r="BC3050" i="496"/>
  <c r="I3050" i="496"/>
  <c r="H3050" i="496"/>
  <c r="E3050" i="496"/>
  <c r="D3050" i="496"/>
  <c r="C3050" i="496"/>
  <c r="BE3049" i="496"/>
  <c r="BC3049" i="496"/>
  <c r="I3049" i="496"/>
  <c r="H3049" i="496"/>
  <c r="E3049" i="496"/>
  <c r="D3049" i="496"/>
  <c r="C3049" i="496"/>
  <c r="BE3048" i="496"/>
  <c r="BC3048" i="496"/>
  <c r="I3048" i="496"/>
  <c r="H3048" i="496"/>
  <c r="E3048" i="496"/>
  <c r="D3048" i="496"/>
  <c r="C3048" i="496"/>
  <c r="BE3047" i="496"/>
  <c r="BC3047" i="496"/>
  <c r="I3047" i="496"/>
  <c r="H3047" i="496"/>
  <c r="E3047" i="496"/>
  <c r="D3047" i="496"/>
  <c r="C3047" i="496"/>
  <c r="BE3046" i="496"/>
  <c r="BC3046" i="496"/>
  <c r="I3046" i="496"/>
  <c r="H3046" i="496"/>
  <c r="E3046" i="496"/>
  <c r="D3046" i="496"/>
  <c r="C3046" i="496"/>
  <c r="BE3045" i="496"/>
  <c r="BC3045" i="496"/>
  <c r="I3045" i="496"/>
  <c r="H3045" i="496"/>
  <c r="E3045" i="496"/>
  <c r="D3045" i="496"/>
  <c r="C3045" i="496"/>
  <c r="BE3044" i="496"/>
  <c r="BC3044" i="496"/>
  <c r="I3044" i="496"/>
  <c r="H3044" i="496"/>
  <c r="E3044" i="496"/>
  <c r="D3044" i="496"/>
  <c r="C3044" i="496"/>
  <c r="BE3043" i="496"/>
  <c r="BC3043" i="496"/>
  <c r="I3043" i="496"/>
  <c r="H3043" i="496"/>
  <c r="E3043" i="496"/>
  <c r="D3043" i="496"/>
  <c r="C3043" i="496"/>
  <c r="BE3042" i="496"/>
  <c r="BC3042" i="496"/>
  <c r="I3042" i="496"/>
  <c r="H3042" i="496"/>
  <c r="E3042" i="496"/>
  <c r="D3042" i="496"/>
  <c r="C3042" i="496"/>
  <c r="BE3041" i="496"/>
  <c r="BC3041" i="496"/>
  <c r="I3041" i="496"/>
  <c r="H3041" i="496"/>
  <c r="E3041" i="496"/>
  <c r="D3041" i="496"/>
  <c r="C3041" i="496"/>
  <c r="BE3040" i="496"/>
  <c r="BC3040" i="496"/>
  <c r="I3040" i="496"/>
  <c r="H3040" i="496"/>
  <c r="E3040" i="496"/>
  <c r="D3040" i="496"/>
  <c r="C3040" i="496"/>
  <c r="BE3039" i="496"/>
  <c r="BC3039" i="496"/>
  <c r="I3039" i="496"/>
  <c r="H3039" i="496"/>
  <c r="E3039" i="496"/>
  <c r="D3039" i="496"/>
  <c r="C3039" i="496"/>
  <c r="BE3038" i="496"/>
  <c r="BC3038" i="496"/>
  <c r="I3038" i="496"/>
  <c r="H3038" i="496"/>
  <c r="E3038" i="496"/>
  <c r="D3038" i="496"/>
  <c r="C3038" i="496"/>
  <c r="BE3037" i="496"/>
  <c r="BC3037" i="496"/>
  <c r="I3037" i="496"/>
  <c r="H3037" i="496"/>
  <c r="E3037" i="496"/>
  <c r="D3037" i="496"/>
  <c r="C3037" i="496"/>
  <c r="BE3036" i="496"/>
  <c r="BC3036" i="496"/>
  <c r="I3036" i="496"/>
  <c r="H3036" i="496"/>
  <c r="E3036" i="496"/>
  <c r="D3036" i="496"/>
  <c r="C3036" i="496"/>
  <c r="BE3035" i="496"/>
  <c r="BC3035" i="496"/>
  <c r="I3035" i="496"/>
  <c r="H3035" i="496"/>
  <c r="E3035" i="496"/>
  <c r="D3035" i="496"/>
  <c r="C3035" i="496"/>
  <c r="BE3034" i="496"/>
  <c r="BC3034" i="496"/>
  <c r="I3034" i="496"/>
  <c r="H3034" i="496"/>
  <c r="E3034" i="496"/>
  <c r="D3034" i="496"/>
  <c r="C3034" i="496"/>
  <c r="BE3033" i="496"/>
  <c r="BC3033" i="496"/>
  <c r="I3033" i="496"/>
  <c r="H3033" i="496"/>
  <c r="E3033" i="496"/>
  <c r="D3033" i="496"/>
  <c r="C3033" i="496"/>
  <c r="BE3032" i="496"/>
  <c r="BC3032" i="496"/>
  <c r="I3032" i="496"/>
  <c r="H3032" i="496"/>
  <c r="E3032" i="496"/>
  <c r="D3032" i="496"/>
  <c r="C3032" i="496"/>
  <c r="BE3031" i="496"/>
  <c r="BC3031" i="496"/>
  <c r="I3031" i="496"/>
  <c r="H3031" i="496"/>
  <c r="E3031" i="496"/>
  <c r="D3031" i="496"/>
  <c r="C3031" i="496"/>
  <c r="BE3030" i="496"/>
  <c r="BC3030" i="496"/>
  <c r="I3030" i="496"/>
  <c r="H3030" i="496"/>
  <c r="E3030" i="496"/>
  <c r="D3030" i="496"/>
  <c r="C3030" i="496"/>
  <c r="BE3029" i="496"/>
  <c r="BC3029" i="496"/>
  <c r="I3029" i="496"/>
  <c r="H3029" i="496"/>
  <c r="E3029" i="496"/>
  <c r="D3029" i="496"/>
  <c r="C3029" i="496"/>
  <c r="BE3028" i="496"/>
  <c r="BC3028" i="496"/>
  <c r="I3028" i="496"/>
  <c r="H3028" i="496"/>
  <c r="E3028" i="496"/>
  <c r="D3028" i="496"/>
  <c r="C3028" i="496"/>
  <c r="BE3027" i="496"/>
  <c r="BC3027" i="496"/>
  <c r="I3027" i="496"/>
  <c r="H3027" i="496"/>
  <c r="E3027" i="496"/>
  <c r="D3027" i="496"/>
  <c r="C3027" i="496"/>
  <c r="BE3026" i="496"/>
  <c r="BC3026" i="496"/>
  <c r="I3026" i="496"/>
  <c r="H3026" i="496"/>
  <c r="E3026" i="496"/>
  <c r="D3026" i="496"/>
  <c r="C3026" i="496"/>
  <c r="BE3025" i="496"/>
  <c r="BC3025" i="496"/>
  <c r="I3025" i="496"/>
  <c r="H3025" i="496"/>
  <c r="E3025" i="496"/>
  <c r="D3025" i="496"/>
  <c r="C3025" i="496"/>
  <c r="BE3024" i="496"/>
  <c r="BC3024" i="496"/>
  <c r="I3024" i="496"/>
  <c r="H3024" i="496"/>
  <c r="E3024" i="496"/>
  <c r="D3024" i="496"/>
  <c r="C3024" i="496"/>
  <c r="BE3023" i="496"/>
  <c r="BC3023" i="496"/>
  <c r="I3023" i="496"/>
  <c r="H3023" i="496"/>
  <c r="E3023" i="496"/>
  <c r="D3023" i="496"/>
  <c r="C3023" i="496"/>
  <c r="BE3022" i="496"/>
  <c r="BC3022" i="496"/>
  <c r="I3022" i="496"/>
  <c r="H3022" i="496"/>
  <c r="E3022" i="496"/>
  <c r="D3022" i="496"/>
  <c r="C3022" i="496"/>
  <c r="BE3021" i="496"/>
  <c r="BC3021" i="496"/>
  <c r="I3021" i="496"/>
  <c r="H3021" i="496"/>
  <c r="E3021" i="496"/>
  <c r="D3021" i="496"/>
  <c r="C3021" i="496"/>
  <c r="BE3020" i="496"/>
  <c r="BC3020" i="496"/>
  <c r="I3020" i="496"/>
  <c r="H3020" i="496"/>
  <c r="E3020" i="496"/>
  <c r="D3020" i="496"/>
  <c r="C3020" i="496"/>
  <c r="BE3019" i="496"/>
  <c r="BC3019" i="496"/>
  <c r="I3019" i="496"/>
  <c r="H3019" i="496"/>
  <c r="E3019" i="496"/>
  <c r="D3019" i="496"/>
  <c r="C3019" i="496"/>
  <c r="BE3018" i="496"/>
  <c r="BC3018" i="496"/>
  <c r="I3018" i="496"/>
  <c r="H3018" i="496"/>
  <c r="E3018" i="496"/>
  <c r="D3018" i="496"/>
  <c r="C3018" i="496"/>
  <c r="BE3017" i="496"/>
  <c r="BC3017" i="496"/>
  <c r="I3017" i="496"/>
  <c r="H3017" i="496"/>
  <c r="E3017" i="496"/>
  <c r="D3017" i="496"/>
  <c r="C3017" i="496"/>
  <c r="BE3016" i="496"/>
  <c r="BC3016" i="496"/>
  <c r="I3016" i="496"/>
  <c r="H3016" i="496"/>
  <c r="E3016" i="496"/>
  <c r="D3016" i="496"/>
  <c r="C3016" i="496"/>
  <c r="BE3015" i="496"/>
  <c r="BC3015" i="496"/>
  <c r="I3015" i="496"/>
  <c r="H3015" i="496"/>
  <c r="E3015" i="496"/>
  <c r="D3015" i="496"/>
  <c r="C3015" i="496"/>
  <c r="BE3014" i="496"/>
  <c r="BC3014" i="496"/>
  <c r="I3014" i="496"/>
  <c r="H3014" i="496"/>
  <c r="E3014" i="496"/>
  <c r="D3014" i="496"/>
  <c r="C3014" i="496"/>
  <c r="BE3013" i="496"/>
  <c r="BC3013" i="496"/>
  <c r="I3013" i="496"/>
  <c r="H3013" i="496"/>
  <c r="E3013" i="496"/>
  <c r="D3013" i="496"/>
  <c r="C3013" i="496"/>
  <c r="BE3012" i="496"/>
  <c r="BC3012" i="496"/>
  <c r="I3012" i="496"/>
  <c r="H3012" i="496"/>
  <c r="E3012" i="496"/>
  <c r="D3012" i="496"/>
  <c r="C3012" i="496"/>
  <c r="BE3011" i="496"/>
  <c r="BC3011" i="496"/>
  <c r="I3011" i="496"/>
  <c r="H3011" i="496"/>
  <c r="E3011" i="496"/>
  <c r="D3011" i="496"/>
  <c r="C3011" i="496"/>
  <c r="BE3010" i="496"/>
  <c r="BC3010" i="496"/>
  <c r="I3010" i="496"/>
  <c r="H3010" i="496"/>
  <c r="E3010" i="496"/>
  <c r="D3010" i="496"/>
  <c r="C3010" i="496"/>
  <c r="BE3009" i="496"/>
  <c r="BC3009" i="496"/>
  <c r="I3009" i="496"/>
  <c r="H3009" i="496"/>
  <c r="E3009" i="496"/>
  <c r="D3009" i="496"/>
  <c r="C3009" i="496"/>
  <c r="BE3008" i="496"/>
  <c r="BC3008" i="496"/>
  <c r="I3008" i="496"/>
  <c r="H3008" i="496"/>
  <c r="E3008" i="496"/>
  <c r="D3008" i="496"/>
  <c r="C3008" i="496"/>
  <c r="BE3007" i="496"/>
  <c r="BC3007" i="496"/>
  <c r="I3007" i="496"/>
  <c r="H3007" i="496"/>
  <c r="E3007" i="496"/>
  <c r="D3007" i="496"/>
  <c r="C3007" i="496"/>
  <c r="BE3006" i="496"/>
  <c r="BC3006" i="496"/>
  <c r="I3006" i="496"/>
  <c r="H3006" i="496"/>
  <c r="E3006" i="496"/>
  <c r="D3006" i="496"/>
  <c r="C3006" i="496"/>
  <c r="BE3005" i="496"/>
  <c r="BC3005" i="496"/>
  <c r="I3005" i="496"/>
  <c r="H3005" i="496"/>
  <c r="E3005" i="496"/>
  <c r="D3005" i="496"/>
  <c r="C3005" i="496"/>
  <c r="BE3004" i="496"/>
  <c r="BC3004" i="496"/>
  <c r="I3004" i="496"/>
  <c r="H3004" i="496"/>
  <c r="E3004" i="496"/>
  <c r="D3004" i="496"/>
  <c r="C3004" i="496"/>
  <c r="BE3003" i="496"/>
  <c r="BC3003" i="496"/>
  <c r="I3003" i="496"/>
  <c r="H3003" i="496"/>
  <c r="E3003" i="496"/>
  <c r="D3003" i="496"/>
  <c r="C3003" i="496"/>
  <c r="BE3002" i="496"/>
  <c r="BC3002" i="496"/>
  <c r="I3002" i="496"/>
  <c r="H3002" i="496"/>
  <c r="E3002" i="496"/>
  <c r="D3002" i="496"/>
  <c r="C3002" i="496"/>
  <c r="BE3001" i="496"/>
  <c r="BC3001" i="496"/>
  <c r="I3001" i="496"/>
  <c r="H3001" i="496"/>
  <c r="E3001" i="496"/>
  <c r="D3001" i="496"/>
  <c r="C3001" i="496"/>
  <c r="BE3000" i="496"/>
  <c r="BC3000" i="496"/>
  <c r="I3000" i="496"/>
  <c r="H3000" i="496"/>
  <c r="E3000" i="496"/>
  <c r="D3000" i="496"/>
  <c r="C3000" i="496"/>
  <c r="BE2999" i="496"/>
  <c r="BC2999" i="496"/>
  <c r="I2999" i="496"/>
  <c r="H2999" i="496"/>
  <c r="E2999" i="496"/>
  <c r="D2999" i="496"/>
  <c r="C2999" i="496"/>
  <c r="BE2998" i="496"/>
  <c r="BC2998" i="496"/>
  <c r="I2998" i="496"/>
  <c r="H2998" i="496"/>
  <c r="E2998" i="496"/>
  <c r="D2998" i="496"/>
  <c r="C2998" i="496"/>
  <c r="BE2997" i="496"/>
  <c r="BC2997" i="496"/>
  <c r="I2997" i="496"/>
  <c r="H2997" i="496"/>
  <c r="E2997" i="496"/>
  <c r="D2997" i="496"/>
  <c r="C2997" i="496"/>
  <c r="BE2996" i="496"/>
  <c r="BC2996" i="496"/>
  <c r="I2996" i="496"/>
  <c r="H2996" i="496"/>
  <c r="E2996" i="496"/>
  <c r="D2996" i="496"/>
  <c r="C2996" i="496"/>
  <c r="BE2995" i="496"/>
  <c r="BC2995" i="496"/>
  <c r="I2995" i="496"/>
  <c r="H2995" i="496"/>
  <c r="E2995" i="496"/>
  <c r="D2995" i="496"/>
  <c r="C2995" i="496"/>
  <c r="BE2994" i="496"/>
  <c r="BC2994" i="496"/>
  <c r="I2994" i="496"/>
  <c r="H2994" i="496"/>
  <c r="E2994" i="496"/>
  <c r="D2994" i="496"/>
  <c r="C2994" i="496"/>
  <c r="BE2993" i="496"/>
  <c r="BC2993" i="496"/>
  <c r="I2993" i="496"/>
  <c r="H2993" i="496"/>
  <c r="E2993" i="496"/>
  <c r="D2993" i="496"/>
  <c r="C2993" i="496"/>
  <c r="BE2992" i="496"/>
  <c r="BC2992" i="496"/>
  <c r="I2992" i="496"/>
  <c r="H2992" i="496"/>
  <c r="E2992" i="496"/>
  <c r="D2992" i="496"/>
  <c r="C2992" i="496"/>
  <c r="BE2991" i="496"/>
  <c r="BC2991" i="496"/>
  <c r="I2991" i="496"/>
  <c r="H2991" i="496"/>
  <c r="E2991" i="496"/>
  <c r="D2991" i="496"/>
  <c r="C2991" i="496"/>
  <c r="BE2990" i="496"/>
  <c r="BC2990" i="496"/>
  <c r="I2990" i="496"/>
  <c r="H2990" i="496"/>
  <c r="E2990" i="496"/>
  <c r="D2990" i="496"/>
  <c r="C2990" i="496"/>
  <c r="BE2989" i="496"/>
  <c r="BC2989" i="496"/>
  <c r="I2989" i="496"/>
  <c r="H2989" i="496"/>
  <c r="E2989" i="496"/>
  <c r="D2989" i="496"/>
  <c r="C2989" i="496"/>
  <c r="BE2988" i="496"/>
  <c r="BC2988" i="496"/>
  <c r="I2988" i="496"/>
  <c r="H2988" i="496"/>
  <c r="E2988" i="496"/>
  <c r="D2988" i="496"/>
  <c r="C2988" i="496"/>
  <c r="BE2987" i="496"/>
  <c r="BC2987" i="496"/>
  <c r="I2987" i="496"/>
  <c r="H2987" i="496"/>
  <c r="E2987" i="496"/>
  <c r="D2987" i="496"/>
  <c r="C2987" i="496"/>
  <c r="BE2986" i="496"/>
  <c r="BC2986" i="496"/>
  <c r="I2986" i="496"/>
  <c r="H2986" i="496"/>
  <c r="E2986" i="496"/>
  <c r="D2986" i="496"/>
  <c r="C2986" i="496"/>
  <c r="BE2985" i="496"/>
  <c r="BC2985" i="496"/>
  <c r="I2985" i="496"/>
  <c r="H2985" i="496"/>
  <c r="E2985" i="496"/>
  <c r="D2985" i="496"/>
  <c r="C2985" i="496"/>
  <c r="BE2984" i="496"/>
  <c r="BC2984" i="496"/>
  <c r="I2984" i="496"/>
  <c r="H2984" i="496"/>
  <c r="E2984" i="496"/>
  <c r="D2984" i="496"/>
  <c r="C2984" i="496"/>
  <c r="BE2983" i="496"/>
  <c r="BC2983" i="496"/>
  <c r="I2983" i="496"/>
  <c r="H2983" i="496"/>
  <c r="E2983" i="496"/>
  <c r="D2983" i="496"/>
  <c r="C2983" i="496"/>
  <c r="BE2982" i="496"/>
  <c r="BC2982" i="496"/>
  <c r="I2982" i="496"/>
  <c r="H2982" i="496"/>
  <c r="E2982" i="496"/>
  <c r="D2982" i="496"/>
  <c r="C2982" i="496"/>
  <c r="BE2981" i="496"/>
  <c r="BC2981" i="496"/>
  <c r="I2981" i="496"/>
  <c r="H2981" i="496"/>
  <c r="E2981" i="496"/>
  <c r="D2981" i="496"/>
  <c r="C2981" i="496"/>
  <c r="BE2980" i="496"/>
  <c r="BC2980" i="496"/>
  <c r="I2980" i="496"/>
  <c r="H2980" i="496"/>
  <c r="E2980" i="496"/>
  <c r="D2980" i="496"/>
  <c r="C2980" i="496"/>
  <c r="BE2979" i="496"/>
  <c r="BC2979" i="496"/>
  <c r="I2979" i="496"/>
  <c r="H2979" i="496"/>
  <c r="E2979" i="496"/>
  <c r="D2979" i="496"/>
  <c r="C2979" i="496"/>
  <c r="BE2978" i="496"/>
  <c r="I2978" i="496"/>
  <c r="H2978" i="496"/>
  <c r="E2978" i="496"/>
  <c r="D2978" i="496"/>
  <c r="C2978" i="496"/>
  <c r="BE2977" i="496"/>
  <c r="BC2977" i="496"/>
  <c r="I2977" i="496"/>
  <c r="H2977" i="496"/>
  <c r="E2977" i="496"/>
  <c r="D2977" i="496"/>
  <c r="C2977" i="496"/>
  <c r="BE2976" i="496"/>
  <c r="BC2976" i="496"/>
  <c r="I2976" i="496"/>
  <c r="H2976" i="496"/>
  <c r="E2976" i="496"/>
  <c r="D2976" i="496"/>
  <c r="C2976" i="496"/>
  <c r="BE2975" i="496"/>
  <c r="BC2975" i="496"/>
  <c r="I2975" i="496"/>
  <c r="H2975" i="496"/>
  <c r="E2975" i="496"/>
  <c r="D2975" i="496"/>
  <c r="C2975" i="496"/>
  <c r="BE2974" i="496"/>
  <c r="BC2974" i="496"/>
  <c r="I2974" i="496"/>
  <c r="H2974" i="496"/>
  <c r="E2974" i="496"/>
  <c r="D2974" i="496"/>
  <c r="C2974" i="496"/>
  <c r="BE2973" i="496"/>
  <c r="BC2973" i="496"/>
  <c r="I2973" i="496"/>
  <c r="H2973" i="496"/>
  <c r="E2973" i="496"/>
  <c r="D2973" i="496"/>
  <c r="C2973" i="496"/>
  <c r="BE2972" i="496"/>
  <c r="BC2972" i="496"/>
  <c r="I2972" i="496"/>
  <c r="H2972" i="496"/>
  <c r="E2972" i="496"/>
  <c r="D2972" i="496"/>
  <c r="C2972" i="496"/>
  <c r="BE2971" i="496"/>
  <c r="BC2971" i="496"/>
  <c r="I2971" i="496"/>
  <c r="H2971" i="496"/>
  <c r="E2971" i="496"/>
  <c r="D2971" i="496"/>
  <c r="C2971" i="496"/>
  <c r="BE2970" i="496"/>
  <c r="BC2970" i="496"/>
  <c r="I2970" i="496"/>
  <c r="H2970" i="496"/>
  <c r="E2970" i="496"/>
  <c r="D2970" i="496"/>
  <c r="C2970" i="496"/>
  <c r="BE2969" i="496"/>
  <c r="BC2969" i="496"/>
  <c r="I2969" i="496"/>
  <c r="H2969" i="496"/>
  <c r="E2969" i="496"/>
  <c r="D2969" i="496"/>
  <c r="C2969" i="496"/>
  <c r="BE2968" i="496"/>
  <c r="BC2968" i="496"/>
  <c r="I2968" i="496"/>
  <c r="H2968" i="496"/>
  <c r="E2968" i="496"/>
  <c r="D2968" i="496"/>
  <c r="C2968" i="496"/>
  <c r="BE2967" i="496"/>
  <c r="BC2967" i="496"/>
  <c r="I2967" i="496"/>
  <c r="H2967" i="496"/>
  <c r="E2967" i="496"/>
  <c r="D2967" i="496"/>
  <c r="C2967" i="496"/>
  <c r="BE2966" i="496"/>
  <c r="BC2966" i="496"/>
  <c r="I2966" i="496"/>
  <c r="H2966" i="496"/>
  <c r="E2966" i="496"/>
  <c r="D2966" i="496"/>
  <c r="C2966" i="496"/>
  <c r="BE2965" i="496"/>
  <c r="BC2965" i="496"/>
  <c r="I2965" i="496"/>
  <c r="H2965" i="496"/>
  <c r="E2965" i="496"/>
  <c r="D2965" i="496"/>
  <c r="C2965" i="496"/>
  <c r="BE2964" i="496"/>
  <c r="BC2964" i="496"/>
  <c r="I2964" i="496"/>
  <c r="H2964" i="496"/>
  <c r="E2964" i="496"/>
  <c r="D2964" i="496"/>
  <c r="C2964" i="496"/>
  <c r="BE2963" i="496"/>
  <c r="BC2963" i="496"/>
  <c r="I2963" i="496"/>
  <c r="H2963" i="496"/>
  <c r="E2963" i="496"/>
  <c r="D2963" i="496"/>
  <c r="C2963" i="496"/>
  <c r="BE2962" i="496"/>
  <c r="BC2962" i="496"/>
  <c r="I2962" i="496"/>
  <c r="H2962" i="496"/>
  <c r="E2962" i="496"/>
  <c r="D2962" i="496"/>
  <c r="C2962" i="496"/>
  <c r="BE2961" i="496"/>
  <c r="BC2961" i="496"/>
  <c r="I2961" i="496"/>
  <c r="H2961" i="496"/>
  <c r="E2961" i="496"/>
  <c r="D2961" i="496"/>
  <c r="C2961" i="496"/>
  <c r="BE2960" i="496"/>
  <c r="BC2960" i="496"/>
  <c r="I2960" i="496"/>
  <c r="H2960" i="496"/>
  <c r="E2960" i="496"/>
  <c r="D2960" i="496"/>
  <c r="C2960" i="496"/>
  <c r="BE2959" i="496"/>
  <c r="BC2959" i="496"/>
  <c r="I2959" i="496"/>
  <c r="H2959" i="496"/>
  <c r="E2959" i="496"/>
  <c r="D2959" i="496"/>
  <c r="C2959" i="496"/>
  <c r="BE2958" i="496"/>
  <c r="BC2958" i="496"/>
  <c r="I2958" i="496"/>
  <c r="H2958" i="496"/>
  <c r="E2958" i="496"/>
  <c r="D2958" i="496"/>
  <c r="C2958" i="496"/>
  <c r="BE2957" i="496"/>
  <c r="BC2957" i="496"/>
  <c r="I2957" i="496"/>
  <c r="H2957" i="496"/>
  <c r="E2957" i="496"/>
  <c r="D2957" i="496"/>
  <c r="C2957" i="496"/>
  <c r="BE2956" i="496"/>
  <c r="BC2956" i="496"/>
  <c r="I2956" i="496"/>
  <c r="H2956" i="496"/>
  <c r="E2956" i="496"/>
  <c r="D2956" i="496"/>
  <c r="C2956" i="496"/>
  <c r="BE2955" i="496"/>
  <c r="BC2955" i="496"/>
  <c r="I2955" i="496"/>
  <c r="H2955" i="496"/>
  <c r="E2955" i="496"/>
  <c r="D2955" i="496"/>
  <c r="C2955" i="496"/>
  <c r="BE2954" i="496"/>
  <c r="BC2954" i="496"/>
  <c r="I2954" i="496"/>
  <c r="H2954" i="496"/>
  <c r="E2954" i="496"/>
  <c r="D2954" i="496"/>
  <c r="C2954" i="496"/>
  <c r="BE2953" i="496"/>
  <c r="BC2953" i="496"/>
  <c r="I2953" i="496"/>
  <c r="H2953" i="496"/>
  <c r="E2953" i="496"/>
  <c r="D2953" i="496"/>
  <c r="C2953" i="496"/>
  <c r="BE2952" i="496"/>
  <c r="BC2952" i="496"/>
  <c r="I2952" i="496"/>
  <c r="H2952" i="496"/>
  <c r="E2952" i="496"/>
  <c r="D2952" i="496"/>
  <c r="C2952" i="496"/>
  <c r="BE2951" i="496"/>
  <c r="BC2951" i="496"/>
  <c r="I2951" i="496"/>
  <c r="H2951" i="496"/>
  <c r="E2951" i="496"/>
  <c r="D2951" i="496"/>
  <c r="C2951" i="496"/>
  <c r="BE2950" i="496"/>
  <c r="BC2950" i="496"/>
  <c r="I2950" i="496"/>
  <c r="H2950" i="496"/>
  <c r="E2950" i="496"/>
  <c r="D2950" i="496"/>
  <c r="C2950" i="496"/>
  <c r="BE2949" i="496"/>
  <c r="BC2949" i="496"/>
  <c r="I2949" i="496"/>
  <c r="H2949" i="496"/>
  <c r="E2949" i="496"/>
  <c r="D2949" i="496"/>
  <c r="C2949" i="496"/>
  <c r="BE2948" i="496"/>
  <c r="BC2948" i="496"/>
  <c r="I2948" i="496"/>
  <c r="H2948" i="496"/>
  <c r="E2948" i="496"/>
  <c r="D2948" i="496"/>
  <c r="C2948" i="496"/>
  <c r="BE2947" i="496"/>
  <c r="BC2947" i="496"/>
  <c r="I2947" i="496"/>
  <c r="H2947" i="496"/>
  <c r="E2947" i="496"/>
  <c r="D2947" i="496"/>
  <c r="C2947" i="496"/>
  <c r="BE2946" i="496"/>
  <c r="BC2946" i="496"/>
  <c r="I2946" i="496"/>
  <c r="H2946" i="496"/>
  <c r="E2946" i="496"/>
  <c r="D2946" i="496"/>
  <c r="C2946" i="496"/>
  <c r="BE2945" i="496"/>
  <c r="BC2945" i="496"/>
  <c r="I2945" i="496"/>
  <c r="H2945" i="496"/>
  <c r="E2945" i="496"/>
  <c r="D2945" i="496"/>
  <c r="C2945" i="496"/>
  <c r="BE2944" i="496"/>
  <c r="BC2944" i="496"/>
  <c r="I2944" i="496"/>
  <c r="H2944" i="496"/>
  <c r="E2944" i="496"/>
  <c r="D2944" i="496"/>
  <c r="C2944" i="496"/>
  <c r="BE2943" i="496"/>
  <c r="BC2943" i="496"/>
  <c r="I2943" i="496"/>
  <c r="H2943" i="496"/>
  <c r="E2943" i="496"/>
  <c r="D2943" i="496"/>
  <c r="C2943" i="496"/>
  <c r="BE2942" i="496"/>
  <c r="BC2942" i="496"/>
  <c r="I2942" i="496"/>
  <c r="H2942" i="496"/>
  <c r="E2942" i="496"/>
  <c r="D2942" i="496"/>
  <c r="C2942" i="496"/>
  <c r="BE2941" i="496"/>
  <c r="BC2941" i="496"/>
  <c r="I2941" i="496"/>
  <c r="H2941" i="496"/>
  <c r="E2941" i="496"/>
  <c r="D2941" i="496"/>
  <c r="C2941" i="496"/>
  <c r="BE2940" i="496"/>
  <c r="BC2940" i="496"/>
  <c r="I2940" i="496"/>
  <c r="H2940" i="496"/>
  <c r="E2940" i="496"/>
  <c r="D2940" i="496"/>
  <c r="C2940" i="496"/>
  <c r="BE2939" i="496"/>
  <c r="BC2939" i="496"/>
  <c r="I2939" i="496"/>
  <c r="H2939" i="496"/>
  <c r="E2939" i="496"/>
  <c r="D2939" i="496"/>
  <c r="C2939" i="496"/>
  <c r="BE2938" i="496"/>
  <c r="BC2938" i="496"/>
  <c r="I2938" i="496"/>
  <c r="H2938" i="496"/>
  <c r="E2938" i="496"/>
  <c r="D2938" i="496"/>
  <c r="C2938" i="496"/>
  <c r="BE2937" i="496"/>
  <c r="BC2937" i="496"/>
  <c r="I2937" i="496"/>
  <c r="H2937" i="496"/>
  <c r="E2937" i="496"/>
  <c r="D2937" i="496"/>
  <c r="C2937" i="496"/>
  <c r="BE2936" i="496"/>
  <c r="BC2936" i="496"/>
  <c r="I2936" i="496"/>
  <c r="H2936" i="496"/>
  <c r="E2936" i="496"/>
  <c r="D2936" i="496"/>
  <c r="C2936" i="496"/>
  <c r="BE2935" i="496"/>
  <c r="BC2935" i="496"/>
  <c r="I2935" i="496"/>
  <c r="H2935" i="496"/>
  <c r="E2935" i="496"/>
  <c r="D2935" i="496"/>
  <c r="C2935" i="496"/>
  <c r="BE2934" i="496"/>
  <c r="BC2934" i="496"/>
  <c r="I2934" i="496"/>
  <c r="H2934" i="496"/>
  <c r="E2934" i="496"/>
  <c r="D2934" i="496"/>
  <c r="C2934" i="496"/>
  <c r="BE2933" i="496"/>
  <c r="BC2933" i="496"/>
  <c r="I2933" i="496"/>
  <c r="H2933" i="496"/>
  <c r="E2933" i="496"/>
  <c r="D2933" i="496"/>
  <c r="C2933" i="496"/>
  <c r="BE2932" i="496"/>
  <c r="BC2932" i="496"/>
  <c r="I2932" i="496"/>
  <c r="H2932" i="496"/>
  <c r="E2932" i="496"/>
  <c r="D2932" i="496"/>
  <c r="C2932" i="496"/>
  <c r="BE2931" i="496"/>
  <c r="BC2931" i="496"/>
  <c r="I2931" i="496"/>
  <c r="H2931" i="496"/>
  <c r="E2931" i="496"/>
  <c r="D2931" i="496"/>
  <c r="C2931" i="496"/>
  <c r="BE2930" i="496"/>
  <c r="BC2930" i="496"/>
  <c r="I2930" i="496"/>
  <c r="H2930" i="496"/>
  <c r="E2930" i="496"/>
  <c r="D2930" i="496"/>
  <c r="C2930" i="496"/>
  <c r="BE2929" i="496"/>
  <c r="BC2929" i="496"/>
  <c r="I2929" i="496"/>
  <c r="H2929" i="496"/>
  <c r="E2929" i="496"/>
  <c r="D2929" i="496"/>
  <c r="C2929" i="496"/>
  <c r="BE2928" i="496"/>
  <c r="BC2928" i="496"/>
  <c r="I2928" i="496"/>
  <c r="H2928" i="496"/>
  <c r="E2928" i="496"/>
  <c r="D2928" i="496"/>
  <c r="C2928" i="496"/>
  <c r="BE2927" i="496"/>
  <c r="BC2927" i="496"/>
  <c r="I2927" i="496"/>
  <c r="H2927" i="496"/>
  <c r="E2927" i="496"/>
  <c r="D2927" i="496"/>
  <c r="C2927" i="496"/>
  <c r="BE2926" i="496"/>
  <c r="BC2926" i="496"/>
  <c r="I2926" i="496"/>
  <c r="H2926" i="496"/>
  <c r="E2926" i="496"/>
  <c r="D2926" i="496"/>
  <c r="C2926" i="496"/>
  <c r="BE2925" i="496"/>
  <c r="BC2925" i="496"/>
  <c r="I2925" i="496"/>
  <c r="H2925" i="496"/>
  <c r="E2925" i="496"/>
  <c r="D2925" i="496"/>
  <c r="C2925" i="496"/>
  <c r="BE2924" i="496"/>
  <c r="BC2924" i="496"/>
  <c r="I2924" i="496"/>
  <c r="H2924" i="496"/>
  <c r="E2924" i="496"/>
  <c r="D2924" i="496"/>
  <c r="C2924" i="496"/>
  <c r="BE2923" i="496"/>
  <c r="BC2923" i="496"/>
  <c r="I2923" i="496"/>
  <c r="H2923" i="496"/>
  <c r="E2923" i="496"/>
  <c r="D2923" i="496"/>
  <c r="C2923" i="496"/>
  <c r="BE2922" i="496"/>
  <c r="BC2922" i="496"/>
  <c r="I2922" i="496"/>
  <c r="H2922" i="496"/>
  <c r="E2922" i="496"/>
  <c r="D2922" i="496"/>
  <c r="C2922" i="496"/>
  <c r="BE2921" i="496"/>
  <c r="BC2921" i="496"/>
  <c r="I2921" i="496"/>
  <c r="H2921" i="496"/>
  <c r="E2921" i="496"/>
  <c r="D2921" i="496"/>
  <c r="C2921" i="496"/>
  <c r="BE2920" i="496"/>
  <c r="BC2920" i="496"/>
  <c r="I2920" i="496"/>
  <c r="H2920" i="496"/>
  <c r="E2920" i="496"/>
  <c r="D2920" i="496"/>
  <c r="C2920" i="496"/>
  <c r="BE2919" i="496"/>
  <c r="BC2919" i="496"/>
  <c r="I2919" i="496"/>
  <c r="H2919" i="496"/>
  <c r="E2919" i="496"/>
  <c r="D2919" i="496"/>
  <c r="C2919" i="496"/>
  <c r="BE2918" i="496"/>
  <c r="BC2918" i="496"/>
  <c r="I2918" i="496"/>
  <c r="H2918" i="496"/>
  <c r="E2918" i="496"/>
  <c r="D2918" i="496"/>
  <c r="C2918" i="496"/>
  <c r="BE2917" i="496"/>
  <c r="BC2917" i="496"/>
  <c r="I2917" i="496"/>
  <c r="H2917" i="496"/>
  <c r="E2917" i="496"/>
  <c r="D2917" i="496"/>
  <c r="C2917" i="496"/>
  <c r="BE2916" i="496"/>
  <c r="BC2916" i="496"/>
  <c r="I2916" i="496"/>
  <c r="H2916" i="496"/>
  <c r="E2916" i="496"/>
  <c r="D2916" i="496"/>
  <c r="C2916" i="496"/>
  <c r="BE2915" i="496"/>
  <c r="BC2915" i="496"/>
  <c r="I2915" i="496"/>
  <c r="H2915" i="496"/>
  <c r="E2915" i="496"/>
  <c r="D2915" i="496"/>
  <c r="C2915" i="496"/>
  <c r="BE2914" i="496"/>
  <c r="BC2914" i="496"/>
  <c r="I2914" i="496"/>
  <c r="H2914" i="496"/>
  <c r="E2914" i="496"/>
  <c r="D2914" i="496"/>
  <c r="C2914" i="496"/>
  <c r="BE2913" i="496"/>
  <c r="BC2913" i="496"/>
  <c r="I2913" i="496"/>
  <c r="H2913" i="496"/>
  <c r="E2913" i="496"/>
  <c r="D2913" i="496"/>
  <c r="C2913" i="496"/>
  <c r="BE2912" i="496"/>
  <c r="BC2912" i="496"/>
  <c r="I2912" i="496"/>
  <c r="H2912" i="496"/>
  <c r="E2912" i="496"/>
  <c r="D2912" i="496"/>
  <c r="C2912" i="496"/>
  <c r="BE2911" i="496"/>
  <c r="BC2911" i="496"/>
  <c r="I2911" i="496"/>
  <c r="H2911" i="496"/>
  <c r="E2911" i="496"/>
  <c r="D2911" i="496"/>
  <c r="C2911" i="496"/>
  <c r="BE2910" i="496"/>
  <c r="BC2910" i="496"/>
  <c r="I2910" i="496"/>
  <c r="H2910" i="496"/>
  <c r="E2910" i="496"/>
  <c r="D2910" i="496"/>
  <c r="C2910" i="496"/>
  <c r="BE2909" i="496"/>
  <c r="BC2909" i="496"/>
  <c r="I2909" i="496"/>
  <c r="H2909" i="496"/>
  <c r="E2909" i="496"/>
  <c r="D2909" i="496"/>
  <c r="C2909" i="496"/>
  <c r="BE2908" i="496"/>
  <c r="BC2908" i="496"/>
  <c r="I2908" i="496"/>
  <c r="H2908" i="496"/>
  <c r="E2908" i="496"/>
  <c r="D2908" i="496"/>
  <c r="C2908" i="496"/>
  <c r="BE2907" i="496"/>
  <c r="BC2907" i="496"/>
  <c r="I2907" i="496"/>
  <c r="H2907" i="496"/>
  <c r="E2907" i="496"/>
  <c r="D2907" i="496"/>
  <c r="C2907" i="496"/>
  <c r="BE2906" i="496"/>
  <c r="BC2906" i="496"/>
  <c r="I2906" i="496"/>
  <c r="H2906" i="496"/>
  <c r="E2906" i="496"/>
  <c r="D2906" i="496"/>
  <c r="C2906" i="496"/>
  <c r="BE2905" i="496"/>
  <c r="BC2905" i="496"/>
  <c r="I2905" i="496"/>
  <c r="H2905" i="496"/>
  <c r="E2905" i="496"/>
  <c r="D2905" i="496"/>
  <c r="C2905" i="496"/>
  <c r="BE2904" i="496"/>
  <c r="BC2904" i="496"/>
  <c r="I2904" i="496"/>
  <c r="H2904" i="496"/>
  <c r="E2904" i="496"/>
  <c r="D2904" i="496"/>
  <c r="C2904" i="496"/>
  <c r="BE2903" i="496"/>
  <c r="BC2903" i="496"/>
  <c r="I2903" i="496"/>
  <c r="H2903" i="496"/>
  <c r="E2903" i="496"/>
  <c r="D2903" i="496"/>
  <c r="C2903" i="496"/>
  <c r="BE2902" i="496"/>
  <c r="BC2902" i="496"/>
  <c r="I2902" i="496"/>
  <c r="H2902" i="496"/>
  <c r="E2902" i="496"/>
  <c r="D2902" i="496"/>
  <c r="C2902" i="496"/>
  <c r="BE2901" i="496"/>
  <c r="BC2901" i="496"/>
  <c r="I2901" i="496"/>
  <c r="H2901" i="496"/>
  <c r="E2901" i="496"/>
  <c r="D2901" i="496"/>
  <c r="C2901" i="496"/>
  <c r="BE2900" i="496"/>
  <c r="BC2900" i="496"/>
  <c r="I2900" i="496"/>
  <c r="H2900" i="496"/>
  <c r="E2900" i="496"/>
  <c r="D2900" i="496"/>
  <c r="C2900" i="496"/>
  <c r="BE2899" i="496"/>
  <c r="BC2899" i="496"/>
  <c r="I2899" i="496"/>
  <c r="H2899" i="496"/>
  <c r="E2899" i="496"/>
  <c r="D2899" i="496"/>
  <c r="C2899" i="496"/>
  <c r="BE2898" i="496"/>
  <c r="BC2898" i="496"/>
  <c r="I2898" i="496"/>
  <c r="H2898" i="496"/>
  <c r="E2898" i="496"/>
  <c r="D2898" i="496"/>
  <c r="C2898" i="496"/>
  <c r="BE2897" i="496"/>
  <c r="BC2897" i="496"/>
  <c r="I2897" i="496"/>
  <c r="H2897" i="496"/>
  <c r="E2897" i="496"/>
  <c r="D2897" i="496"/>
  <c r="C2897" i="496"/>
  <c r="BE2896" i="496"/>
  <c r="BC2896" i="496"/>
  <c r="I2896" i="496"/>
  <c r="H2896" i="496"/>
  <c r="E2896" i="496"/>
  <c r="D2896" i="496"/>
  <c r="C2896" i="496"/>
  <c r="BE2895" i="496"/>
  <c r="BC2895" i="496"/>
  <c r="I2895" i="496"/>
  <c r="H2895" i="496"/>
  <c r="E2895" i="496"/>
  <c r="D2895" i="496"/>
  <c r="C2895" i="496"/>
  <c r="BE2894" i="496"/>
  <c r="BC2894" i="496"/>
  <c r="I2894" i="496"/>
  <c r="H2894" i="496"/>
  <c r="E2894" i="496"/>
  <c r="D2894" i="496"/>
  <c r="C2894" i="496"/>
  <c r="BE2893" i="496"/>
  <c r="BC2893" i="496"/>
  <c r="I2893" i="496"/>
  <c r="H2893" i="496"/>
  <c r="E2893" i="496"/>
  <c r="D2893" i="496"/>
  <c r="C2893" i="496"/>
  <c r="BE2892" i="496"/>
  <c r="BC2892" i="496"/>
  <c r="I2892" i="496"/>
  <c r="H2892" i="496"/>
  <c r="E2892" i="496"/>
  <c r="D2892" i="496"/>
  <c r="C2892" i="496"/>
  <c r="BE2891" i="496"/>
  <c r="BC2891" i="496"/>
  <c r="I2891" i="496"/>
  <c r="H2891" i="496"/>
  <c r="E2891" i="496"/>
  <c r="D2891" i="496"/>
  <c r="C2891" i="496"/>
  <c r="BE2890" i="496"/>
  <c r="BC2890" i="496"/>
  <c r="I2890" i="496"/>
  <c r="H2890" i="496"/>
  <c r="E2890" i="496"/>
  <c r="D2890" i="496"/>
  <c r="C2890" i="496"/>
  <c r="BE2889" i="496"/>
  <c r="BC2889" i="496"/>
  <c r="I2889" i="496"/>
  <c r="H2889" i="496"/>
  <c r="E2889" i="496"/>
  <c r="D2889" i="496"/>
  <c r="C2889" i="496"/>
  <c r="BE2888" i="496"/>
  <c r="BC2888" i="496"/>
  <c r="I2888" i="496"/>
  <c r="H2888" i="496"/>
  <c r="E2888" i="496"/>
  <c r="D2888" i="496"/>
  <c r="C2888" i="496"/>
  <c r="BE2887" i="496"/>
  <c r="BC2887" i="496"/>
  <c r="I2887" i="496"/>
  <c r="H2887" i="496"/>
  <c r="E2887" i="496"/>
  <c r="D2887" i="496"/>
  <c r="C2887" i="496"/>
  <c r="BE2886" i="496"/>
  <c r="BC2886" i="496"/>
  <c r="I2886" i="496"/>
  <c r="H2886" i="496"/>
  <c r="E2886" i="496"/>
  <c r="D2886" i="496"/>
  <c r="C2886" i="496"/>
  <c r="BE2885" i="496"/>
  <c r="BC2885" i="496"/>
  <c r="I2885" i="496"/>
  <c r="H2885" i="496"/>
  <c r="E2885" i="496"/>
  <c r="D2885" i="496"/>
  <c r="C2885" i="496"/>
  <c r="BE2884" i="496"/>
  <c r="BC2884" i="496"/>
  <c r="I2884" i="496"/>
  <c r="H2884" i="496"/>
  <c r="E2884" i="496"/>
  <c r="D2884" i="496"/>
  <c r="C2884" i="496"/>
  <c r="BE2883" i="496"/>
  <c r="BC2883" i="496"/>
  <c r="I2883" i="496"/>
  <c r="H2883" i="496"/>
  <c r="E2883" i="496"/>
  <c r="D2883" i="496"/>
  <c r="C2883" i="496"/>
  <c r="BE2882" i="496"/>
  <c r="BC2882" i="496"/>
  <c r="I2882" i="496"/>
  <c r="H2882" i="496"/>
  <c r="E2882" i="496"/>
  <c r="D2882" i="496"/>
  <c r="C2882" i="496"/>
  <c r="BE2881" i="496"/>
  <c r="BC2881" i="496"/>
  <c r="I2881" i="496"/>
  <c r="H2881" i="496"/>
  <c r="E2881" i="496"/>
  <c r="D2881" i="496"/>
  <c r="C2881" i="496"/>
  <c r="BE2880" i="496"/>
  <c r="BC2880" i="496"/>
  <c r="I2880" i="496"/>
  <c r="H2880" i="496"/>
  <c r="E2880" i="496"/>
  <c r="D2880" i="496"/>
  <c r="C2880" i="496"/>
  <c r="BE2879" i="496"/>
  <c r="BC2879" i="496"/>
  <c r="I2879" i="496"/>
  <c r="H2879" i="496"/>
  <c r="E2879" i="496"/>
  <c r="D2879" i="496"/>
  <c r="C2879" i="496"/>
  <c r="BE2878" i="496"/>
  <c r="BC2878" i="496"/>
  <c r="I2878" i="496"/>
  <c r="H2878" i="496"/>
  <c r="E2878" i="496"/>
  <c r="D2878" i="496"/>
  <c r="C2878" i="496"/>
  <c r="BE2877" i="496"/>
  <c r="BC2877" i="496"/>
  <c r="I2877" i="496"/>
  <c r="H2877" i="496"/>
  <c r="E2877" i="496"/>
  <c r="D2877" i="496"/>
  <c r="C2877" i="496"/>
  <c r="BE2876" i="496"/>
  <c r="BC2876" i="496"/>
  <c r="I2876" i="496"/>
  <c r="H2876" i="496"/>
  <c r="E2876" i="496"/>
  <c r="D2876" i="496"/>
  <c r="C2876" i="496"/>
  <c r="BE2875" i="496"/>
  <c r="BC2875" i="496"/>
  <c r="I2875" i="496"/>
  <c r="H2875" i="496"/>
  <c r="E2875" i="496"/>
  <c r="D2875" i="496"/>
  <c r="C2875" i="496"/>
  <c r="BE2874" i="496"/>
  <c r="BC2874" i="496"/>
  <c r="I2874" i="496"/>
  <c r="H2874" i="496"/>
  <c r="E2874" i="496"/>
  <c r="D2874" i="496"/>
  <c r="C2874" i="496"/>
  <c r="BE2873" i="496"/>
  <c r="BC2873" i="496"/>
  <c r="I2873" i="496"/>
  <c r="H2873" i="496"/>
  <c r="E2873" i="496"/>
  <c r="D2873" i="496"/>
  <c r="C2873" i="496"/>
  <c r="BE2872" i="496"/>
  <c r="BC2872" i="496"/>
  <c r="I2872" i="496"/>
  <c r="H2872" i="496"/>
  <c r="E2872" i="496"/>
  <c r="D2872" i="496"/>
  <c r="C2872" i="496"/>
  <c r="BE2871" i="496"/>
  <c r="BC2871" i="496"/>
  <c r="I2871" i="496"/>
  <c r="H2871" i="496"/>
  <c r="E2871" i="496"/>
  <c r="D2871" i="496"/>
  <c r="C2871" i="496"/>
  <c r="BE2870" i="496"/>
  <c r="BC2870" i="496"/>
  <c r="I2870" i="496"/>
  <c r="H2870" i="496"/>
  <c r="E2870" i="496"/>
  <c r="D2870" i="496"/>
  <c r="C2870" i="496"/>
  <c r="BE2869" i="496"/>
  <c r="BC2869" i="496"/>
  <c r="I2869" i="496"/>
  <c r="H2869" i="496"/>
  <c r="E2869" i="496"/>
  <c r="D2869" i="496"/>
  <c r="C2869" i="496"/>
  <c r="BE2868" i="496"/>
  <c r="BC2868" i="496"/>
  <c r="I2868" i="496"/>
  <c r="H2868" i="496"/>
  <c r="E2868" i="496"/>
  <c r="D2868" i="496"/>
  <c r="C2868" i="496"/>
  <c r="BE2867" i="496"/>
  <c r="BC2867" i="496"/>
  <c r="I2867" i="496"/>
  <c r="H2867" i="496"/>
  <c r="E2867" i="496"/>
  <c r="D2867" i="496"/>
  <c r="C2867" i="496"/>
  <c r="BE2866" i="496"/>
  <c r="BC2866" i="496"/>
  <c r="I2866" i="496"/>
  <c r="H2866" i="496"/>
  <c r="E2866" i="496"/>
  <c r="D2866" i="496"/>
  <c r="C2866" i="496"/>
  <c r="BE2865" i="496"/>
  <c r="BC2865" i="496"/>
  <c r="I2865" i="496"/>
  <c r="H2865" i="496"/>
  <c r="E2865" i="496"/>
  <c r="D2865" i="496"/>
  <c r="C2865" i="496"/>
  <c r="BE2864" i="496"/>
  <c r="BC2864" i="496"/>
  <c r="I2864" i="496"/>
  <c r="H2864" i="496"/>
  <c r="E2864" i="496"/>
  <c r="D2864" i="496"/>
  <c r="C2864" i="496"/>
  <c r="BE2863" i="496"/>
  <c r="BC2863" i="496"/>
  <c r="I2863" i="496"/>
  <c r="H2863" i="496"/>
  <c r="E2863" i="496"/>
  <c r="D2863" i="496"/>
  <c r="C2863" i="496"/>
  <c r="BE2862" i="496"/>
  <c r="BC2862" i="496"/>
  <c r="I2862" i="496"/>
  <c r="H2862" i="496"/>
  <c r="E2862" i="496"/>
  <c r="D2862" i="496"/>
  <c r="C2862" i="496"/>
  <c r="BE2861" i="496"/>
  <c r="BC2861" i="496"/>
  <c r="I2861" i="496"/>
  <c r="H2861" i="496"/>
  <c r="E2861" i="496"/>
  <c r="D2861" i="496"/>
  <c r="C2861" i="496"/>
  <c r="BE2860" i="496"/>
  <c r="BC2860" i="496"/>
  <c r="I2860" i="496"/>
  <c r="H2860" i="496"/>
  <c r="E2860" i="496"/>
  <c r="D2860" i="496"/>
  <c r="C2860" i="496"/>
  <c r="BE2859" i="496"/>
  <c r="BC2859" i="496"/>
  <c r="I2859" i="496"/>
  <c r="H2859" i="496"/>
  <c r="E2859" i="496"/>
  <c r="D2859" i="496"/>
  <c r="C2859" i="496"/>
  <c r="BE2858" i="496"/>
  <c r="BC2858" i="496"/>
  <c r="I2858" i="496"/>
  <c r="H2858" i="496"/>
  <c r="E2858" i="496"/>
  <c r="D2858" i="496"/>
  <c r="C2858" i="496"/>
  <c r="BE2857" i="496"/>
  <c r="BC2857" i="496"/>
  <c r="I2857" i="496"/>
  <c r="H2857" i="496"/>
  <c r="E2857" i="496"/>
  <c r="D2857" i="496"/>
  <c r="C2857" i="496"/>
  <c r="BE2856" i="496"/>
  <c r="BC2856" i="496"/>
  <c r="I2856" i="496"/>
  <c r="H2856" i="496"/>
  <c r="E2856" i="496"/>
  <c r="D2856" i="496"/>
  <c r="C2856" i="496"/>
  <c r="BE2855" i="496"/>
  <c r="BC2855" i="496"/>
  <c r="I2855" i="496"/>
  <c r="H2855" i="496"/>
  <c r="E2855" i="496"/>
  <c r="D2855" i="496"/>
  <c r="C2855" i="496"/>
  <c r="BE2854" i="496"/>
  <c r="BC2854" i="496"/>
  <c r="I2854" i="496"/>
  <c r="H2854" i="496"/>
  <c r="E2854" i="496"/>
  <c r="D2854" i="496"/>
  <c r="C2854" i="496"/>
  <c r="BE2853" i="496"/>
  <c r="BC2853" i="496"/>
  <c r="I2853" i="496"/>
  <c r="H2853" i="496"/>
  <c r="E2853" i="496"/>
  <c r="D2853" i="496"/>
  <c r="C2853" i="496"/>
  <c r="BE2852" i="496"/>
  <c r="BC2852" i="496"/>
  <c r="I2852" i="496"/>
  <c r="H2852" i="496"/>
  <c r="E2852" i="496"/>
  <c r="D2852" i="496"/>
  <c r="C2852" i="496"/>
  <c r="BE2851" i="496"/>
  <c r="BC2851" i="496"/>
  <c r="I2851" i="496"/>
  <c r="H2851" i="496"/>
  <c r="E2851" i="496"/>
  <c r="D2851" i="496"/>
  <c r="C2851" i="496"/>
  <c r="BE2850" i="496"/>
  <c r="BC2850" i="496"/>
  <c r="I2850" i="496"/>
  <c r="H2850" i="496"/>
  <c r="E2850" i="496"/>
  <c r="D2850" i="496"/>
  <c r="C2850" i="496"/>
  <c r="BE2849" i="496"/>
  <c r="BC2849" i="496"/>
  <c r="I2849" i="496"/>
  <c r="H2849" i="496"/>
  <c r="E2849" i="496"/>
  <c r="D2849" i="496"/>
  <c r="C2849" i="496"/>
  <c r="BE2848" i="496"/>
  <c r="BC2848" i="496"/>
  <c r="I2848" i="496"/>
  <c r="H2848" i="496"/>
  <c r="E2848" i="496"/>
  <c r="D2848" i="496"/>
  <c r="C2848" i="496"/>
  <c r="BE2847" i="496"/>
  <c r="BC2847" i="496"/>
  <c r="I2847" i="496"/>
  <c r="H2847" i="496"/>
  <c r="E2847" i="496"/>
  <c r="D2847" i="496"/>
  <c r="C2847" i="496"/>
  <c r="BE2846" i="496"/>
  <c r="BC2846" i="496"/>
  <c r="I2846" i="496"/>
  <c r="H2846" i="496"/>
  <c r="E2846" i="496"/>
  <c r="D2846" i="496"/>
  <c r="C2846" i="496"/>
  <c r="BE2845" i="496"/>
  <c r="BC2845" i="496"/>
  <c r="I2845" i="496"/>
  <c r="H2845" i="496"/>
  <c r="E2845" i="496"/>
  <c r="D2845" i="496"/>
  <c r="C2845" i="496"/>
  <c r="BE2844" i="496"/>
  <c r="BC2844" i="496"/>
  <c r="I2844" i="496"/>
  <c r="H2844" i="496"/>
  <c r="E2844" i="496"/>
  <c r="D2844" i="496"/>
  <c r="C2844" i="496"/>
  <c r="BE2843" i="496"/>
  <c r="BC2843" i="496"/>
  <c r="I2843" i="496"/>
  <c r="H2843" i="496"/>
  <c r="E2843" i="496"/>
  <c r="D2843" i="496"/>
  <c r="C2843" i="496"/>
  <c r="BE2842" i="496"/>
  <c r="BC2842" i="496"/>
  <c r="I2842" i="496"/>
  <c r="H2842" i="496"/>
  <c r="E2842" i="496"/>
  <c r="D2842" i="496"/>
  <c r="C2842" i="496"/>
  <c r="BE2841" i="496"/>
  <c r="BC2841" i="496"/>
  <c r="I2841" i="496"/>
  <c r="H2841" i="496"/>
  <c r="E2841" i="496"/>
  <c r="D2841" i="496"/>
  <c r="C2841" i="496"/>
  <c r="BE2840" i="496"/>
  <c r="BC2840" i="496"/>
  <c r="I2840" i="496"/>
  <c r="H2840" i="496"/>
  <c r="E2840" i="496"/>
  <c r="D2840" i="496"/>
  <c r="C2840" i="496"/>
  <c r="BE2839" i="496"/>
  <c r="BC2839" i="496"/>
  <c r="I2839" i="496"/>
  <c r="H2839" i="496"/>
  <c r="E2839" i="496"/>
  <c r="D2839" i="496"/>
  <c r="C2839" i="496"/>
  <c r="BE2838" i="496"/>
  <c r="BC2838" i="496"/>
  <c r="I2838" i="496"/>
  <c r="H2838" i="496"/>
  <c r="E2838" i="496"/>
  <c r="D2838" i="496"/>
  <c r="C2838" i="496"/>
  <c r="BE2837" i="496"/>
  <c r="BC2837" i="496"/>
  <c r="I2837" i="496"/>
  <c r="H2837" i="496"/>
  <c r="E2837" i="496"/>
  <c r="D2837" i="496"/>
  <c r="C2837" i="496"/>
  <c r="BE2836" i="496"/>
  <c r="BC2836" i="496"/>
  <c r="I2836" i="496"/>
  <c r="H2836" i="496"/>
  <c r="E2836" i="496"/>
  <c r="D2836" i="496"/>
  <c r="C2836" i="496"/>
  <c r="BE2835" i="496"/>
  <c r="BC2835" i="496"/>
  <c r="I2835" i="496"/>
  <c r="H2835" i="496"/>
  <c r="E2835" i="496"/>
  <c r="D2835" i="496"/>
  <c r="C2835" i="496"/>
  <c r="BE2834" i="496"/>
  <c r="BC2834" i="496"/>
  <c r="I2834" i="496"/>
  <c r="H2834" i="496"/>
  <c r="E2834" i="496"/>
  <c r="D2834" i="496"/>
  <c r="C2834" i="496"/>
  <c r="BE2833" i="496"/>
  <c r="BC2833" i="496"/>
  <c r="I2833" i="496"/>
  <c r="H2833" i="496"/>
  <c r="E2833" i="496"/>
  <c r="D2833" i="496"/>
  <c r="C2833" i="496"/>
  <c r="BE2832" i="496"/>
  <c r="BC2832" i="496"/>
  <c r="I2832" i="496"/>
  <c r="H2832" i="496"/>
  <c r="E2832" i="496"/>
  <c r="D2832" i="496"/>
  <c r="C2832" i="496"/>
  <c r="BE2831" i="496"/>
  <c r="BC2831" i="496"/>
  <c r="I2831" i="496"/>
  <c r="H2831" i="496"/>
  <c r="E2831" i="496"/>
  <c r="D2831" i="496"/>
  <c r="C2831" i="496"/>
  <c r="BE2830" i="496"/>
  <c r="BC2830" i="496"/>
  <c r="I2830" i="496"/>
  <c r="H2830" i="496"/>
  <c r="E2830" i="496"/>
  <c r="D2830" i="496"/>
  <c r="C2830" i="496"/>
  <c r="BE2829" i="496"/>
  <c r="BC2829" i="496"/>
  <c r="I2829" i="496"/>
  <c r="H2829" i="496"/>
  <c r="E2829" i="496"/>
  <c r="D2829" i="496"/>
  <c r="C2829" i="496"/>
  <c r="BE2828" i="496"/>
  <c r="BC2828" i="496"/>
  <c r="I2828" i="496"/>
  <c r="H2828" i="496"/>
  <c r="E2828" i="496"/>
  <c r="D2828" i="496"/>
  <c r="C2828" i="496"/>
  <c r="BE2827" i="496"/>
  <c r="BC2827" i="496"/>
  <c r="I2827" i="496"/>
  <c r="H2827" i="496"/>
  <c r="E2827" i="496"/>
  <c r="D2827" i="496"/>
  <c r="C2827" i="496"/>
  <c r="BE2826" i="496"/>
  <c r="BC2826" i="496"/>
  <c r="I2826" i="496"/>
  <c r="H2826" i="496"/>
  <c r="E2826" i="496"/>
  <c r="D2826" i="496"/>
  <c r="C2826" i="496"/>
  <c r="BE2825" i="496"/>
  <c r="BC2825" i="496"/>
  <c r="I2825" i="496"/>
  <c r="H2825" i="496"/>
  <c r="E2825" i="496"/>
  <c r="D2825" i="496"/>
  <c r="C2825" i="496"/>
  <c r="BE2824" i="496"/>
  <c r="BC2824" i="496"/>
  <c r="I2824" i="496"/>
  <c r="H2824" i="496"/>
  <c r="E2824" i="496"/>
  <c r="D2824" i="496"/>
  <c r="C2824" i="496"/>
  <c r="BE2823" i="496"/>
  <c r="BC2823" i="496"/>
  <c r="I2823" i="496"/>
  <c r="H2823" i="496"/>
  <c r="E2823" i="496"/>
  <c r="D2823" i="496"/>
  <c r="C2823" i="496"/>
  <c r="BE2822" i="496"/>
  <c r="BC2822" i="496"/>
  <c r="I2822" i="496"/>
  <c r="H2822" i="496"/>
  <c r="E2822" i="496"/>
  <c r="D2822" i="496"/>
  <c r="C2822" i="496"/>
  <c r="BE2821" i="496"/>
  <c r="BC2821" i="496"/>
  <c r="I2821" i="496"/>
  <c r="H2821" i="496"/>
  <c r="E2821" i="496"/>
  <c r="D2821" i="496"/>
  <c r="C2821" i="496"/>
  <c r="BE2820" i="496"/>
  <c r="BC2820" i="496"/>
  <c r="I2820" i="496"/>
  <c r="H2820" i="496"/>
  <c r="E2820" i="496"/>
  <c r="D2820" i="496"/>
  <c r="C2820" i="496"/>
  <c r="BE2819" i="496"/>
  <c r="BC2819" i="496"/>
  <c r="I2819" i="496"/>
  <c r="H2819" i="496"/>
  <c r="E2819" i="496"/>
  <c r="D2819" i="496"/>
  <c r="C2819" i="496"/>
  <c r="BE2818" i="496"/>
  <c r="BC2818" i="496"/>
  <c r="I2818" i="496"/>
  <c r="H2818" i="496"/>
  <c r="E2818" i="496"/>
  <c r="D2818" i="496"/>
  <c r="C2818" i="496"/>
  <c r="BE2817" i="496"/>
  <c r="BC2817" i="496"/>
  <c r="I2817" i="496"/>
  <c r="H2817" i="496"/>
  <c r="E2817" i="496"/>
  <c r="D2817" i="496"/>
  <c r="C2817" i="496"/>
  <c r="BE2816" i="496"/>
  <c r="BC2816" i="496"/>
  <c r="I2816" i="496"/>
  <c r="H2816" i="496"/>
  <c r="E2816" i="496"/>
  <c r="D2816" i="496"/>
  <c r="C2816" i="496"/>
  <c r="BE2815" i="496"/>
  <c r="BC2815" i="496"/>
  <c r="I2815" i="496"/>
  <c r="H2815" i="496"/>
  <c r="E2815" i="496"/>
  <c r="D2815" i="496"/>
  <c r="C2815" i="496"/>
  <c r="BE2814" i="496"/>
  <c r="BC2814" i="496"/>
  <c r="I2814" i="496"/>
  <c r="H2814" i="496"/>
  <c r="E2814" i="496"/>
  <c r="D2814" i="496"/>
  <c r="C2814" i="496"/>
  <c r="BE2813" i="496"/>
  <c r="BC2813" i="496"/>
  <c r="I2813" i="496"/>
  <c r="H2813" i="496"/>
  <c r="E2813" i="496"/>
  <c r="D2813" i="496"/>
  <c r="C2813" i="496"/>
  <c r="BE2812" i="496"/>
  <c r="BC2812" i="496"/>
  <c r="I2812" i="496"/>
  <c r="H2812" i="496"/>
  <c r="E2812" i="496"/>
  <c r="D2812" i="496"/>
  <c r="C2812" i="496"/>
  <c r="BE2811" i="496"/>
  <c r="BC2811" i="496"/>
  <c r="I2811" i="496"/>
  <c r="H2811" i="496"/>
  <c r="E2811" i="496"/>
  <c r="D2811" i="496"/>
  <c r="C2811" i="496"/>
  <c r="BE2810" i="496"/>
  <c r="BC2810" i="496"/>
  <c r="I2810" i="496"/>
  <c r="H2810" i="496"/>
  <c r="E2810" i="496"/>
  <c r="D2810" i="496"/>
  <c r="C2810" i="496"/>
  <c r="BE2809" i="496"/>
  <c r="BC2809" i="496"/>
  <c r="I2809" i="496"/>
  <c r="H2809" i="496"/>
  <c r="E2809" i="496"/>
  <c r="D2809" i="496"/>
  <c r="C2809" i="496"/>
  <c r="BE2808" i="496"/>
  <c r="BC2808" i="496"/>
  <c r="I2808" i="496"/>
  <c r="H2808" i="496"/>
  <c r="E2808" i="496"/>
  <c r="D2808" i="496"/>
  <c r="C2808" i="496"/>
  <c r="BE2807" i="496"/>
  <c r="BC2807" i="496"/>
  <c r="I2807" i="496"/>
  <c r="H2807" i="496"/>
  <c r="E2807" i="496"/>
  <c r="D2807" i="496"/>
  <c r="C2807" i="496"/>
  <c r="BE2806" i="496"/>
  <c r="BC2806" i="496"/>
  <c r="I2806" i="496"/>
  <c r="H2806" i="496"/>
  <c r="E2806" i="496"/>
  <c r="D2806" i="496"/>
  <c r="C2806" i="496"/>
  <c r="BE2805" i="496"/>
  <c r="BC2805" i="496"/>
  <c r="I2805" i="496"/>
  <c r="H2805" i="496"/>
  <c r="E2805" i="496"/>
  <c r="D2805" i="496"/>
  <c r="C2805" i="496"/>
  <c r="BE2804" i="496"/>
  <c r="BC2804" i="496"/>
  <c r="I2804" i="496"/>
  <c r="H2804" i="496"/>
  <c r="E2804" i="496"/>
  <c r="D2804" i="496"/>
  <c r="C2804" i="496"/>
  <c r="BE2803" i="496"/>
  <c r="BC2803" i="496"/>
  <c r="I2803" i="496"/>
  <c r="H2803" i="496"/>
  <c r="E2803" i="496"/>
  <c r="D2803" i="496"/>
  <c r="C2803" i="496"/>
  <c r="BE2802" i="496"/>
  <c r="BC2802" i="496"/>
  <c r="I2802" i="496"/>
  <c r="H2802" i="496"/>
  <c r="E2802" i="496"/>
  <c r="D2802" i="496"/>
  <c r="C2802" i="496"/>
  <c r="BE2801" i="496"/>
  <c r="BC2801" i="496"/>
  <c r="I2801" i="496"/>
  <c r="H2801" i="496"/>
  <c r="E2801" i="496"/>
  <c r="D2801" i="496"/>
  <c r="C2801" i="496"/>
  <c r="BE2800" i="496"/>
  <c r="BC2800" i="496"/>
  <c r="I2800" i="496"/>
  <c r="H2800" i="496"/>
  <c r="E2800" i="496"/>
  <c r="D2800" i="496"/>
  <c r="C2800" i="496"/>
  <c r="BE2799" i="496"/>
  <c r="BC2799" i="496"/>
  <c r="I2799" i="496"/>
  <c r="H2799" i="496"/>
  <c r="E2799" i="496"/>
  <c r="D2799" i="496"/>
  <c r="C2799" i="496"/>
  <c r="BE2798" i="496"/>
  <c r="BC2798" i="496"/>
  <c r="I2798" i="496"/>
  <c r="H2798" i="496"/>
  <c r="E2798" i="496"/>
  <c r="D2798" i="496"/>
  <c r="C2798" i="496"/>
  <c r="BE2797" i="496"/>
  <c r="BC2797" i="496"/>
  <c r="I2797" i="496"/>
  <c r="H2797" i="496"/>
  <c r="E2797" i="496"/>
  <c r="D2797" i="496"/>
  <c r="C2797" i="496"/>
  <c r="BE2796" i="496"/>
  <c r="BC2796" i="496"/>
  <c r="I2796" i="496"/>
  <c r="H2796" i="496"/>
  <c r="E2796" i="496"/>
  <c r="D2796" i="496"/>
  <c r="C2796" i="496"/>
  <c r="BE2795" i="496"/>
  <c r="BC2795" i="496"/>
  <c r="I2795" i="496"/>
  <c r="H2795" i="496"/>
  <c r="E2795" i="496"/>
  <c r="D2795" i="496"/>
  <c r="C2795" i="496"/>
  <c r="BE2794" i="496"/>
  <c r="BC2794" i="496"/>
  <c r="I2794" i="496"/>
  <c r="H2794" i="496"/>
  <c r="E2794" i="496"/>
  <c r="D2794" i="496"/>
  <c r="C2794" i="496"/>
  <c r="BE2793" i="496"/>
  <c r="BC2793" i="496"/>
  <c r="I2793" i="496"/>
  <c r="H2793" i="496"/>
  <c r="E2793" i="496"/>
  <c r="D2793" i="496"/>
  <c r="C2793" i="496"/>
  <c r="BE2792" i="496"/>
  <c r="BC2792" i="496"/>
  <c r="I2792" i="496"/>
  <c r="H2792" i="496"/>
  <c r="E2792" i="496"/>
  <c r="D2792" i="496"/>
  <c r="C2792" i="496"/>
  <c r="BE2791" i="496"/>
  <c r="BC2791" i="496"/>
  <c r="I2791" i="496"/>
  <c r="H2791" i="496"/>
  <c r="E2791" i="496"/>
  <c r="D2791" i="496"/>
  <c r="C2791" i="496"/>
  <c r="BE2790" i="496"/>
  <c r="BC2790" i="496"/>
  <c r="I2790" i="496"/>
  <c r="H2790" i="496"/>
  <c r="E2790" i="496"/>
  <c r="D2790" i="496"/>
  <c r="C2790" i="496"/>
  <c r="BE2789" i="496"/>
  <c r="BC2789" i="496"/>
  <c r="I2789" i="496"/>
  <c r="H2789" i="496"/>
  <c r="E2789" i="496"/>
  <c r="D2789" i="496"/>
  <c r="C2789" i="496"/>
  <c r="BE2788" i="496"/>
  <c r="BC2788" i="496"/>
  <c r="I2788" i="496"/>
  <c r="H2788" i="496"/>
  <c r="E2788" i="496"/>
  <c r="D2788" i="496"/>
  <c r="C2788" i="496"/>
  <c r="BE2787" i="496"/>
  <c r="BC2787" i="496"/>
  <c r="I2787" i="496"/>
  <c r="H2787" i="496"/>
  <c r="E2787" i="496"/>
  <c r="D2787" i="496"/>
  <c r="C2787" i="496"/>
  <c r="BE2786" i="496"/>
  <c r="BC2786" i="496"/>
  <c r="I2786" i="496"/>
  <c r="H2786" i="496"/>
  <c r="E2786" i="496"/>
  <c r="D2786" i="496"/>
  <c r="C2786" i="496"/>
  <c r="BE2785" i="496"/>
  <c r="BC2785" i="496"/>
  <c r="I2785" i="496"/>
  <c r="H2785" i="496"/>
  <c r="E2785" i="496"/>
  <c r="D2785" i="496"/>
  <c r="C2785" i="496"/>
  <c r="BE2784" i="496"/>
  <c r="BC2784" i="496"/>
  <c r="I2784" i="496"/>
  <c r="H2784" i="496"/>
  <c r="E2784" i="496"/>
  <c r="D2784" i="496"/>
  <c r="C2784" i="496"/>
  <c r="BE2783" i="496"/>
  <c r="BC2783" i="496"/>
  <c r="I2783" i="496"/>
  <c r="H2783" i="496"/>
  <c r="E2783" i="496"/>
  <c r="D2783" i="496"/>
  <c r="C2783" i="496"/>
  <c r="BE2782" i="496"/>
  <c r="BC2782" i="496"/>
  <c r="I2782" i="496"/>
  <c r="H2782" i="496"/>
  <c r="E2782" i="496"/>
  <c r="D2782" i="496"/>
  <c r="C2782" i="496"/>
  <c r="BE2781" i="496"/>
  <c r="BC2781" i="496"/>
  <c r="I2781" i="496"/>
  <c r="H2781" i="496"/>
  <c r="E2781" i="496"/>
  <c r="D2781" i="496"/>
  <c r="C2781" i="496"/>
  <c r="BE2780" i="496"/>
  <c r="BC2780" i="496"/>
  <c r="I2780" i="496"/>
  <c r="H2780" i="496"/>
  <c r="E2780" i="496"/>
  <c r="D2780" i="496"/>
  <c r="C2780" i="496"/>
  <c r="BE2779" i="496"/>
  <c r="BC2779" i="496"/>
  <c r="I2779" i="496"/>
  <c r="H2779" i="496"/>
  <c r="E2779" i="496"/>
  <c r="D2779" i="496"/>
  <c r="C2779" i="496"/>
  <c r="BE2778" i="496"/>
  <c r="BC2778" i="496"/>
  <c r="I2778" i="496"/>
  <c r="H2778" i="496"/>
  <c r="E2778" i="496"/>
  <c r="D2778" i="496"/>
  <c r="C2778" i="496"/>
  <c r="BE2777" i="496"/>
  <c r="BC2777" i="496"/>
  <c r="I2777" i="496"/>
  <c r="H2777" i="496"/>
  <c r="E2777" i="496"/>
  <c r="D2777" i="496"/>
  <c r="C2777" i="496"/>
  <c r="BE2776" i="496"/>
  <c r="BC2776" i="496"/>
  <c r="I2776" i="496"/>
  <c r="H2776" i="496"/>
  <c r="E2776" i="496"/>
  <c r="D2776" i="496"/>
  <c r="C2776" i="496"/>
  <c r="BE2775" i="496"/>
  <c r="BC2775" i="496"/>
  <c r="I2775" i="496"/>
  <c r="H2775" i="496"/>
  <c r="E2775" i="496"/>
  <c r="D2775" i="496"/>
  <c r="C2775" i="496"/>
  <c r="BE2774" i="496"/>
  <c r="BC2774" i="496"/>
  <c r="I2774" i="496"/>
  <c r="H2774" i="496"/>
  <c r="E2774" i="496"/>
  <c r="D2774" i="496"/>
  <c r="C2774" i="496"/>
  <c r="BE2773" i="496"/>
  <c r="BC2773" i="496"/>
  <c r="I2773" i="496"/>
  <c r="H2773" i="496"/>
  <c r="E2773" i="496"/>
  <c r="D2773" i="496"/>
  <c r="C2773" i="496"/>
  <c r="BE2772" i="496"/>
  <c r="BC2772" i="496"/>
  <c r="I2772" i="496"/>
  <c r="H2772" i="496"/>
  <c r="E2772" i="496"/>
  <c r="D2772" i="496"/>
  <c r="C2772" i="496"/>
  <c r="BE2771" i="496"/>
  <c r="BC2771" i="496"/>
  <c r="I2771" i="496"/>
  <c r="H2771" i="496"/>
  <c r="E2771" i="496"/>
  <c r="D2771" i="496"/>
  <c r="C2771" i="496"/>
  <c r="BE2770" i="496"/>
  <c r="BC2770" i="496"/>
  <c r="I2770" i="496"/>
  <c r="H2770" i="496"/>
  <c r="E2770" i="496"/>
  <c r="D2770" i="496"/>
  <c r="C2770" i="496"/>
  <c r="BE2769" i="496"/>
  <c r="BC2769" i="496"/>
  <c r="I2769" i="496"/>
  <c r="H2769" i="496"/>
  <c r="E2769" i="496"/>
  <c r="D2769" i="496"/>
  <c r="C2769" i="496"/>
  <c r="BE2768" i="496"/>
  <c r="BC2768" i="496"/>
  <c r="I2768" i="496"/>
  <c r="H2768" i="496"/>
  <c r="E2768" i="496"/>
  <c r="D2768" i="496"/>
  <c r="C2768" i="496"/>
  <c r="BE2767" i="496"/>
  <c r="BC2767" i="496"/>
  <c r="I2767" i="496"/>
  <c r="H2767" i="496"/>
  <c r="E2767" i="496"/>
  <c r="D2767" i="496"/>
  <c r="C2767" i="496"/>
  <c r="BE2766" i="496"/>
  <c r="BC2766" i="496"/>
  <c r="I2766" i="496"/>
  <c r="H2766" i="496"/>
  <c r="E2766" i="496"/>
  <c r="D2766" i="496"/>
  <c r="C2766" i="496"/>
  <c r="BE2765" i="496"/>
  <c r="BC2765" i="496"/>
  <c r="I2765" i="496"/>
  <c r="H2765" i="496"/>
  <c r="E2765" i="496"/>
  <c r="D2765" i="496"/>
  <c r="C2765" i="496"/>
  <c r="BE2764" i="496"/>
  <c r="BC2764" i="496"/>
  <c r="I2764" i="496"/>
  <c r="H2764" i="496"/>
  <c r="E2764" i="496"/>
  <c r="D2764" i="496"/>
  <c r="C2764" i="496"/>
  <c r="BE2763" i="496"/>
  <c r="BC2763" i="496"/>
  <c r="I2763" i="496"/>
  <c r="H2763" i="496"/>
  <c r="E2763" i="496"/>
  <c r="D2763" i="496"/>
  <c r="C2763" i="496"/>
  <c r="BE2762" i="496"/>
  <c r="BC2762" i="496"/>
  <c r="I2762" i="496"/>
  <c r="H2762" i="496"/>
  <c r="E2762" i="496"/>
  <c r="D2762" i="496"/>
  <c r="C2762" i="496"/>
  <c r="BE2761" i="496"/>
  <c r="BC2761" i="496"/>
  <c r="I2761" i="496"/>
  <c r="H2761" i="496"/>
  <c r="E2761" i="496"/>
  <c r="D2761" i="496"/>
  <c r="C2761" i="496"/>
  <c r="BE2760" i="496"/>
  <c r="BC2760" i="496"/>
  <c r="I2760" i="496"/>
  <c r="H2760" i="496"/>
  <c r="E2760" i="496"/>
  <c r="D2760" i="496"/>
  <c r="C2760" i="496"/>
  <c r="BE2759" i="496"/>
  <c r="BC2759" i="496"/>
  <c r="I2759" i="496"/>
  <c r="H2759" i="496"/>
  <c r="E2759" i="496"/>
  <c r="D2759" i="496"/>
  <c r="C2759" i="496"/>
  <c r="BE2758" i="496"/>
  <c r="BC2758" i="496"/>
  <c r="I2758" i="496"/>
  <c r="H2758" i="496"/>
  <c r="E2758" i="496"/>
  <c r="D2758" i="496"/>
  <c r="C2758" i="496"/>
  <c r="BE2757" i="496"/>
  <c r="BC2757" i="496"/>
  <c r="I2757" i="496"/>
  <c r="H2757" i="496"/>
  <c r="E2757" i="496"/>
  <c r="D2757" i="496"/>
  <c r="C2757" i="496"/>
  <c r="BE2756" i="496"/>
  <c r="BC2756" i="496"/>
  <c r="I2756" i="496"/>
  <c r="H2756" i="496"/>
  <c r="E2756" i="496"/>
  <c r="D2756" i="496"/>
  <c r="C2756" i="496"/>
  <c r="BE2755" i="496"/>
  <c r="BC2755" i="496"/>
  <c r="I2755" i="496"/>
  <c r="H2755" i="496"/>
  <c r="E2755" i="496"/>
  <c r="D2755" i="496"/>
  <c r="C2755" i="496"/>
  <c r="BE2754" i="496"/>
  <c r="BC2754" i="496"/>
  <c r="I2754" i="496"/>
  <c r="H2754" i="496"/>
  <c r="E2754" i="496"/>
  <c r="D2754" i="496"/>
  <c r="C2754" i="496"/>
  <c r="BE2753" i="496"/>
  <c r="BC2753" i="496"/>
  <c r="I2753" i="496"/>
  <c r="H2753" i="496"/>
  <c r="E2753" i="496"/>
  <c r="D2753" i="496"/>
  <c r="C2753" i="496"/>
  <c r="BE2752" i="496"/>
  <c r="BC2752" i="496"/>
  <c r="I2752" i="496"/>
  <c r="H2752" i="496"/>
  <c r="E2752" i="496"/>
  <c r="D2752" i="496"/>
  <c r="C2752" i="496"/>
  <c r="BE2751" i="496"/>
  <c r="BC2751" i="496"/>
  <c r="I2751" i="496"/>
  <c r="H2751" i="496"/>
  <c r="E2751" i="496"/>
  <c r="D2751" i="496"/>
  <c r="C2751" i="496"/>
  <c r="BE2750" i="496"/>
  <c r="BC2750" i="496"/>
  <c r="I2750" i="496"/>
  <c r="H2750" i="496"/>
  <c r="E2750" i="496"/>
  <c r="D2750" i="496"/>
  <c r="C2750" i="496"/>
  <c r="BE2749" i="496"/>
  <c r="BC2749" i="496"/>
  <c r="I2749" i="496"/>
  <c r="H2749" i="496"/>
  <c r="E2749" i="496"/>
  <c r="D2749" i="496"/>
  <c r="C2749" i="496"/>
  <c r="BE2748" i="496"/>
  <c r="BC2748" i="496"/>
  <c r="I2748" i="496"/>
  <c r="H2748" i="496"/>
  <c r="E2748" i="496"/>
  <c r="D2748" i="496"/>
  <c r="C2748" i="496"/>
  <c r="BE2747" i="496"/>
  <c r="BC2747" i="496"/>
  <c r="I2747" i="496"/>
  <c r="H2747" i="496"/>
  <c r="E2747" i="496"/>
  <c r="D2747" i="496"/>
  <c r="C2747" i="496"/>
  <c r="BE2746" i="496"/>
  <c r="BC2746" i="496"/>
  <c r="I2746" i="496"/>
  <c r="H2746" i="496"/>
  <c r="E2746" i="496"/>
  <c r="D2746" i="496"/>
  <c r="C2746" i="496"/>
  <c r="BE2745" i="496"/>
  <c r="BC2745" i="496"/>
  <c r="I2745" i="496"/>
  <c r="H2745" i="496"/>
  <c r="E2745" i="496"/>
  <c r="D2745" i="496"/>
  <c r="C2745" i="496"/>
  <c r="BE2744" i="496"/>
  <c r="BC2744" i="496"/>
  <c r="I2744" i="496"/>
  <c r="H2744" i="496"/>
  <c r="E2744" i="496"/>
  <c r="D2744" i="496"/>
  <c r="C2744" i="496"/>
  <c r="BE2743" i="496"/>
  <c r="BC2743" i="496"/>
  <c r="I2743" i="496"/>
  <c r="H2743" i="496"/>
  <c r="E2743" i="496"/>
  <c r="D2743" i="496"/>
  <c r="C2743" i="496"/>
  <c r="BE2742" i="496"/>
  <c r="BC2742" i="496"/>
  <c r="I2742" i="496"/>
  <c r="H2742" i="496"/>
  <c r="E2742" i="496"/>
  <c r="D2742" i="496"/>
  <c r="C2742" i="496"/>
  <c r="BE2741" i="496"/>
  <c r="BC2741" i="496"/>
  <c r="I2741" i="496"/>
  <c r="H2741" i="496"/>
  <c r="E2741" i="496"/>
  <c r="D2741" i="496"/>
  <c r="C2741" i="496"/>
  <c r="BE2740" i="496"/>
  <c r="BC2740" i="496"/>
  <c r="I2740" i="496"/>
  <c r="H2740" i="496"/>
  <c r="E2740" i="496"/>
  <c r="D2740" i="496"/>
  <c r="C2740" i="496"/>
  <c r="BE2739" i="496"/>
  <c r="BC2739" i="496"/>
  <c r="I2739" i="496"/>
  <c r="H2739" i="496"/>
  <c r="E2739" i="496"/>
  <c r="D2739" i="496"/>
  <c r="C2739" i="496"/>
  <c r="BE2738" i="496"/>
  <c r="BC2738" i="496"/>
  <c r="I2738" i="496"/>
  <c r="H2738" i="496"/>
  <c r="E2738" i="496"/>
  <c r="D2738" i="496"/>
  <c r="C2738" i="496"/>
  <c r="BE2737" i="496"/>
  <c r="BC2737" i="496"/>
  <c r="I2737" i="496"/>
  <c r="H2737" i="496"/>
  <c r="E2737" i="496"/>
  <c r="D2737" i="496"/>
  <c r="C2737" i="496"/>
  <c r="BE2736" i="496"/>
  <c r="BC2736" i="496"/>
  <c r="I2736" i="496"/>
  <c r="H2736" i="496"/>
  <c r="E2736" i="496"/>
  <c r="D2736" i="496"/>
  <c r="C2736" i="496"/>
  <c r="BE2735" i="496"/>
  <c r="BC2735" i="496"/>
  <c r="I2735" i="496"/>
  <c r="H2735" i="496"/>
  <c r="E2735" i="496"/>
  <c r="D2735" i="496"/>
  <c r="C2735" i="496"/>
  <c r="BE2734" i="496"/>
  <c r="BC2734" i="496"/>
  <c r="I2734" i="496"/>
  <c r="H2734" i="496"/>
  <c r="E2734" i="496"/>
  <c r="D2734" i="496"/>
  <c r="C2734" i="496"/>
  <c r="BE2733" i="496"/>
  <c r="BC2733" i="496"/>
  <c r="I2733" i="496"/>
  <c r="H2733" i="496"/>
  <c r="E2733" i="496"/>
  <c r="D2733" i="496"/>
  <c r="C2733" i="496"/>
  <c r="BE2732" i="496"/>
  <c r="BC2732" i="496"/>
  <c r="I2732" i="496"/>
  <c r="H2732" i="496"/>
  <c r="E2732" i="496"/>
  <c r="D2732" i="496"/>
  <c r="C2732" i="496"/>
  <c r="BE2731" i="496"/>
  <c r="BC2731" i="496"/>
  <c r="I2731" i="496"/>
  <c r="H2731" i="496"/>
  <c r="E2731" i="496"/>
  <c r="D2731" i="496"/>
  <c r="C2731" i="496"/>
  <c r="BE2730" i="496"/>
  <c r="BC2730" i="496"/>
  <c r="I2730" i="496"/>
  <c r="H2730" i="496"/>
  <c r="E2730" i="496"/>
  <c r="D2730" i="496"/>
  <c r="C2730" i="496"/>
  <c r="BE2729" i="496"/>
  <c r="BC2729" i="496"/>
  <c r="I2729" i="496"/>
  <c r="H2729" i="496"/>
  <c r="E2729" i="496"/>
  <c r="D2729" i="496"/>
  <c r="C2729" i="496"/>
  <c r="BE2728" i="496"/>
  <c r="BC2728" i="496"/>
  <c r="I2728" i="496"/>
  <c r="H2728" i="496"/>
  <c r="E2728" i="496"/>
  <c r="D2728" i="496"/>
  <c r="C2728" i="496"/>
  <c r="BE2727" i="496"/>
  <c r="BC2727" i="496"/>
  <c r="I2727" i="496"/>
  <c r="H2727" i="496"/>
  <c r="E2727" i="496"/>
  <c r="D2727" i="496"/>
  <c r="C2727" i="496"/>
  <c r="BE2726" i="496"/>
  <c r="BC2726" i="496"/>
  <c r="I2726" i="496"/>
  <c r="H2726" i="496"/>
  <c r="E2726" i="496"/>
  <c r="D2726" i="496"/>
  <c r="C2726" i="496"/>
  <c r="BE2725" i="496"/>
  <c r="BC2725" i="496"/>
  <c r="I2725" i="496"/>
  <c r="H2725" i="496"/>
  <c r="E2725" i="496"/>
  <c r="D2725" i="496"/>
  <c r="C2725" i="496"/>
  <c r="BE2724" i="496"/>
  <c r="BC2724" i="496"/>
  <c r="I2724" i="496"/>
  <c r="H2724" i="496"/>
  <c r="E2724" i="496"/>
  <c r="D2724" i="496"/>
  <c r="C2724" i="496"/>
  <c r="BE2723" i="496"/>
  <c r="BC2723" i="496"/>
  <c r="I2723" i="496"/>
  <c r="H2723" i="496"/>
  <c r="E2723" i="496"/>
  <c r="D2723" i="496"/>
  <c r="C2723" i="496"/>
  <c r="BE2722" i="496"/>
  <c r="BC2722" i="496"/>
  <c r="I2722" i="496"/>
  <c r="H2722" i="496"/>
  <c r="E2722" i="496"/>
  <c r="D2722" i="496"/>
  <c r="C2722" i="496"/>
  <c r="BE2721" i="496"/>
  <c r="BC2721" i="496"/>
  <c r="I2721" i="496"/>
  <c r="H2721" i="496"/>
  <c r="E2721" i="496"/>
  <c r="D2721" i="496"/>
  <c r="C2721" i="496"/>
  <c r="BE2720" i="496"/>
  <c r="BC2720" i="496"/>
  <c r="I2720" i="496"/>
  <c r="H2720" i="496"/>
  <c r="E2720" i="496"/>
  <c r="D2720" i="496"/>
  <c r="C2720" i="496"/>
  <c r="BE2719" i="496"/>
  <c r="BC2719" i="496"/>
  <c r="I2719" i="496"/>
  <c r="H2719" i="496"/>
  <c r="E2719" i="496"/>
  <c r="D2719" i="496"/>
  <c r="C2719" i="496"/>
  <c r="BE2718" i="496"/>
  <c r="BC2718" i="496"/>
  <c r="I2718" i="496"/>
  <c r="H2718" i="496"/>
  <c r="E2718" i="496"/>
  <c r="D2718" i="496"/>
  <c r="C2718" i="496"/>
  <c r="BE2717" i="496"/>
  <c r="BC2717" i="496"/>
  <c r="I2717" i="496"/>
  <c r="H2717" i="496"/>
  <c r="E2717" i="496"/>
  <c r="D2717" i="496"/>
  <c r="C2717" i="496"/>
  <c r="BE2716" i="496"/>
  <c r="BC2716" i="496"/>
  <c r="I2716" i="496"/>
  <c r="H2716" i="496"/>
  <c r="E2716" i="496"/>
  <c r="D2716" i="496"/>
  <c r="C2716" i="496"/>
  <c r="BE2715" i="496"/>
  <c r="BC2715" i="496"/>
  <c r="I2715" i="496"/>
  <c r="H2715" i="496"/>
  <c r="E2715" i="496"/>
  <c r="D2715" i="496"/>
  <c r="C2715" i="496"/>
  <c r="BE2714" i="496"/>
  <c r="BC2714" i="496"/>
  <c r="I2714" i="496"/>
  <c r="H2714" i="496"/>
  <c r="E2714" i="496"/>
  <c r="D2714" i="496"/>
  <c r="C2714" i="496"/>
  <c r="BE2713" i="496"/>
  <c r="BC2713" i="496"/>
  <c r="I2713" i="496"/>
  <c r="H2713" i="496"/>
  <c r="E2713" i="496"/>
  <c r="D2713" i="496"/>
  <c r="C2713" i="496"/>
  <c r="BE2712" i="496"/>
  <c r="BC2712" i="496"/>
  <c r="I2712" i="496"/>
  <c r="H2712" i="496"/>
  <c r="E2712" i="496"/>
  <c r="D2712" i="496"/>
  <c r="C2712" i="496"/>
  <c r="BE2711" i="496"/>
  <c r="BC2711" i="496"/>
  <c r="I2711" i="496"/>
  <c r="H2711" i="496"/>
  <c r="E2711" i="496"/>
  <c r="D2711" i="496"/>
  <c r="C2711" i="496"/>
  <c r="BE2710" i="496"/>
  <c r="BC2710" i="496"/>
  <c r="I2710" i="496"/>
  <c r="H2710" i="496"/>
  <c r="E2710" i="496"/>
  <c r="D2710" i="496"/>
  <c r="C2710" i="496"/>
  <c r="BE2709" i="496"/>
  <c r="BC2709" i="496"/>
  <c r="I2709" i="496"/>
  <c r="H2709" i="496"/>
  <c r="E2709" i="496"/>
  <c r="D2709" i="496"/>
  <c r="C2709" i="496"/>
  <c r="BE2708" i="496"/>
  <c r="BC2708" i="496"/>
  <c r="I2708" i="496"/>
  <c r="H2708" i="496"/>
  <c r="E2708" i="496"/>
  <c r="D2708" i="496"/>
  <c r="C2708" i="496"/>
  <c r="BE2707" i="496"/>
  <c r="BC2707" i="496"/>
  <c r="I2707" i="496"/>
  <c r="H2707" i="496"/>
  <c r="E2707" i="496"/>
  <c r="D2707" i="496"/>
  <c r="C2707" i="496"/>
  <c r="BE2706" i="496"/>
  <c r="BC2706" i="496"/>
  <c r="I2706" i="496"/>
  <c r="H2706" i="496"/>
  <c r="E2706" i="496"/>
  <c r="D2706" i="496"/>
  <c r="C2706" i="496"/>
  <c r="BE2705" i="496"/>
  <c r="BC2705" i="496"/>
  <c r="I2705" i="496"/>
  <c r="H2705" i="496"/>
  <c r="E2705" i="496"/>
  <c r="D2705" i="496"/>
  <c r="C2705" i="496"/>
  <c r="BE2704" i="496"/>
  <c r="BC2704" i="496"/>
  <c r="I2704" i="496"/>
  <c r="H2704" i="496"/>
  <c r="E2704" i="496"/>
  <c r="D2704" i="496"/>
  <c r="C2704" i="496"/>
  <c r="BE2703" i="496"/>
  <c r="BC2703" i="496"/>
  <c r="I2703" i="496"/>
  <c r="H2703" i="496"/>
  <c r="E2703" i="496"/>
  <c r="D2703" i="496"/>
  <c r="C2703" i="496"/>
  <c r="BE2702" i="496"/>
  <c r="BC2702" i="496"/>
  <c r="I2702" i="496"/>
  <c r="H2702" i="496"/>
  <c r="E2702" i="496"/>
  <c r="D2702" i="496"/>
  <c r="C2702" i="496"/>
  <c r="BE2701" i="496"/>
  <c r="BC2701" i="496"/>
  <c r="I2701" i="496"/>
  <c r="H2701" i="496"/>
  <c r="E2701" i="496"/>
  <c r="D2701" i="496"/>
  <c r="C2701" i="496"/>
  <c r="BE2700" i="496"/>
  <c r="BC2700" i="496"/>
  <c r="I2700" i="496"/>
  <c r="H2700" i="496"/>
  <c r="E2700" i="496"/>
  <c r="D2700" i="496"/>
  <c r="C2700" i="496"/>
  <c r="BE2699" i="496"/>
  <c r="BC2699" i="496"/>
  <c r="I2699" i="496"/>
  <c r="H2699" i="496"/>
  <c r="E2699" i="496"/>
  <c r="D2699" i="496"/>
  <c r="C2699" i="496"/>
  <c r="BE2698" i="496"/>
  <c r="BC2698" i="496"/>
  <c r="I2698" i="496"/>
  <c r="H2698" i="496"/>
  <c r="E2698" i="496"/>
  <c r="D2698" i="496"/>
  <c r="C2698" i="496"/>
  <c r="BE2697" i="496"/>
  <c r="BC2697" i="496"/>
  <c r="I2697" i="496"/>
  <c r="H2697" i="496"/>
  <c r="E2697" i="496"/>
  <c r="D2697" i="496"/>
  <c r="C2697" i="496"/>
  <c r="BE2696" i="496"/>
  <c r="BC2696" i="496"/>
  <c r="I2696" i="496"/>
  <c r="H2696" i="496"/>
  <c r="E2696" i="496"/>
  <c r="D2696" i="496"/>
  <c r="C2696" i="496"/>
  <c r="BE2695" i="496"/>
  <c r="BC2695" i="496"/>
  <c r="I2695" i="496"/>
  <c r="H2695" i="496"/>
  <c r="E2695" i="496"/>
  <c r="D2695" i="496"/>
  <c r="C2695" i="496"/>
  <c r="BE2694" i="496"/>
  <c r="BC2694" i="496"/>
  <c r="I2694" i="496"/>
  <c r="H2694" i="496"/>
  <c r="E2694" i="496"/>
  <c r="D2694" i="496"/>
  <c r="C2694" i="496"/>
  <c r="BE2693" i="496"/>
  <c r="BC2693" i="496"/>
  <c r="I2693" i="496"/>
  <c r="H2693" i="496"/>
  <c r="E2693" i="496"/>
  <c r="D2693" i="496"/>
  <c r="C2693" i="496"/>
  <c r="BE2692" i="496"/>
  <c r="BC2692" i="496"/>
  <c r="I2692" i="496"/>
  <c r="H2692" i="496"/>
  <c r="E2692" i="496"/>
  <c r="D2692" i="496"/>
  <c r="C2692" i="496"/>
  <c r="BE2691" i="496"/>
  <c r="BC2691" i="496"/>
  <c r="I2691" i="496"/>
  <c r="H2691" i="496"/>
  <c r="E2691" i="496"/>
  <c r="D2691" i="496"/>
  <c r="C2691" i="496"/>
  <c r="BE2690" i="496"/>
  <c r="BC2690" i="496"/>
  <c r="I2690" i="496"/>
  <c r="H2690" i="496"/>
  <c r="E2690" i="496"/>
  <c r="D2690" i="496"/>
  <c r="C2690" i="496"/>
  <c r="BE2689" i="496"/>
  <c r="BC2689" i="496"/>
  <c r="I2689" i="496"/>
  <c r="H2689" i="496"/>
  <c r="E2689" i="496"/>
  <c r="D2689" i="496"/>
  <c r="C2689" i="496"/>
  <c r="BE2688" i="496"/>
  <c r="BC2688" i="496"/>
  <c r="I2688" i="496"/>
  <c r="H2688" i="496"/>
  <c r="E2688" i="496"/>
  <c r="D2688" i="496"/>
  <c r="C2688" i="496"/>
  <c r="BE2687" i="496"/>
  <c r="BC2687" i="496"/>
  <c r="I2687" i="496"/>
  <c r="H2687" i="496"/>
  <c r="E2687" i="496"/>
  <c r="D2687" i="496"/>
  <c r="C2687" i="496"/>
  <c r="BE2686" i="496"/>
  <c r="BC2686" i="496"/>
  <c r="I2686" i="496"/>
  <c r="H2686" i="496"/>
  <c r="E2686" i="496"/>
  <c r="D2686" i="496"/>
  <c r="C2686" i="496"/>
  <c r="BE2685" i="496"/>
  <c r="BC2685" i="496"/>
  <c r="I2685" i="496"/>
  <c r="H2685" i="496"/>
  <c r="E2685" i="496"/>
  <c r="D2685" i="496"/>
  <c r="C2685" i="496"/>
  <c r="BE2684" i="496"/>
  <c r="BC2684" i="496"/>
  <c r="I2684" i="496"/>
  <c r="H2684" i="496"/>
  <c r="E2684" i="496"/>
  <c r="D2684" i="496"/>
  <c r="C2684" i="496"/>
  <c r="BE2683" i="496"/>
  <c r="BC2683" i="496"/>
  <c r="I2683" i="496"/>
  <c r="H2683" i="496"/>
  <c r="E2683" i="496"/>
  <c r="D2683" i="496"/>
  <c r="C2683" i="496"/>
  <c r="BE2682" i="496"/>
  <c r="BC2682" i="496"/>
  <c r="I2682" i="496"/>
  <c r="H2682" i="496"/>
  <c r="E2682" i="496"/>
  <c r="D2682" i="496"/>
  <c r="C2682" i="496"/>
  <c r="BE2681" i="496"/>
  <c r="BC2681" i="496"/>
  <c r="I2681" i="496"/>
  <c r="H2681" i="496"/>
  <c r="E2681" i="496"/>
  <c r="D2681" i="496"/>
  <c r="C2681" i="496"/>
  <c r="BE2680" i="496"/>
  <c r="BC2680" i="496"/>
  <c r="I2680" i="496"/>
  <c r="H2680" i="496"/>
  <c r="E2680" i="496"/>
  <c r="D2680" i="496"/>
  <c r="C2680" i="496"/>
  <c r="BE2679" i="496"/>
  <c r="BC2679" i="496"/>
  <c r="I2679" i="496"/>
  <c r="H2679" i="496"/>
  <c r="E2679" i="496"/>
  <c r="D2679" i="496"/>
  <c r="C2679" i="496"/>
  <c r="BE2678" i="496"/>
  <c r="BC2678" i="496"/>
  <c r="I2678" i="496"/>
  <c r="H2678" i="496"/>
  <c r="E2678" i="496"/>
  <c r="D2678" i="496"/>
  <c r="C2678" i="496"/>
  <c r="BE2677" i="496"/>
  <c r="BC2677" i="496"/>
  <c r="I2677" i="496"/>
  <c r="H2677" i="496"/>
  <c r="E2677" i="496"/>
  <c r="D2677" i="496"/>
  <c r="C2677" i="496"/>
  <c r="BE2676" i="496"/>
  <c r="BC2676" i="496"/>
  <c r="I2676" i="496"/>
  <c r="H2676" i="496"/>
  <c r="E2676" i="496"/>
  <c r="D2676" i="496"/>
  <c r="C2676" i="496"/>
  <c r="BE2675" i="496"/>
  <c r="BC2675" i="496"/>
  <c r="I2675" i="496"/>
  <c r="H2675" i="496"/>
  <c r="E2675" i="496"/>
  <c r="D2675" i="496"/>
  <c r="C2675" i="496"/>
  <c r="BE2674" i="496"/>
  <c r="BC2674" i="496"/>
  <c r="I2674" i="496"/>
  <c r="H2674" i="496"/>
  <c r="E2674" i="496"/>
  <c r="D2674" i="496"/>
  <c r="C2674" i="496"/>
  <c r="BE2673" i="496"/>
  <c r="BC2673" i="496"/>
  <c r="I2673" i="496"/>
  <c r="H2673" i="496"/>
  <c r="E2673" i="496"/>
  <c r="D2673" i="496"/>
  <c r="C2673" i="496"/>
  <c r="BE2672" i="496"/>
  <c r="BC2672" i="496"/>
  <c r="I2672" i="496"/>
  <c r="H2672" i="496"/>
  <c r="E2672" i="496"/>
  <c r="D2672" i="496"/>
  <c r="C2672" i="496"/>
  <c r="BE2671" i="496"/>
  <c r="BC2671" i="496"/>
  <c r="I2671" i="496"/>
  <c r="H2671" i="496"/>
  <c r="E2671" i="496"/>
  <c r="D2671" i="496"/>
  <c r="C2671" i="496"/>
  <c r="BE2670" i="496"/>
  <c r="BC2670" i="496"/>
  <c r="I2670" i="496"/>
  <c r="H2670" i="496"/>
  <c r="E2670" i="496"/>
  <c r="D2670" i="496"/>
  <c r="C2670" i="496"/>
  <c r="BE2669" i="496"/>
  <c r="BC2669" i="496"/>
  <c r="I2669" i="496"/>
  <c r="H2669" i="496"/>
  <c r="E2669" i="496"/>
  <c r="D2669" i="496"/>
  <c r="C2669" i="496"/>
  <c r="BE2668" i="496"/>
  <c r="BC2668" i="496"/>
  <c r="I2668" i="496"/>
  <c r="H2668" i="496"/>
  <c r="E2668" i="496"/>
  <c r="D2668" i="496"/>
  <c r="C2668" i="496"/>
  <c r="BE2667" i="496"/>
  <c r="BC2667" i="496"/>
  <c r="I2667" i="496"/>
  <c r="H2667" i="496"/>
  <c r="E2667" i="496"/>
  <c r="D2667" i="496"/>
  <c r="C2667" i="496"/>
  <c r="BE2666" i="496"/>
  <c r="BC2666" i="496"/>
  <c r="I2666" i="496"/>
  <c r="H2666" i="496"/>
  <c r="E2666" i="496"/>
  <c r="D2666" i="496"/>
  <c r="C2666" i="496"/>
  <c r="BE2665" i="496"/>
  <c r="BC2665" i="496"/>
  <c r="I2665" i="496"/>
  <c r="H2665" i="496"/>
  <c r="E2665" i="496"/>
  <c r="D2665" i="496"/>
  <c r="C2665" i="496"/>
  <c r="BE2664" i="496"/>
  <c r="BC2664" i="496"/>
  <c r="I2664" i="496"/>
  <c r="H2664" i="496"/>
  <c r="E2664" i="496"/>
  <c r="D2664" i="496"/>
  <c r="C2664" i="496"/>
  <c r="BE2663" i="496"/>
  <c r="BC2663" i="496"/>
  <c r="I2663" i="496"/>
  <c r="H2663" i="496"/>
  <c r="E2663" i="496"/>
  <c r="D2663" i="496"/>
  <c r="C2663" i="496"/>
  <c r="BE2662" i="496"/>
  <c r="BC2662" i="496"/>
  <c r="I2662" i="496"/>
  <c r="H2662" i="496"/>
  <c r="E2662" i="496"/>
  <c r="D2662" i="496"/>
  <c r="C2662" i="496"/>
  <c r="BE2661" i="496"/>
  <c r="BC2661" i="496"/>
  <c r="I2661" i="496"/>
  <c r="H2661" i="496"/>
  <c r="E2661" i="496"/>
  <c r="D2661" i="496"/>
  <c r="C2661" i="496"/>
  <c r="BE2660" i="496"/>
  <c r="BC2660" i="496"/>
  <c r="I2660" i="496"/>
  <c r="H2660" i="496"/>
  <c r="E2660" i="496"/>
  <c r="D2660" i="496"/>
  <c r="C2660" i="496"/>
  <c r="BE2659" i="496"/>
  <c r="BC2659" i="496"/>
  <c r="I2659" i="496"/>
  <c r="H2659" i="496"/>
  <c r="E2659" i="496"/>
  <c r="D2659" i="496"/>
  <c r="C2659" i="496"/>
  <c r="BE2658" i="496"/>
  <c r="BC2658" i="496"/>
  <c r="I2658" i="496"/>
  <c r="H2658" i="496"/>
  <c r="E2658" i="496"/>
  <c r="D2658" i="496"/>
  <c r="C2658" i="496"/>
  <c r="BE2657" i="496"/>
  <c r="BC2657" i="496"/>
  <c r="I2657" i="496"/>
  <c r="H2657" i="496"/>
  <c r="E2657" i="496"/>
  <c r="D2657" i="496"/>
  <c r="C2657" i="496"/>
  <c r="BE2656" i="496"/>
  <c r="BC2656" i="496"/>
  <c r="I2656" i="496"/>
  <c r="H2656" i="496"/>
  <c r="E2656" i="496"/>
  <c r="D2656" i="496"/>
  <c r="C2656" i="496"/>
  <c r="BE2655" i="496"/>
  <c r="BC2655" i="496"/>
  <c r="I2655" i="496"/>
  <c r="H2655" i="496"/>
  <c r="E2655" i="496"/>
  <c r="D2655" i="496"/>
  <c r="C2655" i="496"/>
  <c r="BE2654" i="496"/>
  <c r="BC2654" i="496"/>
  <c r="I2654" i="496"/>
  <c r="H2654" i="496"/>
  <c r="E2654" i="496"/>
  <c r="D2654" i="496"/>
  <c r="C2654" i="496"/>
  <c r="BE2653" i="496"/>
  <c r="BC2653" i="496"/>
  <c r="I2653" i="496"/>
  <c r="H2653" i="496"/>
  <c r="E2653" i="496"/>
  <c r="D2653" i="496"/>
  <c r="C2653" i="496"/>
  <c r="BE2652" i="496"/>
  <c r="BC2652" i="496"/>
  <c r="I2652" i="496"/>
  <c r="H2652" i="496"/>
  <c r="E2652" i="496"/>
  <c r="D2652" i="496"/>
  <c r="C2652" i="496"/>
  <c r="BE2651" i="496"/>
  <c r="BC2651" i="496"/>
  <c r="I2651" i="496"/>
  <c r="H2651" i="496"/>
  <c r="E2651" i="496"/>
  <c r="D2651" i="496"/>
  <c r="C2651" i="496"/>
  <c r="BE2650" i="496"/>
  <c r="BC2650" i="496"/>
  <c r="I2650" i="496"/>
  <c r="H2650" i="496"/>
  <c r="E2650" i="496"/>
  <c r="D2650" i="496"/>
  <c r="C2650" i="496"/>
  <c r="BE2649" i="496"/>
  <c r="BC2649" i="496"/>
  <c r="I2649" i="496"/>
  <c r="H2649" i="496"/>
  <c r="E2649" i="496"/>
  <c r="D2649" i="496"/>
  <c r="C2649" i="496"/>
  <c r="BE2648" i="496"/>
  <c r="BC2648" i="496"/>
  <c r="I2648" i="496"/>
  <c r="H2648" i="496"/>
  <c r="E2648" i="496"/>
  <c r="D2648" i="496"/>
  <c r="C2648" i="496"/>
  <c r="BE2647" i="496"/>
  <c r="BC2647" i="496"/>
  <c r="I2647" i="496"/>
  <c r="H2647" i="496"/>
  <c r="E2647" i="496"/>
  <c r="D2647" i="496"/>
  <c r="C2647" i="496"/>
  <c r="BE2646" i="496"/>
  <c r="BC2646" i="496"/>
  <c r="I2646" i="496"/>
  <c r="H2646" i="496"/>
  <c r="E2646" i="496"/>
  <c r="D2646" i="496"/>
  <c r="C2646" i="496"/>
  <c r="BE2645" i="496"/>
  <c r="BC2645" i="496"/>
  <c r="I2645" i="496"/>
  <c r="H2645" i="496"/>
  <c r="E2645" i="496"/>
  <c r="D2645" i="496"/>
  <c r="C2645" i="496"/>
  <c r="BE2644" i="496"/>
  <c r="BC2644" i="496"/>
  <c r="I2644" i="496"/>
  <c r="H2644" i="496"/>
  <c r="E2644" i="496"/>
  <c r="D2644" i="496"/>
  <c r="C2644" i="496"/>
  <c r="BE2643" i="496"/>
  <c r="BC2643" i="496"/>
  <c r="I2643" i="496"/>
  <c r="H2643" i="496"/>
  <c r="E2643" i="496"/>
  <c r="D2643" i="496"/>
  <c r="C2643" i="496"/>
  <c r="BE2642" i="496"/>
  <c r="BC2642" i="496"/>
  <c r="I2642" i="496"/>
  <c r="H2642" i="496"/>
  <c r="E2642" i="496"/>
  <c r="D2642" i="496"/>
  <c r="C2642" i="496"/>
  <c r="BE2641" i="496"/>
  <c r="BC2641" i="496"/>
  <c r="I2641" i="496"/>
  <c r="H2641" i="496"/>
  <c r="E2641" i="496"/>
  <c r="D2641" i="496"/>
  <c r="C2641" i="496"/>
  <c r="BE2640" i="496"/>
  <c r="BC2640" i="496"/>
  <c r="I2640" i="496"/>
  <c r="H2640" i="496"/>
  <c r="E2640" i="496"/>
  <c r="D2640" i="496"/>
  <c r="C2640" i="496"/>
  <c r="BE2639" i="496"/>
  <c r="BC2639" i="496"/>
  <c r="I2639" i="496"/>
  <c r="H2639" i="496"/>
  <c r="E2639" i="496"/>
  <c r="D2639" i="496"/>
  <c r="C2639" i="496"/>
  <c r="BE2638" i="496"/>
  <c r="BC2638" i="496"/>
  <c r="I2638" i="496"/>
  <c r="H2638" i="496"/>
  <c r="E2638" i="496"/>
  <c r="D2638" i="496"/>
  <c r="C2638" i="496"/>
  <c r="BE2637" i="496"/>
  <c r="BC2637" i="496"/>
  <c r="I2637" i="496"/>
  <c r="H2637" i="496"/>
  <c r="E2637" i="496"/>
  <c r="D2637" i="496"/>
  <c r="C2637" i="496"/>
  <c r="BE2636" i="496"/>
  <c r="BC2636" i="496"/>
  <c r="I2636" i="496"/>
  <c r="H2636" i="496"/>
  <c r="E2636" i="496"/>
  <c r="D2636" i="496"/>
  <c r="C2636" i="496"/>
  <c r="BE2635" i="496"/>
  <c r="BC2635" i="496"/>
  <c r="I2635" i="496"/>
  <c r="H2635" i="496"/>
  <c r="E2635" i="496"/>
  <c r="D2635" i="496"/>
  <c r="C2635" i="496"/>
  <c r="BE2634" i="496"/>
  <c r="BC2634" i="496"/>
  <c r="I2634" i="496"/>
  <c r="H2634" i="496"/>
  <c r="E2634" i="496"/>
  <c r="D2634" i="496"/>
  <c r="C2634" i="496"/>
  <c r="BE2633" i="496"/>
  <c r="BC2633" i="496"/>
  <c r="I2633" i="496"/>
  <c r="H2633" i="496"/>
  <c r="E2633" i="496"/>
  <c r="D2633" i="496"/>
  <c r="C2633" i="496"/>
  <c r="BE2632" i="496"/>
  <c r="BC2632" i="496"/>
  <c r="I2632" i="496"/>
  <c r="H2632" i="496"/>
  <c r="E2632" i="496"/>
  <c r="D2632" i="496"/>
  <c r="C2632" i="496"/>
  <c r="BE2631" i="496"/>
  <c r="BC2631" i="496"/>
  <c r="I2631" i="496"/>
  <c r="H2631" i="496"/>
  <c r="E2631" i="496"/>
  <c r="D2631" i="496"/>
  <c r="C2631" i="496"/>
  <c r="BE2630" i="496"/>
  <c r="BC2630" i="496"/>
  <c r="I2630" i="496"/>
  <c r="H2630" i="496"/>
  <c r="E2630" i="496"/>
  <c r="D2630" i="496"/>
  <c r="C2630" i="496"/>
  <c r="BE2629" i="496"/>
  <c r="BC2629" i="496"/>
  <c r="I2629" i="496"/>
  <c r="H2629" i="496"/>
  <c r="E2629" i="496"/>
  <c r="D2629" i="496"/>
  <c r="C2629" i="496"/>
  <c r="BE2628" i="496"/>
  <c r="BC2628" i="496"/>
  <c r="I2628" i="496"/>
  <c r="H2628" i="496"/>
  <c r="E2628" i="496"/>
  <c r="D2628" i="496"/>
  <c r="C2628" i="496"/>
  <c r="BE2627" i="496"/>
  <c r="BC2627" i="496"/>
  <c r="I2627" i="496"/>
  <c r="H2627" i="496"/>
  <c r="E2627" i="496"/>
  <c r="D2627" i="496"/>
  <c r="C2627" i="496"/>
  <c r="BE2626" i="496"/>
  <c r="BC2626" i="496"/>
  <c r="I2626" i="496"/>
  <c r="H2626" i="496"/>
  <c r="E2626" i="496"/>
  <c r="D2626" i="496"/>
  <c r="C2626" i="496"/>
  <c r="BE2625" i="496"/>
  <c r="BC2625" i="496"/>
  <c r="I2625" i="496"/>
  <c r="H2625" i="496"/>
  <c r="E2625" i="496"/>
  <c r="D2625" i="496"/>
  <c r="C2625" i="496"/>
  <c r="BE2624" i="496"/>
  <c r="BC2624" i="496"/>
  <c r="I2624" i="496"/>
  <c r="H2624" i="496"/>
  <c r="E2624" i="496"/>
  <c r="D2624" i="496"/>
  <c r="C2624" i="496"/>
  <c r="BE2623" i="496"/>
  <c r="BC2623" i="496"/>
  <c r="I2623" i="496"/>
  <c r="H2623" i="496"/>
  <c r="E2623" i="496"/>
  <c r="D2623" i="496"/>
  <c r="C2623" i="496"/>
  <c r="BE2622" i="496"/>
  <c r="BC2622" i="496"/>
  <c r="I2622" i="496"/>
  <c r="H2622" i="496"/>
  <c r="E2622" i="496"/>
  <c r="D2622" i="496"/>
  <c r="C2622" i="496"/>
  <c r="BE2621" i="496"/>
  <c r="BC2621" i="496"/>
  <c r="I2621" i="496"/>
  <c r="H2621" i="496"/>
  <c r="E2621" i="496"/>
  <c r="D2621" i="496"/>
  <c r="C2621" i="496"/>
  <c r="BE2620" i="496"/>
  <c r="BC2620" i="496"/>
  <c r="I2620" i="496"/>
  <c r="H2620" i="496"/>
  <c r="E2620" i="496"/>
  <c r="D2620" i="496"/>
  <c r="C2620" i="496"/>
  <c r="BE2619" i="496"/>
  <c r="BC2619" i="496"/>
  <c r="I2619" i="496"/>
  <c r="H2619" i="496"/>
  <c r="E2619" i="496"/>
  <c r="D2619" i="496"/>
  <c r="C2619" i="496"/>
  <c r="BE2618" i="496"/>
  <c r="BC2618" i="496"/>
  <c r="I2618" i="496"/>
  <c r="H2618" i="496"/>
  <c r="E2618" i="496"/>
  <c r="D2618" i="496"/>
  <c r="C2618" i="496"/>
  <c r="BE2617" i="496"/>
  <c r="BC2617" i="496"/>
  <c r="I2617" i="496"/>
  <c r="H2617" i="496"/>
  <c r="E2617" i="496"/>
  <c r="D2617" i="496"/>
  <c r="C2617" i="496"/>
  <c r="BE2616" i="496"/>
  <c r="BC2616" i="496"/>
  <c r="I2616" i="496"/>
  <c r="H2616" i="496"/>
  <c r="E2616" i="496"/>
  <c r="D2616" i="496"/>
  <c r="C2616" i="496"/>
  <c r="BE2615" i="496"/>
  <c r="BC2615" i="496"/>
  <c r="I2615" i="496"/>
  <c r="H2615" i="496"/>
  <c r="E2615" i="496"/>
  <c r="D2615" i="496"/>
  <c r="C2615" i="496"/>
  <c r="BE2614" i="496"/>
  <c r="BC2614" i="496"/>
  <c r="I2614" i="496"/>
  <c r="H2614" i="496"/>
  <c r="E2614" i="496"/>
  <c r="D2614" i="496"/>
  <c r="C2614" i="496"/>
  <c r="BE2613" i="496"/>
  <c r="BC2613" i="496"/>
  <c r="I2613" i="496"/>
  <c r="H2613" i="496"/>
  <c r="E2613" i="496"/>
  <c r="D2613" i="496"/>
  <c r="C2613" i="496"/>
  <c r="BE2612" i="496"/>
  <c r="BC2612" i="496"/>
  <c r="I2612" i="496"/>
  <c r="H2612" i="496"/>
  <c r="E2612" i="496"/>
  <c r="D2612" i="496"/>
  <c r="C2612" i="496"/>
  <c r="BE2611" i="496"/>
  <c r="BC2611" i="496"/>
  <c r="I2611" i="496"/>
  <c r="H2611" i="496"/>
  <c r="E2611" i="496"/>
  <c r="D2611" i="496"/>
  <c r="C2611" i="496"/>
  <c r="BE2610" i="496"/>
  <c r="BC2610" i="496"/>
  <c r="I2610" i="496"/>
  <c r="H2610" i="496"/>
  <c r="E2610" i="496"/>
  <c r="D2610" i="496"/>
  <c r="C2610" i="496"/>
  <c r="BE2609" i="496"/>
  <c r="BC2609" i="496"/>
  <c r="I2609" i="496"/>
  <c r="H2609" i="496"/>
  <c r="E2609" i="496"/>
  <c r="D2609" i="496"/>
  <c r="C2609" i="496"/>
  <c r="BE2608" i="496"/>
  <c r="BC2608" i="496"/>
  <c r="I2608" i="496"/>
  <c r="H2608" i="496"/>
  <c r="E2608" i="496"/>
  <c r="D2608" i="496"/>
  <c r="C2608" i="496"/>
  <c r="BE2607" i="496"/>
  <c r="BC2607" i="496"/>
  <c r="I2607" i="496"/>
  <c r="H2607" i="496"/>
  <c r="E2607" i="496"/>
  <c r="D2607" i="496"/>
  <c r="C2607" i="496"/>
  <c r="BE2606" i="496"/>
  <c r="BC2606" i="496"/>
  <c r="I2606" i="496"/>
  <c r="H2606" i="496"/>
  <c r="E2606" i="496"/>
  <c r="D2606" i="496"/>
  <c r="C2606" i="496"/>
  <c r="BE2605" i="496"/>
  <c r="BC2605" i="496"/>
  <c r="I2605" i="496"/>
  <c r="H2605" i="496"/>
  <c r="E2605" i="496"/>
  <c r="D2605" i="496"/>
  <c r="C2605" i="496"/>
  <c r="BE2604" i="496"/>
  <c r="BC2604" i="496"/>
  <c r="I2604" i="496"/>
  <c r="H2604" i="496"/>
  <c r="E2604" i="496"/>
  <c r="D2604" i="496"/>
  <c r="C2604" i="496"/>
  <c r="BE2603" i="496"/>
  <c r="BC2603" i="496"/>
  <c r="I2603" i="496"/>
  <c r="H2603" i="496"/>
  <c r="E2603" i="496"/>
  <c r="D2603" i="496"/>
  <c r="C2603" i="496"/>
  <c r="BE2602" i="496"/>
  <c r="BC2602" i="496"/>
  <c r="I2602" i="496"/>
  <c r="H2602" i="496"/>
  <c r="E2602" i="496"/>
  <c r="D2602" i="496"/>
  <c r="C2602" i="496"/>
  <c r="BE2601" i="496"/>
  <c r="BC2601" i="496"/>
  <c r="I2601" i="496"/>
  <c r="H2601" i="496"/>
  <c r="E2601" i="496"/>
  <c r="D2601" i="496"/>
  <c r="C2601" i="496"/>
  <c r="BE2600" i="496"/>
  <c r="BC2600" i="496"/>
  <c r="I2600" i="496"/>
  <c r="H2600" i="496"/>
  <c r="E2600" i="496"/>
  <c r="D2600" i="496"/>
  <c r="C2600" i="496"/>
  <c r="BE2599" i="496"/>
  <c r="BC2599" i="496"/>
  <c r="I2599" i="496"/>
  <c r="H2599" i="496"/>
  <c r="E2599" i="496"/>
  <c r="D2599" i="496"/>
  <c r="C2599" i="496"/>
  <c r="BE2598" i="496"/>
  <c r="BC2598" i="496"/>
  <c r="I2598" i="496"/>
  <c r="H2598" i="496"/>
  <c r="E2598" i="496"/>
  <c r="D2598" i="496"/>
  <c r="C2598" i="496"/>
  <c r="BE2597" i="496"/>
  <c r="BC2597" i="496"/>
  <c r="I2597" i="496"/>
  <c r="H2597" i="496"/>
  <c r="E2597" i="496"/>
  <c r="D2597" i="496"/>
  <c r="C2597" i="496"/>
  <c r="BE2596" i="496"/>
  <c r="BC2596" i="496"/>
  <c r="I2596" i="496"/>
  <c r="H2596" i="496"/>
  <c r="E2596" i="496"/>
  <c r="D2596" i="496"/>
  <c r="C2596" i="496"/>
  <c r="BE2595" i="496"/>
  <c r="BC2595" i="496"/>
  <c r="I2595" i="496"/>
  <c r="H2595" i="496"/>
  <c r="E2595" i="496"/>
  <c r="D2595" i="496"/>
  <c r="C2595" i="496"/>
  <c r="BE2594" i="496"/>
  <c r="BC2594" i="496"/>
  <c r="I2594" i="496"/>
  <c r="H2594" i="496"/>
  <c r="E2594" i="496"/>
  <c r="D2594" i="496"/>
  <c r="C2594" i="496"/>
  <c r="BE2593" i="496"/>
  <c r="BC2593" i="496"/>
  <c r="I2593" i="496"/>
  <c r="H2593" i="496"/>
  <c r="E2593" i="496"/>
  <c r="D2593" i="496"/>
  <c r="C2593" i="496"/>
  <c r="BE2592" i="496"/>
  <c r="BC2592" i="496"/>
  <c r="I2592" i="496"/>
  <c r="H2592" i="496"/>
  <c r="E2592" i="496"/>
  <c r="D2592" i="496"/>
  <c r="C2592" i="496"/>
  <c r="BE2591" i="496"/>
  <c r="BC2591" i="496"/>
  <c r="I2591" i="496"/>
  <c r="H2591" i="496"/>
  <c r="E2591" i="496"/>
  <c r="D2591" i="496"/>
  <c r="C2591" i="496"/>
  <c r="BE2590" i="496"/>
  <c r="BC2590" i="496"/>
  <c r="I2590" i="496"/>
  <c r="H2590" i="496"/>
  <c r="E2590" i="496"/>
  <c r="D2590" i="496"/>
  <c r="C2590" i="496"/>
  <c r="BE2589" i="496"/>
  <c r="BC2589" i="496"/>
  <c r="I2589" i="496"/>
  <c r="H2589" i="496"/>
  <c r="E2589" i="496"/>
  <c r="D2589" i="496"/>
  <c r="C2589" i="496"/>
  <c r="BE2588" i="496"/>
  <c r="BC2588" i="496"/>
  <c r="I2588" i="496"/>
  <c r="H2588" i="496"/>
  <c r="E2588" i="496"/>
  <c r="D2588" i="496"/>
  <c r="C2588" i="496"/>
  <c r="BE2587" i="496"/>
  <c r="BC2587" i="496"/>
  <c r="I2587" i="496"/>
  <c r="H2587" i="496"/>
  <c r="E2587" i="496"/>
  <c r="D2587" i="496"/>
  <c r="C2587" i="496"/>
  <c r="BE2586" i="496"/>
  <c r="BC2586" i="496"/>
  <c r="I2586" i="496"/>
  <c r="H2586" i="496"/>
  <c r="E2586" i="496"/>
  <c r="D2586" i="496"/>
  <c r="C2586" i="496"/>
  <c r="BE2585" i="496"/>
  <c r="BC2585" i="496"/>
  <c r="I2585" i="496"/>
  <c r="H2585" i="496"/>
  <c r="E2585" i="496"/>
  <c r="D2585" i="496"/>
  <c r="C2585" i="496"/>
  <c r="BE2584" i="496"/>
  <c r="BC2584" i="496"/>
  <c r="I2584" i="496"/>
  <c r="H2584" i="496"/>
  <c r="E2584" i="496"/>
  <c r="D2584" i="496"/>
  <c r="C2584" i="496"/>
  <c r="BE2583" i="496"/>
  <c r="BC2583" i="496"/>
  <c r="I2583" i="496"/>
  <c r="H2583" i="496"/>
  <c r="E2583" i="496"/>
  <c r="D2583" i="496"/>
  <c r="C2583" i="496"/>
  <c r="BE2582" i="496"/>
  <c r="BC2582" i="496"/>
  <c r="I2582" i="496"/>
  <c r="H2582" i="496"/>
  <c r="E2582" i="496"/>
  <c r="D2582" i="496"/>
  <c r="C2582" i="496"/>
  <c r="BE2581" i="496"/>
  <c r="BC2581" i="496"/>
  <c r="I2581" i="496"/>
  <c r="H2581" i="496"/>
  <c r="E2581" i="496"/>
  <c r="D2581" i="496"/>
  <c r="C2581" i="496"/>
  <c r="BE2580" i="496"/>
  <c r="BC2580" i="496"/>
  <c r="I2580" i="496"/>
  <c r="H2580" i="496"/>
  <c r="E2580" i="496"/>
  <c r="D2580" i="496"/>
  <c r="C2580" i="496"/>
  <c r="BE2579" i="496"/>
  <c r="BC2579" i="496"/>
  <c r="I2579" i="496"/>
  <c r="H2579" i="496"/>
  <c r="E2579" i="496"/>
  <c r="D2579" i="496"/>
  <c r="C2579" i="496"/>
  <c r="BE2578" i="496"/>
  <c r="BC2578" i="496"/>
  <c r="I2578" i="496"/>
  <c r="H2578" i="496"/>
  <c r="E2578" i="496"/>
  <c r="D2578" i="496"/>
  <c r="C2578" i="496"/>
  <c r="BE2577" i="496"/>
  <c r="BC2577" i="496"/>
  <c r="I2577" i="496"/>
  <c r="H2577" i="496"/>
  <c r="E2577" i="496"/>
  <c r="D2577" i="496"/>
  <c r="C2577" i="496"/>
  <c r="BE2576" i="496"/>
  <c r="BC2576" i="496"/>
  <c r="I2576" i="496"/>
  <c r="H2576" i="496"/>
  <c r="E2576" i="496"/>
  <c r="D2576" i="496"/>
  <c r="C2576" i="496"/>
  <c r="BE2575" i="496"/>
  <c r="BC2575" i="496"/>
  <c r="I2575" i="496"/>
  <c r="H2575" i="496"/>
  <c r="E2575" i="496"/>
  <c r="D2575" i="496"/>
  <c r="C2575" i="496"/>
  <c r="BE2574" i="496"/>
  <c r="BC2574" i="496"/>
  <c r="I2574" i="496"/>
  <c r="H2574" i="496"/>
  <c r="E2574" i="496"/>
  <c r="D2574" i="496"/>
  <c r="C2574" i="496"/>
  <c r="BE2573" i="496"/>
  <c r="BC2573" i="496"/>
  <c r="I2573" i="496"/>
  <c r="H2573" i="496"/>
  <c r="E2573" i="496"/>
  <c r="D2573" i="496"/>
  <c r="C2573" i="496"/>
  <c r="BE2572" i="496"/>
  <c r="BC2572" i="496"/>
  <c r="I2572" i="496"/>
  <c r="H2572" i="496"/>
  <c r="E2572" i="496"/>
  <c r="D2572" i="496"/>
  <c r="C2572" i="496"/>
  <c r="BE2571" i="496"/>
  <c r="BC2571" i="496"/>
  <c r="I2571" i="496"/>
  <c r="H2571" i="496"/>
  <c r="E2571" i="496"/>
  <c r="D2571" i="496"/>
  <c r="C2571" i="496"/>
  <c r="BE2570" i="496"/>
  <c r="BC2570" i="496"/>
  <c r="I2570" i="496"/>
  <c r="H2570" i="496"/>
  <c r="E2570" i="496"/>
  <c r="D2570" i="496"/>
  <c r="C2570" i="496"/>
  <c r="BE2569" i="496"/>
  <c r="BC2569" i="496"/>
  <c r="I2569" i="496"/>
  <c r="H2569" i="496"/>
  <c r="E2569" i="496"/>
  <c r="D2569" i="496"/>
  <c r="C2569" i="496"/>
  <c r="BE2568" i="496"/>
  <c r="BC2568" i="496"/>
  <c r="I2568" i="496"/>
  <c r="H2568" i="496"/>
  <c r="E2568" i="496"/>
  <c r="D2568" i="496"/>
  <c r="C2568" i="496"/>
  <c r="BE2567" i="496"/>
  <c r="BC2567" i="496"/>
  <c r="I2567" i="496"/>
  <c r="H2567" i="496"/>
  <c r="E2567" i="496"/>
  <c r="D2567" i="496"/>
  <c r="C2567" i="496"/>
  <c r="BE2566" i="496"/>
  <c r="BC2566" i="496"/>
  <c r="I2566" i="496"/>
  <c r="H2566" i="496"/>
  <c r="E2566" i="496"/>
  <c r="D2566" i="496"/>
  <c r="C2566" i="496"/>
  <c r="BE2565" i="496"/>
  <c r="BC2565" i="496"/>
  <c r="I2565" i="496"/>
  <c r="H2565" i="496"/>
  <c r="E2565" i="496"/>
  <c r="D2565" i="496"/>
  <c r="C2565" i="496"/>
  <c r="BE2564" i="496"/>
  <c r="BC2564" i="496"/>
  <c r="I2564" i="496"/>
  <c r="H2564" i="496"/>
  <c r="E2564" i="496"/>
  <c r="D2564" i="496"/>
  <c r="C2564" i="496"/>
  <c r="BE2563" i="496"/>
  <c r="BC2563" i="496"/>
  <c r="I2563" i="496"/>
  <c r="H2563" i="496"/>
  <c r="E2563" i="496"/>
  <c r="D2563" i="496"/>
  <c r="C2563" i="496"/>
  <c r="BE2562" i="496"/>
  <c r="BC2562" i="496"/>
  <c r="I2562" i="496"/>
  <c r="H2562" i="496"/>
  <c r="E2562" i="496"/>
  <c r="D2562" i="496"/>
  <c r="C2562" i="496"/>
  <c r="BE2561" i="496"/>
  <c r="BC2561" i="496"/>
  <c r="I2561" i="496"/>
  <c r="H2561" i="496"/>
  <c r="E2561" i="496"/>
  <c r="D2561" i="496"/>
  <c r="C2561" i="496"/>
  <c r="BE2560" i="496"/>
  <c r="BC2560" i="496"/>
  <c r="I2560" i="496"/>
  <c r="H2560" i="496"/>
  <c r="E2560" i="496"/>
  <c r="D2560" i="496"/>
  <c r="C2560" i="496"/>
  <c r="BE2559" i="496"/>
  <c r="BC2559" i="496"/>
  <c r="I2559" i="496"/>
  <c r="H2559" i="496"/>
  <c r="E2559" i="496"/>
  <c r="D2559" i="496"/>
  <c r="C2559" i="496"/>
  <c r="BE2558" i="496"/>
  <c r="BC2558" i="496"/>
  <c r="I2558" i="496"/>
  <c r="H2558" i="496"/>
  <c r="E2558" i="496"/>
  <c r="D2558" i="496"/>
  <c r="C2558" i="496"/>
  <c r="BE2557" i="496"/>
  <c r="BC2557" i="496"/>
  <c r="I2557" i="496"/>
  <c r="H2557" i="496"/>
  <c r="E2557" i="496"/>
  <c r="D2557" i="496"/>
  <c r="C2557" i="496"/>
  <c r="BE2556" i="496"/>
  <c r="BC2556" i="496"/>
  <c r="I2556" i="496"/>
  <c r="H2556" i="496"/>
  <c r="E2556" i="496"/>
  <c r="D2556" i="496"/>
  <c r="C2556" i="496"/>
  <c r="BE2555" i="496"/>
  <c r="BC2555" i="496"/>
  <c r="I2555" i="496"/>
  <c r="H2555" i="496"/>
  <c r="E2555" i="496"/>
  <c r="D2555" i="496"/>
  <c r="C2555" i="496"/>
  <c r="BE2554" i="496"/>
  <c r="BC2554" i="496"/>
  <c r="I2554" i="496"/>
  <c r="H2554" i="496"/>
  <c r="E2554" i="496"/>
  <c r="D2554" i="496"/>
  <c r="C2554" i="496"/>
  <c r="BE2553" i="496"/>
  <c r="BC2553" i="496"/>
  <c r="I2553" i="496"/>
  <c r="H2553" i="496"/>
  <c r="E2553" i="496"/>
  <c r="D2553" i="496"/>
  <c r="C2553" i="496"/>
  <c r="BE2552" i="496"/>
  <c r="BC2552" i="496"/>
  <c r="I2552" i="496"/>
  <c r="H2552" i="496"/>
  <c r="E2552" i="496"/>
  <c r="D2552" i="496"/>
  <c r="C2552" i="496"/>
  <c r="BE2551" i="496"/>
  <c r="BC2551" i="496"/>
  <c r="I2551" i="496"/>
  <c r="H2551" i="496"/>
  <c r="E2551" i="496"/>
  <c r="D2551" i="496"/>
  <c r="C2551" i="496"/>
  <c r="BE2550" i="496"/>
  <c r="BC2550" i="496"/>
  <c r="I2550" i="496"/>
  <c r="H2550" i="496"/>
  <c r="E2550" i="496"/>
  <c r="D2550" i="496"/>
  <c r="C2550" i="496"/>
  <c r="BE2549" i="496"/>
  <c r="BC2549" i="496"/>
  <c r="I2549" i="496"/>
  <c r="H2549" i="496"/>
  <c r="E2549" i="496"/>
  <c r="D2549" i="496"/>
  <c r="C2549" i="496"/>
  <c r="BE2548" i="496"/>
  <c r="BC2548" i="496"/>
  <c r="I2548" i="496"/>
  <c r="H2548" i="496"/>
  <c r="E2548" i="496"/>
  <c r="D2548" i="496"/>
  <c r="C2548" i="496"/>
  <c r="BE2547" i="496"/>
  <c r="BC2547" i="496"/>
  <c r="I2547" i="496"/>
  <c r="H2547" i="496"/>
  <c r="E2547" i="496"/>
  <c r="D2547" i="496"/>
  <c r="C2547" i="496"/>
  <c r="BE2546" i="496"/>
  <c r="BC2546" i="496"/>
  <c r="I2546" i="496"/>
  <c r="H2546" i="496"/>
  <c r="E2546" i="496"/>
  <c r="D2546" i="496"/>
  <c r="C2546" i="496"/>
  <c r="BE2545" i="496"/>
  <c r="BC2545" i="496"/>
  <c r="I2545" i="496"/>
  <c r="H2545" i="496"/>
  <c r="E2545" i="496"/>
  <c r="D2545" i="496"/>
  <c r="C2545" i="496"/>
  <c r="BE2544" i="496"/>
  <c r="BC2544" i="496"/>
  <c r="I2544" i="496"/>
  <c r="H2544" i="496"/>
  <c r="E2544" i="496"/>
  <c r="D2544" i="496"/>
  <c r="C2544" i="496"/>
  <c r="BE2543" i="496"/>
  <c r="BC2543" i="496"/>
  <c r="I2543" i="496"/>
  <c r="H2543" i="496"/>
  <c r="E2543" i="496"/>
  <c r="D2543" i="496"/>
  <c r="C2543" i="496"/>
  <c r="BE2542" i="496"/>
  <c r="BC2542" i="496"/>
  <c r="I2542" i="496"/>
  <c r="H2542" i="496"/>
  <c r="E2542" i="496"/>
  <c r="D2542" i="496"/>
  <c r="C2542" i="496"/>
  <c r="BE2541" i="496"/>
  <c r="BC2541" i="496"/>
  <c r="I2541" i="496"/>
  <c r="H2541" i="496"/>
  <c r="E2541" i="496"/>
  <c r="D2541" i="496"/>
  <c r="C2541" i="496"/>
  <c r="BE2540" i="496"/>
  <c r="BC2540" i="496"/>
  <c r="I2540" i="496"/>
  <c r="H2540" i="496"/>
  <c r="E2540" i="496"/>
  <c r="D2540" i="496"/>
  <c r="C2540" i="496"/>
  <c r="BE2539" i="496"/>
  <c r="BC2539" i="496"/>
  <c r="I2539" i="496"/>
  <c r="H2539" i="496"/>
  <c r="E2539" i="496"/>
  <c r="D2539" i="496"/>
  <c r="C2539" i="496"/>
  <c r="BE2538" i="496"/>
  <c r="BC2538" i="496"/>
  <c r="I2538" i="496"/>
  <c r="H2538" i="496"/>
  <c r="E2538" i="496"/>
  <c r="D2538" i="496"/>
  <c r="C2538" i="496"/>
  <c r="BE2537" i="496"/>
  <c r="BC2537" i="496"/>
  <c r="I2537" i="496"/>
  <c r="H2537" i="496"/>
  <c r="E2537" i="496"/>
  <c r="D2537" i="496"/>
  <c r="C2537" i="496"/>
  <c r="BE2536" i="496"/>
  <c r="BC2536" i="496"/>
  <c r="I2536" i="496"/>
  <c r="H2536" i="496"/>
  <c r="E2536" i="496"/>
  <c r="D2536" i="496"/>
  <c r="C2536" i="496"/>
  <c r="BE2535" i="496"/>
  <c r="BC2535" i="496"/>
  <c r="I2535" i="496"/>
  <c r="H2535" i="496"/>
  <c r="E2535" i="496"/>
  <c r="D2535" i="496"/>
  <c r="C2535" i="496"/>
  <c r="BE2534" i="496"/>
  <c r="BC2534" i="496"/>
  <c r="I2534" i="496"/>
  <c r="H2534" i="496"/>
  <c r="E2534" i="496"/>
  <c r="D2534" i="496"/>
  <c r="C2534" i="496"/>
  <c r="BE2533" i="496"/>
  <c r="BC2533" i="496"/>
  <c r="I2533" i="496"/>
  <c r="H2533" i="496"/>
  <c r="E2533" i="496"/>
  <c r="D2533" i="496"/>
  <c r="C2533" i="496"/>
  <c r="BE2532" i="496"/>
  <c r="BC2532" i="496"/>
  <c r="I2532" i="496"/>
  <c r="H2532" i="496"/>
  <c r="E2532" i="496"/>
  <c r="D2532" i="496"/>
  <c r="C2532" i="496"/>
  <c r="BE2531" i="496"/>
  <c r="BC2531" i="496"/>
  <c r="I2531" i="496"/>
  <c r="H2531" i="496"/>
  <c r="E2531" i="496"/>
  <c r="D2531" i="496"/>
  <c r="C2531" i="496"/>
  <c r="BE2530" i="496"/>
  <c r="BC2530" i="496"/>
  <c r="I2530" i="496"/>
  <c r="H2530" i="496"/>
  <c r="E2530" i="496"/>
  <c r="D2530" i="496"/>
  <c r="C2530" i="496"/>
  <c r="BE2529" i="496"/>
  <c r="BC2529" i="496"/>
  <c r="I2529" i="496"/>
  <c r="H2529" i="496"/>
  <c r="E2529" i="496"/>
  <c r="D2529" i="496"/>
  <c r="C2529" i="496"/>
  <c r="BE2528" i="496"/>
  <c r="BC2528" i="496"/>
  <c r="I2528" i="496"/>
  <c r="H2528" i="496"/>
  <c r="E2528" i="496"/>
  <c r="D2528" i="496"/>
  <c r="C2528" i="496"/>
  <c r="BE2527" i="496"/>
  <c r="BC2527" i="496"/>
  <c r="I2527" i="496"/>
  <c r="H2527" i="496"/>
  <c r="E2527" i="496"/>
  <c r="D2527" i="496"/>
  <c r="C2527" i="496"/>
  <c r="BE2526" i="496"/>
  <c r="BC2526" i="496"/>
  <c r="I2526" i="496"/>
  <c r="H2526" i="496"/>
  <c r="E2526" i="496"/>
  <c r="D2526" i="496"/>
  <c r="C2526" i="496"/>
  <c r="BE2525" i="496"/>
  <c r="BC2525" i="496"/>
  <c r="I2525" i="496"/>
  <c r="H2525" i="496"/>
  <c r="E2525" i="496"/>
  <c r="D2525" i="496"/>
  <c r="C2525" i="496"/>
  <c r="BE2524" i="496"/>
  <c r="BC2524" i="496"/>
  <c r="I2524" i="496"/>
  <c r="H2524" i="496"/>
  <c r="E2524" i="496"/>
  <c r="D2524" i="496"/>
  <c r="C2524" i="496"/>
  <c r="BE2523" i="496"/>
  <c r="BC2523" i="496"/>
  <c r="I2523" i="496"/>
  <c r="H2523" i="496"/>
  <c r="E2523" i="496"/>
  <c r="D2523" i="496"/>
  <c r="C2523" i="496"/>
  <c r="BE2522" i="496"/>
  <c r="BC2522" i="496"/>
  <c r="I2522" i="496"/>
  <c r="H2522" i="496"/>
  <c r="E2522" i="496"/>
  <c r="D2522" i="496"/>
  <c r="C2522" i="496"/>
  <c r="BE2521" i="496"/>
  <c r="BC2521" i="496"/>
  <c r="I2521" i="496"/>
  <c r="H2521" i="496"/>
  <c r="E2521" i="496"/>
  <c r="D2521" i="496"/>
  <c r="C2521" i="496"/>
  <c r="BE2520" i="496"/>
  <c r="BC2520" i="496"/>
  <c r="I2520" i="496"/>
  <c r="H2520" i="496"/>
  <c r="E2520" i="496"/>
  <c r="D2520" i="496"/>
  <c r="C2520" i="496"/>
  <c r="BE2519" i="496"/>
  <c r="BC2519" i="496"/>
  <c r="I2519" i="496"/>
  <c r="H2519" i="496"/>
  <c r="E2519" i="496"/>
  <c r="D2519" i="496"/>
  <c r="C2519" i="496"/>
  <c r="BE2518" i="496"/>
  <c r="BC2518" i="496"/>
  <c r="I2518" i="496"/>
  <c r="H2518" i="496"/>
  <c r="E2518" i="496"/>
  <c r="D2518" i="496"/>
  <c r="C2518" i="496"/>
  <c r="BE2517" i="496"/>
  <c r="BC2517" i="496"/>
  <c r="I2517" i="496"/>
  <c r="H2517" i="496"/>
  <c r="E2517" i="496"/>
  <c r="D2517" i="496"/>
  <c r="C2517" i="496"/>
  <c r="BE2516" i="496"/>
  <c r="BC2516" i="496"/>
  <c r="I2516" i="496"/>
  <c r="H2516" i="496"/>
  <c r="E2516" i="496"/>
  <c r="D2516" i="496"/>
  <c r="C2516" i="496"/>
  <c r="BE2515" i="496"/>
  <c r="BC2515" i="496"/>
  <c r="I2515" i="496"/>
  <c r="H2515" i="496"/>
  <c r="E2515" i="496"/>
  <c r="D2515" i="496"/>
  <c r="C2515" i="496"/>
  <c r="BE2514" i="496"/>
  <c r="BC2514" i="496"/>
  <c r="I2514" i="496"/>
  <c r="H2514" i="496"/>
  <c r="E2514" i="496"/>
  <c r="D2514" i="496"/>
  <c r="C2514" i="496"/>
  <c r="BE2513" i="496"/>
  <c r="BC2513" i="496"/>
  <c r="I2513" i="496"/>
  <c r="H2513" i="496"/>
  <c r="E2513" i="496"/>
  <c r="D2513" i="496"/>
  <c r="C2513" i="496"/>
  <c r="BE2512" i="496"/>
  <c r="BC2512" i="496"/>
  <c r="I2512" i="496"/>
  <c r="H2512" i="496"/>
  <c r="E2512" i="496"/>
  <c r="D2512" i="496"/>
  <c r="C2512" i="496"/>
  <c r="BE2511" i="496"/>
  <c r="BC2511" i="496"/>
  <c r="I2511" i="496"/>
  <c r="H2511" i="496"/>
  <c r="E2511" i="496"/>
  <c r="D2511" i="496"/>
  <c r="C2511" i="496"/>
  <c r="BE2510" i="496"/>
  <c r="BC2510" i="496"/>
  <c r="I2510" i="496"/>
  <c r="H2510" i="496"/>
  <c r="E2510" i="496"/>
  <c r="D2510" i="496"/>
  <c r="C2510" i="496"/>
  <c r="BE2509" i="496"/>
  <c r="BC2509" i="496"/>
  <c r="I2509" i="496"/>
  <c r="H2509" i="496"/>
  <c r="E2509" i="496"/>
  <c r="D2509" i="496"/>
  <c r="C2509" i="496"/>
  <c r="BE2508" i="496"/>
  <c r="BC2508" i="496"/>
  <c r="I2508" i="496"/>
  <c r="H2508" i="496"/>
  <c r="E2508" i="496"/>
  <c r="D2508" i="496"/>
  <c r="C2508" i="496"/>
  <c r="BE2507" i="496"/>
  <c r="BC2507" i="496"/>
  <c r="I2507" i="496"/>
  <c r="H2507" i="496"/>
  <c r="E2507" i="496"/>
  <c r="D2507" i="496"/>
  <c r="C2507" i="496"/>
  <c r="BE2506" i="496"/>
  <c r="BC2506" i="496"/>
  <c r="I2506" i="496"/>
  <c r="H2506" i="496"/>
  <c r="E2506" i="496"/>
  <c r="D2506" i="496"/>
  <c r="C2506" i="496"/>
  <c r="BE2505" i="496"/>
  <c r="BC2505" i="496"/>
  <c r="I2505" i="496"/>
  <c r="H2505" i="496"/>
  <c r="E2505" i="496"/>
  <c r="D2505" i="496"/>
  <c r="C2505" i="496"/>
  <c r="BE2504" i="496"/>
  <c r="BC2504" i="496"/>
  <c r="I2504" i="496"/>
  <c r="H2504" i="496"/>
  <c r="E2504" i="496"/>
  <c r="D2504" i="496"/>
  <c r="C2504" i="496"/>
  <c r="BE2503" i="496"/>
  <c r="BC2503" i="496"/>
  <c r="I2503" i="496"/>
  <c r="H2503" i="496"/>
  <c r="E2503" i="496"/>
  <c r="D2503" i="496"/>
  <c r="C2503" i="496"/>
  <c r="BE2502" i="496"/>
  <c r="BC2502" i="496"/>
  <c r="I2502" i="496"/>
  <c r="H2502" i="496"/>
  <c r="E2502" i="496"/>
  <c r="D2502" i="496"/>
  <c r="C2502" i="496"/>
  <c r="BE2501" i="496"/>
  <c r="BC2501" i="496"/>
  <c r="I2501" i="496"/>
  <c r="H2501" i="496"/>
  <c r="E2501" i="496"/>
  <c r="D2501" i="496"/>
  <c r="C2501" i="496"/>
  <c r="BE2500" i="496"/>
  <c r="BC2500" i="496"/>
  <c r="I2500" i="496"/>
  <c r="H2500" i="496"/>
  <c r="E2500" i="496"/>
  <c r="D2500" i="496"/>
  <c r="C2500" i="496"/>
  <c r="BE2499" i="496"/>
  <c r="BC2499" i="496"/>
  <c r="I2499" i="496"/>
  <c r="H2499" i="496"/>
  <c r="E2499" i="496"/>
  <c r="D2499" i="496"/>
  <c r="C2499" i="496"/>
  <c r="BE2498" i="496"/>
  <c r="BC2498" i="496"/>
  <c r="I2498" i="496"/>
  <c r="H2498" i="496"/>
  <c r="E2498" i="496"/>
  <c r="D2498" i="496"/>
  <c r="C2498" i="496"/>
  <c r="BE2497" i="496"/>
  <c r="BC2497" i="496"/>
  <c r="I2497" i="496"/>
  <c r="H2497" i="496"/>
  <c r="E2497" i="496"/>
  <c r="D2497" i="496"/>
  <c r="C2497" i="496"/>
  <c r="BE2496" i="496"/>
  <c r="BC2496" i="496"/>
  <c r="I2496" i="496"/>
  <c r="H2496" i="496"/>
  <c r="E2496" i="496"/>
  <c r="D2496" i="496"/>
  <c r="C2496" i="496"/>
  <c r="BE2495" i="496"/>
  <c r="BC2495" i="496"/>
  <c r="I2495" i="496"/>
  <c r="H2495" i="496"/>
  <c r="E2495" i="496"/>
  <c r="D2495" i="496"/>
  <c r="C2495" i="496"/>
  <c r="BE2494" i="496"/>
  <c r="BC2494" i="496"/>
  <c r="I2494" i="496"/>
  <c r="H2494" i="496"/>
  <c r="E2494" i="496"/>
  <c r="D2494" i="496"/>
  <c r="C2494" i="496"/>
  <c r="BE2493" i="496"/>
  <c r="BC2493" i="496"/>
  <c r="I2493" i="496"/>
  <c r="H2493" i="496"/>
  <c r="E2493" i="496"/>
  <c r="D2493" i="496"/>
  <c r="C2493" i="496"/>
  <c r="BE2492" i="496"/>
  <c r="BC2492" i="496"/>
  <c r="I2492" i="496"/>
  <c r="H2492" i="496"/>
  <c r="E2492" i="496"/>
  <c r="D2492" i="496"/>
  <c r="C2492" i="496"/>
  <c r="BE2491" i="496"/>
  <c r="BC2491" i="496"/>
  <c r="I2491" i="496"/>
  <c r="H2491" i="496"/>
  <c r="E2491" i="496"/>
  <c r="D2491" i="496"/>
  <c r="C2491" i="496"/>
  <c r="BE2490" i="496"/>
  <c r="BC2490" i="496"/>
  <c r="I2490" i="496"/>
  <c r="H2490" i="496"/>
  <c r="E2490" i="496"/>
  <c r="D2490" i="496"/>
  <c r="C2490" i="496"/>
  <c r="BE2489" i="496"/>
  <c r="BC2489" i="496"/>
  <c r="I2489" i="496"/>
  <c r="H2489" i="496"/>
  <c r="E2489" i="496"/>
  <c r="D2489" i="496"/>
  <c r="C2489" i="496"/>
  <c r="BE2488" i="496"/>
  <c r="BC2488" i="496"/>
  <c r="I2488" i="496"/>
  <c r="H2488" i="496"/>
  <c r="E2488" i="496"/>
  <c r="D2488" i="496"/>
  <c r="C2488" i="496"/>
  <c r="BE2487" i="496"/>
  <c r="BC2487" i="496"/>
  <c r="I2487" i="496"/>
  <c r="H2487" i="496"/>
  <c r="E2487" i="496"/>
  <c r="D2487" i="496"/>
  <c r="C2487" i="496"/>
  <c r="BE2486" i="496"/>
  <c r="BC2486" i="496"/>
  <c r="I2486" i="496"/>
  <c r="H2486" i="496"/>
  <c r="E2486" i="496"/>
  <c r="D2486" i="496"/>
  <c r="C2486" i="496"/>
  <c r="BE2485" i="496"/>
  <c r="BC2485" i="496"/>
  <c r="I2485" i="496"/>
  <c r="H2485" i="496"/>
  <c r="E2485" i="496"/>
  <c r="D2485" i="496"/>
  <c r="C2485" i="496"/>
  <c r="BE2484" i="496"/>
  <c r="BC2484" i="496"/>
  <c r="I2484" i="496"/>
  <c r="H2484" i="496"/>
  <c r="E2484" i="496"/>
  <c r="D2484" i="496"/>
  <c r="C2484" i="496"/>
  <c r="BE2483" i="496"/>
  <c r="BC2483" i="496"/>
  <c r="I2483" i="496"/>
  <c r="H2483" i="496"/>
  <c r="E2483" i="496"/>
  <c r="D2483" i="496"/>
  <c r="C2483" i="496"/>
  <c r="BE2482" i="496"/>
  <c r="BC2482" i="496"/>
  <c r="I2482" i="496"/>
  <c r="H2482" i="496"/>
  <c r="E2482" i="496"/>
  <c r="D2482" i="496"/>
  <c r="C2482" i="496"/>
  <c r="BE2481" i="496"/>
  <c r="BC2481" i="496"/>
  <c r="I2481" i="496"/>
  <c r="H2481" i="496"/>
  <c r="E2481" i="496"/>
  <c r="D2481" i="496"/>
  <c r="C2481" i="496"/>
  <c r="BE2480" i="496"/>
  <c r="BC2480" i="496"/>
  <c r="I2480" i="496"/>
  <c r="H2480" i="496"/>
  <c r="E2480" i="496"/>
  <c r="D2480" i="496"/>
  <c r="C2480" i="496"/>
  <c r="BE2479" i="496"/>
  <c r="BC2479" i="496"/>
  <c r="I2479" i="496"/>
  <c r="H2479" i="496"/>
  <c r="E2479" i="496"/>
  <c r="D2479" i="496"/>
  <c r="C2479" i="496"/>
  <c r="BE2478" i="496"/>
  <c r="BC2478" i="496"/>
  <c r="I2478" i="496"/>
  <c r="H2478" i="496"/>
  <c r="E2478" i="496"/>
  <c r="D2478" i="496"/>
  <c r="C2478" i="496"/>
  <c r="BE2477" i="496"/>
  <c r="BC2477" i="496"/>
  <c r="I2477" i="496"/>
  <c r="H2477" i="496"/>
  <c r="E2477" i="496"/>
  <c r="D2477" i="496"/>
  <c r="C2477" i="496"/>
  <c r="BE2476" i="496"/>
  <c r="BC2476" i="496"/>
  <c r="I2476" i="496"/>
  <c r="H2476" i="496"/>
  <c r="E2476" i="496"/>
  <c r="D2476" i="496"/>
  <c r="C2476" i="496"/>
  <c r="BE2475" i="496"/>
  <c r="BC2475" i="496"/>
  <c r="I2475" i="496"/>
  <c r="H2475" i="496"/>
  <c r="E2475" i="496"/>
  <c r="D2475" i="496"/>
  <c r="C2475" i="496"/>
  <c r="BE2474" i="496"/>
  <c r="BC2474" i="496"/>
  <c r="I2474" i="496"/>
  <c r="H2474" i="496"/>
  <c r="E2474" i="496"/>
  <c r="D2474" i="496"/>
  <c r="C2474" i="496"/>
  <c r="BE2473" i="496"/>
  <c r="BC2473" i="496"/>
  <c r="I2473" i="496"/>
  <c r="H2473" i="496"/>
  <c r="E2473" i="496"/>
  <c r="D2473" i="496"/>
  <c r="C2473" i="496"/>
  <c r="BE2472" i="496"/>
  <c r="BC2472" i="496"/>
  <c r="I2472" i="496"/>
  <c r="H2472" i="496"/>
  <c r="E2472" i="496"/>
  <c r="D2472" i="496"/>
  <c r="C2472" i="496"/>
  <c r="BE2471" i="496"/>
  <c r="BC2471" i="496"/>
  <c r="I2471" i="496"/>
  <c r="H2471" i="496"/>
  <c r="E2471" i="496"/>
  <c r="D2471" i="496"/>
  <c r="C2471" i="496"/>
  <c r="BE2470" i="496"/>
  <c r="BC2470" i="496"/>
  <c r="I2470" i="496"/>
  <c r="H2470" i="496"/>
  <c r="E2470" i="496"/>
  <c r="D2470" i="496"/>
  <c r="C2470" i="496"/>
  <c r="BE2469" i="496"/>
  <c r="BC2469" i="496"/>
  <c r="I2469" i="496"/>
  <c r="H2469" i="496"/>
  <c r="E2469" i="496"/>
  <c r="D2469" i="496"/>
  <c r="C2469" i="496"/>
  <c r="BE2468" i="496"/>
  <c r="BC2468" i="496"/>
  <c r="I2468" i="496"/>
  <c r="H2468" i="496"/>
  <c r="E2468" i="496"/>
  <c r="D2468" i="496"/>
  <c r="C2468" i="496"/>
  <c r="BE2467" i="496"/>
  <c r="BC2467" i="496"/>
  <c r="I2467" i="496"/>
  <c r="H2467" i="496"/>
  <c r="E2467" i="496"/>
  <c r="D2467" i="496"/>
  <c r="C2467" i="496"/>
  <c r="BE2466" i="496"/>
  <c r="BC2466" i="496"/>
  <c r="I2466" i="496"/>
  <c r="H2466" i="496"/>
  <c r="E2466" i="496"/>
  <c r="D2466" i="496"/>
  <c r="C2466" i="496"/>
  <c r="BE2465" i="496"/>
  <c r="BC2465" i="496"/>
  <c r="I2465" i="496"/>
  <c r="H2465" i="496"/>
  <c r="E2465" i="496"/>
  <c r="D2465" i="496"/>
  <c r="C2465" i="496"/>
  <c r="BE2464" i="496"/>
  <c r="BC2464" i="496"/>
  <c r="I2464" i="496"/>
  <c r="H2464" i="496"/>
  <c r="E2464" i="496"/>
  <c r="D2464" i="496"/>
  <c r="C2464" i="496"/>
  <c r="BE2463" i="496"/>
  <c r="BC2463" i="496"/>
  <c r="I2463" i="496"/>
  <c r="H2463" i="496"/>
  <c r="E2463" i="496"/>
  <c r="D2463" i="496"/>
  <c r="C2463" i="496"/>
  <c r="BE2462" i="496"/>
  <c r="BC2462" i="496"/>
  <c r="I2462" i="496"/>
  <c r="H2462" i="496"/>
  <c r="E2462" i="496"/>
  <c r="D2462" i="496"/>
  <c r="C2462" i="496"/>
  <c r="BE2461" i="496"/>
  <c r="BC2461" i="496"/>
  <c r="I2461" i="496"/>
  <c r="H2461" i="496"/>
  <c r="E2461" i="496"/>
  <c r="D2461" i="496"/>
  <c r="C2461" i="496"/>
  <c r="BE2460" i="496"/>
  <c r="BC2460" i="496"/>
  <c r="I2460" i="496"/>
  <c r="H2460" i="496"/>
  <c r="E2460" i="496"/>
  <c r="D2460" i="496"/>
  <c r="C2460" i="496"/>
  <c r="BE2459" i="496"/>
  <c r="BC2459" i="496"/>
  <c r="I2459" i="496"/>
  <c r="H2459" i="496"/>
  <c r="E2459" i="496"/>
  <c r="D2459" i="496"/>
  <c r="C2459" i="496"/>
  <c r="BE2458" i="496"/>
  <c r="BC2458" i="496"/>
  <c r="I2458" i="496"/>
  <c r="H2458" i="496"/>
  <c r="E2458" i="496"/>
  <c r="D2458" i="496"/>
  <c r="C2458" i="496"/>
  <c r="BE2457" i="496"/>
  <c r="BC2457" i="496"/>
  <c r="I2457" i="496"/>
  <c r="H2457" i="496"/>
  <c r="E2457" i="496"/>
  <c r="D2457" i="496"/>
  <c r="C2457" i="496"/>
  <c r="BE2456" i="496"/>
  <c r="BC2456" i="496"/>
  <c r="I2456" i="496"/>
  <c r="H2456" i="496"/>
  <c r="E2456" i="496"/>
  <c r="D2456" i="496"/>
  <c r="C2456" i="496"/>
  <c r="BE2455" i="496"/>
  <c r="BC2455" i="496"/>
  <c r="I2455" i="496"/>
  <c r="H2455" i="496"/>
  <c r="E2455" i="496"/>
  <c r="D2455" i="496"/>
  <c r="C2455" i="496"/>
  <c r="BE2454" i="496"/>
  <c r="BC2454" i="496"/>
  <c r="I2454" i="496"/>
  <c r="H2454" i="496"/>
  <c r="E2454" i="496"/>
  <c r="D2454" i="496"/>
  <c r="C2454" i="496"/>
  <c r="BE2453" i="496"/>
  <c r="BC2453" i="496"/>
  <c r="I2453" i="496"/>
  <c r="H2453" i="496"/>
  <c r="E2453" i="496"/>
  <c r="D2453" i="496"/>
  <c r="C2453" i="496"/>
  <c r="BE2452" i="496"/>
  <c r="BC2452" i="496"/>
  <c r="I2452" i="496"/>
  <c r="H2452" i="496"/>
  <c r="E2452" i="496"/>
  <c r="D2452" i="496"/>
  <c r="C2452" i="496"/>
  <c r="BE2451" i="496"/>
  <c r="BC2451" i="496"/>
  <c r="I2451" i="496"/>
  <c r="H2451" i="496"/>
  <c r="E2451" i="496"/>
  <c r="D2451" i="496"/>
  <c r="C2451" i="496"/>
  <c r="BE2450" i="496"/>
  <c r="BC2450" i="496"/>
  <c r="I2450" i="496"/>
  <c r="H2450" i="496"/>
  <c r="E2450" i="496"/>
  <c r="D2450" i="496"/>
  <c r="C2450" i="496"/>
  <c r="BE2449" i="496"/>
  <c r="BC2449" i="496"/>
  <c r="I2449" i="496"/>
  <c r="H2449" i="496"/>
  <c r="E2449" i="496"/>
  <c r="D2449" i="496"/>
  <c r="C2449" i="496"/>
  <c r="BE2448" i="496"/>
  <c r="BC2448" i="496"/>
  <c r="I2448" i="496"/>
  <c r="H2448" i="496"/>
  <c r="E2448" i="496"/>
  <c r="D2448" i="496"/>
  <c r="C2448" i="496"/>
  <c r="BE2447" i="496"/>
  <c r="BC2447" i="496"/>
  <c r="I2447" i="496"/>
  <c r="H2447" i="496"/>
  <c r="E2447" i="496"/>
  <c r="D2447" i="496"/>
  <c r="C2447" i="496"/>
  <c r="BE2446" i="496"/>
  <c r="BC2446" i="496"/>
  <c r="I2446" i="496"/>
  <c r="H2446" i="496"/>
  <c r="E2446" i="496"/>
  <c r="D2446" i="496"/>
  <c r="C2446" i="496"/>
  <c r="BE2445" i="496"/>
  <c r="BC2445" i="496"/>
  <c r="I2445" i="496"/>
  <c r="H2445" i="496"/>
  <c r="E2445" i="496"/>
  <c r="D2445" i="496"/>
  <c r="C2445" i="496"/>
  <c r="BE2444" i="496"/>
  <c r="BC2444" i="496"/>
  <c r="I2444" i="496"/>
  <c r="H2444" i="496"/>
  <c r="E2444" i="496"/>
  <c r="D2444" i="496"/>
  <c r="C2444" i="496"/>
  <c r="BE2443" i="496"/>
  <c r="BC2443" i="496"/>
  <c r="I2443" i="496"/>
  <c r="H2443" i="496"/>
  <c r="E2443" i="496"/>
  <c r="D2443" i="496"/>
  <c r="C2443" i="496"/>
  <c r="BE2442" i="496"/>
  <c r="BC2442" i="496"/>
  <c r="I2442" i="496"/>
  <c r="H2442" i="496"/>
  <c r="E2442" i="496"/>
  <c r="D2442" i="496"/>
  <c r="C2442" i="496"/>
  <c r="BE2441" i="496"/>
  <c r="BC2441" i="496"/>
  <c r="I2441" i="496"/>
  <c r="H2441" i="496"/>
  <c r="E2441" i="496"/>
  <c r="D2441" i="496"/>
  <c r="C2441" i="496"/>
  <c r="BE2440" i="496"/>
  <c r="BC2440" i="496"/>
  <c r="I2440" i="496"/>
  <c r="H2440" i="496"/>
  <c r="E2440" i="496"/>
  <c r="D2440" i="496"/>
  <c r="C2440" i="496"/>
  <c r="BE2439" i="496"/>
  <c r="BC2439" i="496"/>
  <c r="I2439" i="496"/>
  <c r="H2439" i="496"/>
  <c r="E2439" i="496"/>
  <c r="D2439" i="496"/>
  <c r="C2439" i="496"/>
  <c r="BE2438" i="496"/>
  <c r="BC2438" i="496"/>
  <c r="I2438" i="496"/>
  <c r="H2438" i="496"/>
  <c r="E2438" i="496"/>
  <c r="D2438" i="496"/>
  <c r="C2438" i="496"/>
  <c r="BE2437" i="496"/>
  <c r="BC2437" i="496"/>
  <c r="I2437" i="496"/>
  <c r="H2437" i="496"/>
  <c r="E2437" i="496"/>
  <c r="D2437" i="496"/>
  <c r="C2437" i="496"/>
  <c r="BE2436" i="496"/>
  <c r="BC2436" i="496"/>
  <c r="I2436" i="496"/>
  <c r="H2436" i="496"/>
  <c r="E2436" i="496"/>
  <c r="D2436" i="496"/>
  <c r="C2436" i="496"/>
  <c r="BE2435" i="496"/>
  <c r="BC2435" i="496"/>
  <c r="I2435" i="496"/>
  <c r="H2435" i="496"/>
  <c r="E2435" i="496"/>
  <c r="D2435" i="496"/>
  <c r="C2435" i="496"/>
  <c r="BE2434" i="496"/>
  <c r="BC2434" i="496"/>
  <c r="I2434" i="496"/>
  <c r="H2434" i="496"/>
  <c r="E2434" i="496"/>
  <c r="D2434" i="496"/>
  <c r="C2434" i="496"/>
  <c r="BE2433" i="496"/>
  <c r="BC2433" i="496"/>
  <c r="I2433" i="496"/>
  <c r="H2433" i="496"/>
  <c r="E2433" i="496"/>
  <c r="D2433" i="496"/>
  <c r="C2433" i="496"/>
  <c r="BE2432" i="496"/>
  <c r="BC2432" i="496"/>
  <c r="I2432" i="496"/>
  <c r="H2432" i="496"/>
  <c r="E2432" i="496"/>
  <c r="D2432" i="496"/>
  <c r="C2432" i="496"/>
  <c r="BE2431" i="496"/>
  <c r="BC2431" i="496"/>
  <c r="I2431" i="496"/>
  <c r="H2431" i="496"/>
  <c r="E2431" i="496"/>
  <c r="D2431" i="496"/>
  <c r="C2431" i="496"/>
  <c r="BE2430" i="496"/>
  <c r="BC2430" i="496"/>
  <c r="I2430" i="496"/>
  <c r="H2430" i="496"/>
  <c r="E2430" i="496"/>
  <c r="D2430" i="496"/>
  <c r="C2430" i="496"/>
  <c r="BE2429" i="496"/>
  <c r="BC2429" i="496"/>
  <c r="I2429" i="496"/>
  <c r="H2429" i="496"/>
  <c r="E2429" i="496"/>
  <c r="D2429" i="496"/>
  <c r="C2429" i="496"/>
  <c r="BE2428" i="496"/>
  <c r="BC2428" i="496"/>
  <c r="I2428" i="496"/>
  <c r="H2428" i="496"/>
  <c r="E2428" i="496"/>
  <c r="D2428" i="496"/>
  <c r="C2428" i="496"/>
  <c r="BE2427" i="496"/>
  <c r="BC2427" i="496"/>
  <c r="I2427" i="496"/>
  <c r="H2427" i="496"/>
  <c r="E2427" i="496"/>
  <c r="D2427" i="496"/>
  <c r="C2427" i="496"/>
  <c r="BE2426" i="496"/>
  <c r="BC2426" i="496"/>
  <c r="I2426" i="496"/>
  <c r="H2426" i="496"/>
  <c r="E2426" i="496"/>
  <c r="D2426" i="496"/>
  <c r="C2426" i="496"/>
  <c r="BE2425" i="496"/>
  <c r="BC2425" i="496"/>
  <c r="I2425" i="496"/>
  <c r="H2425" i="496"/>
  <c r="E2425" i="496"/>
  <c r="D2425" i="496"/>
  <c r="C2425" i="496"/>
  <c r="BE2424" i="496"/>
  <c r="BC2424" i="496"/>
  <c r="I2424" i="496"/>
  <c r="H2424" i="496"/>
  <c r="E2424" i="496"/>
  <c r="D2424" i="496"/>
  <c r="C2424" i="496"/>
  <c r="BE2423" i="496"/>
  <c r="BC2423" i="496"/>
  <c r="I2423" i="496"/>
  <c r="H2423" i="496"/>
  <c r="E2423" i="496"/>
  <c r="D2423" i="496"/>
  <c r="C2423" i="496"/>
  <c r="BE2422" i="496"/>
  <c r="BC2422" i="496"/>
  <c r="I2422" i="496"/>
  <c r="H2422" i="496"/>
  <c r="E2422" i="496"/>
  <c r="D2422" i="496"/>
  <c r="C2422" i="496"/>
  <c r="BE2421" i="496"/>
  <c r="BC2421" i="496"/>
  <c r="I2421" i="496"/>
  <c r="H2421" i="496"/>
  <c r="E2421" i="496"/>
  <c r="D2421" i="496"/>
  <c r="C2421" i="496"/>
  <c r="BE2420" i="496"/>
  <c r="BC2420" i="496"/>
  <c r="I2420" i="496"/>
  <c r="H2420" i="496"/>
  <c r="E2420" i="496"/>
  <c r="D2420" i="496"/>
  <c r="C2420" i="496"/>
  <c r="BE2419" i="496"/>
  <c r="BC2419" i="496"/>
  <c r="I2419" i="496"/>
  <c r="H2419" i="496"/>
  <c r="E2419" i="496"/>
  <c r="D2419" i="496"/>
  <c r="C2419" i="496"/>
  <c r="BE2418" i="496"/>
  <c r="BC2418" i="496"/>
  <c r="I2418" i="496"/>
  <c r="H2418" i="496"/>
  <c r="E2418" i="496"/>
  <c r="D2418" i="496"/>
  <c r="C2418" i="496"/>
  <c r="BE2417" i="496"/>
  <c r="BC2417" i="496"/>
  <c r="I2417" i="496"/>
  <c r="H2417" i="496"/>
  <c r="E2417" i="496"/>
  <c r="D2417" i="496"/>
  <c r="C2417" i="496"/>
  <c r="BE2416" i="496"/>
  <c r="BC2416" i="496"/>
  <c r="I2416" i="496"/>
  <c r="H2416" i="496"/>
  <c r="E2416" i="496"/>
  <c r="D2416" i="496"/>
  <c r="C2416" i="496"/>
  <c r="BE2415" i="496"/>
  <c r="BC2415" i="496"/>
  <c r="I2415" i="496"/>
  <c r="H2415" i="496"/>
  <c r="E2415" i="496"/>
  <c r="D2415" i="496"/>
  <c r="C2415" i="496"/>
  <c r="BE2414" i="496"/>
  <c r="BC2414" i="496"/>
  <c r="I2414" i="496"/>
  <c r="H2414" i="496"/>
  <c r="E2414" i="496"/>
  <c r="D2414" i="496"/>
  <c r="C2414" i="496"/>
  <c r="BE2413" i="496"/>
  <c r="BC2413" i="496"/>
  <c r="I2413" i="496"/>
  <c r="H2413" i="496"/>
  <c r="E2413" i="496"/>
  <c r="D2413" i="496"/>
  <c r="C2413" i="496"/>
  <c r="BE2412" i="496"/>
  <c r="BC2412" i="496"/>
  <c r="I2412" i="496"/>
  <c r="H2412" i="496"/>
  <c r="E2412" i="496"/>
  <c r="D2412" i="496"/>
  <c r="C2412" i="496"/>
  <c r="BE2411" i="496"/>
  <c r="BC2411" i="496"/>
  <c r="I2411" i="496"/>
  <c r="H2411" i="496"/>
  <c r="E2411" i="496"/>
  <c r="D2411" i="496"/>
  <c r="C2411" i="496"/>
  <c r="BE2410" i="496"/>
  <c r="BC2410" i="496"/>
  <c r="I2410" i="496"/>
  <c r="H2410" i="496"/>
  <c r="E2410" i="496"/>
  <c r="D2410" i="496"/>
  <c r="C2410" i="496"/>
  <c r="BE2409" i="496"/>
  <c r="BC2409" i="496"/>
  <c r="I2409" i="496"/>
  <c r="H2409" i="496"/>
  <c r="E2409" i="496"/>
  <c r="D2409" i="496"/>
  <c r="C2409" i="496"/>
  <c r="BE2408" i="496"/>
  <c r="BC2408" i="496"/>
  <c r="I2408" i="496"/>
  <c r="H2408" i="496"/>
  <c r="E2408" i="496"/>
  <c r="D2408" i="496"/>
  <c r="C2408" i="496"/>
  <c r="BE2407" i="496"/>
  <c r="BC2407" i="496"/>
  <c r="I2407" i="496"/>
  <c r="H2407" i="496"/>
  <c r="E2407" i="496"/>
  <c r="D2407" i="496"/>
  <c r="C2407" i="496"/>
  <c r="BE2406" i="496"/>
  <c r="BC2406" i="496"/>
  <c r="I2406" i="496"/>
  <c r="H2406" i="496"/>
  <c r="E2406" i="496"/>
  <c r="D2406" i="496"/>
  <c r="C2406" i="496"/>
  <c r="BE2405" i="496"/>
  <c r="BC2405" i="496"/>
  <c r="I2405" i="496"/>
  <c r="H2405" i="496"/>
  <c r="E2405" i="496"/>
  <c r="D2405" i="496"/>
  <c r="C2405" i="496"/>
  <c r="BE2404" i="496"/>
  <c r="BC2404" i="496"/>
  <c r="I2404" i="496"/>
  <c r="H2404" i="496"/>
  <c r="E2404" i="496"/>
  <c r="D2404" i="496"/>
  <c r="C2404" i="496"/>
  <c r="BE2403" i="496"/>
  <c r="BC2403" i="496"/>
  <c r="I2403" i="496"/>
  <c r="H2403" i="496"/>
  <c r="E2403" i="496"/>
  <c r="D2403" i="496"/>
  <c r="C2403" i="496"/>
  <c r="BE2402" i="496"/>
  <c r="BC2402" i="496"/>
  <c r="I2402" i="496"/>
  <c r="H2402" i="496"/>
  <c r="E2402" i="496"/>
  <c r="D2402" i="496"/>
  <c r="C2402" i="496"/>
  <c r="BE2401" i="496"/>
  <c r="BC2401" i="496"/>
  <c r="I2401" i="496"/>
  <c r="H2401" i="496"/>
  <c r="E2401" i="496"/>
  <c r="D2401" i="496"/>
  <c r="C2401" i="496"/>
  <c r="BE2400" i="496"/>
  <c r="BC2400" i="496"/>
  <c r="I2400" i="496"/>
  <c r="H2400" i="496"/>
  <c r="E2400" i="496"/>
  <c r="D2400" i="496"/>
  <c r="C2400" i="496"/>
  <c r="BE2399" i="496"/>
  <c r="BC2399" i="496"/>
  <c r="I2399" i="496"/>
  <c r="H2399" i="496"/>
  <c r="E2399" i="496"/>
  <c r="D2399" i="496"/>
  <c r="C2399" i="496"/>
  <c r="BE2398" i="496"/>
  <c r="BC2398" i="496"/>
  <c r="I2398" i="496"/>
  <c r="H2398" i="496"/>
  <c r="E2398" i="496"/>
  <c r="D2398" i="496"/>
  <c r="C2398" i="496"/>
  <c r="BE2397" i="496"/>
  <c r="BC2397" i="496"/>
  <c r="I2397" i="496"/>
  <c r="H2397" i="496"/>
  <c r="E2397" i="496"/>
  <c r="D2397" i="496"/>
  <c r="C2397" i="496"/>
  <c r="BE2396" i="496"/>
  <c r="BC2396" i="496"/>
  <c r="I2396" i="496"/>
  <c r="H2396" i="496"/>
  <c r="E2396" i="496"/>
  <c r="D2396" i="496"/>
  <c r="C2396" i="496"/>
  <c r="BE2395" i="496"/>
  <c r="BC2395" i="496"/>
  <c r="I2395" i="496"/>
  <c r="H2395" i="496"/>
  <c r="E2395" i="496"/>
  <c r="D2395" i="496"/>
  <c r="C2395" i="496"/>
  <c r="BE2394" i="496"/>
  <c r="BC2394" i="496"/>
  <c r="I2394" i="496"/>
  <c r="H2394" i="496"/>
  <c r="E2394" i="496"/>
  <c r="D2394" i="496"/>
  <c r="C2394" i="496"/>
  <c r="BE2393" i="496"/>
  <c r="BC2393" i="496"/>
  <c r="I2393" i="496"/>
  <c r="H2393" i="496"/>
  <c r="E2393" i="496"/>
  <c r="D2393" i="496"/>
  <c r="C2393" i="496"/>
  <c r="BE2392" i="496"/>
  <c r="BC2392" i="496"/>
  <c r="I2392" i="496"/>
  <c r="H2392" i="496"/>
  <c r="E2392" i="496"/>
  <c r="D2392" i="496"/>
  <c r="C2392" i="496"/>
  <c r="BE2391" i="496"/>
  <c r="BC2391" i="496"/>
  <c r="I2391" i="496"/>
  <c r="H2391" i="496"/>
  <c r="E2391" i="496"/>
  <c r="D2391" i="496"/>
  <c r="C2391" i="496"/>
  <c r="BE2390" i="496"/>
  <c r="BC2390" i="496"/>
  <c r="I2390" i="496"/>
  <c r="H2390" i="496"/>
  <c r="E2390" i="496"/>
  <c r="D2390" i="496"/>
  <c r="C2390" i="496"/>
  <c r="BE2389" i="496"/>
  <c r="BC2389" i="496"/>
  <c r="I2389" i="496"/>
  <c r="H2389" i="496"/>
  <c r="E2389" i="496"/>
  <c r="D2389" i="496"/>
  <c r="C2389" i="496"/>
  <c r="BE2388" i="496"/>
  <c r="BC2388" i="496"/>
  <c r="I2388" i="496"/>
  <c r="H2388" i="496"/>
  <c r="E2388" i="496"/>
  <c r="D2388" i="496"/>
  <c r="C2388" i="496"/>
  <c r="BE2387" i="496"/>
  <c r="BC2387" i="496"/>
  <c r="I2387" i="496"/>
  <c r="H2387" i="496"/>
  <c r="E2387" i="496"/>
  <c r="D2387" i="496"/>
  <c r="C2387" i="496"/>
  <c r="BE2386" i="496"/>
  <c r="BC2386" i="496"/>
  <c r="I2386" i="496"/>
  <c r="H2386" i="496"/>
  <c r="E2386" i="496"/>
  <c r="D2386" i="496"/>
  <c r="C2386" i="496"/>
  <c r="BE2385" i="496"/>
  <c r="BC2385" i="496"/>
  <c r="I2385" i="496"/>
  <c r="H2385" i="496"/>
  <c r="E2385" i="496"/>
  <c r="D2385" i="496"/>
  <c r="C2385" i="496"/>
  <c r="BE2384" i="496"/>
  <c r="BC2384" i="496"/>
  <c r="I2384" i="496"/>
  <c r="H2384" i="496"/>
  <c r="E2384" i="496"/>
  <c r="D2384" i="496"/>
  <c r="C2384" i="496"/>
  <c r="BE2383" i="496"/>
  <c r="BC2383" i="496"/>
  <c r="I2383" i="496"/>
  <c r="H2383" i="496"/>
  <c r="E2383" i="496"/>
  <c r="D2383" i="496"/>
  <c r="C2383" i="496"/>
  <c r="BE2382" i="496"/>
  <c r="BC2382" i="496"/>
  <c r="I2382" i="496"/>
  <c r="H2382" i="496"/>
  <c r="E2382" i="496"/>
  <c r="D2382" i="496"/>
  <c r="C2382" i="496"/>
  <c r="BE2381" i="496"/>
  <c r="BC2381" i="496"/>
  <c r="I2381" i="496"/>
  <c r="H2381" i="496"/>
  <c r="E2381" i="496"/>
  <c r="D2381" i="496"/>
  <c r="C2381" i="496"/>
  <c r="BE2380" i="496"/>
  <c r="BC2380" i="496"/>
  <c r="I2380" i="496"/>
  <c r="H2380" i="496"/>
  <c r="E2380" i="496"/>
  <c r="D2380" i="496"/>
  <c r="C2380" i="496"/>
  <c r="BE2379" i="496"/>
  <c r="BC2379" i="496"/>
  <c r="I2379" i="496"/>
  <c r="H2379" i="496"/>
  <c r="E2379" i="496"/>
  <c r="D2379" i="496"/>
  <c r="C2379" i="496"/>
  <c r="BE2378" i="496"/>
  <c r="BC2378" i="496"/>
  <c r="I2378" i="496"/>
  <c r="H2378" i="496"/>
  <c r="E2378" i="496"/>
  <c r="D2378" i="496"/>
  <c r="C2378" i="496"/>
  <c r="BE2377" i="496"/>
  <c r="BC2377" i="496"/>
  <c r="I2377" i="496"/>
  <c r="H2377" i="496"/>
  <c r="E2377" i="496"/>
  <c r="D2377" i="496"/>
  <c r="C2377" i="496"/>
  <c r="BE2376" i="496"/>
  <c r="BC2376" i="496"/>
  <c r="I2376" i="496"/>
  <c r="H2376" i="496"/>
  <c r="E2376" i="496"/>
  <c r="D2376" i="496"/>
  <c r="C2376" i="496"/>
  <c r="BE2375" i="496"/>
  <c r="BC2375" i="496"/>
  <c r="I2375" i="496"/>
  <c r="H2375" i="496"/>
  <c r="E2375" i="496"/>
  <c r="D2375" i="496"/>
  <c r="C2375" i="496"/>
  <c r="BE2374" i="496"/>
  <c r="BC2374" i="496"/>
  <c r="I2374" i="496"/>
  <c r="H2374" i="496"/>
  <c r="E2374" i="496"/>
  <c r="D2374" i="496"/>
  <c r="C2374" i="496"/>
  <c r="BE2373" i="496"/>
  <c r="BC2373" i="496"/>
  <c r="I2373" i="496"/>
  <c r="H2373" i="496"/>
  <c r="E2373" i="496"/>
  <c r="D2373" i="496"/>
  <c r="C2373" i="496"/>
  <c r="BE2372" i="496"/>
  <c r="BC2372" i="496"/>
  <c r="I2372" i="496"/>
  <c r="H2372" i="496"/>
  <c r="E2372" i="496"/>
  <c r="D2372" i="496"/>
  <c r="C2372" i="496"/>
  <c r="BE2371" i="496"/>
  <c r="BC2371" i="496"/>
  <c r="I2371" i="496"/>
  <c r="H2371" i="496"/>
  <c r="E2371" i="496"/>
  <c r="D2371" i="496"/>
  <c r="C2371" i="496"/>
  <c r="BE2370" i="496"/>
  <c r="BC2370" i="496"/>
  <c r="I2370" i="496"/>
  <c r="H2370" i="496"/>
  <c r="E2370" i="496"/>
  <c r="D2370" i="496"/>
  <c r="C2370" i="496"/>
  <c r="BE2369" i="496"/>
  <c r="BC2369" i="496"/>
  <c r="I2369" i="496"/>
  <c r="H2369" i="496"/>
  <c r="E2369" i="496"/>
  <c r="D2369" i="496"/>
  <c r="C2369" i="496"/>
  <c r="BE2368" i="496"/>
  <c r="BC2368" i="496"/>
  <c r="I2368" i="496"/>
  <c r="H2368" i="496"/>
  <c r="E2368" i="496"/>
  <c r="D2368" i="496"/>
  <c r="C2368" i="496"/>
  <c r="BE2367" i="496"/>
  <c r="BC2367" i="496"/>
  <c r="I2367" i="496"/>
  <c r="H2367" i="496"/>
  <c r="E2367" i="496"/>
  <c r="D2367" i="496"/>
  <c r="C2367" i="496"/>
  <c r="BE2366" i="496"/>
  <c r="BC2366" i="496"/>
  <c r="I2366" i="496"/>
  <c r="H2366" i="496"/>
  <c r="E2366" i="496"/>
  <c r="D2366" i="496"/>
  <c r="C2366" i="496"/>
  <c r="BE2365" i="496"/>
  <c r="BC2365" i="496"/>
  <c r="I2365" i="496"/>
  <c r="H2365" i="496"/>
  <c r="E2365" i="496"/>
  <c r="D2365" i="496"/>
  <c r="C2365" i="496"/>
  <c r="BE2364" i="496"/>
  <c r="BC2364" i="496"/>
  <c r="I2364" i="496"/>
  <c r="H2364" i="496"/>
  <c r="E2364" i="496"/>
  <c r="D2364" i="496"/>
  <c r="C2364" i="496"/>
  <c r="BE2363" i="496"/>
  <c r="BC2363" i="496"/>
  <c r="I2363" i="496"/>
  <c r="H2363" i="496"/>
  <c r="E2363" i="496"/>
  <c r="D2363" i="496"/>
  <c r="C2363" i="496"/>
  <c r="BE2362" i="496"/>
  <c r="BC2362" i="496"/>
  <c r="I2362" i="496"/>
  <c r="H2362" i="496"/>
  <c r="E2362" i="496"/>
  <c r="D2362" i="496"/>
  <c r="C2362" i="496"/>
  <c r="BE2361" i="496"/>
  <c r="BC2361" i="496"/>
  <c r="I2361" i="496"/>
  <c r="H2361" i="496"/>
  <c r="E2361" i="496"/>
  <c r="D2361" i="496"/>
  <c r="C2361" i="496"/>
  <c r="BE2360" i="496"/>
  <c r="BC2360" i="496"/>
  <c r="I2360" i="496"/>
  <c r="H2360" i="496"/>
  <c r="E2360" i="496"/>
  <c r="D2360" i="496"/>
  <c r="C2360" i="496"/>
  <c r="BE2359" i="496"/>
  <c r="BC2359" i="496"/>
  <c r="I2359" i="496"/>
  <c r="H2359" i="496"/>
  <c r="E2359" i="496"/>
  <c r="D2359" i="496"/>
  <c r="C2359" i="496"/>
  <c r="BE2358" i="496"/>
  <c r="BC2358" i="496"/>
  <c r="I2358" i="496"/>
  <c r="H2358" i="496"/>
  <c r="E2358" i="496"/>
  <c r="D2358" i="496"/>
  <c r="C2358" i="496"/>
  <c r="BE2357" i="496"/>
  <c r="BC2357" i="496"/>
  <c r="I2357" i="496"/>
  <c r="H2357" i="496"/>
  <c r="E2357" i="496"/>
  <c r="D2357" i="496"/>
  <c r="C2357" i="496"/>
  <c r="BE2356" i="496"/>
  <c r="BC2356" i="496"/>
  <c r="I2356" i="496"/>
  <c r="H2356" i="496"/>
  <c r="E2356" i="496"/>
  <c r="D2356" i="496"/>
  <c r="C2356" i="496"/>
  <c r="BE2355" i="496"/>
  <c r="BC2355" i="496"/>
  <c r="I2355" i="496"/>
  <c r="H2355" i="496"/>
  <c r="E2355" i="496"/>
  <c r="D2355" i="496"/>
  <c r="C2355" i="496"/>
  <c r="BE2354" i="496"/>
  <c r="BC2354" i="496"/>
  <c r="I2354" i="496"/>
  <c r="H2354" i="496"/>
  <c r="E2354" i="496"/>
  <c r="D2354" i="496"/>
  <c r="C2354" i="496"/>
  <c r="BE2353" i="496"/>
  <c r="BC2353" i="496"/>
  <c r="I2353" i="496"/>
  <c r="H2353" i="496"/>
  <c r="E2353" i="496"/>
  <c r="D2353" i="496"/>
  <c r="C2353" i="496"/>
  <c r="BE2352" i="496"/>
  <c r="BC2352" i="496"/>
  <c r="I2352" i="496"/>
  <c r="H2352" i="496"/>
  <c r="E2352" i="496"/>
  <c r="D2352" i="496"/>
  <c r="C2352" i="496"/>
  <c r="BE2351" i="496"/>
  <c r="BC2351" i="496"/>
  <c r="I2351" i="496"/>
  <c r="H2351" i="496"/>
  <c r="E2351" i="496"/>
  <c r="D2351" i="496"/>
  <c r="C2351" i="496"/>
  <c r="BE2350" i="496"/>
  <c r="BC2350" i="496"/>
  <c r="I2350" i="496"/>
  <c r="H2350" i="496"/>
  <c r="E2350" i="496"/>
  <c r="D2350" i="496"/>
  <c r="C2350" i="496"/>
  <c r="BE2349" i="496"/>
  <c r="BC2349" i="496"/>
  <c r="I2349" i="496"/>
  <c r="H2349" i="496"/>
  <c r="E2349" i="496"/>
  <c r="D2349" i="496"/>
  <c r="C2349" i="496"/>
  <c r="BE2348" i="496"/>
  <c r="BC2348" i="496"/>
  <c r="I2348" i="496"/>
  <c r="H2348" i="496"/>
  <c r="E2348" i="496"/>
  <c r="D2348" i="496"/>
  <c r="C2348" i="496"/>
  <c r="BE2347" i="496"/>
  <c r="BC2347" i="496"/>
  <c r="I2347" i="496"/>
  <c r="H2347" i="496"/>
  <c r="E2347" i="496"/>
  <c r="D2347" i="496"/>
  <c r="C2347" i="496"/>
  <c r="BE2346" i="496"/>
  <c r="BC2346" i="496"/>
  <c r="I2346" i="496"/>
  <c r="H2346" i="496"/>
  <c r="E2346" i="496"/>
  <c r="D2346" i="496"/>
  <c r="C2346" i="496"/>
  <c r="BE2345" i="496"/>
  <c r="BC2345" i="496"/>
  <c r="I2345" i="496"/>
  <c r="H2345" i="496"/>
  <c r="E2345" i="496"/>
  <c r="D2345" i="496"/>
  <c r="C2345" i="496"/>
  <c r="BE2344" i="496"/>
  <c r="BC2344" i="496"/>
  <c r="I2344" i="496"/>
  <c r="H2344" i="496"/>
  <c r="E2344" i="496"/>
  <c r="D2344" i="496"/>
  <c r="C2344" i="496"/>
  <c r="BE2343" i="496"/>
  <c r="BC2343" i="496"/>
  <c r="I2343" i="496"/>
  <c r="H2343" i="496"/>
  <c r="E2343" i="496"/>
  <c r="D2343" i="496"/>
  <c r="C2343" i="496"/>
  <c r="BE2342" i="496"/>
  <c r="BC2342" i="496"/>
  <c r="I2342" i="496"/>
  <c r="H2342" i="496"/>
  <c r="E2342" i="496"/>
  <c r="D2342" i="496"/>
  <c r="C2342" i="496"/>
  <c r="BE2341" i="496"/>
  <c r="BC2341" i="496"/>
  <c r="I2341" i="496"/>
  <c r="H2341" i="496"/>
  <c r="E2341" i="496"/>
  <c r="D2341" i="496"/>
  <c r="C2341" i="496"/>
  <c r="BE2340" i="496"/>
  <c r="BC2340" i="496"/>
  <c r="I2340" i="496"/>
  <c r="H2340" i="496"/>
  <c r="E2340" i="496"/>
  <c r="D2340" i="496"/>
  <c r="C2340" i="496"/>
  <c r="BE2339" i="496"/>
  <c r="BC2339" i="496"/>
  <c r="I2339" i="496"/>
  <c r="H2339" i="496"/>
  <c r="E2339" i="496"/>
  <c r="D2339" i="496"/>
  <c r="C2339" i="496"/>
  <c r="BE2338" i="496"/>
  <c r="BC2338" i="496"/>
  <c r="I2338" i="496"/>
  <c r="H2338" i="496"/>
  <c r="E2338" i="496"/>
  <c r="D2338" i="496"/>
  <c r="C2338" i="496"/>
  <c r="BE2337" i="496"/>
  <c r="BC2337" i="496"/>
  <c r="I2337" i="496"/>
  <c r="H2337" i="496"/>
  <c r="E2337" i="496"/>
  <c r="D2337" i="496"/>
  <c r="C2337" i="496"/>
  <c r="BE2336" i="496"/>
  <c r="BC2336" i="496"/>
  <c r="I2336" i="496"/>
  <c r="H2336" i="496"/>
  <c r="E2336" i="496"/>
  <c r="D2336" i="496"/>
  <c r="C2336" i="496"/>
  <c r="BE2335" i="496"/>
  <c r="BC2335" i="496"/>
  <c r="I2335" i="496"/>
  <c r="H2335" i="496"/>
  <c r="E2335" i="496"/>
  <c r="D2335" i="496"/>
  <c r="C2335" i="496"/>
  <c r="BE2334" i="496"/>
  <c r="BC2334" i="496"/>
  <c r="I2334" i="496"/>
  <c r="H2334" i="496"/>
  <c r="E2334" i="496"/>
  <c r="D2334" i="496"/>
  <c r="C2334" i="496"/>
  <c r="BE2333" i="496"/>
  <c r="BC2333" i="496"/>
  <c r="I2333" i="496"/>
  <c r="H2333" i="496"/>
  <c r="E2333" i="496"/>
  <c r="D2333" i="496"/>
  <c r="C2333" i="496"/>
  <c r="BE2332" i="496"/>
  <c r="BC2332" i="496"/>
  <c r="I2332" i="496"/>
  <c r="H2332" i="496"/>
  <c r="E2332" i="496"/>
  <c r="D2332" i="496"/>
  <c r="C2332" i="496"/>
  <c r="BE2331" i="496"/>
  <c r="BC2331" i="496"/>
  <c r="I2331" i="496"/>
  <c r="H2331" i="496"/>
  <c r="E2331" i="496"/>
  <c r="D2331" i="496"/>
  <c r="C2331" i="496"/>
  <c r="BE2330" i="496"/>
  <c r="BC2330" i="496"/>
  <c r="I2330" i="496"/>
  <c r="H2330" i="496"/>
  <c r="E2330" i="496"/>
  <c r="D2330" i="496"/>
  <c r="C2330" i="496"/>
  <c r="BE2329" i="496"/>
  <c r="BC2329" i="496"/>
  <c r="I2329" i="496"/>
  <c r="H2329" i="496"/>
  <c r="E2329" i="496"/>
  <c r="D2329" i="496"/>
  <c r="C2329" i="496"/>
  <c r="BE2328" i="496"/>
  <c r="BC2328" i="496"/>
  <c r="I2328" i="496"/>
  <c r="H2328" i="496"/>
  <c r="E2328" i="496"/>
  <c r="D2328" i="496"/>
  <c r="C2328" i="496"/>
  <c r="BE2327" i="496"/>
  <c r="BC2327" i="496"/>
  <c r="I2327" i="496"/>
  <c r="H2327" i="496"/>
  <c r="E2327" i="496"/>
  <c r="D2327" i="496"/>
  <c r="C2327" i="496"/>
  <c r="BE2326" i="496"/>
  <c r="BC2326" i="496"/>
  <c r="I2326" i="496"/>
  <c r="H2326" i="496"/>
  <c r="E2326" i="496"/>
  <c r="D2326" i="496"/>
  <c r="C2326" i="496"/>
  <c r="BE2325" i="496"/>
  <c r="BC2325" i="496"/>
  <c r="I2325" i="496"/>
  <c r="H2325" i="496"/>
  <c r="E2325" i="496"/>
  <c r="D2325" i="496"/>
  <c r="C2325" i="496"/>
  <c r="BE2324" i="496"/>
  <c r="BC2324" i="496"/>
  <c r="I2324" i="496"/>
  <c r="H2324" i="496"/>
  <c r="E2324" i="496"/>
  <c r="D2324" i="496"/>
  <c r="C2324" i="496"/>
  <c r="BE2323" i="496"/>
  <c r="BC2323" i="496"/>
  <c r="I2323" i="496"/>
  <c r="H2323" i="496"/>
  <c r="E2323" i="496"/>
  <c r="D2323" i="496"/>
  <c r="C2323" i="496"/>
  <c r="BE2322" i="496"/>
  <c r="BC2322" i="496"/>
  <c r="I2322" i="496"/>
  <c r="H2322" i="496"/>
  <c r="E2322" i="496"/>
  <c r="D2322" i="496"/>
  <c r="C2322" i="496"/>
  <c r="BE2321" i="496"/>
  <c r="BC2321" i="496"/>
  <c r="I2321" i="496"/>
  <c r="H2321" i="496"/>
  <c r="E2321" i="496"/>
  <c r="D2321" i="496"/>
  <c r="C2321" i="496"/>
  <c r="BE2320" i="496"/>
  <c r="BC2320" i="496"/>
  <c r="I2320" i="496"/>
  <c r="H2320" i="496"/>
  <c r="E2320" i="496"/>
  <c r="D2320" i="496"/>
  <c r="C2320" i="496"/>
  <c r="BE2319" i="496"/>
  <c r="BC2319" i="496"/>
  <c r="I2319" i="496"/>
  <c r="H2319" i="496"/>
  <c r="E2319" i="496"/>
  <c r="D2319" i="496"/>
  <c r="C2319" i="496"/>
  <c r="BE2318" i="496"/>
  <c r="BC2318" i="496"/>
  <c r="I2318" i="496"/>
  <c r="H2318" i="496"/>
  <c r="E2318" i="496"/>
  <c r="D2318" i="496"/>
  <c r="C2318" i="496"/>
  <c r="BE2317" i="496"/>
  <c r="BC2317" i="496"/>
  <c r="I2317" i="496"/>
  <c r="H2317" i="496"/>
  <c r="E2317" i="496"/>
  <c r="D2317" i="496"/>
  <c r="C2317" i="496"/>
  <c r="BE2316" i="496"/>
  <c r="BC2316" i="496"/>
  <c r="I2316" i="496"/>
  <c r="H2316" i="496"/>
  <c r="E2316" i="496"/>
  <c r="D2316" i="496"/>
  <c r="C2316" i="496"/>
  <c r="BE2315" i="496"/>
  <c r="BC2315" i="496"/>
  <c r="I2315" i="496"/>
  <c r="H2315" i="496"/>
  <c r="E2315" i="496"/>
  <c r="D2315" i="496"/>
  <c r="C2315" i="496"/>
  <c r="BE2314" i="496"/>
  <c r="BC2314" i="496"/>
  <c r="I2314" i="496"/>
  <c r="H2314" i="496"/>
  <c r="E2314" i="496"/>
  <c r="D2314" i="496"/>
  <c r="C2314" i="496"/>
  <c r="BE2313" i="496"/>
  <c r="BC2313" i="496"/>
  <c r="I2313" i="496"/>
  <c r="H2313" i="496"/>
  <c r="E2313" i="496"/>
  <c r="D2313" i="496"/>
  <c r="C2313" i="496"/>
  <c r="BE2312" i="496"/>
  <c r="BC2312" i="496"/>
  <c r="I2312" i="496"/>
  <c r="H2312" i="496"/>
  <c r="E2312" i="496"/>
  <c r="D2312" i="496"/>
  <c r="C2312" i="496"/>
  <c r="BE2311" i="496"/>
  <c r="BC2311" i="496"/>
  <c r="I2311" i="496"/>
  <c r="H2311" i="496"/>
  <c r="E2311" i="496"/>
  <c r="D2311" i="496"/>
  <c r="C2311" i="496"/>
  <c r="BE2310" i="496"/>
  <c r="BC2310" i="496"/>
  <c r="I2310" i="496"/>
  <c r="H2310" i="496"/>
  <c r="E2310" i="496"/>
  <c r="D2310" i="496"/>
  <c r="C2310" i="496"/>
  <c r="BE2309" i="496"/>
  <c r="BC2309" i="496"/>
  <c r="I2309" i="496"/>
  <c r="H2309" i="496"/>
  <c r="E2309" i="496"/>
  <c r="D2309" i="496"/>
  <c r="C2309" i="496"/>
  <c r="BE2308" i="496"/>
  <c r="BC2308" i="496"/>
  <c r="I2308" i="496"/>
  <c r="H2308" i="496"/>
  <c r="E2308" i="496"/>
  <c r="D2308" i="496"/>
  <c r="C2308" i="496"/>
  <c r="BE2307" i="496"/>
  <c r="BC2307" i="496"/>
  <c r="I2307" i="496"/>
  <c r="H2307" i="496"/>
  <c r="E2307" i="496"/>
  <c r="D2307" i="496"/>
  <c r="C2307" i="496"/>
  <c r="BE2306" i="496"/>
  <c r="BC2306" i="496"/>
  <c r="I2306" i="496"/>
  <c r="H2306" i="496"/>
  <c r="E2306" i="496"/>
  <c r="D2306" i="496"/>
  <c r="C2306" i="496"/>
  <c r="BE2305" i="496"/>
  <c r="BC2305" i="496"/>
  <c r="I2305" i="496"/>
  <c r="H2305" i="496"/>
  <c r="E2305" i="496"/>
  <c r="D2305" i="496"/>
  <c r="C2305" i="496"/>
  <c r="BE2304" i="496"/>
  <c r="BC2304" i="496"/>
  <c r="I2304" i="496"/>
  <c r="H2304" i="496"/>
  <c r="E2304" i="496"/>
  <c r="D2304" i="496"/>
  <c r="C2304" i="496"/>
  <c r="BE2303" i="496"/>
  <c r="BC2303" i="496"/>
  <c r="I2303" i="496"/>
  <c r="H2303" i="496"/>
  <c r="E2303" i="496"/>
  <c r="D2303" i="496"/>
  <c r="C2303" i="496"/>
  <c r="BE2302" i="496"/>
  <c r="BC2302" i="496"/>
  <c r="I2302" i="496"/>
  <c r="H2302" i="496"/>
  <c r="E2302" i="496"/>
  <c r="D2302" i="496"/>
  <c r="C2302" i="496"/>
  <c r="BE2301" i="496"/>
  <c r="BC2301" i="496"/>
  <c r="I2301" i="496"/>
  <c r="H2301" i="496"/>
  <c r="E2301" i="496"/>
  <c r="D2301" i="496"/>
  <c r="C2301" i="496"/>
  <c r="BE2300" i="496"/>
  <c r="BC2300" i="496"/>
  <c r="I2300" i="496"/>
  <c r="H2300" i="496"/>
  <c r="E2300" i="496"/>
  <c r="D2300" i="496"/>
  <c r="C2300" i="496"/>
  <c r="BE2299" i="496"/>
  <c r="BC2299" i="496"/>
  <c r="I2299" i="496"/>
  <c r="H2299" i="496"/>
  <c r="E2299" i="496"/>
  <c r="D2299" i="496"/>
  <c r="C2299" i="496"/>
  <c r="BE2298" i="496"/>
  <c r="BC2298" i="496"/>
  <c r="I2298" i="496"/>
  <c r="H2298" i="496"/>
  <c r="E2298" i="496"/>
  <c r="D2298" i="496"/>
  <c r="C2298" i="496"/>
  <c r="BE2297" i="496"/>
  <c r="BC2297" i="496"/>
  <c r="I2297" i="496"/>
  <c r="H2297" i="496"/>
  <c r="E2297" i="496"/>
  <c r="D2297" i="496"/>
  <c r="C2297" i="496"/>
  <c r="BE2296" i="496"/>
  <c r="BC2296" i="496"/>
  <c r="I2296" i="496"/>
  <c r="H2296" i="496"/>
  <c r="E2296" i="496"/>
  <c r="D2296" i="496"/>
  <c r="C2296" i="496"/>
  <c r="BE2295" i="496"/>
  <c r="BC2295" i="496"/>
  <c r="I2295" i="496"/>
  <c r="H2295" i="496"/>
  <c r="E2295" i="496"/>
  <c r="D2295" i="496"/>
  <c r="C2295" i="496"/>
  <c r="BE2294" i="496"/>
  <c r="BC2294" i="496"/>
  <c r="I2294" i="496"/>
  <c r="H2294" i="496"/>
  <c r="E2294" i="496"/>
  <c r="D2294" i="496"/>
  <c r="C2294" i="496"/>
  <c r="BE2293" i="496"/>
  <c r="BC2293" i="496"/>
  <c r="I2293" i="496"/>
  <c r="H2293" i="496"/>
  <c r="E2293" i="496"/>
  <c r="D2293" i="496"/>
  <c r="C2293" i="496"/>
  <c r="BE2292" i="496"/>
  <c r="BC2292" i="496"/>
  <c r="I2292" i="496"/>
  <c r="H2292" i="496"/>
  <c r="E2292" i="496"/>
  <c r="D2292" i="496"/>
  <c r="C2292" i="496"/>
  <c r="BE2291" i="496"/>
  <c r="BC2291" i="496"/>
  <c r="I2291" i="496"/>
  <c r="H2291" i="496"/>
  <c r="E2291" i="496"/>
  <c r="D2291" i="496"/>
  <c r="C2291" i="496"/>
  <c r="BE2290" i="496"/>
  <c r="BC2290" i="496"/>
  <c r="I2290" i="496"/>
  <c r="H2290" i="496"/>
  <c r="E2290" i="496"/>
  <c r="D2290" i="496"/>
  <c r="C2290" i="496"/>
  <c r="BE2289" i="496"/>
  <c r="BC2289" i="496"/>
  <c r="I2289" i="496"/>
  <c r="H2289" i="496"/>
  <c r="E2289" i="496"/>
  <c r="D2289" i="496"/>
  <c r="C2289" i="496"/>
  <c r="BE2288" i="496"/>
  <c r="BC2288" i="496"/>
  <c r="I2288" i="496"/>
  <c r="H2288" i="496"/>
  <c r="E2288" i="496"/>
  <c r="D2288" i="496"/>
  <c r="C2288" i="496"/>
  <c r="BE2287" i="496"/>
  <c r="BC2287" i="496"/>
  <c r="I2287" i="496"/>
  <c r="H2287" i="496"/>
  <c r="E2287" i="496"/>
  <c r="D2287" i="496"/>
  <c r="C2287" i="496"/>
  <c r="BE2286" i="496"/>
  <c r="BC2286" i="496"/>
  <c r="I2286" i="496"/>
  <c r="H2286" i="496"/>
  <c r="E2286" i="496"/>
  <c r="D2286" i="496"/>
  <c r="C2286" i="496"/>
  <c r="BE2285" i="496"/>
  <c r="BC2285" i="496"/>
  <c r="I2285" i="496"/>
  <c r="H2285" i="496"/>
  <c r="E2285" i="496"/>
  <c r="D2285" i="496"/>
  <c r="C2285" i="496"/>
  <c r="BE2284" i="496"/>
  <c r="BC2284" i="496"/>
  <c r="I2284" i="496"/>
  <c r="H2284" i="496"/>
  <c r="E2284" i="496"/>
  <c r="D2284" i="496"/>
  <c r="C2284" i="496"/>
  <c r="BE2283" i="496"/>
  <c r="BC2283" i="496"/>
  <c r="I2283" i="496"/>
  <c r="H2283" i="496"/>
  <c r="E2283" i="496"/>
  <c r="D2283" i="496"/>
  <c r="C2283" i="496"/>
  <c r="BE2282" i="496"/>
  <c r="BC2282" i="496"/>
  <c r="I2282" i="496"/>
  <c r="H2282" i="496"/>
  <c r="E2282" i="496"/>
  <c r="D2282" i="496"/>
  <c r="C2282" i="496"/>
  <c r="BE2281" i="496"/>
  <c r="BC2281" i="496"/>
  <c r="I2281" i="496"/>
  <c r="H2281" i="496"/>
  <c r="E2281" i="496"/>
  <c r="D2281" i="496"/>
  <c r="C2281" i="496"/>
  <c r="BE2280" i="496"/>
  <c r="BC2280" i="496"/>
  <c r="I2280" i="496"/>
  <c r="H2280" i="496"/>
  <c r="E2280" i="496"/>
  <c r="D2280" i="496"/>
  <c r="C2280" i="496"/>
  <c r="BE2279" i="496"/>
  <c r="BC2279" i="496"/>
  <c r="I2279" i="496"/>
  <c r="H2279" i="496"/>
  <c r="E2279" i="496"/>
  <c r="D2279" i="496"/>
  <c r="C2279" i="496"/>
  <c r="BE2278" i="496"/>
  <c r="BC2278" i="496"/>
  <c r="I2278" i="496"/>
  <c r="H2278" i="496"/>
  <c r="E2278" i="496"/>
  <c r="D2278" i="496"/>
  <c r="C2278" i="496"/>
  <c r="BE2277" i="496"/>
  <c r="BC2277" i="496"/>
  <c r="I2277" i="496"/>
  <c r="H2277" i="496"/>
  <c r="E2277" i="496"/>
  <c r="D2277" i="496"/>
  <c r="C2277" i="496"/>
  <c r="BE2276" i="496"/>
  <c r="BC2276" i="496"/>
  <c r="I2276" i="496"/>
  <c r="H2276" i="496"/>
  <c r="E2276" i="496"/>
  <c r="D2276" i="496"/>
  <c r="C2276" i="496"/>
  <c r="BE2275" i="496"/>
  <c r="BC2275" i="496"/>
  <c r="I2275" i="496"/>
  <c r="H2275" i="496"/>
  <c r="E2275" i="496"/>
  <c r="D2275" i="496"/>
  <c r="C2275" i="496"/>
  <c r="BE2274" i="496"/>
  <c r="BC2274" i="496"/>
  <c r="I2274" i="496"/>
  <c r="H2274" i="496"/>
  <c r="E2274" i="496"/>
  <c r="D2274" i="496"/>
  <c r="C2274" i="496"/>
  <c r="BE2273" i="496"/>
  <c r="BC2273" i="496"/>
  <c r="I2273" i="496"/>
  <c r="H2273" i="496"/>
  <c r="E2273" i="496"/>
  <c r="D2273" i="496"/>
  <c r="C2273" i="496"/>
  <c r="BE2272" i="496"/>
  <c r="BC2272" i="496"/>
  <c r="I2272" i="496"/>
  <c r="H2272" i="496"/>
  <c r="E2272" i="496"/>
  <c r="D2272" i="496"/>
  <c r="C2272" i="496"/>
  <c r="BE2271" i="496"/>
  <c r="BC2271" i="496"/>
  <c r="I2271" i="496"/>
  <c r="H2271" i="496"/>
  <c r="E2271" i="496"/>
  <c r="D2271" i="496"/>
  <c r="C2271" i="496"/>
  <c r="BE2270" i="496"/>
  <c r="BC2270" i="496"/>
  <c r="I2270" i="496"/>
  <c r="H2270" i="496"/>
  <c r="E2270" i="496"/>
  <c r="D2270" i="496"/>
  <c r="C2270" i="496"/>
  <c r="BE2269" i="496"/>
  <c r="BC2269" i="496"/>
  <c r="I2269" i="496"/>
  <c r="H2269" i="496"/>
  <c r="E2269" i="496"/>
  <c r="D2269" i="496"/>
  <c r="C2269" i="496"/>
  <c r="BE2268" i="496"/>
  <c r="BC2268" i="496"/>
  <c r="I2268" i="496"/>
  <c r="H2268" i="496"/>
  <c r="E2268" i="496"/>
  <c r="D2268" i="496"/>
  <c r="C2268" i="496"/>
  <c r="BE2267" i="496"/>
  <c r="BC2267" i="496"/>
  <c r="I2267" i="496"/>
  <c r="H2267" i="496"/>
  <c r="E2267" i="496"/>
  <c r="D2267" i="496"/>
  <c r="C2267" i="496"/>
  <c r="BE2266" i="496"/>
  <c r="BC2266" i="496"/>
  <c r="I2266" i="496"/>
  <c r="H2266" i="496"/>
  <c r="E2266" i="496"/>
  <c r="D2266" i="496"/>
  <c r="C2266" i="496"/>
  <c r="BE2265" i="496"/>
  <c r="BC2265" i="496"/>
  <c r="I2265" i="496"/>
  <c r="H2265" i="496"/>
  <c r="E2265" i="496"/>
  <c r="D2265" i="496"/>
  <c r="C2265" i="496"/>
  <c r="BE2264" i="496"/>
  <c r="BC2264" i="496"/>
  <c r="I2264" i="496"/>
  <c r="H2264" i="496"/>
  <c r="E2264" i="496"/>
  <c r="D2264" i="496"/>
  <c r="C2264" i="496"/>
  <c r="BE2263" i="496"/>
  <c r="BC2263" i="496"/>
  <c r="I2263" i="496"/>
  <c r="H2263" i="496"/>
  <c r="E2263" i="496"/>
  <c r="D2263" i="496"/>
  <c r="C2263" i="496"/>
  <c r="BE2262" i="496"/>
  <c r="BC2262" i="496"/>
  <c r="I2262" i="496"/>
  <c r="H2262" i="496"/>
  <c r="E2262" i="496"/>
  <c r="D2262" i="496"/>
  <c r="C2262" i="496"/>
  <c r="BE2261" i="496"/>
  <c r="BC2261" i="496"/>
  <c r="I2261" i="496"/>
  <c r="H2261" i="496"/>
  <c r="E2261" i="496"/>
  <c r="D2261" i="496"/>
  <c r="C2261" i="496"/>
  <c r="BE2260" i="496"/>
  <c r="BC2260" i="496"/>
  <c r="I2260" i="496"/>
  <c r="H2260" i="496"/>
  <c r="E2260" i="496"/>
  <c r="D2260" i="496"/>
  <c r="C2260" i="496"/>
  <c r="BE2259" i="496"/>
  <c r="BC2259" i="496"/>
  <c r="I2259" i="496"/>
  <c r="H2259" i="496"/>
  <c r="E2259" i="496"/>
  <c r="D2259" i="496"/>
  <c r="C2259" i="496"/>
  <c r="BE2258" i="496"/>
  <c r="BC2258" i="496"/>
  <c r="I2258" i="496"/>
  <c r="H2258" i="496"/>
  <c r="E2258" i="496"/>
  <c r="D2258" i="496"/>
  <c r="C2258" i="496"/>
  <c r="BE2257" i="496"/>
  <c r="BC2257" i="496"/>
  <c r="I2257" i="496"/>
  <c r="H2257" i="496"/>
  <c r="E2257" i="496"/>
  <c r="D2257" i="496"/>
  <c r="C2257" i="496"/>
  <c r="BE2256" i="496"/>
  <c r="BC2256" i="496"/>
  <c r="I2256" i="496"/>
  <c r="H2256" i="496"/>
  <c r="E2256" i="496"/>
  <c r="D2256" i="496"/>
  <c r="C2256" i="496"/>
  <c r="BE2255" i="496"/>
  <c r="BC2255" i="496"/>
  <c r="I2255" i="496"/>
  <c r="H2255" i="496"/>
  <c r="E2255" i="496"/>
  <c r="D2255" i="496"/>
  <c r="C2255" i="496"/>
  <c r="BE2254" i="496"/>
  <c r="BC2254" i="496"/>
  <c r="I2254" i="496"/>
  <c r="H2254" i="496"/>
  <c r="E2254" i="496"/>
  <c r="D2254" i="496"/>
  <c r="C2254" i="496"/>
  <c r="BE2253" i="496"/>
  <c r="BC2253" i="496"/>
  <c r="I2253" i="496"/>
  <c r="H2253" i="496"/>
  <c r="E2253" i="496"/>
  <c r="D2253" i="496"/>
  <c r="C2253" i="496"/>
  <c r="BE2252" i="496"/>
  <c r="BC2252" i="496"/>
  <c r="I2252" i="496"/>
  <c r="H2252" i="496"/>
  <c r="E2252" i="496"/>
  <c r="D2252" i="496"/>
  <c r="C2252" i="496"/>
  <c r="BE2251" i="496"/>
  <c r="BC2251" i="496"/>
  <c r="I2251" i="496"/>
  <c r="H2251" i="496"/>
  <c r="E2251" i="496"/>
  <c r="D2251" i="496"/>
  <c r="C2251" i="496"/>
  <c r="BE2250" i="496"/>
  <c r="BC2250" i="496"/>
  <c r="I2250" i="496"/>
  <c r="H2250" i="496"/>
  <c r="E2250" i="496"/>
  <c r="D2250" i="496"/>
  <c r="C2250" i="496"/>
  <c r="BE2249" i="496"/>
  <c r="BC2249" i="496"/>
  <c r="I2249" i="496"/>
  <c r="H2249" i="496"/>
  <c r="E2249" i="496"/>
  <c r="D2249" i="496"/>
  <c r="C2249" i="496"/>
  <c r="BE2248" i="496"/>
  <c r="BC2248" i="496"/>
  <c r="I2248" i="496"/>
  <c r="H2248" i="496"/>
  <c r="E2248" i="496"/>
  <c r="D2248" i="496"/>
  <c r="C2248" i="496"/>
  <c r="BE2247" i="496"/>
  <c r="BC2247" i="496"/>
  <c r="I2247" i="496"/>
  <c r="H2247" i="496"/>
  <c r="E2247" i="496"/>
  <c r="D2247" i="496"/>
  <c r="C2247" i="496"/>
  <c r="BE2246" i="496"/>
  <c r="BC2246" i="496"/>
  <c r="I2246" i="496"/>
  <c r="H2246" i="496"/>
  <c r="E2246" i="496"/>
  <c r="D2246" i="496"/>
  <c r="C2246" i="496"/>
  <c r="BE2245" i="496"/>
  <c r="BC2245" i="496"/>
  <c r="I2245" i="496"/>
  <c r="H2245" i="496"/>
  <c r="E2245" i="496"/>
  <c r="D2245" i="496"/>
  <c r="C2245" i="496"/>
  <c r="BE2244" i="496"/>
  <c r="BC2244" i="496"/>
  <c r="I2244" i="496"/>
  <c r="H2244" i="496"/>
  <c r="E2244" i="496"/>
  <c r="D2244" i="496"/>
  <c r="C2244" i="496"/>
  <c r="BE2243" i="496"/>
  <c r="BC2243" i="496"/>
  <c r="I2243" i="496"/>
  <c r="H2243" i="496"/>
  <c r="E2243" i="496"/>
  <c r="D2243" i="496"/>
  <c r="C2243" i="496"/>
  <c r="BE2242" i="496"/>
  <c r="BC2242" i="496"/>
  <c r="I2242" i="496"/>
  <c r="H2242" i="496"/>
  <c r="E2242" i="496"/>
  <c r="D2242" i="496"/>
  <c r="C2242" i="496"/>
  <c r="BE2241" i="496"/>
  <c r="BC2241" i="496"/>
  <c r="I2241" i="496"/>
  <c r="H2241" i="496"/>
  <c r="E2241" i="496"/>
  <c r="D2241" i="496"/>
  <c r="C2241" i="496"/>
  <c r="BE2240" i="496"/>
  <c r="BC2240" i="496"/>
  <c r="I2240" i="496"/>
  <c r="H2240" i="496"/>
  <c r="E2240" i="496"/>
  <c r="D2240" i="496"/>
  <c r="C2240" i="496"/>
  <c r="BE2239" i="496"/>
  <c r="BC2239" i="496"/>
  <c r="I2239" i="496"/>
  <c r="H2239" i="496"/>
  <c r="E2239" i="496"/>
  <c r="D2239" i="496"/>
  <c r="C2239" i="496"/>
  <c r="BE2238" i="496"/>
  <c r="BC2238" i="496"/>
  <c r="I2238" i="496"/>
  <c r="H2238" i="496"/>
  <c r="E2238" i="496"/>
  <c r="D2238" i="496"/>
  <c r="C2238" i="496"/>
  <c r="BE2237" i="496"/>
  <c r="BC2237" i="496"/>
  <c r="I2237" i="496"/>
  <c r="H2237" i="496"/>
  <c r="E2237" i="496"/>
  <c r="D2237" i="496"/>
  <c r="C2237" i="496"/>
  <c r="BE2236" i="496"/>
  <c r="BC2236" i="496"/>
  <c r="I2236" i="496"/>
  <c r="H2236" i="496"/>
  <c r="E2236" i="496"/>
  <c r="D2236" i="496"/>
  <c r="C2236" i="496"/>
  <c r="BE2235" i="496"/>
  <c r="BC2235" i="496"/>
  <c r="I2235" i="496"/>
  <c r="H2235" i="496"/>
  <c r="E2235" i="496"/>
  <c r="D2235" i="496"/>
  <c r="C2235" i="496"/>
  <c r="BE2234" i="496"/>
  <c r="BC2234" i="496"/>
  <c r="I2234" i="496"/>
  <c r="H2234" i="496"/>
  <c r="E2234" i="496"/>
  <c r="D2234" i="496"/>
  <c r="C2234" i="496"/>
  <c r="BE2233" i="496"/>
  <c r="BC2233" i="496"/>
  <c r="I2233" i="496"/>
  <c r="H2233" i="496"/>
  <c r="E2233" i="496"/>
  <c r="D2233" i="496"/>
  <c r="C2233" i="496"/>
  <c r="BE2232" i="496"/>
  <c r="BC2232" i="496"/>
  <c r="BA2232" i="496"/>
  <c r="I2232" i="496"/>
  <c r="H2232" i="496"/>
  <c r="E2232" i="496"/>
  <c r="D2232" i="496"/>
  <c r="C2232" i="496"/>
  <c r="BE2231" i="496"/>
  <c r="BC2231" i="496"/>
  <c r="BA2231" i="496"/>
  <c r="I2231" i="496"/>
  <c r="H2231" i="496"/>
  <c r="E2231" i="496"/>
  <c r="D2231" i="496"/>
  <c r="C2231" i="496"/>
  <c r="BE2230" i="496"/>
  <c r="BC2230" i="496"/>
  <c r="BA2230" i="496"/>
  <c r="I2230" i="496"/>
  <c r="H2230" i="496"/>
  <c r="E2230" i="496"/>
  <c r="D2230" i="496"/>
  <c r="C2230" i="496"/>
  <c r="BE2229" i="496"/>
  <c r="BC2229" i="496"/>
  <c r="BA2229" i="496"/>
  <c r="I2229" i="496"/>
  <c r="H2229" i="496"/>
  <c r="E2229" i="496"/>
  <c r="D2229" i="496"/>
  <c r="C2229" i="496"/>
  <c r="BE2228" i="496"/>
  <c r="BC2228" i="496"/>
  <c r="BA2228" i="496"/>
  <c r="I2228" i="496"/>
  <c r="H2228" i="496"/>
  <c r="E2228" i="496"/>
  <c r="D2228" i="496"/>
  <c r="C2228" i="496"/>
  <c r="BE2227" i="496"/>
  <c r="BC2227" i="496"/>
  <c r="BA2227" i="496"/>
  <c r="I2227" i="496"/>
  <c r="H2227" i="496"/>
  <c r="E2227" i="496"/>
  <c r="D2227" i="496"/>
  <c r="C2227" i="496"/>
  <c r="BE2226" i="496"/>
  <c r="BC2226" i="496"/>
  <c r="BA2226" i="496"/>
  <c r="I2226" i="496"/>
  <c r="H2226" i="496"/>
  <c r="E2226" i="496"/>
  <c r="D2226" i="496"/>
  <c r="C2226" i="496"/>
  <c r="BE2225" i="496"/>
  <c r="BC2225" i="496"/>
  <c r="BA2225" i="496"/>
  <c r="I2225" i="496"/>
  <c r="H2225" i="496"/>
  <c r="E2225" i="496"/>
  <c r="D2225" i="496"/>
  <c r="C2225" i="496"/>
  <c r="BE2224" i="496"/>
  <c r="BC2224" i="496"/>
  <c r="I2224" i="496"/>
  <c r="H2224" i="496"/>
  <c r="E2224" i="496"/>
  <c r="D2224" i="496"/>
  <c r="C2224" i="496"/>
  <c r="BE2223" i="496"/>
  <c r="BC2223" i="496"/>
  <c r="I2223" i="496"/>
  <c r="H2223" i="496"/>
  <c r="E2223" i="496"/>
  <c r="D2223" i="496"/>
  <c r="C2223" i="496"/>
  <c r="BE2222" i="496"/>
  <c r="BC2222" i="496"/>
  <c r="I2222" i="496"/>
  <c r="H2222" i="496"/>
  <c r="E2222" i="496"/>
  <c r="D2222" i="496"/>
  <c r="C2222" i="496"/>
  <c r="BE2221" i="496"/>
  <c r="BC2221" i="496"/>
  <c r="I2221" i="496"/>
  <c r="H2221" i="496"/>
  <c r="E2221" i="496"/>
  <c r="D2221" i="496"/>
  <c r="C2221" i="496"/>
  <c r="BE2220" i="496"/>
  <c r="BC2220" i="496"/>
  <c r="I2220" i="496"/>
  <c r="H2220" i="496"/>
  <c r="E2220" i="496"/>
  <c r="D2220" i="496"/>
  <c r="C2220" i="496"/>
  <c r="BE2219" i="496"/>
  <c r="BC2219" i="496"/>
  <c r="I2219" i="496"/>
  <c r="H2219" i="496"/>
  <c r="E2219" i="496"/>
  <c r="D2219" i="496"/>
  <c r="C2219" i="496"/>
  <c r="BE2218" i="496"/>
  <c r="BC2218" i="496"/>
  <c r="I2218" i="496"/>
  <c r="H2218" i="496"/>
  <c r="E2218" i="496"/>
  <c r="D2218" i="496"/>
  <c r="C2218" i="496"/>
  <c r="BE2217" i="496"/>
  <c r="BC2217" i="496"/>
  <c r="I2217" i="496"/>
  <c r="H2217" i="496"/>
  <c r="E2217" i="496"/>
  <c r="D2217" i="496"/>
  <c r="C2217" i="496"/>
  <c r="BE2216" i="496"/>
  <c r="BC2216" i="496"/>
  <c r="I2216" i="496"/>
  <c r="H2216" i="496"/>
  <c r="E2216" i="496"/>
  <c r="D2216" i="496"/>
  <c r="C2216" i="496"/>
  <c r="BE2215" i="496"/>
  <c r="BC2215" i="496"/>
  <c r="I2215" i="496"/>
  <c r="H2215" i="496"/>
  <c r="E2215" i="496"/>
  <c r="D2215" i="496"/>
  <c r="C2215" i="496"/>
  <c r="BE2214" i="496"/>
  <c r="BC2214" i="496"/>
  <c r="I2214" i="496"/>
  <c r="H2214" i="496"/>
  <c r="E2214" i="496"/>
  <c r="D2214" i="496"/>
  <c r="C2214" i="496"/>
  <c r="BE2213" i="496"/>
  <c r="BC2213" i="496"/>
  <c r="I2213" i="496"/>
  <c r="H2213" i="496"/>
  <c r="E2213" i="496"/>
  <c r="D2213" i="496"/>
  <c r="C2213" i="496"/>
  <c r="BE2212" i="496"/>
  <c r="BC2212" i="496"/>
  <c r="I2212" i="496"/>
  <c r="H2212" i="496"/>
  <c r="E2212" i="496"/>
  <c r="D2212" i="496"/>
  <c r="C2212" i="496"/>
  <c r="BE2211" i="496"/>
  <c r="BC2211" i="496"/>
  <c r="I2211" i="496"/>
  <c r="H2211" i="496"/>
  <c r="E2211" i="496"/>
  <c r="D2211" i="496"/>
  <c r="C2211" i="496"/>
  <c r="BE2210" i="496"/>
  <c r="BC2210" i="496"/>
  <c r="I2210" i="496"/>
  <c r="H2210" i="496"/>
  <c r="E2210" i="496"/>
  <c r="D2210" i="496"/>
  <c r="C2210" i="496"/>
  <c r="BE2209" i="496"/>
  <c r="BC2209" i="496"/>
  <c r="I2209" i="496"/>
  <c r="H2209" i="496"/>
  <c r="E2209" i="496"/>
  <c r="D2209" i="496"/>
  <c r="C2209" i="496"/>
  <c r="BE2208" i="496"/>
  <c r="BC2208" i="496"/>
  <c r="I2208" i="496"/>
  <c r="H2208" i="496"/>
  <c r="E2208" i="496"/>
  <c r="D2208" i="496"/>
  <c r="C2208" i="496"/>
  <c r="BE2207" i="496"/>
  <c r="BC2207" i="496"/>
  <c r="I2207" i="496"/>
  <c r="H2207" i="496"/>
  <c r="E2207" i="496"/>
  <c r="D2207" i="496"/>
  <c r="C2207" i="496"/>
  <c r="BE2206" i="496"/>
  <c r="BC2206" i="496"/>
  <c r="I2206" i="496"/>
  <c r="H2206" i="496"/>
  <c r="E2206" i="496"/>
  <c r="D2206" i="496"/>
  <c r="C2206" i="496"/>
  <c r="BE2205" i="496"/>
  <c r="BC2205" i="496"/>
  <c r="I2205" i="496"/>
  <c r="H2205" i="496"/>
  <c r="E2205" i="496"/>
  <c r="D2205" i="496"/>
  <c r="C2205" i="496"/>
  <c r="BE2204" i="496"/>
  <c r="BC2204" i="496"/>
  <c r="I2204" i="496"/>
  <c r="H2204" i="496"/>
  <c r="E2204" i="496"/>
  <c r="D2204" i="496"/>
  <c r="C2204" i="496"/>
  <c r="BE2203" i="496"/>
  <c r="BC2203" i="496"/>
  <c r="I2203" i="496"/>
  <c r="H2203" i="496"/>
  <c r="E2203" i="496"/>
  <c r="D2203" i="496"/>
  <c r="C2203" i="496"/>
  <c r="BE2202" i="496"/>
  <c r="BC2202" i="496"/>
  <c r="I2202" i="496"/>
  <c r="H2202" i="496"/>
  <c r="E2202" i="496"/>
  <c r="D2202" i="496"/>
  <c r="C2202" i="496"/>
  <c r="BE2201" i="496"/>
  <c r="BC2201" i="496"/>
  <c r="I2201" i="496"/>
  <c r="H2201" i="496"/>
  <c r="E2201" i="496"/>
  <c r="D2201" i="496"/>
  <c r="C2201" i="496"/>
  <c r="BE2200" i="496"/>
  <c r="BC2200" i="496"/>
  <c r="I2200" i="496"/>
  <c r="H2200" i="496"/>
  <c r="E2200" i="496"/>
  <c r="D2200" i="496"/>
  <c r="C2200" i="496"/>
  <c r="BE2199" i="496"/>
  <c r="BC2199" i="496"/>
  <c r="I2199" i="496"/>
  <c r="H2199" i="496"/>
  <c r="E2199" i="496"/>
  <c r="D2199" i="496"/>
  <c r="C2199" i="496"/>
  <c r="BE2198" i="496"/>
  <c r="BC2198" i="496"/>
  <c r="I2198" i="496"/>
  <c r="H2198" i="496"/>
  <c r="E2198" i="496"/>
  <c r="D2198" i="496"/>
  <c r="C2198" i="496"/>
  <c r="BE2197" i="496"/>
  <c r="BC2197" i="496"/>
  <c r="I2197" i="496"/>
  <c r="H2197" i="496"/>
  <c r="E2197" i="496"/>
  <c r="D2197" i="496"/>
  <c r="C2197" i="496"/>
  <c r="BE2196" i="496"/>
  <c r="BC2196" i="496"/>
  <c r="I2196" i="496"/>
  <c r="H2196" i="496"/>
  <c r="E2196" i="496"/>
  <c r="D2196" i="496"/>
  <c r="C2196" i="496"/>
  <c r="BE2195" i="496"/>
  <c r="BC2195" i="496"/>
  <c r="I2195" i="496"/>
  <c r="H2195" i="496"/>
  <c r="E2195" i="496"/>
  <c r="D2195" i="496"/>
  <c r="C2195" i="496"/>
  <c r="BE2194" i="496"/>
  <c r="BC2194" i="496"/>
  <c r="I2194" i="496"/>
  <c r="H2194" i="496"/>
  <c r="E2194" i="496"/>
  <c r="D2194" i="496"/>
  <c r="C2194" i="496"/>
  <c r="BE2193" i="496"/>
  <c r="BC2193" i="496"/>
  <c r="I2193" i="496"/>
  <c r="H2193" i="496"/>
  <c r="E2193" i="496"/>
  <c r="D2193" i="496"/>
  <c r="C2193" i="496"/>
  <c r="BE2192" i="496"/>
  <c r="BC2192" i="496"/>
  <c r="I2192" i="496"/>
  <c r="H2192" i="496"/>
  <c r="E2192" i="496"/>
  <c r="D2192" i="496"/>
  <c r="C2192" i="496"/>
  <c r="BE2191" i="496"/>
  <c r="BC2191" i="496"/>
  <c r="I2191" i="496"/>
  <c r="H2191" i="496"/>
  <c r="E2191" i="496"/>
  <c r="D2191" i="496"/>
  <c r="C2191" i="496"/>
  <c r="BE2190" i="496"/>
  <c r="BC2190" i="496"/>
  <c r="I2190" i="496"/>
  <c r="H2190" i="496"/>
  <c r="E2190" i="496"/>
  <c r="D2190" i="496"/>
  <c r="C2190" i="496"/>
  <c r="BE2189" i="496"/>
  <c r="BC2189" i="496"/>
  <c r="I2189" i="496"/>
  <c r="H2189" i="496"/>
  <c r="E2189" i="496"/>
  <c r="D2189" i="496"/>
  <c r="C2189" i="496"/>
  <c r="BE2188" i="496"/>
  <c r="BC2188" i="496"/>
  <c r="I2188" i="496"/>
  <c r="H2188" i="496"/>
  <c r="E2188" i="496"/>
  <c r="D2188" i="496"/>
  <c r="C2188" i="496"/>
  <c r="BE2187" i="496"/>
  <c r="BC2187" i="496"/>
  <c r="I2187" i="496"/>
  <c r="H2187" i="496"/>
  <c r="E2187" i="496"/>
  <c r="D2187" i="496"/>
  <c r="C2187" i="496"/>
  <c r="BE2186" i="496"/>
  <c r="BC2186" i="496"/>
  <c r="I2186" i="496"/>
  <c r="H2186" i="496"/>
  <c r="E2186" i="496"/>
  <c r="D2186" i="496"/>
  <c r="C2186" i="496"/>
  <c r="BE2185" i="496"/>
  <c r="BC2185" i="496"/>
  <c r="I2185" i="496"/>
  <c r="H2185" i="496"/>
  <c r="E2185" i="496"/>
  <c r="D2185" i="496"/>
  <c r="C2185" i="496"/>
  <c r="BE2184" i="496"/>
  <c r="BC2184" i="496"/>
  <c r="I2184" i="496"/>
  <c r="H2184" i="496"/>
  <c r="E2184" i="496"/>
  <c r="D2184" i="496"/>
  <c r="C2184" i="496"/>
  <c r="BE2183" i="496"/>
  <c r="BC2183" i="496"/>
  <c r="I2183" i="496"/>
  <c r="H2183" i="496"/>
  <c r="E2183" i="496"/>
  <c r="D2183" i="496"/>
  <c r="C2183" i="496"/>
  <c r="BE2182" i="496"/>
  <c r="BC2182" i="496"/>
  <c r="I2182" i="496"/>
  <c r="H2182" i="496"/>
  <c r="E2182" i="496"/>
  <c r="D2182" i="496"/>
  <c r="C2182" i="496"/>
  <c r="BE2181" i="496"/>
  <c r="BC2181" i="496"/>
  <c r="I2181" i="496"/>
  <c r="H2181" i="496"/>
  <c r="E2181" i="496"/>
  <c r="D2181" i="496"/>
  <c r="C2181" i="496"/>
  <c r="BE2180" i="496"/>
  <c r="BC2180" i="496"/>
  <c r="I2180" i="496"/>
  <c r="H2180" i="496"/>
  <c r="E2180" i="496"/>
  <c r="D2180" i="496"/>
  <c r="C2180" i="496"/>
  <c r="BE2179" i="496"/>
  <c r="BC2179" i="496"/>
  <c r="I2179" i="496"/>
  <c r="H2179" i="496"/>
  <c r="E2179" i="496"/>
  <c r="D2179" i="496"/>
  <c r="C2179" i="496"/>
  <c r="BE2178" i="496"/>
  <c r="BC2178" i="496"/>
  <c r="I2178" i="496"/>
  <c r="H2178" i="496"/>
  <c r="E2178" i="496"/>
  <c r="D2178" i="496"/>
  <c r="C2178" i="496"/>
  <c r="BE2177" i="496"/>
  <c r="BC2177" i="496"/>
  <c r="I2177" i="496"/>
  <c r="H2177" i="496"/>
  <c r="E2177" i="496"/>
  <c r="D2177" i="496"/>
  <c r="C2177" i="496"/>
  <c r="BE2176" i="496"/>
  <c r="BC2176" i="496"/>
  <c r="I2176" i="496"/>
  <c r="H2176" i="496"/>
  <c r="E2176" i="496"/>
  <c r="D2176" i="496"/>
  <c r="C2176" i="496"/>
  <c r="BE2175" i="496"/>
  <c r="BC2175" i="496"/>
  <c r="I2175" i="496"/>
  <c r="H2175" i="496"/>
  <c r="E2175" i="496"/>
  <c r="D2175" i="496"/>
  <c r="C2175" i="496"/>
  <c r="BE2174" i="496"/>
  <c r="BC2174" i="496"/>
  <c r="I2174" i="496"/>
  <c r="H2174" i="496"/>
  <c r="E2174" i="496"/>
  <c r="D2174" i="496"/>
  <c r="C2174" i="496"/>
  <c r="BE2173" i="496"/>
  <c r="BC2173" i="496"/>
  <c r="I2173" i="496"/>
  <c r="H2173" i="496"/>
  <c r="E2173" i="496"/>
  <c r="D2173" i="496"/>
  <c r="C2173" i="496"/>
  <c r="BE2172" i="496"/>
  <c r="BC2172" i="496"/>
  <c r="I2172" i="496"/>
  <c r="H2172" i="496"/>
  <c r="E2172" i="496"/>
  <c r="D2172" i="496"/>
  <c r="C2172" i="496"/>
  <c r="BE2171" i="496"/>
  <c r="BC2171" i="496"/>
  <c r="I2171" i="496"/>
  <c r="H2171" i="496"/>
  <c r="E2171" i="496"/>
  <c r="D2171" i="496"/>
  <c r="C2171" i="496"/>
  <c r="BE2170" i="496"/>
  <c r="BC2170" i="496"/>
  <c r="I2170" i="496"/>
  <c r="H2170" i="496"/>
  <c r="E2170" i="496"/>
  <c r="D2170" i="496"/>
  <c r="C2170" i="496"/>
  <c r="BE2169" i="496"/>
  <c r="BC2169" i="496"/>
  <c r="I2169" i="496"/>
  <c r="H2169" i="496"/>
  <c r="E2169" i="496"/>
  <c r="D2169" i="496"/>
  <c r="C2169" i="496"/>
  <c r="BE2168" i="496"/>
  <c r="BC2168" i="496"/>
  <c r="I2168" i="496"/>
  <c r="H2168" i="496"/>
  <c r="E2168" i="496"/>
  <c r="D2168" i="496"/>
  <c r="C2168" i="496"/>
  <c r="BE2167" i="496"/>
  <c r="BC2167" i="496"/>
  <c r="I2167" i="496"/>
  <c r="H2167" i="496"/>
  <c r="E2167" i="496"/>
  <c r="D2167" i="496"/>
  <c r="C2167" i="496"/>
  <c r="BE2166" i="496"/>
  <c r="BC2166" i="496"/>
  <c r="I2166" i="496"/>
  <c r="H2166" i="496"/>
  <c r="E2166" i="496"/>
  <c r="D2166" i="496"/>
  <c r="C2166" i="496"/>
  <c r="BE2165" i="496"/>
  <c r="BC2165" i="496"/>
  <c r="I2165" i="496"/>
  <c r="H2165" i="496"/>
  <c r="E2165" i="496"/>
  <c r="D2165" i="496"/>
  <c r="C2165" i="496"/>
  <c r="BE2164" i="496"/>
  <c r="BC2164" i="496"/>
  <c r="I2164" i="496"/>
  <c r="H2164" i="496"/>
  <c r="E2164" i="496"/>
  <c r="D2164" i="496"/>
  <c r="C2164" i="496"/>
  <c r="BE2163" i="496"/>
  <c r="BC2163" i="496"/>
  <c r="I2163" i="496"/>
  <c r="H2163" i="496"/>
  <c r="E2163" i="496"/>
  <c r="D2163" i="496"/>
  <c r="C2163" i="496"/>
  <c r="BE2162" i="496"/>
  <c r="BC2162" i="496"/>
  <c r="I2162" i="496"/>
  <c r="H2162" i="496"/>
  <c r="E2162" i="496"/>
  <c r="D2162" i="496"/>
  <c r="C2162" i="496"/>
  <c r="BE2161" i="496"/>
  <c r="BC2161" i="496"/>
  <c r="I2161" i="496"/>
  <c r="H2161" i="496"/>
  <c r="E2161" i="496"/>
  <c r="D2161" i="496"/>
  <c r="C2161" i="496"/>
  <c r="BE2160" i="496"/>
  <c r="BC2160" i="496"/>
  <c r="I2160" i="496"/>
  <c r="H2160" i="496"/>
  <c r="E2160" i="496"/>
  <c r="D2160" i="496"/>
  <c r="C2160" i="496"/>
  <c r="BE2159" i="496"/>
  <c r="BC2159" i="496"/>
  <c r="I2159" i="496"/>
  <c r="H2159" i="496"/>
  <c r="E2159" i="496"/>
  <c r="D2159" i="496"/>
  <c r="C2159" i="496"/>
  <c r="BE2158" i="496"/>
  <c r="BC2158" i="496"/>
  <c r="I2158" i="496"/>
  <c r="H2158" i="496"/>
  <c r="E2158" i="496"/>
  <c r="D2158" i="496"/>
  <c r="C2158" i="496"/>
  <c r="BE2157" i="496"/>
  <c r="BC2157" i="496"/>
  <c r="I2157" i="496"/>
  <c r="H2157" i="496"/>
  <c r="E2157" i="496"/>
  <c r="D2157" i="496"/>
  <c r="C2157" i="496"/>
  <c r="BE2156" i="496"/>
  <c r="BC2156" i="496"/>
  <c r="I2156" i="496"/>
  <c r="H2156" i="496"/>
  <c r="E2156" i="496"/>
  <c r="D2156" i="496"/>
  <c r="C2156" i="496"/>
  <c r="BE2155" i="496"/>
  <c r="BC2155" i="496"/>
  <c r="I2155" i="496"/>
  <c r="H2155" i="496"/>
  <c r="E2155" i="496"/>
  <c r="D2155" i="496"/>
  <c r="C2155" i="496"/>
  <c r="BE2154" i="496"/>
  <c r="BC2154" i="496"/>
  <c r="I2154" i="496"/>
  <c r="H2154" i="496"/>
  <c r="E2154" i="496"/>
  <c r="D2154" i="496"/>
  <c r="C2154" i="496"/>
  <c r="BE2153" i="496"/>
  <c r="BC2153" i="496"/>
  <c r="I2153" i="496"/>
  <c r="H2153" i="496"/>
  <c r="E2153" i="496"/>
  <c r="D2153" i="496"/>
  <c r="C2153" i="496"/>
  <c r="BE2152" i="496"/>
  <c r="BC2152" i="496"/>
  <c r="I2152" i="496"/>
  <c r="H2152" i="496"/>
  <c r="E2152" i="496"/>
  <c r="D2152" i="496"/>
  <c r="C2152" i="496"/>
  <c r="BE2151" i="496"/>
  <c r="BC2151" i="496"/>
  <c r="I2151" i="496"/>
  <c r="H2151" i="496"/>
  <c r="E2151" i="496"/>
  <c r="D2151" i="496"/>
  <c r="C2151" i="496"/>
  <c r="BE2150" i="496"/>
  <c r="BC2150" i="496"/>
  <c r="I2150" i="496"/>
  <c r="H2150" i="496"/>
  <c r="E2150" i="496"/>
  <c r="D2150" i="496"/>
  <c r="C2150" i="496"/>
  <c r="BE2149" i="496"/>
  <c r="BC2149" i="496"/>
  <c r="I2149" i="496"/>
  <c r="H2149" i="496"/>
  <c r="E2149" i="496"/>
  <c r="D2149" i="496"/>
  <c r="C2149" i="496"/>
  <c r="BE2148" i="496"/>
  <c r="BC2148" i="496"/>
  <c r="I2148" i="496"/>
  <c r="H2148" i="496"/>
  <c r="E2148" i="496"/>
  <c r="D2148" i="496"/>
  <c r="C2148" i="496"/>
  <c r="BE2147" i="496"/>
  <c r="BC2147" i="496"/>
  <c r="I2147" i="496"/>
  <c r="H2147" i="496"/>
  <c r="E2147" i="496"/>
  <c r="D2147" i="496"/>
  <c r="C2147" i="496"/>
  <c r="BE2146" i="496"/>
  <c r="BC2146" i="496"/>
  <c r="I2146" i="496"/>
  <c r="H2146" i="496"/>
  <c r="E2146" i="496"/>
  <c r="D2146" i="496"/>
  <c r="C2146" i="496"/>
  <c r="BE2145" i="496"/>
  <c r="BC2145" i="496"/>
  <c r="I2145" i="496"/>
  <c r="H2145" i="496"/>
  <c r="E2145" i="496"/>
  <c r="D2145" i="496"/>
  <c r="C2145" i="496"/>
  <c r="BE2144" i="496"/>
  <c r="BC2144" i="496"/>
  <c r="I2144" i="496"/>
  <c r="H2144" i="496"/>
  <c r="E2144" i="496"/>
  <c r="D2144" i="496"/>
  <c r="C2144" i="496"/>
  <c r="BE2143" i="496"/>
  <c r="BC2143" i="496"/>
  <c r="I2143" i="496"/>
  <c r="H2143" i="496"/>
  <c r="E2143" i="496"/>
  <c r="D2143" i="496"/>
  <c r="C2143" i="496"/>
  <c r="BE2142" i="496"/>
  <c r="BC2142" i="496"/>
  <c r="I2142" i="496"/>
  <c r="H2142" i="496"/>
  <c r="E2142" i="496"/>
  <c r="D2142" i="496"/>
  <c r="C2142" i="496"/>
  <c r="BE2141" i="496"/>
  <c r="BC2141" i="496"/>
  <c r="I2141" i="496"/>
  <c r="H2141" i="496"/>
  <c r="E2141" i="496"/>
  <c r="D2141" i="496"/>
  <c r="C2141" i="496"/>
  <c r="BE2140" i="496"/>
  <c r="BC2140" i="496"/>
  <c r="I2140" i="496"/>
  <c r="H2140" i="496"/>
  <c r="E2140" i="496"/>
  <c r="D2140" i="496"/>
  <c r="C2140" i="496"/>
  <c r="BE2139" i="496"/>
  <c r="BC2139" i="496"/>
  <c r="I2139" i="496"/>
  <c r="H2139" i="496"/>
  <c r="E2139" i="496"/>
  <c r="D2139" i="496"/>
  <c r="C2139" i="496"/>
  <c r="BE2138" i="496"/>
  <c r="BC2138" i="496"/>
  <c r="I2138" i="496"/>
  <c r="H2138" i="496"/>
  <c r="E2138" i="496"/>
  <c r="D2138" i="496"/>
  <c r="C2138" i="496"/>
  <c r="BE2137" i="496"/>
  <c r="BC2137" i="496"/>
  <c r="I2137" i="496"/>
  <c r="H2137" i="496"/>
  <c r="E2137" i="496"/>
  <c r="D2137" i="496"/>
  <c r="C2137" i="496"/>
  <c r="BE2136" i="496"/>
  <c r="BC2136" i="496"/>
  <c r="I2136" i="496"/>
  <c r="H2136" i="496"/>
  <c r="E2136" i="496"/>
  <c r="D2136" i="496"/>
  <c r="C2136" i="496"/>
  <c r="BE2135" i="496"/>
  <c r="BC2135" i="496"/>
  <c r="I2135" i="496"/>
  <c r="H2135" i="496"/>
  <c r="E2135" i="496"/>
  <c r="D2135" i="496"/>
  <c r="C2135" i="496"/>
  <c r="BE2134" i="496"/>
  <c r="BC2134" i="496"/>
  <c r="I2134" i="496"/>
  <c r="H2134" i="496"/>
  <c r="E2134" i="496"/>
  <c r="D2134" i="496"/>
  <c r="C2134" i="496"/>
  <c r="BE2133" i="496"/>
  <c r="BC2133" i="496"/>
  <c r="I2133" i="496"/>
  <c r="H2133" i="496"/>
  <c r="E2133" i="496"/>
  <c r="D2133" i="496"/>
  <c r="C2133" i="496"/>
  <c r="BE2132" i="496"/>
  <c r="BC2132" i="496"/>
  <c r="I2132" i="496"/>
  <c r="H2132" i="496"/>
  <c r="E2132" i="496"/>
  <c r="D2132" i="496"/>
  <c r="C2132" i="496"/>
  <c r="BE2131" i="496"/>
  <c r="BC2131" i="496"/>
  <c r="I2131" i="496"/>
  <c r="H2131" i="496"/>
  <c r="E2131" i="496"/>
  <c r="D2131" i="496"/>
  <c r="C2131" i="496"/>
  <c r="BE2130" i="496"/>
  <c r="BC2130" i="496"/>
  <c r="I2130" i="496"/>
  <c r="H2130" i="496"/>
  <c r="E2130" i="496"/>
  <c r="D2130" i="496"/>
  <c r="C2130" i="496"/>
  <c r="BE2129" i="496"/>
  <c r="BC2129" i="496"/>
  <c r="I2129" i="496"/>
  <c r="H2129" i="496"/>
  <c r="E2129" i="496"/>
  <c r="D2129" i="496"/>
  <c r="C2129" i="496"/>
  <c r="BE2128" i="496"/>
  <c r="BC2128" i="496"/>
  <c r="I2128" i="496"/>
  <c r="H2128" i="496"/>
  <c r="E2128" i="496"/>
  <c r="D2128" i="496"/>
  <c r="C2128" i="496"/>
  <c r="BE2127" i="496"/>
  <c r="BC2127" i="496"/>
  <c r="I2127" i="496"/>
  <c r="H2127" i="496"/>
  <c r="E2127" i="496"/>
  <c r="D2127" i="496"/>
  <c r="C2127" i="496"/>
  <c r="BE2126" i="496"/>
  <c r="BC2126" i="496"/>
  <c r="I2126" i="496"/>
  <c r="H2126" i="496"/>
  <c r="E2126" i="496"/>
  <c r="D2126" i="496"/>
  <c r="C2126" i="496"/>
  <c r="BE2125" i="496"/>
  <c r="BC2125" i="496"/>
  <c r="I2125" i="496"/>
  <c r="H2125" i="496"/>
  <c r="E2125" i="496"/>
  <c r="D2125" i="496"/>
  <c r="C2125" i="496"/>
  <c r="BE2124" i="496"/>
  <c r="BC2124" i="496"/>
  <c r="I2124" i="496"/>
  <c r="H2124" i="496"/>
  <c r="E2124" i="496"/>
  <c r="D2124" i="496"/>
  <c r="C2124" i="496"/>
  <c r="BE2123" i="496"/>
  <c r="BC2123" i="496"/>
  <c r="I2123" i="496"/>
  <c r="H2123" i="496"/>
  <c r="E2123" i="496"/>
  <c r="D2123" i="496"/>
  <c r="C2123" i="496"/>
  <c r="BE2122" i="496"/>
  <c r="BC2122" i="496"/>
  <c r="I2122" i="496"/>
  <c r="H2122" i="496"/>
  <c r="E2122" i="496"/>
  <c r="D2122" i="496"/>
  <c r="C2122" i="496"/>
  <c r="BE2121" i="496"/>
  <c r="BC2121" i="496"/>
  <c r="I2121" i="496"/>
  <c r="H2121" i="496"/>
  <c r="E2121" i="496"/>
  <c r="D2121" i="496"/>
  <c r="C2121" i="496"/>
  <c r="BE2120" i="496"/>
  <c r="BC2120" i="496"/>
  <c r="I2120" i="496"/>
  <c r="H2120" i="496"/>
  <c r="E2120" i="496"/>
  <c r="D2120" i="496"/>
  <c r="C2120" i="496"/>
  <c r="BE2119" i="496"/>
  <c r="BC2119" i="496"/>
  <c r="I2119" i="496"/>
  <c r="H2119" i="496"/>
  <c r="E2119" i="496"/>
  <c r="D2119" i="496"/>
  <c r="C2119" i="496"/>
  <c r="BE2118" i="496"/>
  <c r="BC2118" i="496"/>
  <c r="I2118" i="496"/>
  <c r="H2118" i="496"/>
  <c r="E2118" i="496"/>
  <c r="D2118" i="496"/>
  <c r="C2118" i="496"/>
  <c r="BE2117" i="496"/>
  <c r="BC2117" i="496"/>
  <c r="I2117" i="496"/>
  <c r="H2117" i="496"/>
  <c r="E2117" i="496"/>
  <c r="D2117" i="496"/>
  <c r="C2117" i="496"/>
  <c r="BE2116" i="496"/>
  <c r="BC2116" i="496"/>
  <c r="I2116" i="496"/>
  <c r="H2116" i="496"/>
  <c r="E2116" i="496"/>
  <c r="D2116" i="496"/>
  <c r="C2116" i="496"/>
  <c r="BE2115" i="496"/>
  <c r="BC2115" i="496"/>
  <c r="I2115" i="496"/>
  <c r="H2115" i="496"/>
  <c r="E2115" i="496"/>
  <c r="D2115" i="496"/>
  <c r="C2115" i="496"/>
  <c r="BE2114" i="496"/>
  <c r="BC2114" i="496"/>
  <c r="BA2114" i="496"/>
  <c r="I2114" i="496"/>
  <c r="H2114" i="496"/>
  <c r="E2114" i="496"/>
  <c r="D2114" i="496"/>
  <c r="C2114" i="496"/>
  <c r="BE2113" i="496"/>
  <c r="BC2113" i="496"/>
  <c r="I2113" i="496"/>
  <c r="H2113" i="496"/>
  <c r="E2113" i="496"/>
  <c r="D2113" i="496"/>
  <c r="C2113" i="496"/>
  <c r="BE2112" i="496"/>
  <c r="BC2112" i="496"/>
  <c r="I2112" i="496"/>
  <c r="H2112" i="496"/>
  <c r="E2112" i="496"/>
  <c r="D2112" i="496"/>
  <c r="C2112" i="496"/>
  <c r="BE2111" i="496"/>
  <c r="BC2111" i="496"/>
  <c r="I2111" i="496"/>
  <c r="H2111" i="496"/>
  <c r="E2111" i="496"/>
  <c r="D2111" i="496"/>
  <c r="C2111" i="496"/>
  <c r="BE2110" i="496"/>
  <c r="BC2110" i="496"/>
  <c r="I2110" i="496"/>
  <c r="H2110" i="496"/>
  <c r="E2110" i="496"/>
  <c r="D2110" i="496"/>
  <c r="C2110" i="496"/>
  <c r="BE2109" i="496"/>
  <c r="BC2109" i="496"/>
  <c r="I2109" i="496"/>
  <c r="H2109" i="496"/>
  <c r="E2109" i="496"/>
  <c r="D2109" i="496"/>
  <c r="C2109" i="496"/>
  <c r="BE2108" i="496"/>
  <c r="BC2108" i="496"/>
  <c r="I2108" i="496"/>
  <c r="H2108" i="496"/>
  <c r="E2108" i="496"/>
  <c r="D2108" i="496"/>
  <c r="C2108" i="496"/>
  <c r="BE2107" i="496"/>
  <c r="BC2107" i="496"/>
  <c r="I2107" i="496"/>
  <c r="H2107" i="496"/>
  <c r="E2107" i="496"/>
  <c r="D2107" i="496"/>
  <c r="C2107" i="496"/>
  <c r="BE2106" i="496"/>
  <c r="BC2106" i="496"/>
  <c r="I2106" i="496"/>
  <c r="H2106" i="496"/>
  <c r="E2106" i="496"/>
  <c r="D2106" i="496"/>
  <c r="C2106" i="496"/>
  <c r="BE2105" i="496"/>
  <c r="BC2105" i="496"/>
  <c r="I2105" i="496"/>
  <c r="H2105" i="496"/>
  <c r="E2105" i="496"/>
  <c r="D2105" i="496"/>
  <c r="C2105" i="496"/>
  <c r="BE2104" i="496"/>
  <c r="BC2104" i="496"/>
  <c r="I2104" i="496"/>
  <c r="H2104" i="496"/>
  <c r="E2104" i="496"/>
  <c r="D2104" i="496"/>
  <c r="C2104" i="496"/>
  <c r="BE2103" i="496"/>
  <c r="BC2103" i="496"/>
  <c r="I2103" i="496"/>
  <c r="H2103" i="496"/>
  <c r="E2103" i="496"/>
  <c r="D2103" i="496"/>
  <c r="C2103" i="496"/>
  <c r="BE2102" i="496"/>
  <c r="BC2102" i="496"/>
  <c r="I2102" i="496"/>
  <c r="H2102" i="496"/>
  <c r="E2102" i="496"/>
  <c r="D2102" i="496"/>
  <c r="C2102" i="496"/>
  <c r="BE2101" i="496"/>
  <c r="BC2101" i="496"/>
  <c r="I2101" i="496"/>
  <c r="H2101" i="496"/>
  <c r="E2101" i="496"/>
  <c r="D2101" i="496"/>
  <c r="C2101" i="496"/>
  <c r="BE2100" i="496"/>
  <c r="BC2100" i="496"/>
  <c r="I2100" i="496"/>
  <c r="H2100" i="496"/>
  <c r="E2100" i="496"/>
  <c r="D2100" i="496"/>
  <c r="C2100" i="496"/>
  <c r="BE2099" i="496"/>
  <c r="BC2099" i="496"/>
  <c r="I2099" i="496"/>
  <c r="H2099" i="496"/>
  <c r="E2099" i="496"/>
  <c r="D2099" i="496"/>
  <c r="C2099" i="496"/>
  <c r="BE2098" i="496"/>
  <c r="BC2098" i="496"/>
  <c r="I2098" i="496"/>
  <c r="H2098" i="496"/>
  <c r="E2098" i="496"/>
  <c r="D2098" i="496"/>
  <c r="C2098" i="496"/>
  <c r="BE2097" i="496"/>
  <c r="BC2097" i="496"/>
  <c r="I2097" i="496"/>
  <c r="H2097" i="496"/>
  <c r="E2097" i="496"/>
  <c r="D2097" i="496"/>
  <c r="C2097" i="496"/>
  <c r="BE2096" i="496"/>
  <c r="BC2096" i="496"/>
  <c r="I2096" i="496"/>
  <c r="H2096" i="496"/>
  <c r="E2096" i="496"/>
  <c r="D2096" i="496"/>
  <c r="C2096" i="496"/>
  <c r="BE2095" i="496"/>
  <c r="BC2095" i="496"/>
  <c r="I2095" i="496"/>
  <c r="H2095" i="496"/>
  <c r="E2095" i="496"/>
  <c r="D2095" i="496"/>
  <c r="C2095" i="496"/>
  <c r="BE2094" i="496"/>
  <c r="BC2094" i="496"/>
  <c r="I2094" i="496"/>
  <c r="H2094" i="496"/>
  <c r="E2094" i="496"/>
  <c r="D2094" i="496"/>
  <c r="C2094" i="496"/>
  <c r="BE2093" i="496"/>
  <c r="BC2093" i="496"/>
  <c r="I2093" i="496"/>
  <c r="H2093" i="496"/>
  <c r="E2093" i="496"/>
  <c r="D2093" i="496"/>
  <c r="C2093" i="496"/>
  <c r="BE2092" i="496"/>
  <c r="BC2092" i="496"/>
  <c r="I2092" i="496"/>
  <c r="H2092" i="496"/>
  <c r="E2092" i="496"/>
  <c r="D2092" i="496"/>
  <c r="C2092" i="496"/>
  <c r="BE2091" i="496"/>
  <c r="BC2091" i="496"/>
  <c r="I2091" i="496"/>
  <c r="H2091" i="496"/>
  <c r="E2091" i="496"/>
  <c r="D2091" i="496"/>
  <c r="C2091" i="496"/>
  <c r="BE2090" i="496"/>
  <c r="BC2090" i="496"/>
  <c r="I2090" i="496"/>
  <c r="H2090" i="496"/>
  <c r="E2090" i="496"/>
  <c r="D2090" i="496"/>
  <c r="C2090" i="496"/>
  <c r="BE2089" i="496"/>
  <c r="BC2089" i="496"/>
  <c r="I2089" i="496"/>
  <c r="H2089" i="496"/>
  <c r="E2089" i="496"/>
  <c r="D2089" i="496"/>
  <c r="C2089" i="496"/>
  <c r="BE2088" i="496"/>
  <c r="BC2088" i="496"/>
  <c r="I2088" i="496"/>
  <c r="H2088" i="496"/>
  <c r="E2088" i="496"/>
  <c r="D2088" i="496"/>
  <c r="C2088" i="496"/>
  <c r="BE2087" i="496"/>
  <c r="BC2087" i="496"/>
  <c r="I2087" i="496"/>
  <c r="H2087" i="496"/>
  <c r="E2087" i="496"/>
  <c r="D2087" i="496"/>
  <c r="C2087" i="496"/>
  <c r="BE2086" i="496"/>
  <c r="BC2086" i="496"/>
  <c r="I2086" i="496"/>
  <c r="H2086" i="496"/>
  <c r="E2086" i="496"/>
  <c r="D2086" i="496"/>
  <c r="C2086" i="496"/>
  <c r="BE2085" i="496"/>
  <c r="BC2085" i="496"/>
  <c r="I2085" i="496"/>
  <c r="H2085" i="496"/>
  <c r="E2085" i="496"/>
  <c r="D2085" i="496"/>
  <c r="C2085" i="496"/>
  <c r="BE2084" i="496"/>
  <c r="BC2084" i="496"/>
  <c r="I2084" i="496"/>
  <c r="H2084" i="496"/>
  <c r="E2084" i="496"/>
  <c r="D2084" i="496"/>
  <c r="C2084" i="496"/>
  <c r="BE2083" i="496"/>
  <c r="BC2083" i="496"/>
  <c r="I2083" i="496"/>
  <c r="H2083" i="496"/>
  <c r="E2083" i="496"/>
  <c r="D2083" i="496"/>
  <c r="C2083" i="496"/>
  <c r="BE2082" i="496"/>
  <c r="BC2082" i="496"/>
  <c r="I2082" i="496"/>
  <c r="H2082" i="496"/>
  <c r="E2082" i="496"/>
  <c r="D2082" i="496"/>
  <c r="C2082" i="496"/>
  <c r="BE2081" i="496"/>
  <c r="BC2081" i="496"/>
  <c r="I2081" i="496"/>
  <c r="H2081" i="496"/>
  <c r="E2081" i="496"/>
  <c r="D2081" i="496"/>
  <c r="C2081" i="496"/>
  <c r="BE2080" i="496"/>
  <c r="BC2080" i="496"/>
  <c r="I2080" i="496"/>
  <c r="H2080" i="496"/>
  <c r="E2080" i="496"/>
  <c r="D2080" i="496"/>
  <c r="C2080" i="496"/>
  <c r="BE2079" i="496"/>
  <c r="BC2079" i="496"/>
  <c r="I2079" i="496"/>
  <c r="H2079" i="496"/>
  <c r="E2079" i="496"/>
  <c r="D2079" i="496"/>
  <c r="C2079" i="496"/>
  <c r="BE2078" i="496"/>
  <c r="BC2078" i="496"/>
  <c r="I2078" i="496"/>
  <c r="H2078" i="496"/>
  <c r="E2078" i="496"/>
  <c r="D2078" i="496"/>
  <c r="C2078" i="496"/>
  <c r="BE2077" i="496"/>
  <c r="BC2077" i="496"/>
  <c r="I2077" i="496"/>
  <c r="H2077" i="496"/>
  <c r="E2077" i="496"/>
  <c r="D2077" i="496"/>
  <c r="C2077" i="496"/>
  <c r="BE2076" i="496"/>
  <c r="BC2076" i="496"/>
  <c r="I2076" i="496"/>
  <c r="H2076" i="496"/>
  <c r="E2076" i="496"/>
  <c r="D2076" i="496"/>
  <c r="C2076" i="496"/>
  <c r="BE2075" i="496"/>
  <c r="BC2075" i="496"/>
  <c r="I2075" i="496"/>
  <c r="H2075" i="496"/>
  <c r="E2075" i="496"/>
  <c r="D2075" i="496"/>
  <c r="C2075" i="496"/>
  <c r="BE2074" i="496"/>
  <c r="BC2074" i="496"/>
  <c r="I2074" i="496"/>
  <c r="H2074" i="496"/>
  <c r="E2074" i="496"/>
  <c r="D2074" i="496"/>
  <c r="C2074" i="496"/>
  <c r="BE2073" i="496"/>
  <c r="BC2073" i="496"/>
  <c r="I2073" i="496"/>
  <c r="H2073" i="496"/>
  <c r="E2073" i="496"/>
  <c r="D2073" i="496"/>
  <c r="C2073" i="496"/>
  <c r="BE2072" i="496"/>
  <c r="BC2072" i="496"/>
  <c r="I2072" i="496"/>
  <c r="H2072" i="496"/>
  <c r="E2072" i="496"/>
  <c r="D2072" i="496"/>
  <c r="C2072" i="496"/>
  <c r="BE2071" i="496"/>
  <c r="BC2071" i="496"/>
  <c r="I2071" i="496"/>
  <c r="H2071" i="496"/>
  <c r="E2071" i="496"/>
  <c r="D2071" i="496"/>
  <c r="C2071" i="496"/>
  <c r="BE2070" i="496"/>
  <c r="BC2070" i="496"/>
  <c r="I2070" i="496"/>
  <c r="H2070" i="496"/>
  <c r="E2070" i="496"/>
  <c r="D2070" i="496"/>
  <c r="C2070" i="496"/>
  <c r="BE2069" i="496"/>
  <c r="BC2069" i="496"/>
  <c r="I2069" i="496"/>
  <c r="H2069" i="496"/>
  <c r="E2069" i="496"/>
  <c r="D2069" i="496"/>
  <c r="C2069" i="496"/>
  <c r="BE2068" i="496"/>
  <c r="BC2068" i="496"/>
  <c r="I2068" i="496"/>
  <c r="H2068" i="496"/>
  <c r="E2068" i="496"/>
  <c r="D2068" i="496"/>
  <c r="C2068" i="496"/>
  <c r="BE2067" i="496"/>
  <c r="BC2067" i="496"/>
  <c r="I2067" i="496"/>
  <c r="H2067" i="496"/>
  <c r="E2067" i="496"/>
  <c r="D2067" i="496"/>
  <c r="C2067" i="496"/>
  <c r="BE2066" i="496"/>
  <c r="BC2066" i="496"/>
  <c r="I2066" i="496"/>
  <c r="H2066" i="496"/>
  <c r="E2066" i="496"/>
  <c r="D2066" i="496"/>
  <c r="C2066" i="496"/>
  <c r="BE2065" i="496"/>
  <c r="BC2065" i="496"/>
  <c r="I2065" i="496"/>
  <c r="H2065" i="496"/>
  <c r="E2065" i="496"/>
  <c r="D2065" i="496"/>
  <c r="C2065" i="496"/>
  <c r="BE2064" i="496"/>
  <c r="BC2064" i="496"/>
  <c r="I2064" i="496"/>
  <c r="H2064" i="496"/>
  <c r="E2064" i="496"/>
  <c r="D2064" i="496"/>
  <c r="C2064" i="496"/>
  <c r="BE2063" i="496"/>
  <c r="BC2063" i="496"/>
  <c r="I2063" i="496"/>
  <c r="H2063" i="496"/>
  <c r="E2063" i="496"/>
  <c r="D2063" i="496"/>
  <c r="C2063" i="496"/>
  <c r="BE2062" i="496"/>
  <c r="BC2062" i="496"/>
  <c r="I2062" i="496"/>
  <c r="H2062" i="496"/>
  <c r="E2062" i="496"/>
  <c r="D2062" i="496"/>
  <c r="C2062" i="496"/>
  <c r="BE2061" i="496"/>
  <c r="BC2061" i="496"/>
  <c r="I2061" i="496"/>
  <c r="H2061" i="496"/>
  <c r="E2061" i="496"/>
  <c r="D2061" i="496"/>
  <c r="C2061" i="496"/>
  <c r="BE2060" i="496"/>
  <c r="BC2060" i="496"/>
  <c r="I2060" i="496"/>
  <c r="H2060" i="496"/>
  <c r="E2060" i="496"/>
  <c r="D2060" i="496"/>
  <c r="C2060" i="496"/>
  <c r="BE2059" i="496"/>
  <c r="BC2059" i="496"/>
  <c r="I2059" i="496"/>
  <c r="H2059" i="496"/>
  <c r="E2059" i="496"/>
  <c r="D2059" i="496"/>
  <c r="C2059" i="496"/>
  <c r="BE2058" i="496"/>
  <c r="BC2058" i="496"/>
  <c r="I2058" i="496"/>
  <c r="H2058" i="496"/>
  <c r="E2058" i="496"/>
  <c r="D2058" i="496"/>
  <c r="C2058" i="496"/>
  <c r="BE2057" i="496"/>
  <c r="BC2057" i="496"/>
  <c r="I2057" i="496"/>
  <c r="H2057" i="496"/>
  <c r="E2057" i="496"/>
  <c r="D2057" i="496"/>
  <c r="C2057" i="496"/>
  <c r="BE2056" i="496"/>
  <c r="BC2056" i="496"/>
  <c r="I2056" i="496"/>
  <c r="H2056" i="496"/>
  <c r="E2056" i="496"/>
  <c r="D2056" i="496"/>
  <c r="C2056" i="496"/>
  <c r="BE2055" i="496"/>
  <c r="BC2055" i="496"/>
  <c r="I2055" i="496"/>
  <c r="H2055" i="496"/>
  <c r="E2055" i="496"/>
  <c r="D2055" i="496"/>
  <c r="C2055" i="496"/>
  <c r="BE2054" i="496"/>
  <c r="BC2054" i="496"/>
  <c r="I2054" i="496"/>
  <c r="H2054" i="496"/>
  <c r="E2054" i="496"/>
  <c r="D2054" i="496"/>
  <c r="C2054" i="496"/>
  <c r="BE2053" i="496"/>
  <c r="BC2053" i="496"/>
  <c r="I2053" i="496"/>
  <c r="H2053" i="496"/>
  <c r="E2053" i="496"/>
  <c r="D2053" i="496"/>
  <c r="C2053" i="496"/>
  <c r="BE2052" i="496"/>
  <c r="BC2052" i="496"/>
  <c r="I2052" i="496"/>
  <c r="H2052" i="496"/>
  <c r="E2052" i="496"/>
  <c r="D2052" i="496"/>
  <c r="C2052" i="496"/>
  <c r="BE2051" i="496"/>
  <c r="BC2051" i="496"/>
  <c r="I2051" i="496"/>
  <c r="H2051" i="496"/>
  <c r="E2051" i="496"/>
  <c r="D2051" i="496"/>
  <c r="C2051" i="496"/>
  <c r="BE2050" i="496"/>
  <c r="BC2050" i="496"/>
  <c r="I2050" i="496"/>
  <c r="H2050" i="496"/>
  <c r="E2050" i="496"/>
  <c r="D2050" i="496"/>
  <c r="C2050" i="496"/>
  <c r="BE2049" i="496"/>
  <c r="BC2049" i="496"/>
  <c r="I2049" i="496"/>
  <c r="H2049" i="496"/>
  <c r="E2049" i="496"/>
  <c r="D2049" i="496"/>
  <c r="C2049" i="496"/>
  <c r="BE2048" i="496"/>
  <c r="BC2048" i="496"/>
  <c r="I2048" i="496"/>
  <c r="H2048" i="496"/>
  <c r="E2048" i="496"/>
  <c r="D2048" i="496"/>
  <c r="C2048" i="496"/>
  <c r="BE2047" i="496"/>
  <c r="BC2047" i="496"/>
  <c r="I2047" i="496"/>
  <c r="H2047" i="496"/>
  <c r="E2047" i="496"/>
  <c r="D2047" i="496"/>
  <c r="C2047" i="496"/>
  <c r="BE2046" i="496"/>
  <c r="BC2046" i="496"/>
  <c r="I2046" i="496"/>
  <c r="H2046" i="496"/>
  <c r="E2046" i="496"/>
  <c r="D2046" i="496"/>
  <c r="C2046" i="496"/>
  <c r="BE2045" i="496"/>
  <c r="BC2045" i="496"/>
  <c r="I2045" i="496"/>
  <c r="H2045" i="496"/>
  <c r="E2045" i="496"/>
  <c r="D2045" i="496"/>
  <c r="C2045" i="496"/>
  <c r="BE2044" i="496"/>
  <c r="BC2044" i="496"/>
  <c r="I2044" i="496"/>
  <c r="H2044" i="496"/>
  <c r="E2044" i="496"/>
  <c r="D2044" i="496"/>
  <c r="C2044" i="496"/>
  <c r="BE2043" i="496"/>
  <c r="BC2043" i="496"/>
  <c r="I2043" i="496"/>
  <c r="H2043" i="496"/>
  <c r="E2043" i="496"/>
  <c r="D2043" i="496"/>
  <c r="C2043" i="496"/>
  <c r="BE2042" i="496"/>
  <c r="BC2042" i="496"/>
  <c r="I2042" i="496"/>
  <c r="H2042" i="496"/>
  <c r="E2042" i="496"/>
  <c r="D2042" i="496"/>
  <c r="C2042" i="496"/>
  <c r="BE2041" i="496"/>
  <c r="BC2041" i="496"/>
  <c r="I2041" i="496"/>
  <c r="H2041" i="496"/>
  <c r="E2041" i="496"/>
  <c r="D2041" i="496"/>
  <c r="C2041" i="496"/>
  <c r="BE2040" i="496"/>
  <c r="BC2040" i="496"/>
  <c r="I2040" i="496"/>
  <c r="H2040" i="496"/>
  <c r="E2040" i="496"/>
  <c r="D2040" i="496"/>
  <c r="C2040" i="496"/>
  <c r="BE2039" i="496"/>
  <c r="BC2039" i="496"/>
  <c r="I2039" i="496"/>
  <c r="H2039" i="496"/>
  <c r="E2039" i="496"/>
  <c r="D2039" i="496"/>
  <c r="C2039" i="496"/>
  <c r="BE2038" i="496"/>
  <c r="BC2038" i="496"/>
  <c r="I2038" i="496"/>
  <c r="H2038" i="496"/>
  <c r="E2038" i="496"/>
  <c r="D2038" i="496"/>
  <c r="C2038" i="496"/>
  <c r="BE2037" i="496"/>
  <c r="BC2037" i="496"/>
  <c r="I2037" i="496"/>
  <c r="H2037" i="496"/>
  <c r="E2037" i="496"/>
  <c r="D2037" i="496"/>
  <c r="C2037" i="496"/>
  <c r="BE2036" i="496"/>
  <c r="BC2036" i="496"/>
  <c r="I2036" i="496"/>
  <c r="H2036" i="496"/>
  <c r="E2036" i="496"/>
  <c r="D2036" i="496"/>
  <c r="C2036" i="496"/>
  <c r="BE2035" i="496"/>
  <c r="BC2035" i="496"/>
  <c r="I2035" i="496"/>
  <c r="H2035" i="496"/>
  <c r="E2035" i="496"/>
  <c r="D2035" i="496"/>
  <c r="C2035" i="496"/>
  <c r="BE2034" i="496"/>
  <c r="BC2034" i="496"/>
  <c r="I2034" i="496"/>
  <c r="H2034" i="496"/>
  <c r="E2034" i="496"/>
  <c r="D2034" i="496"/>
  <c r="C2034" i="496"/>
  <c r="BE2033" i="496"/>
  <c r="BC2033" i="496"/>
  <c r="I2033" i="496"/>
  <c r="H2033" i="496"/>
  <c r="E2033" i="496"/>
  <c r="D2033" i="496"/>
  <c r="C2033" i="496"/>
  <c r="BE2032" i="496"/>
  <c r="BC2032" i="496"/>
  <c r="I2032" i="496"/>
  <c r="H2032" i="496"/>
  <c r="E2032" i="496"/>
  <c r="D2032" i="496"/>
  <c r="C2032" i="496"/>
  <c r="BE2031" i="496"/>
  <c r="BC2031" i="496"/>
  <c r="I2031" i="496"/>
  <c r="H2031" i="496"/>
  <c r="E2031" i="496"/>
  <c r="D2031" i="496"/>
  <c r="C2031" i="496"/>
  <c r="BE2030" i="496"/>
  <c r="BC2030" i="496"/>
  <c r="I2030" i="496"/>
  <c r="H2030" i="496"/>
  <c r="E2030" i="496"/>
  <c r="D2030" i="496"/>
  <c r="C2030" i="496"/>
  <c r="BE2029" i="496"/>
  <c r="BC2029" i="496"/>
  <c r="I2029" i="496"/>
  <c r="H2029" i="496"/>
  <c r="E2029" i="496"/>
  <c r="D2029" i="496"/>
  <c r="C2029" i="496"/>
  <c r="BE2028" i="496"/>
  <c r="BC2028" i="496"/>
  <c r="I2028" i="496"/>
  <c r="H2028" i="496"/>
  <c r="E2028" i="496"/>
  <c r="D2028" i="496"/>
  <c r="C2028" i="496"/>
  <c r="BE2027" i="496"/>
  <c r="BC2027" i="496"/>
  <c r="I2027" i="496"/>
  <c r="H2027" i="496"/>
  <c r="E2027" i="496"/>
  <c r="D2027" i="496"/>
  <c r="C2027" i="496"/>
  <c r="BE2026" i="496"/>
  <c r="BC2026" i="496"/>
  <c r="I2026" i="496"/>
  <c r="H2026" i="496"/>
  <c r="E2026" i="496"/>
  <c r="D2026" i="496"/>
  <c r="C2026" i="496"/>
  <c r="BE2025" i="496"/>
  <c r="BC2025" i="496"/>
  <c r="I2025" i="496"/>
  <c r="H2025" i="496"/>
  <c r="E2025" i="496"/>
  <c r="D2025" i="496"/>
  <c r="C2025" i="496"/>
  <c r="BE2024" i="496"/>
  <c r="BC2024" i="496"/>
  <c r="I2024" i="496"/>
  <c r="H2024" i="496"/>
  <c r="E2024" i="496"/>
  <c r="D2024" i="496"/>
  <c r="C2024" i="496"/>
  <c r="BE2023" i="496"/>
  <c r="BC2023" i="496"/>
  <c r="I2023" i="496"/>
  <c r="H2023" i="496"/>
  <c r="E2023" i="496"/>
  <c r="D2023" i="496"/>
  <c r="C2023" i="496"/>
  <c r="BE2022" i="496"/>
  <c r="BC2022" i="496"/>
  <c r="I2022" i="496"/>
  <c r="H2022" i="496"/>
  <c r="E2022" i="496"/>
  <c r="D2022" i="496"/>
  <c r="C2022" i="496"/>
  <c r="BE2021" i="496"/>
  <c r="BC2021" i="496"/>
  <c r="I2021" i="496"/>
  <c r="H2021" i="496"/>
  <c r="E2021" i="496"/>
  <c r="D2021" i="496"/>
  <c r="C2021" i="496"/>
  <c r="BE2020" i="496"/>
  <c r="BC2020" i="496"/>
  <c r="I2020" i="496"/>
  <c r="H2020" i="496"/>
  <c r="E2020" i="496"/>
  <c r="D2020" i="496"/>
  <c r="C2020" i="496"/>
  <c r="BE2019" i="496"/>
  <c r="BC2019" i="496"/>
  <c r="I2019" i="496"/>
  <c r="H2019" i="496"/>
  <c r="E2019" i="496"/>
  <c r="D2019" i="496"/>
  <c r="C2019" i="496"/>
  <c r="BE2018" i="496"/>
  <c r="BC2018" i="496"/>
  <c r="I2018" i="496"/>
  <c r="H2018" i="496"/>
  <c r="E2018" i="496"/>
  <c r="D2018" i="496"/>
  <c r="C2018" i="496"/>
  <c r="BE2017" i="496"/>
  <c r="BC2017" i="496"/>
  <c r="I2017" i="496"/>
  <c r="H2017" i="496"/>
  <c r="E2017" i="496"/>
  <c r="D2017" i="496"/>
  <c r="C2017" i="496"/>
  <c r="BE2016" i="496"/>
  <c r="BC2016" i="496"/>
  <c r="I2016" i="496"/>
  <c r="H2016" i="496"/>
  <c r="E2016" i="496"/>
  <c r="D2016" i="496"/>
  <c r="C2016" i="496"/>
  <c r="BE2015" i="496"/>
  <c r="BC2015" i="496"/>
  <c r="I2015" i="496"/>
  <c r="H2015" i="496"/>
  <c r="E2015" i="496"/>
  <c r="D2015" i="496"/>
  <c r="C2015" i="496"/>
  <c r="BE2014" i="496"/>
  <c r="BC2014" i="496"/>
  <c r="I2014" i="496"/>
  <c r="H2014" i="496"/>
  <c r="E2014" i="496"/>
  <c r="D2014" i="496"/>
  <c r="C2014" i="496"/>
  <c r="BE2013" i="496"/>
  <c r="BC2013" i="496"/>
  <c r="I2013" i="496"/>
  <c r="H2013" i="496"/>
  <c r="E2013" i="496"/>
  <c r="D2013" i="496"/>
  <c r="C2013" i="496"/>
  <c r="BE2012" i="496"/>
  <c r="BC2012" i="496"/>
  <c r="I2012" i="496"/>
  <c r="H2012" i="496"/>
  <c r="E2012" i="496"/>
  <c r="D2012" i="496"/>
  <c r="C2012" i="496"/>
  <c r="BE2011" i="496"/>
  <c r="BC2011" i="496"/>
  <c r="I2011" i="496"/>
  <c r="H2011" i="496"/>
  <c r="E2011" i="496"/>
  <c r="D2011" i="496"/>
  <c r="C2011" i="496"/>
  <c r="BE2010" i="496"/>
  <c r="BC2010" i="496"/>
  <c r="I2010" i="496"/>
  <c r="H2010" i="496"/>
  <c r="E2010" i="496"/>
  <c r="D2010" i="496"/>
  <c r="C2010" i="496"/>
  <c r="BE2009" i="496"/>
  <c r="BC2009" i="496"/>
  <c r="I2009" i="496"/>
  <c r="H2009" i="496"/>
  <c r="E2009" i="496"/>
  <c r="D2009" i="496"/>
  <c r="C2009" i="496"/>
  <c r="BE2008" i="496"/>
  <c r="BC2008" i="496"/>
  <c r="I2008" i="496"/>
  <c r="H2008" i="496"/>
  <c r="E2008" i="496"/>
  <c r="D2008" i="496"/>
  <c r="C2008" i="496"/>
  <c r="BE2007" i="496"/>
  <c r="BC2007" i="496"/>
  <c r="I2007" i="496"/>
  <c r="H2007" i="496"/>
  <c r="E2007" i="496"/>
  <c r="D2007" i="496"/>
  <c r="C2007" i="496"/>
  <c r="BE2006" i="496"/>
  <c r="BC2006" i="496"/>
  <c r="I2006" i="496"/>
  <c r="H2006" i="496"/>
  <c r="E2006" i="496"/>
  <c r="D2006" i="496"/>
  <c r="C2006" i="496"/>
  <c r="BE2005" i="496"/>
  <c r="BC2005" i="496"/>
  <c r="I2005" i="496"/>
  <c r="H2005" i="496"/>
  <c r="E2005" i="496"/>
  <c r="D2005" i="496"/>
  <c r="C2005" i="496"/>
  <c r="BE2004" i="496"/>
  <c r="BC2004" i="496"/>
  <c r="I2004" i="496"/>
  <c r="H2004" i="496"/>
  <c r="E2004" i="496"/>
  <c r="D2004" i="496"/>
  <c r="C2004" i="496"/>
  <c r="BE2003" i="496"/>
  <c r="BC2003" i="496"/>
  <c r="I2003" i="496"/>
  <c r="H2003" i="496"/>
  <c r="E2003" i="496"/>
  <c r="D2003" i="496"/>
  <c r="C2003" i="496"/>
  <c r="BE2002" i="496"/>
  <c r="BC2002" i="496"/>
  <c r="I2002" i="496"/>
  <c r="H2002" i="496"/>
  <c r="E2002" i="496"/>
  <c r="D2002" i="496"/>
  <c r="C2002" i="496"/>
  <c r="BE2001" i="496"/>
  <c r="BC2001" i="496"/>
  <c r="I2001" i="496"/>
  <c r="H2001" i="496"/>
  <c r="E2001" i="496"/>
  <c r="D2001" i="496"/>
  <c r="C2001" i="496"/>
  <c r="BE2000" i="496"/>
  <c r="BC2000" i="496"/>
  <c r="I2000" i="496"/>
  <c r="H2000" i="496"/>
  <c r="E2000" i="496"/>
  <c r="D2000" i="496"/>
  <c r="C2000" i="496"/>
  <c r="BE1999" i="496"/>
  <c r="BC1999" i="496"/>
  <c r="I1999" i="496"/>
  <c r="H1999" i="496"/>
  <c r="E1999" i="496"/>
  <c r="D1999" i="496"/>
  <c r="C1999" i="496"/>
  <c r="BE1998" i="496"/>
  <c r="BC1998" i="496"/>
  <c r="I1998" i="496"/>
  <c r="H1998" i="496"/>
  <c r="E1998" i="496"/>
  <c r="D1998" i="496"/>
  <c r="C1998" i="496"/>
  <c r="BE1997" i="496"/>
  <c r="BC1997" i="496"/>
  <c r="I1997" i="496"/>
  <c r="H1997" i="496"/>
  <c r="E1997" i="496"/>
  <c r="D1997" i="496"/>
  <c r="C1997" i="496"/>
  <c r="BE1996" i="496"/>
  <c r="BC1996" i="496"/>
  <c r="I1996" i="496"/>
  <c r="H1996" i="496"/>
  <c r="E1996" i="496"/>
  <c r="D1996" i="496"/>
  <c r="C1996" i="496"/>
  <c r="BE1995" i="496"/>
  <c r="BC1995" i="496"/>
  <c r="I1995" i="496"/>
  <c r="H1995" i="496"/>
  <c r="E1995" i="496"/>
  <c r="D1995" i="496"/>
  <c r="C1995" i="496"/>
  <c r="BE1994" i="496"/>
  <c r="BC1994" i="496"/>
  <c r="I1994" i="496"/>
  <c r="H1994" i="496"/>
  <c r="E1994" i="496"/>
  <c r="D1994" i="496"/>
  <c r="C1994" i="496"/>
  <c r="BE1993" i="496"/>
  <c r="BC1993" i="496"/>
  <c r="I1993" i="496"/>
  <c r="H1993" i="496"/>
  <c r="E1993" i="496"/>
  <c r="D1993" i="496"/>
  <c r="C1993" i="496"/>
  <c r="BE1992" i="496"/>
  <c r="BC1992" i="496"/>
  <c r="I1992" i="496"/>
  <c r="H1992" i="496"/>
  <c r="E1992" i="496"/>
  <c r="D1992" i="496"/>
  <c r="C1992" i="496"/>
  <c r="BE1991" i="496"/>
  <c r="BC1991" i="496"/>
  <c r="I1991" i="496"/>
  <c r="H1991" i="496"/>
  <c r="E1991" i="496"/>
  <c r="D1991" i="496"/>
  <c r="C1991" i="496"/>
  <c r="BE1990" i="496"/>
  <c r="BC1990" i="496"/>
  <c r="I1990" i="496"/>
  <c r="H1990" i="496"/>
  <c r="E1990" i="496"/>
  <c r="D1990" i="496"/>
  <c r="C1990" i="496"/>
  <c r="BE1989" i="496"/>
  <c r="BC1989" i="496"/>
  <c r="I1989" i="496"/>
  <c r="H1989" i="496"/>
  <c r="E1989" i="496"/>
  <c r="D1989" i="496"/>
  <c r="C1989" i="496"/>
  <c r="BE1988" i="496"/>
  <c r="BC1988" i="496"/>
  <c r="I1988" i="496"/>
  <c r="H1988" i="496"/>
  <c r="E1988" i="496"/>
  <c r="D1988" i="496"/>
  <c r="C1988" i="496"/>
  <c r="BE1987" i="496"/>
  <c r="BC1987" i="496"/>
  <c r="I1987" i="496"/>
  <c r="H1987" i="496"/>
  <c r="E1987" i="496"/>
  <c r="D1987" i="496"/>
  <c r="C1987" i="496"/>
  <c r="BE1986" i="496"/>
  <c r="BC1986" i="496"/>
  <c r="I1986" i="496"/>
  <c r="H1986" i="496"/>
  <c r="E1986" i="496"/>
  <c r="D1986" i="496"/>
  <c r="C1986" i="496"/>
  <c r="BE1985" i="496"/>
  <c r="BC1985" i="496"/>
  <c r="I1985" i="496"/>
  <c r="H1985" i="496"/>
  <c r="E1985" i="496"/>
  <c r="D1985" i="496"/>
  <c r="C1985" i="496"/>
  <c r="BE1984" i="496"/>
  <c r="BC1984" i="496"/>
  <c r="I1984" i="496"/>
  <c r="H1984" i="496"/>
  <c r="E1984" i="496"/>
  <c r="D1984" i="496"/>
  <c r="C1984" i="496"/>
  <c r="BE1983" i="496"/>
  <c r="BC1983" i="496"/>
  <c r="I1983" i="496"/>
  <c r="H1983" i="496"/>
  <c r="E1983" i="496"/>
  <c r="D1983" i="496"/>
  <c r="C1983" i="496"/>
  <c r="BE1982" i="496"/>
  <c r="BC1982" i="496"/>
  <c r="I1982" i="496"/>
  <c r="H1982" i="496"/>
  <c r="E1982" i="496"/>
  <c r="D1982" i="496"/>
  <c r="C1982" i="496"/>
  <c r="BE1981" i="496"/>
  <c r="BC1981" i="496"/>
  <c r="I1981" i="496"/>
  <c r="H1981" i="496"/>
  <c r="E1981" i="496"/>
  <c r="D1981" i="496"/>
  <c r="C1981" i="496"/>
  <c r="BE1980" i="496"/>
  <c r="BC1980" i="496"/>
  <c r="I1980" i="496"/>
  <c r="H1980" i="496"/>
  <c r="E1980" i="496"/>
  <c r="D1980" i="496"/>
  <c r="C1980" i="496"/>
  <c r="BE1979" i="496"/>
  <c r="BC1979" i="496"/>
  <c r="I1979" i="496"/>
  <c r="H1979" i="496"/>
  <c r="E1979" i="496"/>
  <c r="D1979" i="496"/>
  <c r="C1979" i="496"/>
  <c r="BE1978" i="496"/>
  <c r="BC1978" i="496"/>
  <c r="I1978" i="496"/>
  <c r="H1978" i="496"/>
  <c r="E1978" i="496"/>
  <c r="D1978" i="496"/>
  <c r="C1978" i="496"/>
  <c r="BE1977" i="496"/>
  <c r="BC1977" i="496"/>
  <c r="I1977" i="496"/>
  <c r="H1977" i="496"/>
  <c r="E1977" i="496"/>
  <c r="D1977" i="496"/>
  <c r="C1977" i="496"/>
  <c r="BE1976" i="496"/>
  <c r="BC1976" i="496"/>
  <c r="I1976" i="496"/>
  <c r="H1976" i="496"/>
  <c r="E1976" i="496"/>
  <c r="D1976" i="496"/>
  <c r="C1976" i="496"/>
  <c r="BE1975" i="496"/>
  <c r="BC1975" i="496"/>
  <c r="I1975" i="496"/>
  <c r="H1975" i="496"/>
  <c r="E1975" i="496"/>
  <c r="D1975" i="496"/>
  <c r="C1975" i="496"/>
  <c r="BE1974" i="496"/>
  <c r="BC1974" i="496"/>
  <c r="I1974" i="496"/>
  <c r="H1974" i="496"/>
  <c r="E1974" i="496"/>
  <c r="D1974" i="496"/>
  <c r="C1974" i="496"/>
  <c r="BE1973" i="496"/>
  <c r="BC1973" i="496"/>
  <c r="I1973" i="496"/>
  <c r="H1973" i="496"/>
  <c r="E1973" i="496"/>
  <c r="D1973" i="496"/>
  <c r="C1973" i="496"/>
  <c r="BE1972" i="496"/>
  <c r="BC1972" i="496"/>
  <c r="I1972" i="496"/>
  <c r="H1972" i="496"/>
  <c r="E1972" i="496"/>
  <c r="D1972" i="496"/>
  <c r="C1972" i="496"/>
  <c r="BE1971" i="496"/>
  <c r="BC1971" i="496"/>
  <c r="I1971" i="496"/>
  <c r="H1971" i="496"/>
  <c r="E1971" i="496"/>
  <c r="D1971" i="496"/>
  <c r="C1971" i="496"/>
  <c r="BE1970" i="496"/>
  <c r="BC1970" i="496"/>
  <c r="I1970" i="496"/>
  <c r="H1970" i="496"/>
  <c r="E1970" i="496"/>
  <c r="D1970" i="496"/>
  <c r="C1970" i="496"/>
  <c r="BE1969" i="496"/>
  <c r="BC1969" i="496"/>
  <c r="I1969" i="496"/>
  <c r="H1969" i="496"/>
  <c r="E1969" i="496"/>
  <c r="D1969" i="496"/>
  <c r="C1969" i="496"/>
  <c r="BE1968" i="496"/>
  <c r="BC1968" i="496"/>
  <c r="I1968" i="496"/>
  <c r="H1968" i="496"/>
  <c r="E1968" i="496"/>
  <c r="D1968" i="496"/>
  <c r="C1968" i="496"/>
  <c r="BE1967" i="496"/>
  <c r="BC1967" i="496"/>
  <c r="I1967" i="496"/>
  <c r="H1967" i="496"/>
  <c r="E1967" i="496"/>
  <c r="D1967" i="496"/>
  <c r="C1967" i="496"/>
  <c r="BE1966" i="496"/>
  <c r="BC1966" i="496"/>
  <c r="I1966" i="496"/>
  <c r="H1966" i="496"/>
  <c r="E1966" i="496"/>
  <c r="D1966" i="496"/>
  <c r="C1966" i="496"/>
  <c r="BE1965" i="496"/>
  <c r="BC1965" i="496"/>
  <c r="I1965" i="496"/>
  <c r="H1965" i="496"/>
  <c r="E1965" i="496"/>
  <c r="D1965" i="496"/>
  <c r="C1965" i="496"/>
  <c r="BE1964" i="496"/>
  <c r="BC1964" i="496"/>
  <c r="I1964" i="496"/>
  <c r="H1964" i="496"/>
  <c r="E1964" i="496"/>
  <c r="D1964" i="496"/>
  <c r="C1964" i="496"/>
  <c r="BE1963" i="496"/>
  <c r="BC1963" i="496"/>
  <c r="I1963" i="496"/>
  <c r="H1963" i="496"/>
  <c r="E1963" i="496"/>
  <c r="D1963" i="496"/>
  <c r="C1963" i="496"/>
  <c r="BE1962" i="496"/>
  <c r="BC1962" i="496"/>
  <c r="I1962" i="496"/>
  <c r="H1962" i="496"/>
  <c r="E1962" i="496"/>
  <c r="D1962" i="496"/>
  <c r="C1962" i="496"/>
  <c r="BE1961" i="496"/>
  <c r="BC1961" i="496"/>
  <c r="I1961" i="496"/>
  <c r="H1961" i="496"/>
  <c r="E1961" i="496"/>
  <c r="D1961" i="496"/>
  <c r="C1961" i="496"/>
  <c r="BE1960" i="496"/>
  <c r="BC1960" i="496"/>
  <c r="I1960" i="496"/>
  <c r="H1960" i="496"/>
  <c r="E1960" i="496"/>
  <c r="D1960" i="496"/>
  <c r="C1960" i="496"/>
  <c r="BE1959" i="496"/>
  <c r="BC1959" i="496"/>
  <c r="I1959" i="496"/>
  <c r="H1959" i="496"/>
  <c r="E1959" i="496"/>
  <c r="D1959" i="496"/>
  <c r="C1959" i="496"/>
  <c r="BE1958" i="496"/>
  <c r="BC1958" i="496"/>
  <c r="I1958" i="496"/>
  <c r="H1958" i="496"/>
  <c r="E1958" i="496"/>
  <c r="D1958" i="496"/>
  <c r="C1958" i="496"/>
  <c r="BE1957" i="496"/>
  <c r="BC1957" i="496"/>
  <c r="I1957" i="496"/>
  <c r="H1957" i="496"/>
  <c r="E1957" i="496"/>
  <c r="D1957" i="496"/>
  <c r="C1957" i="496"/>
  <c r="BE1956" i="496"/>
  <c r="BC1956" i="496"/>
  <c r="I1956" i="496"/>
  <c r="H1956" i="496"/>
  <c r="E1956" i="496"/>
  <c r="D1956" i="496"/>
  <c r="C1956" i="496"/>
  <c r="BE1955" i="496"/>
  <c r="BC1955" i="496"/>
  <c r="I1955" i="496"/>
  <c r="H1955" i="496"/>
  <c r="E1955" i="496"/>
  <c r="D1955" i="496"/>
  <c r="C1955" i="496"/>
  <c r="BE1954" i="496"/>
  <c r="BC1954" i="496"/>
  <c r="I1954" i="496"/>
  <c r="H1954" i="496"/>
  <c r="E1954" i="496"/>
  <c r="D1954" i="496"/>
  <c r="C1954" i="496"/>
  <c r="BE1953" i="496"/>
  <c r="BC1953" i="496"/>
  <c r="I1953" i="496"/>
  <c r="H1953" i="496"/>
  <c r="E1953" i="496"/>
  <c r="D1953" i="496"/>
  <c r="C1953" i="496"/>
  <c r="BE1952" i="496"/>
  <c r="BC1952" i="496"/>
  <c r="I1952" i="496"/>
  <c r="H1952" i="496"/>
  <c r="E1952" i="496"/>
  <c r="D1952" i="496"/>
  <c r="C1952" i="496"/>
  <c r="BE1951" i="496"/>
  <c r="BC1951" i="496"/>
  <c r="I1951" i="496"/>
  <c r="H1951" i="496"/>
  <c r="E1951" i="496"/>
  <c r="D1951" i="496"/>
  <c r="C1951" i="496"/>
  <c r="BE1950" i="496"/>
  <c r="BC1950" i="496"/>
  <c r="I1950" i="496"/>
  <c r="H1950" i="496"/>
  <c r="E1950" i="496"/>
  <c r="D1950" i="496"/>
  <c r="C1950" i="496"/>
  <c r="BE1949" i="496"/>
  <c r="BC1949" i="496"/>
  <c r="I1949" i="496"/>
  <c r="H1949" i="496"/>
  <c r="E1949" i="496"/>
  <c r="D1949" i="496"/>
  <c r="C1949" i="496"/>
  <c r="BE1948" i="496"/>
  <c r="BC1948" i="496"/>
  <c r="I1948" i="496"/>
  <c r="H1948" i="496"/>
  <c r="E1948" i="496"/>
  <c r="D1948" i="496"/>
  <c r="C1948" i="496"/>
  <c r="BE1947" i="496"/>
  <c r="BC1947" i="496"/>
  <c r="I1947" i="496"/>
  <c r="H1947" i="496"/>
  <c r="E1947" i="496"/>
  <c r="D1947" i="496"/>
  <c r="C1947" i="496"/>
  <c r="BE1946" i="496"/>
  <c r="BC1946" i="496"/>
  <c r="I1946" i="496"/>
  <c r="H1946" i="496"/>
  <c r="E1946" i="496"/>
  <c r="D1946" i="496"/>
  <c r="C1946" i="496"/>
  <c r="BE1945" i="496"/>
  <c r="BC1945" i="496"/>
  <c r="I1945" i="496"/>
  <c r="H1945" i="496"/>
  <c r="E1945" i="496"/>
  <c r="D1945" i="496"/>
  <c r="C1945" i="496"/>
  <c r="BE1944" i="496"/>
  <c r="BC1944" i="496"/>
  <c r="I1944" i="496"/>
  <c r="H1944" i="496"/>
  <c r="E1944" i="496"/>
  <c r="D1944" i="496"/>
  <c r="C1944" i="496"/>
  <c r="BE1943" i="496"/>
  <c r="BC1943" i="496"/>
  <c r="I1943" i="496"/>
  <c r="H1943" i="496"/>
  <c r="E1943" i="496"/>
  <c r="D1943" i="496"/>
  <c r="C1943" i="496"/>
  <c r="BE1942" i="496"/>
  <c r="BC1942" i="496"/>
  <c r="I1942" i="496"/>
  <c r="H1942" i="496"/>
  <c r="E1942" i="496"/>
  <c r="D1942" i="496"/>
  <c r="C1942" i="496"/>
  <c r="BE1941" i="496"/>
  <c r="BC1941" i="496"/>
  <c r="I1941" i="496"/>
  <c r="H1941" i="496"/>
  <c r="E1941" i="496"/>
  <c r="D1941" i="496"/>
  <c r="C1941" i="496"/>
  <c r="BE1940" i="496"/>
  <c r="BC1940" i="496"/>
  <c r="I1940" i="496"/>
  <c r="H1940" i="496"/>
  <c r="E1940" i="496"/>
  <c r="D1940" i="496"/>
  <c r="C1940" i="496"/>
  <c r="BE1939" i="496"/>
  <c r="BC1939" i="496"/>
  <c r="I1939" i="496"/>
  <c r="H1939" i="496"/>
  <c r="E1939" i="496"/>
  <c r="D1939" i="496"/>
  <c r="C1939" i="496"/>
  <c r="BE1938" i="496"/>
  <c r="BC1938" i="496"/>
  <c r="I1938" i="496"/>
  <c r="H1938" i="496"/>
  <c r="E1938" i="496"/>
  <c r="D1938" i="496"/>
  <c r="C1938" i="496"/>
  <c r="BE1937" i="496"/>
  <c r="BC1937" i="496"/>
  <c r="I1937" i="496"/>
  <c r="H1937" i="496"/>
  <c r="E1937" i="496"/>
  <c r="D1937" i="496"/>
  <c r="C1937" i="496"/>
  <c r="BE1936" i="496"/>
  <c r="BC1936" i="496"/>
  <c r="I1936" i="496"/>
  <c r="H1936" i="496"/>
  <c r="E1936" i="496"/>
  <c r="D1936" i="496"/>
  <c r="C1936" i="496"/>
  <c r="BE1935" i="496"/>
  <c r="BC1935" i="496"/>
  <c r="I1935" i="496"/>
  <c r="H1935" i="496"/>
  <c r="E1935" i="496"/>
  <c r="D1935" i="496"/>
  <c r="C1935" i="496"/>
  <c r="BE1934" i="496"/>
  <c r="BC1934" i="496"/>
  <c r="I1934" i="496"/>
  <c r="H1934" i="496"/>
  <c r="E1934" i="496"/>
  <c r="D1934" i="496"/>
  <c r="C1934" i="496"/>
  <c r="BE1933" i="496"/>
  <c r="BC1933" i="496"/>
  <c r="I1933" i="496"/>
  <c r="H1933" i="496"/>
  <c r="E1933" i="496"/>
  <c r="D1933" i="496"/>
  <c r="C1933" i="496"/>
  <c r="BE1932" i="496"/>
  <c r="BC1932" i="496"/>
  <c r="I1932" i="496"/>
  <c r="H1932" i="496"/>
  <c r="E1932" i="496"/>
  <c r="D1932" i="496"/>
  <c r="C1932" i="496"/>
  <c r="BE1931" i="496"/>
  <c r="BC1931" i="496"/>
  <c r="I1931" i="496"/>
  <c r="H1931" i="496"/>
  <c r="E1931" i="496"/>
  <c r="D1931" i="496"/>
  <c r="C1931" i="496"/>
  <c r="BE1930" i="496"/>
  <c r="BC1930" i="496"/>
  <c r="I1930" i="496"/>
  <c r="H1930" i="496"/>
  <c r="E1930" i="496"/>
  <c r="D1930" i="496"/>
  <c r="C1930" i="496"/>
  <c r="BE1929" i="496"/>
  <c r="BC1929" i="496"/>
  <c r="I1929" i="496"/>
  <c r="H1929" i="496"/>
  <c r="E1929" i="496"/>
  <c r="D1929" i="496"/>
  <c r="C1929" i="496"/>
  <c r="BE1928" i="496"/>
  <c r="BC1928" i="496"/>
  <c r="I1928" i="496"/>
  <c r="H1928" i="496"/>
  <c r="E1928" i="496"/>
  <c r="D1928" i="496"/>
  <c r="C1928" i="496"/>
  <c r="BE1927" i="496"/>
  <c r="BC1927" i="496"/>
  <c r="I1927" i="496"/>
  <c r="H1927" i="496"/>
  <c r="E1927" i="496"/>
  <c r="D1927" i="496"/>
  <c r="C1927" i="496"/>
  <c r="BE1926" i="496"/>
  <c r="BC1926" i="496"/>
  <c r="I1926" i="496"/>
  <c r="H1926" i="496"/>
  <c r="E1926" i="496"/>
  <c r="D1926" i="496"/>
  <c r="C1926" i="496"/>
  <c r="BE1925" i="496"/>
  <c r="BC1925" i="496"/>
  <c r="I1925" i="496"/>
  <c r="H1925" i="496"/>
  <c r="E1925" i="496"/>
  <c r="D1925" i="496"/>
  <c r="C1925" i="496"/>
  <c r="BE1924" i="496"/>
  <c r="BC1924" i="496"/>
  <c r="I1924" i="496"/>
  <c r="H1924" i="496"/>
  <c r="E1924" i="496"/>
  <c r="D1924" i="496"/>
  <c r="C1924" i="496"/>
  <c r="BE1923" i="496"/>
  <c r="BC1923" i="496"/>
  <c r="I1923" i="496"/>
  <c r="H1923" i="496"/>
  <c r="E1923" i="496"/>
  <c r="D1923" i="496"/>
  <c r="C1923" i="496"/>
  <c r="BE1922" i="496"/>
  <c r="BC1922" i="496"/>
  <c r="I1922" i="496"/>
  <c r="H1922" i="496"/>
  <c r="E1922" i="496"/>
  <c r="D1922" i="496"/>
  <c r="C1922" i="496"/>
  <c r="BE1921" i="496"/>
  <c r="BC1921" i="496"/>
  <c r="I1921" i="496"/>
  <c r="H1921" i="496"/>
  <c r="E1921" i="496"/>
  <c r="D1921" i="496"/>
  <c r="C1921" i="496"/>
  <c r="BE1920" i="496"/>
  <c r="BC1920" i="496"/>
  <c r="I1920" i="496"/>
  <c r="H1920" i="496"/>
  <c r="E1920" i="496"/>
  <c r="D1920" i="496"/>
  <c r="C1920" i="496"/>
  <c r="BE1919" i="496"/>
  <c r="BC1919" i="496"/>
  <c r="I1919" i="496"/>
  <c r="H1919" i="496"/>
  <c r="E1919" i="496"/>
  <c r="D1919" i="496"/>
  <c r="C1919" i="496"/>
  <c r="BE1918" i="496"/>
  <c r="BC1918" i="496"/>
  <c r="I1918" i="496"/>
  <c r="H1918" i="496"/>
  <c r="E1918" i="496"/>
  <c r="D1918" i="496"/>
  <c r="C1918" i="496"/>
  <c r="BE1917" i="496"/>
  <c r="BC1917" i="496"/>
  <c r="I1917" i="496"/>
  <c r="H1917" i="496"/>
  <c r="E1917" i="496"/>
  <c r="D1917" i="496"/>
  <c r="C1917" i="496"/>
  <c r="BE1916" i="496"/>
  <c r="BC1916" i="496"/>
  <c r="I1916" i="496"/>
  <c r="H1916" i="496"/>
  <c r="E1916" i="496"/>
  <c r="D1916" i="496"/>
  <c r="C1916" i="496"/>
  <c r="BE1915" i="496"/>
  <c r="BC1915" i="496"/>
  <c r="I1915" i="496"/>
  <c r="H1915" i="496"/>
  <c r="E1915" i="496"/>
  <c r="D1915" i="496"/>
  <c r="C1915" i="496"/>
  <c r="BE1914" i="496"/>
  <c r="BC1914" i="496"/>
  <c r="I1914" i="496"/>
  <c r="H1914" i="496"/>
  <c r="E1914" i="496"/>
  <c r="D1914" i="496"/>
  <c r="C1914" i="496"/>
  <c r="BE1913" i="496"/>
  <c r="BC1913" i="496"/>
  <c r="I1913" i="496"/>
  <c r="H1913" i="496"/>
  <c r="E1913" i="496"/>
  <c r="D1913" i="496"/>
  <c r="C1913" i="496"/>
  <c r="BE1912" i="496"/>
  <c r="BC1912" i="496"/>
  <c r="I1912" i="496"/>
  <c r="H1912" i="496"/>
  <c r="E1912" i="496"/>
  <c r="D1912" i="496"/>
  <c r="C1912" i="496"/>
  <c r="BE1911" i="496"/>
  <c r="BC1911" i="496"/>
  <c r="I1911" i="496"/>
  <c r="H1911" i="496"/>
  <c r="E1911" i="496"/>
  <c r="D1911" i="496"/>
  <c r="C1911" i="496"/>
  <c r="BE1910" i="496"/>
  <c r="BC1910" i="496"/>
  <c r="I1910" i="496"/>
  <c r="H1910" i="496"/>
  <c r="E1910" i="496"/>
  <c r="D1910" i="496"/>
  <c r="C1910" i="496"/>
  <c r="BE1909" i="496"/>
  <c r="BC1909" i="496"/>
  <c r="I1909" i="496"/>
  <c r="H1909" i="496"/>
  <c r="E1909" i="496"/>
  <c r="D1909" i="496"/>
  <c r="C1909" i="496"/>
  <c r="BE1908" i="496"/>
  <c r="BC1908" i="496"/>
  <c r="I1908" i="496"/>
  <c r="H1908" i="496"/>
  <c r="E1908" i="496"/>
  <c r="D1908" i="496"/>
  <c r="C1908" i="496"/>
  <c r="BE1907" i="496"/>
  <c r="BC1907" i="496"/>
  <c r="I1907" i="496"/>
  <c r="H1907" i="496"/>
  <c r="E1907" i="496"/>
  <c r="D1907" i="496"/>
  <c r="C1907" i="496"/>
  <c r="BE1906" i="496"/>
  <c r="BC1906" i="496"/>
  <c r="I1906" i="496"/>
  <c r="H1906" i="496"/>
  <c r="E1906" i="496"/>
  <c r="D1906" i="496"/>
  <c r="C1906" i="496"/>
  <c r="BE1905" i="496"/>
  <c r="BC1905" i="496"/>
  <c r="I1905" i="496"/>
  <c r="H1905" i="496"/>
  <c r="E1905" i="496"/>
  <c r="D1905" i="496"/>
  <c r="C1905" i="496"/>
  <c r="BE1904" i="496"/>
  <c r="BC1904" i="496"/>
  <c r="I1904" i="496"/>
  <c r="H1904" i="496"/>
  <c r="E1904" i="496"/>
  <c r="D1904" i="496"/>
  <c r="C1904" i="496"/>
  <c r="BE1903" i="496"/>
  <c r="BC1903" i="496"/>
  <c r="I1903" i="496"/>
  <c r="H1903" i="496"/>
  <c r="E1903" i="496"/>
  <c r="D1903" i="496"/>
  <c r="C1903" i="496"/>
  <c r="BE1902" i="496"/>
  <c r="BC1902" i="496"/>
  <c r="I1902" i="496"/>
  <c r="H1902" i="496"/>
  <c r="E1902" i="496"/>
  <c r="D1902" i="496"/>
  <c r="C1902" i="496"/>
  <c r="BE1901" i="496"/>
  <c r="BC1901" i="496"/>
  <c r="I1901" i="496"/>
  <c r="H1901" i="496"/>
  <c r="E1901" i="496"/>
  <c r="D1901" i="496"/>
  <c r="C1901" i="496"/>
  <c r="BE1900" i="496"/>
  <c r="BC1900" i="496"/>
  <c r="I1900" i="496"/>
  <c r="H1900" i="496"/>
  <c r="E1900" i="496"/>
  <c r="D1900" i="496"/>
  <c r="C1900" i="496"/>
  <c r="BE1899" i="496"/>
  <c r="BC1899" i="496"/>
  <c r="I1899" i="496"/>
  <c r="H1899" i="496"/>
  <c r="E1899" i="496"/>
  <c r="D1899" i="496"/>
  <c r="C1899" i="496"/>
  <c r="BE1898" i="496"/>
  <c r="BC1898" i="496"/>
  <c r="I1898" i="496"/>
  <c r="H1898" i="496"/>
  <c r="E1898" i="496"/>
  <c r="D1898" i="496"/>
  <c r="C1898" i="496"/>
  <c r="BE1897" i="496"/>
  <c r="BC1897" i="496"/>
  <c r="I1897" i="496"/>
  <c r="H1897" i="496"/>
  <c r="E1897" i="496"/>
  <c r="D1897" i="496"/>
  <c r="C1897" i="496"/>
  <c r="BE1896" i="496"/>
  <c r="BC1896" i="496"/>
  <c r="I1896" i="496"/>
  <c r="H1896" i="496"/>
  <c r="E1896" i="496"/>
  <c r="D1896" i="496"/>
  <c r="C1896" i="496"/>
  <c r="BE1895" i="496"/>
  <c r="BC1895" i="496"/>
  <c r="I1895" i="496"/>
  <c r="H1895" i="496"/>
  <c r="E1895" i="496"/>
  <c r="D1895" i="496"/>
  <c r="C1895" i="496"/>
  <c r="BE1894" i="496"/>
  <c r="BC1894" i="496"/>
  <c r="I1894" i="496"/>
  <c r="H1894" i="496"/>
  <c r="E1894" i="496"/>
  <c r="D1894" i="496"/>
  <c r="C1894" i="496"/>
  <c r="BE1893" i="496"/>
  <c r="BC1893" i="496"/>
  <c r="I1893" i="496"/>
  <c r="H1893" i="496"/>
  <c r="E1893" i="496"/>
  <c r="D1893" i="496"/>
  <c r="C1893" i="496"/>
  <c r="BE1892" i="496"/>
  <c r="BC1892" i="496"/>
  <c r="I1892" i="496"/>
  <c r="H1892" i="496"/>
  <c r="E1892" i="496"/>
  <c r="D1892" i="496"/>
  <c r="C1892" i="496"/>
  <c r="BE1891" i="496"/>
  <c r="BC1891" i="496"/>
  <c r="I1891" i="496"/>
  <c r="H1891" i="496"/>
  <c r="E1891" i="496"/>
  <c r="D1891" i="496"/>
  <c r="C1891" i="496"/>
  <c r="BE1890" i="496"/>
  <c r="BC1890" i="496"/>
  <c r="I1890" i="496"/>
  <c r="H1890" i="496"/>
  <c r="E1890" i="496"/>
  <c r="D1890" i="496"/>
  <c r="C1890" i="496"/>
  <c r="BE1889" i="496"/>
  <c r="BC1889" i="496"/>
  <c r="I1889" i="496"/>
  <c r="H1889" i="496"/>
  <c r="E1889" i="496"/>
  <c r="D1889" i="496"/>
  <c r="C1889" i="496"/>
  <c r="BE1888" i="496"/>
  <c r="BC1888" i="496"/>
  <c r="I1888" i="496"/>
  <c r="H1888" i="496"/>
  <c r="E1888" i="496"/>
  <c r="D1888" i="496"/>
  <c r="C1888" i="496"/>
  <c r="BE1887" i="496"/>
  <c r="BC1887" i="496"/>
  <c r="I1887" i="496"/>
  <c r="H1887" i="496"/>
  <c r="E1887" i="496"/>
  <c r="D1887" i="496"/>
  <c r="C1887" i="496"/>
  <c r="BE1886" i="496"/>
  <c r="BC1886" i="496"/>
  <c r="I1886" i="496"/>
  <c r="H1886" i="496"/>
  <c r="E1886" i="496"/>
  <c r="D1886" i="496"/>
  <c r="C1886" i="496"/>
  <c r="BE1885" i="496"/>
  <c r="BC1885" i="496"/>
  <c r="I1885" i="496"/>
  <c r="H1885" i="496"/>
  <c r="E1885" i="496"/>
  <c r="D1885" i="496"/>
  <c r="C1885" i="496"/>
  <c r="BE1884" i="496"/>
  <c r="BC1884" i="496"/>
  <c r="I1884" i="496"/>
  <c r="H1884" i="496"/>
  <c r="E1884" i="496"/>
  <c r="D1884" i="496"/>
  <c r="C1884" i="496"/>
  <c r="BE1883" i="496"/>
  <c r="BC1883" i="496"/>
  <c r="I1883" i="496"/>
  <c r="H1883" i="496"/>
  <c r="E1883" i="496"/>
  <c r="D1883" i="496"/>
  <c r="C1883" i="496"/>
  <c r="BE1882" i="496"/>
  <c r="BC1882" i="496"/>
  <c r="I1882" i="496"/>
  <c r="H1882" i="496"/>
  <c r="E1882" i="496"/>
  <c r="D1882" i="496"/>
  <c r="C1882" i="496"/>
  <c r="BE1881" i="496"/>
  <c r="BC1881" i="496"/>
  <c r="I1881" i="496"/>
  <c r="H1881" i="496"/>
  <c r="E1881" i="496"/>
  <c r="D1881" i="496"/>
  <c r="C1881" i="496"/>
  <c r="BE1880" i="496"/>
  <c r="BC1880" i="496"/>
  <c r="I1880" i="496"/>
  <c r="H1880" i="496"/>
  <c r="E1880" i="496"/>
  <c r="D1880" i="496"/>
  <c r="C1880" i="496"/>
  <c r="BE1879" i="496"/>
  <c r="BC1879" i="496"/>
  <c r="I1879" i="496"/>
  <c r="H1879" i="496"/>
  <c r="E1879" i="496"/>
  <c r="D1879" i="496"/>
  <c r="C1879" i="496"/>
  <c r="BE1878" i="496"/>
  <c r="BC1878" i="496"/>
  <c r="I1878" i="496"/>
  <c r="H1878" i="496"/>
  <c r="E1878" i="496"/>
  <c r="D1878" i="496"/>
  <c r="C1878" i="496"/>
  <c r="BE1877" i="496"/>
  <c r="BC1877" i="496"/>
  <c r="I1877" i="496"/>
  <c r="H1877" i="496"/>
  <c r="E1877" i="496"/>
  <c r="D1877" i="496"/>
  <c r="C1877" i="496"/>
  <c r="BE1876" i="496"/>
  <c r="BC1876" i="496"/>
  <c r="I1876" i="496"/>
  <c r="H1876" i="496"/>
  <c r="E1876" i="496"/>
  <c r="D1876" i="496"/>
  <c r="C1876" i="496"/>
  <c r="BE1875" i="496"/>
  <c r="BC1875" i="496"/>
  <c r="I1875" i="496"/>
  <c r="H1875" i="496"/>
  <c r="E1875" i="496"/>
  <c r="D1875" i="496"/>
  <c r="C1875" i="496"/>
  <c r="BE1874" i="496"/>
  <c r="BC1874" i="496"/>
  <c r="I1874" i="496"/>
  <c r="H1874" i="496"/>
  <c r="E1874" i="496"/>
  <c r="D1874" i="496"/>
  <c r="C1874" i="496"/>
  <c r="BE1873" i="496"/>
  <c r="BC1873" i="496"/>
  <c r="I1873" i="496"/>
  <c r="H1873" i="496"/>
  <c r="E1873" i="496"/>
  <c r="D1873" i="496"/>
  <c r="C1873" i="496"/>
  <c r="BE1872" i="496"/>
  <c r="BC1872" i="496"/>
  <c r="I1872" i="496"/>
  <c r="H1872" i="496"/>
  <c r="E1872" i="496"/>
  <c r="D1872" i="496"/>
  <c r="C1872" i="496"/>
  <c r="BE1871" i="496"/>
  <c r="BC1871" i="496"/>
  <c r="I1871" i="496"/>
  <c r="H1871" i="496"/>
  <c r="E1871" i="496"/>
  <c r="D1871" i="496"/>
  <c r="C1871" i="496"/>
  <c r="BE1870" i="496"/>
  <c r="BC1870" i="496"/>
  <c r="I1870" i="496"/>
  <c r="H1870" i="496"/>
  <c r="E1870" i="496"/>
  <c r="D1870" i="496"/>
  <c r="C1870" i="496"/>
  <c r="BE1869" i="496"/>
  <c r="BC1869" i="496"/>
  <c r="I1869" i="496"/>
  <c r="H1869" i="496"/>
  <c r="E1869" i="496"/>
  <c r="D1869" i="496"/>
  <c r="C1869" i="496"/>
  <c r="BE1868" i="496"/>
  <c r="BC1868" i="496"/>
  <c r="I1868" i="496"/>
  <c r="H1868" i="496"/>
  <c r="E1868" i="496"/>
  <c r="D1868" i="496"/>
  <c r="C1868" i="496"/>
  <c r="BE1867" i="496"/>
  <c r="BC1867" i="496"/>
  <c r="I1867" i="496"/>
  <c r="H1867" i="496"/>
  <c r="E1867" i="496"/>
  <c r="D1867" i="496"/>
  <c r="C1867" i="496"/>
  <c r="BE1866" i="496"/>
  <c r="BC1866" i="496"/>
  <c r="I1866" i="496"/>
  <c r="H1866" i="496"/>
  <c r="E1866" i="496"/>
  <c r="D1866" i="496"/>
  <c r="C1866" i="496"/>
  <c r="BE1865" i="496"/>
  <c r="BC1865" i="496"/>
  <c r="I1865" i="496"/>
  <c r="H1865" i="496"/>
  <c r="E1865" i="496"/>
  <c r="D1865" i="496"/>
  <c r="C1865" i="496"/>
  <c r="BE1864" i="496"/>
  <c r="BC1864" i="496"/>
  <c r="I1864" i="496"/>
  <c r="H1864" i="496"/>
  <c r="E1864" i="496"/>
  <c r="D1864" i="496"/>
  <c r="C1864" i="496"/>
  <c r="BE1863" i="496"/>
  <c r="BC1863" i="496"/>
  <c r="I1863" i="496"/>
  <c r="H1863" i="496"/>
  <c r="E1863" i="496"/>
  <c r="D1863" i="496"/>
  <c r="C1863" i="496"/>
  <c r="BE1862" i="496"/>
  <c r="BC1862" i="496"/>
  <c r="I1862" i="496"/>
  <c r="H1862" i="496"/>
  <c r="E1862" i="496"/>
  <c r="D1862" i="496"/>
  <c r="C1862" i="496"/>
  <c r="BE1861" i="496"/>
  <c r="BC1861" i="496"/>
  <c r="I1861" i="496"/>
  <c r="H1861" i="496"/>
  <c r="E1861" i="496"/>
  <c r="D1861" i="496"/>
  <c r="C1861" i="496"/>
  <c r="BE1860" i="496"/>
  <c r="BC1860" i="496"/>
  <c r="I1860" i="496"/>
  <c r="H1860" i="496"/>
  <c r="E1860" i="496"/>
  <c r="D1860" i="496"/>
  <c r="C1860" i="496"/>
  <c r="BE1859" i="496"/>
  <c r="BC1859" i="496"/>
  <c r="I1859" i="496"/>
  <c r="H1859" i="496"/>
  <c r="E1859" i="496"/>
  <c r="D1859" i="496"/>
  <c r="C1859" i="496"/>
  <c r="BE1858" i="496"/>
  <c r="BC1858" i="496"/>
  <c r="I1858" i="496"/>
  <c r="H1858" i="496"/>
  <c r="E1858" i="496"/>
  <c r="D1858" i="496"/>
  <c r="C1858" i="496"/>
  <c r="BE1857" i="496"/>
  <c r="BC1857" i="496"/>
  <c r="I1857" i="496"/>
  <c r="H1857" i="496"/>
  <c r="E1857" i="496"/>
  <c r="D1857" i="496"/>
  <c r="C1857" i="496"/>
  <c r="BE1856" i="496"/>
  <c r="BC1856" i="496"/>
  <c r="I1856" i="496"/>
  <c r="H1856" i="496"/>
  <c r="E1856" i="496"/>
  <c r="D1856" i="496"/>
  <c r="C1856" i="496"/>
  <c r="BE1855" i="496"/>
  <c r="BC1855" i="496"/>
  <c r="I1855" i="496"/>
  <c r="H1855" i="496"/>
  <c r="E1855" i="496"/>
  <c r="D1855" i="496"/>
  <c r="C1855" i="496"/>
  <c r="BE1854" i="496"/>
  <c r="BC1854" i="496"/>
  <c r="I1854" i="496"/>
  <c r="H1854" i="496"/>
  <c r="E1854" i="496"/>
  <c r="D1854" i="496"/>
  <c r="C1854" i="496"/>
  <c r="BE1853" i="496"/>
  <c r="BC1853" i="496"/>
  <c r="I1853" i="496"/>
  <c r="H1853" i="496"/>
  <c r="E1853" i="496"/>
  <c r="D1853" i="496"/>
  <c r="C1853" i="496"/>
  <c r="BE1852" i="496"/>
  <c r="BC1852" i="496"/>
  <c r="I1852" i="496"/>
  <c r="H1852" i="496"/>
  <c r="E1852" i="496"/>
  <c r="D1852" i="496"/>
  <c r="C1852" i="496"/>
  <c r="BE1851" i="496"/>
  <c r="BC1851" i="496"/>
  <c r="I1851" i="496"/>
  <c r="H1851" i="496"/>
  <c r="E1851" i="496"/>
  <c r="D1851" i="496"/>
  <c r="C1851" i="496"/>
  <c r="BE1850" i="496"/>
  <c r="BC1850" i="496"/>
  <c r="I1850" i="496"/>
  <c r="H1850" i="496"/>
  <c r="E1850" i="496"/>
  <c r="D1850" i="496"/>
  <c r="C1850" i="496"/>
  <c r="BE1849" i="496"/>
  <c r="BC1849" i="496"/>
  <c r="I1849" i="496"/>
  <c r="H1849" i="496"/>
  <c r="E1849" i="496"/>
  <c r="D1849" i="496"/>
  <c r="C1849" i="496"/>
  <c r="BE1848" i="496"/>
  <c r="BC1848" i="496"/>
  <c r="I1848" i="496"/>
  <c r="H1848" i="496"/>
  <c r="E1848" i="496"/>
  <c r="D1848" i="496"/>
  <c r="C1848" i="496"/>
  <c r="BE1847" i="496"/>
  <c r="BC1847" i="496"/>
  <c r="I1847" i="496"/>
  <c r="H1847" i="496"/>
  <c r="E1847" i="496"/>
  <c r="D1847" i="496"/>
  <c r="C1847" i="496"/>
  <c r="BE1846" i="496"/>
  <c r="BC1846" i="496"/>
  <c r="I1846" i="496"/>
  <c r="H1846" i="496"/>
  <c r="E1846" i="496"/>
  <c r="D1846" i="496"/>
  <c r="C1846" i="496"/>
  <c r="BE1845" i="496"/>
  <c r="BC1845" i="496"/>
  <c r="I1845" i="496"/>
  <c r="H1845" i="496"/>
  <c r="E1845" i="496"/>
  <c r="D1845" i="496"/>
  <c r="C1845" i="496"/>
  <c r="BE1844" i="496"/>
  <c r="BC1844" i="496"/>
  <c r="I1844" i="496"/>
  <c r="H1844" i="496"/>
  <c r="E1844" i="496"/>
  <c r="D1844" i="496"/>
  <c r="C1844" i="496"/>
  <c r="BE1843" i="496"/>
  <c r="BC1843" i="496"/>
  <c r="I1843" i="496"/>
  <c r="H1843" i="496"/>
  <c r="E1843" i="496"/>
  <c r="D1843" i="496"/>
  <c r="C1843" i="496"/>
  <c r="BE1842" i="496"/>
  <c r="BC1842" i="496"/>
  <c r="I1842" i="496"/>
  <c r="H1842" i="496"/>
  <c r="E1842" i="496"/>
  <c r="D1842" i="496"/>
  <c r="C1842" i="496"/>
  <c r="BE1841" i="496"/>
  <c r="BC1841" i="496"/>
  <c r="I1841" i="496"/>
  <c r="H1841" i="496"/>
  <c r="E1841" i="496"/>
  <c r="D1841" i="496"/>
  <c r="C1841" i="496"/>
  <c r="BE1840" i="496"/>
  <c r="BC1840" i="496"/>
  <c r="I1840" i="496"/>
  <c r="H1840" i="496"/>
  <c r="E1840" i="496"/>
  <c r="D1840" i="496"/>
  <c r="C1840" i="496"/>
  <c r="BE1839" i="496"/>
  <c r="BC1839" i="496"/>
  <c r="I1839" i="496"/>
  <c r="H1839" i="496"/>
  <c r="E1839" i="496"/>
  <c r="D1839" i="496"/>
  <c r="C1839" i="496"/>
  <c r="BE1838" i="496"/>
  <c r="BC1838" i="496"/>
  <c r="I1838" i="496"/>
  <c r="H1838" i="496"/>
  <c r="E1838" i="496"/>
  <c r="D1838" i="496"/>
  <c r="C1838" i="496"/>
  <c r="BE1837" i="496"/>
  <c r="BC1837" i="496"/>
  <c r="I1837" i="496"/>
  <c r="H1837" i="496"/>
  <c r="E1837" i="496"/>
  <c r="D1837" i="496"/>
  <c r="C1837" i="496"/>
  <c r="BE1836" i="496"/>
  <c r="BC1836" i="496"/>
  <c r="I1836" i="496"/>
  <c r="H1836" i="496"/>
  <c r="E1836" i="496"/>
  <c r="D1836" i="496"/>
  <c r="C1836" i="496"/>
  <c r="BE1835" i="496"/>
  <c r="BC1835" i="496"/>
  <c r="I1835" i="496"/>
  <c r="H1835" i="496"/>
  <c r="E1835" i="496"/>
  <c r="D1835" i="496"/>
  <c r="C1835" i="496"/>
  <c r="BE1834" i="496"/>
  <c r="BC1834" i="496"/>
  <c r="I1834" i="496"/>
  <c r="H1834" i="496"/>
  <c r="E1834" i="496"/>
  <c r="D1834" i="496"/>
  <c r="C1834" i="496"/>
  <c r="BE1833" i="496"/>
  <c r="BC1833" i="496"/>
  <c r="I1833" i="496"/>
  <c r="H1833" i="496"/>
  <c r="E1833" i="496"/>
  <c r="D1833" i="496"/>
  <c r="C1833" i="496"/>
  <c r="BE1832" i="496"/>
  <c r="BC1832" i="496"/>
  <c r="I1832" i="496"/>
  <c r="H1832" i="496"/>
  <c r="E1832" i="496"/>
  <c r="D1832" i="496"/>
  <c r="C1832" i="496"/>
  <c r="BE1831" i="496"/>
  <c r="BC1831" i="496"/>
  <c r="I1831" i="496"/>
  <c r="H1831" i="496"/>
  <c r="E1831" i="496"/>
  <c r="D1831" i="496"/>
  <c r="C1831" i="496"/>
  <c r="BE1830" i="496"/>
  <c r="BC1830" i="496"/>
  <c r="I1830" i="496"/>
  <c r="H1830" i="496"/>
  <c r="E1830" i="496"/>
  <c r="D1830" i="496"/>
  <c r="C1830" i="496"/>
  <c r="BE1829" i="496"/>
  <c r="BC1829" i="496"/>
  <c r="I1829" i="496"/>
  <c r="H1829" i="496"/>
  <c r="E1829" i="496"/>
  <c r="D1829" i="496"/>
  <c r="C1829" i="496"/>
  <c r="BE1828" i="496"/>
  <c r="BC1828" i="496"/>
  <c r="I1828" i="496"/>
  <c r="H1828" i="496"/>
  <c r="E1828" i="496"/>
  <c r="D1828" i="496"/>
  <c r="C1828" i="496"/>
  <c r="BE1827" i="496"/>
  <c r="BC1827" i="496"/>
  <c r="I1827" i="496"/>
  <c r="H1827" i="496"/>
  <c r="E1827" i="496"/>
  <c r="D1827" i="496"/>
  <c r="C1827" i="496"/>
  <c r="BE1826" i="496"/>
  <c r="BC1826" i="496"/>
  <c r="I1826" i="496"/>
  <c r="H1826" i="496"/>
  <c r="E1826" i="496"/>
  <c r="D1826" i="496"/>
  <c r="C1826" i="496"/>
  <c r="BE1825" i="496"/>
  <c r="BC1825" i="496"/>
  <c r="I1825" i="496"/>
  <c r="H1825" i="496"/>
  <c r="E1825" i="496"/>
  <c r="D1825" i="496"/>
  <c r="C1825" i="496"/>
  <c r="BE1824" i="496"/>
  <c r="BC1824" i="496"/>
  <c r="I1824" i="496"/>
  <c r="H1824" i="496"/>
  <c r="E1824" i="496"/>
  <c r="D1824" i="496"/>
  <c r="C1824" i="496"/>
  <c r="BE1823" i="496"/>
  <c r="BC1823" i="496"/>
  <c r="I1823" i="496"/>
  <c r="H1823" i="496"/>
  <c r="E1823" i="496"/>
  <c r="D1823" i="496"/>
  <c r="C1823" i="496"/>
  <c r="BE1822" i="496"/>
  <c r="BC1822" i="496"/>
  <c r="I1822" i="496"/>
  <c r="H1822" i="496"/>
  <c r="E1822" i="496"/>
  <c r="D1822" i="496"/>
  <c r="C1822" i="496"/>
  <c r="BE1821" i="496"/>
  <c r="BC1821" i="496"/>
  <c r="I1821" i="496"/>
  <c r="H1821" i="496"/>
  <c r="E1821" i="496"/>
  <c r="D1821" i="496"/>
  <c r="C1821" i="496"/>
  <c r="BE1820" i="496"/>
  <c r="BC1820" i="496"/>
  <c r="I1820" i="496"/>
  <c r="H1820" i="496"/>
  <c r="E1820" i="496"/>
  <c r="D1820" i="496"/>
  <c r="C1820" i="496"/>
  <c r="BE1819" i="496"/>
  <c r="BC1819" i="496"/>
  <c r="I1819" i="496"/>
  <c r="H1819" i="496"/>
  <c r="E1819" i="496"/>
  <c r="D1819" i="496"/>
  <c r="C1819" i="496"/>
  <c r="BE1818" i="496"/>
  <c r="BC1818" i="496"/>
  <c r="I1818" i="496"/>
  <c r="H1818" i="496"/>
  <c r="E1818" i="496"/>
  <c r="D1818" i="496"/>
  <c r="C1818" i="496"/>
  <c r="BE1817" i="496"/>
  <c r="BC1817" i="496"/>
  <c r="I1817" i="496"/>
  <c r="H1817" i="496"/>
  <c r="E1817" i="496"/>
  <c r="D1817" i="496"/>
  <c r="C1817" i="496"/>
  <c r="BE1816" i="496"/>
  <c r="BC1816" i="496"/>
  <c r="I1816" i="496"/>
  <c r="H1816" i="496"/>
  <c r="E1816" i="496"/>
  <c r="D1816" i="496"/>
  <c r="C1816" i="496"/>
  <c r="BE1815" i="496"/>
  <c r="BC1815" i="496"/>
  <c r="I1815" i="496"/>
  <c r="H1815" i="496"/>
  <c r="E1815" i="496"/>
  <c r="D1815" i="496"/>
  <c r="C1815" i="496"/>
  <c r="BE1814" i="496"/>
  <c r="BC1814" i="496"/>
  <c r="I1814" i="496"/>
  <c r="H1814" i="496"/>
  <c r="E1814" i="496"/>
  <c r="D1814" i="496"/>
  <c r="C1814" i="496"/>
  <c r="BE1813" i="496"/>
  <c r="BC1813" i="496"/>
  <c r="I1813" i="496"/>
  <c r="H1813" i="496"/>
  <c r="E1813" i="496"/>
  <c r="D1813" i="496"/>
  <c r="C1813" i="496"/>
  <c r="BE1812" i="496"/>
  <c r="BC1812" i="496"/>
  <c r="I1812" i="496"/>
  <c r="H1812" i="496"/>
  <c r="E1812" i="496"/>
  <c r="D1812" i="496"/>
  <c r="C1812" i="496"/>
  <c r="BE1811" i="496"/>
  <c r="BC1811" i="496"/>
  <c r="I1811" i="496"/>
  <c r="H1811" i="496"/>
  <c r="E1811" i="496"/>
  <c r="D1811" i="496"/>
  <c r="C1811" i="496"/>
  <c r="BE1810" i="496"/>
  <c r="BC1810" i="496"/>
  <c r="I1810" i="496"/>
  <c r="H1810" i="496"/>
  <c r="E1810" i="496"/>
  <c r="D1810" i="496"/>
  <c r="C1810" i="496"/>
  <c r="BE1809" i="496"/>
  <c r="BC1809" i="496"/>
  <c r="I1809" i="496"/>
  <c r="H1809" i="496"/>
  <c r="E1809" i="496"/>
  <c r="D1809" i="496"/>
  <c r="C1809" i="496"/>
  <c r="BE1808" i="496"/>
  <c r="BC1808" i="496"/>
  <c r="I1808" i="496"/>
  <c r="H1808" i="496"/>
  <c r="E1808" i="496"/>
  <c r="D1808" i="496"/>
  <c r="C1808" i="496"/>
  <c r="BE1807" i="496"/>
  <c r="BC1807" i="496"/>
  <c r="I1807" i="496"/>
  <c r="H1807" i="496"/>
  <c r="E1807" i="496"/>
  <c r="D1807" i="496"/>
  <c r="C1807" i="496"/>
  <c r="BE1806" i="496"/>
  <c r="BC1806" i="496"/>
  <c r="I1806" i="496"/>
  <c r="H1806" i="496"/>
  <c r="E1806" i="496"/>
  <c r="D1806" i="496"/>
  <c r="C1806" i="496"/>
  <c r="BE1805" i="496"/>
  <c r="BC1805" i="496"/>
  <c r="I1805" i="496"/>
  <c r="H1805" i="496"/>
  <c r="E1805" i="496"/>
  <c r="D1805" i="496"/>
  <c r="C1805" i="496"/>
  <c r="BE1804" i="496"/>
  <c r="BC1804" i="496"/>
  <c r="I1804" i="496"/>
  <c r="H1804" i="496"/>
  <c r="E1804" i="496"/>
  <c r="D1804" i="496"/>
  <c r="C1804" i="496"/>
  <c r="BE1803" i="496"/>
  <c r="BC1803" i="496"/>
  <c r="I1803" i="496"/>
  <c r="H1803" i="496"/>
  <c r="E1803" i="496"/>
  <c r="D1803" i="496"/>
  <c r="C1803" i="496"/>
  <c r="BE1802" i="496"/>
  <c r="BC1802" i="496"/>
  <c r="I1802" i="496"/>
  <c r="H1802" i="496"/>
  <c r="E1802" i="496"/>
  <c r="D1802" i="496"/>
  <c r="C1802" i="496"/>
  <c r="BE1801" i="496"/>
  <c r="BC1801" i="496"/>
  <c r="I1801" i="496"/>
  <c r="H1801" i="496"/>
  <c r="E1801" i="496"/>
  <c r="D1801" i="496"/>
  <c r="C1801" i="496"/>
  <c r="BE1800" i="496"/>
  <c r="BC1800" i="496"/>
  <c r="I1800" i="496"/>
  <c r="H1800" i="496"/>
  <c r="E1800" i="496"/>
  <c r="D1800" i="496"/>
  <c r="C1800" i="496"/>
  <c r="BE1799" i="496"/>
  <c r="BC1799" i="496"/>
  <c r="I1799" i="496"/>
  <c r="H1799" i="496"/>
  <c r="E1799" i="496"/>
  <c r="D1799" i="496"/>
  <c r="C1799" i="496"/>
  <c r="BE1798" i="496"/>
  <c r="BC1798" i="496"/>
  <c r="I1798" i="496"/>
  <c r="H1798" i="496"/>
  <c r="E1798" i="496"/>
  <c r="D1798" i="496"/>
  <c r="C1798" i="496"/>
  <c r="BE1797" i="496"/>
  <c r="BC1797" i="496"/>
  <c r="I1797" i="496"/>
  <c r="H1797" i="496"/>
  <c r="E1797" i="496"/>
  <c r="D1797" i="496"/>
  <c r="C1797" i="496"/>
  <c r="BE1796" i="496"/>
  <c r="BC1796" i="496"/>
  <c r="I1796" i="496"/>
  <c r="H1796" i="496"/>
  <c r="E1796" i="496"/>
  <c r="D1796" i="496"/>
  <c r="C1796" i="496"/>
  <c r="BE1795" i="496"/>
  <c r="BC1795" i="496"/>
  <c r="I1795" i="496"/>
  <c r="H1795" i="496"/>
  <c r="E1795" i="496"/>
  <c r="D1795" i="496"/>
  <c r="C1795" i="496"/>
  <c r="BE1794" i="496"/>
  <c r="BC1794" i="496"/>
  <c r="I1794" i="496"/>
  <c r="H1794" i="496"/>
  <c r="E1794" i="496"/>
  <c r="D1794" i="496"/>
  <c r="C1794" i="496"/>
  <c r="BE1793" i="496"/>
  <c r="BC1793" i="496"/>
  <c r="I1793" i="496"/>
  <c r="H1793" i="496"/>
  <c r="E1793" i="496"/>
  <c r="D1793" i="496"/>
  <c r="C1793" i="496"/>
  <c r="BE1792" i="496"/>
  <c r="BC1792" i="496"/>
  <c r="I1792" i="496"/>
  <c r="H1792" i="496"/>
  <c r="E1792" i="496"/>
  <c r="D1792" i="496"/>
  <c r="C1792" i="496"/>
  <c r="BE1791" i="496"/>
  <c r="BC1791" i="496"/>
  <c r="I1791" i="496"/>
  <c r="H1791" i="496"/>
  <c r="E1791" i="496"/>
  <c r="D1791" i="496"/>
  <c r="C1791" i="496"/>
  <c r="BE1790" i="496"/>
  <c r="BC1790" i="496"/>
  <c r="I1790" i="496"/>
  <c r="H1790" i="496"/>
  <c r="E1790" i="496"/>
  <c r="D1790" i="496"/>
  <c r="C1790" i="496"/>
  <c r="BE1789" i="496"/>
  <c r="BC1789" i="496"/>
  <c r="I1789" i="496"/>
  <c r="H1789" i="496"/>
  <c r="E1789" i="496"/>
  <c r="D1789" i="496"/>
  <c r="C1789" i="496"/>
  <c r="BE1788" i="496"/>
  <c r="BC1788" i="496"/>
  <c r="I1788" i="496"/>
  <c r="H1788" i="496"/>
  <c r="E1788" i="496"/>
  <c r="D1788" i="496"/>
  <c r="C1788" i="496"/>
  <c r="BE1787" i="496"/>
  <c r="BC1787" i="496"/>
  <c r="I1787" i="496"/>
  <c r="H1787" i="496"/>
  <c r="E1787" i="496"/>
  <c r="D1787" i="496"/>
  <c r="C1787" i="496"/>
  <c r="BE1786" i="496"/>
  <c r="BC1786" i="496"/>
  <c r="I1786" i="496"/>
  <c r="H1786" i="496"/>
  <c r="E1786" i="496"/>
  <c r="D1786" i="496"/>
  <c r="C1786" i="496"/>
  <c r="BE1785" i="496"/>
  <c r="BC1785" i="496"/>
  <c r="I1785" i="496"/>
  <c r="H1785" i="496"/>
  <c r="E1785" i="496"/>
  <c r="D1785" i="496"/>
  <c r="C1785" i="496"/>
  <c r="BE1784" i="496"/>
  <c r="BC1784" i="496"/>
  <c r="I1784" i="496"/>
  <c r="H1784" i="496"/>
  <c r="E1784" i="496"/>
  <c r="D1784" i="496"/>
  <c r="C1784" i="496"/>
  <c r="BE1783" i="496"/>
  <c r="BC1783" i="496"/>
  <c r="I1783" i="496"/>
  <c r="H1783" i="496"/>
  <c r="E1783" i="496"/>
  <c r="D1783" i="496"/>
  <c r="C1783" i="496"/>
  <c r="BE1782" i="496"/>
  <c r="BC1782" i="496"/>
  <c r="I1782" i="496"/>
  <c r="H1782" i="496"/>
  <c r="E1782" i="496"/>
  <c r="D1782" i="496"/>
  <c r="C1782" i="496"/>
  <c r="BE1781" i="496"/>
  <c r="BC1781" i="496"/>
  <c r="I1781" i="496"/>
  <c r="H1781" i="496"/>
  <c r="E1781" i="496"/>
  <c r="D1781" i="496"/>
  <c r="C1781" i="496"/>
  <c r="BE1780" i="496"/>
  <c r="BC1780" i="496"/>
  <c r="I1780" i="496"/>
  <c r="H1780" i="496"/>
  <c r="E1780" i="496"/>
  <c r="D1780" i="496"/>
  <c r="C1780" i="496"/>
  <c r="BE1779" i="496"/>
  <c r="BC1779" i="496"/>
  <c r="I1779" i="496"/>
  <c r="H1779" i="496"/>
  <c r="E1779" i="496"/>
  <c r="D1779" i="496"/>
  <c r="C1779" i="496"/>
  <c r="BE1778" i="496"/>
  <c r="BC1778" i="496"/>
  <c r="I1778" i="496"/>
  <c r="H1778" i="496"/>
  <c r="E1778" i="496"/>
  <c r="D1778" i="496"/>
  <c r="C1778" i="496"/>
  <c r="BE1777" i="496"/>
  <c r="BC1777" i="496"/>
  <c r="I1777" i="496"/>
  <c r="H1777" i="496"/>
  <c r="E1777" i="496"/>
  <c r="D1777" i="496"/>
  <c r="C1777" i="496"/>
  <c r="BE1776" i="496"/>
  <c r="BC1776" i="496"/>
  <c r="I1776" i="496"/>
  <c r="H1776" i="496"/>
  <c r="E1776" i="496"/>
  <c r="D1776" i="496"/>
  <c r="C1776" i="496"/>
  <c r="BE1775" i="496"/>
  <c r="BC1775" i="496"/>
  <c r="I1775" i="496"/>
  <c r="H1775" i="496"/>
  <c r="E1775" i="496"/>
  <c r="D1775" i="496"/>
  <c r="C1775" i="496"/>
  <c r="BE1774" i="496"/>
  <c r="BC1774" i="496"/>
  <c r="I1774" i="496"/>
  <c r="H1774" i="496"/>
  <c r="E1774" i="496"/>
  <c r="D1774" i="496"/>
  <c r="C1774" i="496"/>
  <c r="BE1773" i="496"/>
  <c r="BC1773" i="496"/>
  <c r="I1773" i="496"/>
  <c r="H1773" i="496"/>
  <c r="E1773" i="496"/>
  <c r="D1773" i="496"/>
  <c r="C1773" i="496"/>
  <c r="BE1772" i="496"/>
  <c r="BC1772" i="496"/>
  <c r="I1772" i="496"/>
  <c r="H1772" i="496"/>
  <c r="E1772" i="496"/>
  <c r="D1772" i="496"/>
  <c r="C1772" i="496"/>
  <c r="BE1771" i="496"/>
  <c r="BC1771" i="496"/>
  <c r="I1771" i="496"/>
  <c r="H1771" i="496"/>
  <c r="E1771" i="496"/>
  <c r="D1771" i="496"/>
  <c r="C1771" i="496"/>
  <c r="BE1770" i="496"/>
  <c r="BC1770" i="496"/>
  <c r="I1770" i="496"/>
  <c r="H1770" i="496"/>
  <c r="E1770" i="496"/>
  <c r="D1770" i="496"/>
  <c r="C1770" i="496"/>
  <c r="BE1769" i="496"/>
  <c r="BC1769" i="496"/>
  <c r="I1769" i="496"/>
  <c r="H1769" i="496"/>
  <c r="E1769" i="496"/>
  <c r="D1769" i="496"/>
  <c r="C1769" i="496"/>
  <c r="BE1768" i="496"/>
  <c r="BC1768" i="496"/>
  <c r="I1768" i="496"/>
  <c r="H1768" i="496"/>
  <c r="E1768" i="496"/>
  <c r="D1768" i="496"/>
  <c r="C1768" i="496"/>
  <c r="BE1767" i="496"/>
  <c r="BC1767" i="496"/>
  <c r="I1767" i="496"/>
  <c r="H1767" i="496"/>
  <c r="E1767" i="496"/>
  <c r="D1767" i="496"/>
  <c r="C1767" i="496"/>
  <c r="BE1766" i="496"/>
  <c r="BC1766" i="496"/>
  <c r="I1766" i="496"/>
  <c r="H1766" i="496"/>
  <c r="E1766" i="496"/>
  <c r="D1766" i="496"/>
  <c r="C1766" i="496"/>
  <c r="BE1765" i="496"/>
  <c r="BC1765" i="496"/>
  <c r="I1765" i="496"/>
  <c r="H1765" i="496"/>
  <c r="E1765" i="496"/>
  <c r="D1765" i="496"/>
  <c r="C1765" i="496"/>
  <c r="BE1764" i="496"/>
  <c r="BC1764" i="496"/>
  <c r="I1764" i="496"/>
  <c r="H1764" i="496"/>
  <c r="E1764" i="496"/>
  <c r="D1764" i="496"/>
  <c r="C1764" i="496"/>
  <c r="BE1763" i="496"/>
  <c r="BC1763" i="496"/>
  <c r="I1763" i="496"/>
  <c r="H1763" i="496"/>
  <c r="E1763" i="496"/>
  <c r="D1763" i="496"/>
  <c r="C1763" i="496"/>
  <c r="BE1762" i="496"/>
  <c r="BC1762" i="496"/>
  <c r="I1762" i="496"/>
  <c r="H1762" i="496"/>
  <c r="E1762" i="496"/>
  <c r="D1762" i="496"/>
  <c r="C1762" i="496"/>
  <c r="BE1761" i="496"/>
  <c r="BC1761" i="496"/>
  <c r="I1761" i="496"/>
  <c r="H1761" i="496"/>
  <c r="E1761" i="496"/>
  <c r="D1761" i="496"/>
  <c r="C1761" i="496"/>
  <c r="BE1760" i="496"/>
  <c r="BC1760" i="496"/>
  <c r="I1760" i="496"/>
  <c r="H1760" i="496"/>
  <c r="E1760" i="496"/>
  <c r="D1760" i="496"/>
  <c r="C1760" i="496"/>
  <c r="BE1759" i="496"/>
  <c r="BC1759" i="496"/>
  <c r="I1759" i="496"/>
  <c r="H1759" i="496"/>
  <c r="E1759" i="496"/>
  <c r="D1759" i="496"/>
  <c r="C1759" i="496"/>
  <c r="BE1758" i="496"/>
  <c r="BC1758" i="496"/>
  <c r="I1758" i="496"/>
  <c r="H1758" i="496"/>
  <c r="E1758" i="496"/>
  <c r="D1758" i="496"/>
  <c r="C1758" i="496"/>
  <c r="BE1757" i="496"/>
  <c r="BC1757" i="496"/>
  <c r="I1757" i="496"/>
  <c r="H1757" i="496"/>
  <c r="E1757" i="496"/>
  <c r="D1757" i="496"/>
  <c r="C1757" i="496"/>
  <c r="BE1756" i="496"/>
  <c r="BC1756" i="496"/>
  <c r="I1756" i="496"/>
  <c r="H1756" i="496"/>
  <c r="E1756" i="496"/>
  <c r="D1756" i="496"/>
  <c r="C1756" i="496"/>
  <c r="BE1755" i="496"/>
  <c r="BC1755" i="496"/>
  <c r="I1755" i="496"/>
  <c r="H1755" i="496"/>
  <c r="E1755" i="496"/>
  <c r="D1755" i="496"/>
  <c r="C1755" i="496"/>
  <c r="BE1754" i="496"/>
  <c r="BC1754" i="496"/>
  <c r="I1754" i="496"/>
  <c r="H1754" i="496"/>
  <c r="E1754" i="496"/>
  <c r="D1754" i="496"/>
  <c r="C1754" i="496"/>
  <c r="BE1753" i="496"/>
  <c r="BC1753" i="496"/>
  <c r="I1753" i="496"/>
  <c r="H1753" i="496"/>
  <c r="E1753" i="496"/>
  <c r="D1753" i="496"/>
  <c r="C1753" i="496"/>
  <c r="BE1752" i="496"/>
  <c r="BC1752" i="496"/>
  <c r="I1752" i="496"/>
  <c r="H1752" i="496"/>
  <c r="E1752" i="496"/>
  <c r="D1752" i="496"/>
  <c r="C1752" i="496"/>
  <c r="BE1751" i="496"/>
  <c r="BC1751" i="496"/>
  <c r="I1751" i="496"/>
  <c r="H1751" i="496"/>
  <c r="E1751" i="496"/>
  <c r="D1751" i="496"/>
  <c r="C1751" i="496"/>
  <c r="BE1750" i="496"/>
  <c r="BC1750" i="496"/>
  <c r="I1750" i="496"/>
  <c r="H1750" i="496"/>
  <c r="E1750" i="496"/>
  <c r="D1750" i="496"/>
  <c r="C1750" i="496"/>
  <c r="BE1749" i="496"/>
  <c r="BC1749" i="496"/>
  <c r="I1749" i="496"/>
  <c r="H1749" i="496"/>
  <c r="E1749" i="496"/>
  <c r="D1749" i="496"/>
  <c r="C1749" i="496"/>
  <c r="BE1748" i="496"/>
  <c r="BC1748" i="496"/>
  <c r="I1748" i="496"/>
  <c r="H1748" i="496"/>
  <c r="E1748" i="496"/>
  <c r="D1748" i="496"/>
  <c r="C1748" i="496"/>
  <c r="BE1747" i="496"/>
  <c r="BC1747" i="496"/>
  <c r="I1747" i="496"/>
  <c r="H1747" i="496"/>
  <c r="E1747" i="496"/>
  <c r="D1747" i="496"/>
  <c r="C1747" i="496"/>
  <c r="BE1746" i="496"/>
  <c r="BC1746" i="496"/>
  <c r="I1746" i="496"/>
  <c r="H1746" i="496"/>
  <c r="E1746" i="496"/>
  <c r="D1746" i="496"/>
  <c r="C1746" i="496"/>
  <c r="BE1745" i="496"/>
  <c r="BC1745" i="496"/>
  <c r="I1745" i="496"/>
  <c r="H1745" i="496"/>
  <c r="E1745" i="496"/>
  <c r="D1745" i="496"/>
  <c r="C1745" i="496"/>
  <c r="BE1744" i="496"/>
  <c r="BC1744" i="496"/>
  <c r="I1744" i="496"/>
  <c r="H1744" i="496"/>
  <c r="E1744" i="496"/>
  <c r="D1744" i="496"/>
  <c r="C1744" i="496"/>
  <c r="BE1743" i="496"/>
  <c r="BC1743" i="496"/>
  <c r="I1743" i="496"/>
  <c r="H1743" i="496"/>
  <c r="E1743" i="496"/>
  <c r="D1743" i="496"/>
  <c r="C1743" i="496"/>
  <c r="BE1742" i="496"/>
  <c r="BC1742" i="496"/>
  <c r="I1742" i="496"/>
  <c r="H1742" i="496"/>
  <c r="E1742" i="496"/>
  <c r="D1742" i="496"/>
  <c r="C1742" i="496"/>
  <c r="BE1741" i="496"/>
  <c r="BC1741" i="496"/>
  <c r="I1741" i="496"/>
  <c r="H1741" i="496"/>
  <c r="E1741" i="496"/>
  <c r="D1741" i="496"/>
  <c r="C1741" i="496"/>
  <c r="BE1740" i="496"/>
  <c r="BC1740" i="496"/>
  <c r="I1740" i="496"/>
  <c r="H1740" i="496"/>
  <c r="E1740" i="496"/>
  <c r="D1740" i="496"/>
  <c r="C1740" i="496"/>
  <c r="BE1739" i="496"/>
  <c r="BC1739" i="496"/>
  <c r="I1739" i="496"/>
  <c r="H1739" i="496"/>
  <c r="E1739" i="496"/>
  <c r="D1739" i="496"/>
  <c r="C1739" i="496"/>
  <c r="BE1738" i="496"/>
  <c r="BC1738" i="496"/>
  <c r="I1738" i="496"/>
  <c r="H1738" i="496"/>
  <c r="E1738" i="496"/>
  <c r="D1738" i="496"/>
  <c r="C1738" i="496"/>
  <c r="BE1737" i="496"/>
  <c r="BC1737" i="496"/>
  <c r="I1737" i="496"/>
  <c r="H1737" i="496"/>
  <c r="E1737" i="496"/>
  <c r="D1737" i="496"/>
  <c r="C1737" i="496"/>
  <c r="BE1736" i="496"/>
  <c r="BC1736" i="496"/>
  <c r="I1736" i="496"/>
  <c r="H1736" i="496"/>
  <c r="E1736" i="496"/>
  <c r="D1736" i="496"/>
  <c r="C1736" i="496"/>
  <c r="BE1735" i="496"/>
  <c r="BC1735" i="496"/>
  <c r="I1735" i="496"/>
  <c r="H1735" i="496"/>
  <c r="E1735" i="496"/>
  <c r="D1735" i="496"/>
  <c r="C1735" i="496"/>
  <c r="BE1734" i="496"/>
  <c r="BC1734" i="496"/>
  <c r="I1734" i="496"/>
  <c r="H1734" i="496"/>
  <c r="E1734" i="496"/>
  <c r="D1734" i="496"/>
  <c r="C1734" i="496"/>
  <c r="BE1733" i="496"/>
  <c r="BC1733" i="496"/>
  <c r="I1733" i="496"/>
  <c r="H1733" i="496"/>
  <c r="E1733" i="496"/>
  <c r="D1733" i="496"/>
  <c r="C1733" i="496"/>
  <c r="BE1732" i="496"/>
  <c r="BC1732" i="496"/>
  <c r="I1732" i="496"/>
  <c r="H1732" i="496"/>
  <c r="E1732" i="496"/>
  <c r="D1732" i="496"/>
  <c r="C1732" i="496"/>
  <c r="BE1731" i="496"/>
  <c r="BC1731" i="496"/>
  <c r="I1731" i="496"/>
  <c r="H1731" i="496"/>
  <c r="E1731" i="496"/>
  <c r="D1731" i="496"/>
  <c r="C1731" i="496"/>
  <c r="BE1730" i="496"/>
  <c r="BC1730" i="496"/>
  <c r="I1730" i="496"/>
  <c r="H1730" i="496"/>
  <c r="E1730" i="496"/>
  <c r="D1730" i="496"/>
  <c r="C1730" i="496"/>
  <c r="BE1729" i="496"/>
  <c r="BC1729" i="496"/>
  <c r="I1729" i="496"/>
  <c r="H1729" i="496"/>
  <c r="E1729" i="496"/>
  <c r="D1729" i="496"/>
  <c r="C1729" i="496"/>
  <c r="BE1728" i="496"/>
  <c r="BC1728" i="496"/>
  <c r="I1728" i="496"/>
  <c r="H1728" i="496"/>
  <c r="E1728" i="496"/>
  <c r="D1728" i="496"/>
  <c r="C1728" i="496"/>
  <c r="BE1727" i="496"/>
  <c r="BC1727" i="496"/>
  <c r="I1727" i="496"/>
  <c r="H1727" i="496"/>
  <c r="E1727" i="496"/>
  <c r="D1727" i="496"/>
  <c r="C1727" i="496"/>
  <c r="BE1726" i="496"/>
  <c r="BC1726" i="496"/>
  <c r="I1726" i="496"/>
  <c r="H1726" i="496"/>
  <c r="E1726" i="496"/>
  <c r="D1726" i="496"/>
  <c r="C1726" i="496"/>
  <c r="BE1725" i="496"/>
  <c r="BC1725" i="496"/>
  <c r="I1725" i="496"/>
  <c r="H1725" i="496"/>
  <c r="E1725" i="496"/>
  <c r="D1725" i="496"/>
  <c r="C1725" i="496"/>
  <c r="BE1724" i="496"/>
  <c r="BC1724" i="496"/>
  <c r="I1724" i="496"/>
  <c r="H1724" i="496"/>
  <c r="E1724" i="496"/>
  <c r="D1724" i="496"/>
  <c r="C1724" i="496"/>
  <c r="BE1723" i="496"/>
  <c r="BC1723" i="496"/>
  <c r="I1723" i="496"/>
  <c r="H1723" i="496"/>
  <c r="E1723" i="496"/>
  <c r="D1723" i="496"/>
  <c r="C1723" i="496"/>
  <c r="BE1722" i="496"/>
  <c r="BC1722" i="496"/>
  <c r="I1722" i="496"/>
  <c r="H1722" i="496"/>
  <c r="E1722" i="496"/>
  <c r="D1722" i="496"/>
  <c r="C1722" i="496"/>
  <c r="BE1721" i="496"/>
  <c r="BC1721" i="496"/>
  <c r="I1721" i="496"/>
  <c r="H1721" i="496"/>
  <c r="E1721" i="496"/>
  <c r="D1721" i="496"/>
  <c r="C1721" i="496"/>
  <c r="BE1720" i="496"/>
  <c r="BC1720" i="496"/>
  <c r="I1720" i="496"/>
  <c r="H1720" i="496"/>
  <c r="E1720" i="496"/>
  <c r="D1720" i="496"/>
  <c r="C1720" i="496"/>
  <c r="BE1719" i="496"/>
  <c r="BC1719" i="496"/>
  <c r="I1719" i="496"/>
  <c r="H1719" i="496"/>
  <c r="E1719" i="496"/>
  <c r="D1719" i="496"/>
  <c r="C1719" i="496"/>
  <c r="BE1718" i="496"/>
  <c r="BC1718" i="496"/>
  <c r="I1718" i="496"/>
  <c r="H1718" i="496"/>
  <c r="E1718" i="496"/>
  <c r="D1718" i="496"/>
  <c r="C1718" i="496"/>
  <c r="BE1717" i="496"/>
  <c r="BC1717" i="496"/>
  <c r="I1717" i="496"/>
  <c r="H1717" i="496"/>
  <c r="E1717" i="496"/>
  <c r="D1717" i="496"/>
  <c r="C1717" i="496"/>
  <c r="BE1716" i="496"/>
  <c r="BC1716" i="496"/>
  <c r="I1716" i="496"/>
  <c r="H1716" i="496"/>
  <c r="E1716" i="496"/>
  <c r="D1716" i="496"/>
  <c r="C1716" i="496"/>
  <c r="BE1715" i="496"/>
  <c r="BC1715" i="496"/>
  <c r="I1715" i="496"/>
  <c r="H1715" i="496"/>
  <c r="E1715" i="496"/>
  <c r="D1715" i="496"/>
  <c r="C1715" i="496"/>
  <c r="BE1714" i="496"/>
  <c r="BC1714" i="496"/>
  <c r="I1714" i="496"/>
  <c r="H1714" i="496"/>
  <c r="E1714" i="496"/>
  <c r="D1714" i="496"/>
  <c r="C1714" i="496"/>
  <c r="BE1713" i="496"/>
  <c r="BC1713" i="496"/>
  <c r="I1713" i="496"/>
  <c r="H1713" i="496"/>
  <c r="E1713" i="496"/>
  <c r="D1713" i="496"/>
  <c r="C1713" i="496"/>
  <c r="BE1712" i="496"/>
  <c r="BC1712" i="496"/>
  <c r="I1712" i="496"/>
  <c r="H1712" i="496"/>
  <c r="E1712" i="496"/>
  <c r="D1712" i="496"/>
  <c r="C1712" i="496"/>
  <c r="BE1711" i="496"/>
  <c r="BC1711" i="496"/>
  <c r="I1711" i="496"/>
  <c r="H1711" i="496"/>
  <c r="E1711" i="496"/>
  <c r="D1711" i="496"/>
  <c r="C1711" i="496"/>
  <c r="BE1710" i="496"/>
  <c r="BC1710" i="496"/>
  <c r="I1710" i="496"/>
  <c r="H1710" i="496"/>
  <c r="E1710" i="496"/>
  <c r="D1710" i="496"/>
  <c r="C1710" i="496"/>
  <c r="BE1709" i="496"/>
  <c r="BC1709" i="496"/>
  <c r="I1709" i="496"/>
  <c r="H1709" i="496"/>
  <c r="E1709" i="496"/>
  <c r="D1709" i="496"/>
  <c r="C1709" i="496"/>
  <c r="BE1708" i="496"/>
  <c r="BC1708" i="496"/>
  <c r="I1708" i="496"/>
  <c r="H1708" i="496"/>
  <c r="E1708" i="496"/>
  <c r="D1708" i="496"/>
  <c r="C1708" i="496"/>
  <c r="BE1707" i="496"/>
  <c r="BC1707" i="496"/>
  <c r="I1707" i="496"/>
  <c r="H1707" i="496"/>
  <c r="E1707" i="496"/>
  <c r="D1707" i="496"/>
  <c r="C1707" i="496"/>
  <c r="BE1706" i="496"/>
  <c r="BC1706" i="496"/>
  <c r="I1706" i="496"/>
  <c r="H1706" i="496"/>
  <c r="E1706" i="496"/>
  <c r="D1706" i="496"/>
  <c r="C1706" i="496"/>
  <c r="BE1705" i="496"/>
  <c r="BC1705" i="496"/>
  <c r="I1705" i="496"/>
  <c r="H1705" i="496"/>
  <c r="E1705" i="496"/>
  <c r="D1705" i="496"/>
  <c r="C1705" i="496"/>
  <c r="BE1704" i="496"/>
  <c r="BC1704" i="496"/>
  <c r="I1704" i="496"/>
  <c r="H1704" i="496"/>
  <c r="E1704" i="496"/>
  <c r="D1704" i="496"/>
  <c r="C1704" i="496"/>
  <c r="BE1703" i="496"/>
  <c r="BC1703" i="496"/>
  <c r="I1703" i="496"/>
  <c r="H1703" i="496"/>
  <c r="E1703" i="496"/>
  <c r="D1703" i="496"/>
  <c r="C1703" i="496"/>
  <c r="BE1702" i="496"/>
  <c r="BC1702" i="496"/>
  <c r="I1702" i="496"/>
  <c r="H1702" i="496"/>
  <c r="E1702" i="496"/>
  <c r="D1702" i="496"/>
  <c r="C1702" i="496"/>
  <c r="BE1701" i="496"/>
  <c r="BC1701" i="496"/>
  <c r="I1701" i="496"/>
  <c r="H1701" i="496"/>
  <c r="E1701" i="496"/>
  <c r="D1701" i="496"/>
  <c r="C1701" i="496"/>
  <c r="BE1700" i="496"/>
  <c r="BC1700" i="496"/>
  <c r="I1700" i="496"/>
  <c r="H1700" i="496"/>
  <c r="E1700" i="496"/>
  <c r="D1700" i="496"/>
  <c r="C1700" i="496"/>
  <c r="BE1699" i="496"/>
  <c r="BC1699" i="496"/>
  <c r="I1699" i="496"/>
  <c r="H1699" i="496"/>
  <c r="E1699" i="496"/>
  <c r="D1699" i="496"/>
  <c r="C1699" i="496"/>
  <c r="BE1698" i="496"/>
  <c r="BC1698" i="496"/>
  <c r="I1698" i="496"/>
  <c r="H1698" i="496"/>
  <c r="E1698" i="496"/>
  <c r="D1698" i="496"/>
  <c r="C1698" i="496"/>
  <c r="BE1697" i="496"/>
  <c r="BC1697" i="496"/>
  <c r="I1697" i="496"/>
  <c r="H1697" i="496"/>
  <c r="E1697" i="496"/>
  <c r="D1697" i="496"/>
  <c r="C1697" i="496"/>
  <c r="BE1696" i="496"/>
  <c r="BC1696" i="496"/>
  <c r="I1696" i="496"/>
  <c r="H1696" i="496"/>
  <c r="E1696" i="496"/>
  <c r="D1696" i="496"/>
  <c r="C1696" i="496"/>
  <c r="BE1695" i="496"/>
  <c r="BC1695" i="496"/>
  <c r="I1695" i="496"/>
  <c r="H1695" i="496"/>
  <c r="E1695" i="496"/>
  <c r="D1695" i="496"/>
  <c r="C1695" i="496"/>
  <c r="BE1694" i="496"/>
  <c r="BC1694" i="496"/>
  <c r="I1694" i="496"/>
  <c r="H1694" i="496"/>
  <c r="E1694" i="496"/>
  <c r="D1694" i="496"/>
  <c r="C1694" i="496"/>
  <c r="BE1693" i="496"/>
  <c r="BC1693" i="496"/>
  <c r="I1693" i="496"/>
  <c r="H1693" i="496"/>
  <c r="E1693" i="496"/>
  <c r="D1693" i="496"/>
  <c r="C1693" i="496"/>
  <c r="BE1692" i="496"/>
  <c r="BC1692" i="496"/>
  <c r="I1692" i="496"/>
  <c r="H1692" i="496"/>
  <c r="E1692" i="496"/>
  <c r="D1692" i="496"/>
  <c r="C1692" i="496"/>
  <c r="BE1691" i="496"/>
  <c r="BC1691" i="496"/>
  <c r="I1691" i="496"/>
  <c r="H1691" i="496"/>
  <c r="E1691" i="496"/>
  <c r="D1691" i="496"/>
  <c r="C1691" i="496"/>
  <c r="BE1690" i="496"/>
  <c r="BC1690" i="496"/>
  <c r="I1690" i="496"/>
  <c r="H1690" i="496"/>
  <c r="E1690" i="496"/>
  <c r="D1690" i="496"/>
  <c r="C1690" i="496"/>
  <c r="BE1689" i="496"/>
  <c r="BC1689" i="496"/>
  <c r="I1689" i="496"/>
  <c r="H1689" i="496"/>
  <c r="E1689" i="496"/>
  <c r="D1689" i="496"/>
  <c r="C1689" i="496"/>
  <c r="BE1688" i="496"/>
  <c r="BC1688" i="496"/>
  <c r="I1688" i="496"/>
  <c r="H1688" i="496"/>
  <c r="E1688" i="496"/>
  <c r="D1688" i="496"/>
  <c r="C1688" i="496"/>
  <c r="BE1687" i="496"/>
  <c r="BC1687" i="496"/>
  <c r="I1687" i="496"/>
  <c r="H1687" i="496"/>
  <c r="E1687" i="496"/>
  <c r="D1687" i="496"/>
  <c r="C1687" i="496"/>
  <c r="BE1686" i="496"/>
  <c r="BC1686" i="496"/>
  <c r="I1686" i="496"/>
  <c r="H1686" i="496"/>
  <c r="E1686" i="496"/>
  <c r="D1686" i="496"/>
  <c r="C1686" i="496"/>
  <c r="BE1685" i="496"/>
  <c r="BC1685" i="496"/>
  <c r="I1685" i="496"/>
  <c r="H1685" i="496"/>
  <c r="E1685" i="496"/>
  <c r="D1685" i="496"/>
  <c r="C1685" i="496"/>
  <c r="BE1684" i="496"/>
  <c r="BC1684" i="496"/>
  <c r="I1684" i="496"/>
  <c r="H1684" i="496"/>
  <c r="E1684" i="496"/>
  <c r="D1684" i="496"/>
  <c r="C1684" i="496"/>
  <c r="BE1683" i="496"/>
  <c r="BC1683" i="496"/>
  <c r="I1683" i="496"/>
  <c r="H1683" i="496"/>
  <c r="E1683" i="496"/>
  <c r="D1683" i="496"/>
  <c r="C1683" i="496"/>
  <c r="BE1682" i="496"/>
  <c r="BC1682" i="496"/>
  <c r="I1682" i="496"/>
  <c r="H1682" i="496"/>
  <c r="E1682" i="496"/>
  <c r="D1682" i="496"/>
  <c r="C1682" i="496"/>
  <c r="BE1681" i="496"/>
  <c r="BC1681" i="496"/>
  <c r="I1681" i="496"/>
  <c r="H1681" i="496"/>
  <c r="E1681" i="496"/>
  <c r="D1681" i="496"/>
  <c r="C1681" i="496"/>
  <c r="BE1680" i="496"/>
  <c r="BC1680" i="496"/>
  <c r="I1680" i="496"/>
  <c r="H1680" i="496"/>
  <c r="E1680" i="496"/>
  <c r="D1680" i="496"/>
  <c r="C1680" i="496"/>
  <c r="BE1679" i="496"/>
  <c r="BC1679" i="496"/>
  <c r="I1679" i="496"/>
  <c r="H1679" i="496"/>
  <c r="E1679" i="496"/>
  <c r="D1679" i="496"/>
  <c r="C1679" i="496"/>
  <c r="BE1678" i="496"/>
  <c r="BC1678" i="496"/>
  <c r="I1678" i="496"/>
  <c r="H1678" i="496"/>
  <c r="E1678" i="496"/>
  <c r="D1678" i="496"/>
  <c r="C1678" i="496"/>
  <c r="BE1677" i="496"/>
  <c r="BC1677" i="496"/>
  <c r="I1677" i="496"/>
  <c r="H1677" i="496"/>
  <c r="E1677" i="496"/>
  <c r="D1677" i="496"/>
  <c r="C1677" i="496"/>
  <c r="BE1676" i="496"/>
  <c r="BC1676" i="496"/>
  <c r="I1676" i="496"/>
  <c r="H1676" i="496"/>
  <c r="E1676" i="496"/>
  <c r="D1676" i="496"/>
  <c r="C1676" i="496"/>
  <c r="BE1675" i="496"/>
  <c r="BC1675" i="496"/>
  <c r="I1675" i="496"/>
  <c r="H1675" i="496"/>
  <c r="E1675" i="496"/>
  <c r="D1675" i="496"/>
  <c r="C1675" i="496"/>
  <c r="BE1674" i="496"/>
  <c r="BC1674" i="496"/>
  <c r="I1674" i="496"/>
  <c r="H1674" i="496"/>
  <c r="E1674" i="496"/>
  <c r="D1674" i="496"/>
  <c r="C1674" i="496"/>
  <c r="BE1673" i="496"/>
  <c r="BC1673" i="496"/>
  <c r="I1673" i="496"/>
  <c r="H1673" i="496"/>
  <c r="E1673" i="496"/>
  <c r="D1673" i="496"/>
  <c r="C1673" i="496"/>
  <c r="BE1672" i="496"/>
  <c r="BC1672" i="496"/>
  <c r="I1672" i="496"/>
  <c r="H1672" i="496"/>
  <c r="E1672" i="496"/>
  <c r="D1672" i="496"/>
  <c r="C1672" i="496"/>
  <c r="BE1671" i="496"/>
  <c r="BC1671" i="496"/>
  <c r="I1671" i="496"/>
  <c r="H1671" i="496"/>
  <c r="E1671" i="496"/>
  <c r="D1671" i="496"/>
  <c r="C1671" i="496"/>
  <c r="BE1670" i="496"/>
  <c r="BC1670" i="496"/>
  <c r="I1670" i="496"/>
  <c r="H1670" i="496"/>
  <c r="E1670" i="496"/>
  <c r="D1670" i="496"/>
  <c r="C1670" i="496"/>
  <c r="BE1669" i="496"/>
  <c r="BC1669" i="496"/>
  <c r="I1669" i="496"/>
  <c r="H1669" i="496"/>
  <c r="E1669" i="496"/>
  <c r="D1669" i="496"/>
  <c r="C1669" i="496"/>
  <c r="BE1668" i="496"/>
  <c r="BC1668" i="496"/>
  <c r="I1668" i="496"/>
  <c r="H1668" i="496"/>
  <c r="E1668" i="496"/>
  <c r="D1668" i="496"/>
  <c r="C1668" i="496"/>
  <c r="BE1667" i="496"/>
  <c r="BC1667" i="496"/>
  <c r="I1667" i="496"/>
  <c r="H1667" i="496"/>
  <c r="E1667" i="496"/>
  <c r="D1667" i="496"/>
  <c r="C1667" i="496"/>
  <c r="BE1666" i="496"/>
  <c r="BC1666" i="496"/>
  <c r="I1666" i="496"/>
  <c r="H1666" i="496"/>
  <c r="E1666" i="496"/>
  <c r="D1666" i="496"/>
  <c r="C1666" i="496"/>
  <c r="BE1665" i="496"/>
  <c r="BC1665" i="496"/>
  <c r="I1665" i="496"/>
  <c r="H1665" i="496"/>
  <c r="E1665" i="496"/>
  <c r="D1665" i="496"/>
  <c r="C1665" i="496"/>
  <c r="BE1664" i="496"/>
  <c r="BC1664" i="496"/>
  <c r="I1664" i="496"/>
  <c r="H1664" i="496"/>
  <c r="E1664" i="496"/>
  <c r="D1664" i="496"/>
  <c r="C1664" i="496"/>
  <c r="BE1663" i="496"/>
  <c r="BC1663" i="496"/>
  <c r="I1663" i="496"/>
  <c r="H1663" i="496"/>
  <c r="E1663" i="496"/>
  <c r="D1663" i="496"/>
  <c r="C1663" i="496"/>
  <c r="BE1662" i="496"/>
  <c r="BC1662" i="496"/>
  <c r="I1662" i="496"/>
  <c r="H1662" i="496"/>
  <c r="E1662" i="496"/>
  <c r="D1662" i="496"/>
  <c r="C1662" i="496"/>
  <c r="BE1661" i="496"/>
  <c r="BC1661" i="496"/>
  <c r="I1661" i="496"/>
  <c r="H1661" i="496"/>
  <c r="E1661" i="496"/>
  <c r="D1661" i="496"/>
  <c r="C1661" i="496"/>
  <c r="BE1660" i="496"/>
  <c r="BC1660" i="496"/>
  <c r="I1660" i="496"/>
  <c r="H1660" i="496"/>
  <c r="E1660" i="496"/>
  <c r="D1660" i="496"/>
  <c r="C1660" i="496"/>
  <c r="BE1659" i="496"/>
  <c r="BC1659" i="496"/>
  <c r="I1659" i="496"/>
  <c r="H1659" i="496"/>
  <c r="E1659" i="496"/>
  <c r="D1659" i="496"/>
  <c r="C1659" i="496"/>
  <c r="BE1658" i="496"/>
  <c r="BC1658" i="496"/>
  <c r="I1658" i="496"/>
  <c r="H1658" i="496"/>
  <c r="E1658" i="496"/>
  <c r="D1658" i="496"/>
  <c r="C1658" i="496"/>
  <c r="BE1657" i="496"/>
  <c r="BC1657" i="496"/>
  <c r="I1657" i="496"/>
  <c r="H1657" i="496"/>
  <c r="E1657" i="496"/>
  <c r="D1657" i="496"/>
  <c r="C1657" i="496"/>
  <c r="BE1656" i="496"/>
  <c r="BC1656" i="496"/>
  <c r="I1656" i="496"/>
  <c r="H1656" i="496"/>
  <c r="E1656" i="496"/>
  <c r="D1656" i="496"/>
  <c r="C1656" i="496"/>
  <c r="BE1655" i="496"/>
  <c r="BC1655" i="496"/>
  <c r="I1655" i="496"/>
  <c r="H1655" i="496"/>
  <c r="E1655" i="496"/>
  <c r="D1655" i="496"/>
  <c r="C1655" i="496"/>
  <c r="BE1654" i="496"/>
  <c r="BC1654" i="496"/>
  <c r="I1654" i="496"/>
  <c r="H1654" i="496"/>
  <c r="E1654" i="496"/>
  <c r="D1654" i="496"/>
  <c r="C1654" i="496"/>
  <c r="BE1653" i="496"/>
  <c r="BC1653" i="496"/>
  <c r="I1653" i="496"/>
  <c r="H1653" i="496"/>
  <c r="E1653" i="496"/>
  <c r="D1653" i="496"/>
  <c r="C1653" i="496"/>
  <c r="BE1652" i="496"/>
  <c r="BC1652" i="496"/>
  <c r="I1652" i="496"/>
  <c r="H1652" i="496"/>
  <c r="E1652" i="496"/>
  <c r="D1652" i="496"/>
  <c r="C1652" i="496"/>
  <c r="BE1651" i="496"/>
  <c r="BC1651" i="496"/>
  <c r="I1651" i="496"/>
  <c r="H1651" i="496"/>
  <c r="E1651" i="496"/>
  <c r="D1651" i="496"/>
  <c r="C1651" i="496"/>
  <c r="BE1650" i="496"/>
  <c r="BC1650" i="496"/>
  <c r="I1650" i="496"/>
  <c r="H1650" i="496"/>
  <c r="E1650" i="496"/>
  <c r="D1650" i="496"/>
  <c r="C1650" i="496"/>
  <c r="BE1649" i="496"/>
  <c r="BC1649" i="496"/>
  <c r="I1649" i="496"/>
  <c r="H1649" i="496"/>
  <c r="E1649" i="496"/>
  <c r="D1649" i="496"/>
  <c r="C1649" i="496"/>
  <c r="BE1648" i="496"/>
  <c r="BC1648" i="496"/>
  <c r="I1648" i="496"/>
  <c r="H1648" i="496"/>
  <c r="E1648" i="496"/>
  <c r="D1648" i="496"/>
  <c r="C1648" i="496"/>
  <c r="BE1647" i="496"/>
  <c r="BC1647" i="496"/>
  <c r="I1647" i="496"/>
  <c r="H1647" i="496"/>
  <c r="E1647" i="496"/>
  <c r="D1647" i="496"/>
  <c r="C1647" i="496"/>
  <c r="BE1646" i="496"/>
  <c r="BC1646" i="496"/>
  <c r="I1646" i="496"/>
  <c r="H1646" i="496"/>
  <c r="E1646" i="496"/>
  <c r="D1646" i="496"/>
  <c r="C1646" i="496"/>
  <c r="BE1645" i="496"/>
  <c r="BC1645" i="496"/>
  <c r="I1645" i="496"/>
  <c r="H1645" i="496"/>
  <c r="E1645" i="496"/>
  <c r="D1645" i="496"/>
  <c r="C1645" i="496"/>
  <c r="BE1644" i="496"/>
  <c r="BC1644" i="496"/>
  <c r="I1644" i="496"/>
  <c r="H1644" i="496"/>
  <c r="E1644" i="496"/>
  <c r="D1644" i="496"/>
  <c r="C1644" i="496"/>
  <c r="BE1643" i="496"/>
  <c r="BC1643" i="496"/>
  <c r="I1643" i="496"/>
  <c r="H1643" i="496"/>
  <c r="E1643" i="496"/>
  <c r="D1643" i="496"/>
  <c r="C1643" i="496"/>
  <c r="BE1642" i="496"/>
  <c r="BC1642" i="496"/>
  <c r="I1642" i="496"/>
  <c r="H1642" i="496"/>
  <c r="E1642" i="496"/>
  <c r="D1642" i="496"/>
  <c r="C1642" i="496"/>
  <c r="BE1641" i="496"/>
  <c r="BC1641" i="496"/>
  <c r="I1641" i="496"/>
  <c r="H1641" i="496"/>
  <c r="E1641" i="496"/>
  <c r="D1641" i="496"/>
  <c r="C1641" i="496"/>
  <c r="BE1640" i="496"/>
  <c r="BC1640" i="496"/>
  <c r="I1640" i="496"/>
  <c r="H1640" i="496"/>
  <c r="E1640" i="496"/>
  <c r="D1640" i="496"/>
  <c r="C1640" i="496"/>
  <c r="BE1639" i="496"/>
  <c r="BC1639" i="496"/>
  <c r="I1639" i="496"/>
  <c r="H1639" i="496"/>
  <c r="E1639" i="496"/>
  <c r="D1639" i="496"/>
  <c r="C1639" i="496"/>
  <c r="BE1638" i="496"/>
  <c r="BC1638" i="496"/>
  <c r="I1638" i="496"/>
  <c r="H1638" i="496"/>
  <c r="E1638" i="496"/>
  <c r="D1638" i="496"/>
  <c r="C1638" i="496"/>
  <c r="BE1637" i="496"/>
  <c r="BC1637" i="496"/>
  <c r="I1637" i="496"/>
  <c r="H1637" i="496"/>
  <c r="E1637" i="496"/>
  <c r="D1637" i="496"/>
  <c r="C1637" i="496"/>
  <c r="BE1636" i="496"/>
  <c r="BC1636" i="496"/>
  <c r="I1636" i="496"/>
  <c r="H1636" i="496"/>
  <c r="E1636" i="496"/>
  <c r="D1636" i="496"/>
  <c r="C1636" i="496"/>
  <c r="BE1635" i="496"/>
  <c r="BC1635" i="496"/>
  <c r="I1635" i="496"/>
  <c r="H1635" i="496"/>
  <c r="E1635" i="496"/>
  <c r="D1635" i="496"/>
  <c r="C1635" i="496"/>
  <c r="BE1634" i="496"/>
  <c r="BC1634" i="496"/>
  <c r="I1634" i="496"/>
  <c r="H1634" i="496"/>
  <c r="E1634" i="496"/>
  <c r="D1634" i="496"/>
  <c r="C1634" i="496"/>
  <c r="BE1633" i="496"/>
  <c r="BC1633" i="496"/>
  <c r="I1633" i="496"/>
  <c r="H1633" i="496"/>
  <c r="E1633" i="496"/>
  <c r="D1633" i="496"/>
  <c r="C1633" i="496"/>
  <c r="BE1632" i="496"/>
  <c r="BC1632" i="496"/>
  <c r="I1632" i="496"/>
  <c r="H1632" i="496"/>
  <c r="E1632" i="496"/>
  <c r="D1632" i="496"/>
  <c r="C1632" i="496"/>
  <c r="BE1631" i="496"/>
  <c r="BC1631" i="496"/>
  <c r="I1631" i="496"/>
  <c r="H1631" i="496"/>
  <c r="E1631" i="496"/>
  <c r="D1631" i="496"/>
  <c r="C1631" i="496"/>
  <c r="BE1630" i="496"/>
  <c r="BC1630" i="496"/>
  <c r="I1630" i="496"/>
  <c r="H1630" i="496"/>
  <c r="E1630" i="496"/>
  <c r="D1630" i="496"/>
  <c r="C1630" i="496"/>
  <c r="BE1629" i="496"/>
  <c r="BC1629" i="496"/>
  <c r="I1629" i="496"/>
  <c r="H1629" i="496"/>
  <c r="E1629" i="496"/>
  <c r="D1629" i="496"/>
  <c r="C1629" i="496"/>
  <c r="BE1628" i="496"/>
  <c r="BC1628" i="496"/>
  <c r="I1628" i="496"/>
  <c r="H1628" i="496"/>
  <c r="E1628" i="496"/>
  <c r="D1628" i="496"/>
  <c r="C1628" i="496"/>
  <c r="BE1627" i="496"/>
  <c r="BC1627" i="496"/>
  <c r="I1627" i="496"/>
  <c r="H1627" i="496"/>
  <c r="E1627" i="496"/>
  <c r="D1627" i="496"/>
  <c r="C1627" i="496"/>
  <c r="BE1626" i="496"/>
  <c r="BC1626" i="496"/>
  <c r="I1626" i="496"/>
  <c r="H1626" i="496"/>
  <c r="E1626" i="496"/>
  <c r="D1626" i="496"/>
  <c r="C1626" i="496"/>
  <c r="BE1625" i="496"/>
  <c r="BC1625" i="496"/>
  <c r="I1625" i="496"/>
  <c r="H1625" i="496"/>
  <c r="E1625" i="496"/>
  <c r="D1625" i="496"/>
  <c r="C1625" i="496"/>
  <c r="BE1624" i="496"/>
  <c r="BC1624" i="496"/>
  <c r="I1624" i="496"/>
  <c r="H1624" i="496"/>
  <c r="E1624" i="496"/>
  <c r="D1624" i="496"/>
  <c r="C1624" i="496"/>
  <c r="BE1623" i="496"/>
  <c r="BC1623" i="496"/>
  <c r="I1623" i="496"/>
  <c r="H1623" i="496"/>
  <c r="E1623" i="496"/>
  <c r="D1623" i="496"/>
  <c r="C1623" i="496"/>
  <c r="BE1622" i="496"/>
  <c r="BC1622" i="496"/>
  <c r="I1622" i="496"/>
  <c r="H1622" i="496"/>
  <c r="E1622" i="496"/>
  <c r="D1622" i="496"/>
  <c r="C1622" i="496"/>
  <c r="BE1621" i="496"/>
  <c r="BC1621" i="496"/>
  <c r="BA1621" i="496"/>
  <c r="I1621" i="496"/>
  <c r="H1621" i="496"/>
  <c r="E1621" i="496"/>
  <c r="D1621" i="496"/>
  <c r="C1621" i="496"/>
  <c r="BE1620" i="496"/>
  <c r="BC1620" i="496"/>
  <c r="BA1620" i="496"/>
  <c r="I1620" i="496"/>
  <c r="H1620" i="496"/>
  <c r="E1620" i="496"/>
  <c r="D1620" i="496"/>
  <c r="C1620" i="496"/>
  <c r="BE1619" i="496"/>
  <c r="BC1619" i="496"/>
  <c r="BA1619" i="496"/>
  <c r="I1619" i="496"/>
  <c r="H1619" i="496"/>
  <c r="E1619" i="496"/>
  <c r="D1619" i="496"/>
  <c r="C1619" i="496"/>
  <c r="BE1618" i="496"/>
  <c r="BC1618" i="496"/>
  <c r="BA1618" i="496"/>
  <c r="I1618" i="496"/>
  <c r="H1618" i="496"/>
  <c r="E1618" i="496"/>
  <c r="D1618" i="496"/>
  <c r="C1618" i="496"/>
  <c r="BE1617" i="496"/>
  <c r="BC1617" i="496"/>
  <c r="BA1617" i="496"/>
  <c r="I1617" i="496"/>
  <c r="H1617" i="496"/>
  <c r="E1617" i="496"/>
  <c r="D1617" i="496"/>
  <c r="C1617" i="496"/>
  <c r="BE1616" i="496"/>
  <c r="BC1616" i="496"/>
  <c r="BA1616" i="496"/>
  <c r="I1616" i="496"/>
  <c r="H1616" i="496"/>
  <c r="E1616" i="496"/>
  <c r="D1616" i="496"/>
  <c r="C1616" i="496"/>
  <c r="BE1615" i="496"/>
  <c r="BC1615" i="496"/>
  <c r="BA1615" i="496"/>
  <c r="I1615" i="496"/>
  <c r="H1615" i="496"/>
  <c r="E1615" i="496"/>
  <c r="D1615" i="496"/>
  <c r="C1615" i="496"/>
  <c r="BE1614" i="496"/>
  <c r="BC1614" i="496"/>
  <c r="BA1614" i="496"/>
  <c r="I1614" i="496"/>
  <c r="H1614" i="496"/>
  <c r="E1614" i="496"/>
  <c r="D1614" i="496"/>
  <c r="C1614" i="496"/>
  <c r="BE1613" i="496"/>
  <c r="BC1613" i="496"/>
  <c r="BA1613" i="496"/>
  <c r="I1613" i="496"/>
  <c r="H1613" i="496"/>
  <c r="E1613" i="496"/>
  <c r="D1613" i="496"/>
  <c r="C1613" i="496"/>
  <c r="BE1612" i="496"/>
  <c r="BC1612" i="496"/>
  <c r="BA1612" i="496"/>
  <c r="I1612" i="496"/>
  <c r="H1612" i="496"/>
  <c r="E1612" i="496"/>
  <c r="D1612" i="496"/>
  <c r="C1612" i="496"/>
  <c r="BE1611" i="496"/>
  <c r="BC1611" i="496"/>
  <c r="BA1611" i="496"/>
  <c r="I1611" i="496"/>
  <c r="H1611" i="496"/>
  <c r="E1611" i="496"/>
  <c r="D1611" i="496"/>
  <c r="C1611" i="496"/>
  <c r="BE1610" i="496"/>
  <c r="BC1610" i="496"/>
  <c r="BA1610" i="496"/>
  <c r="I1610" i="496"/>
  <c r="H1610" i="496"/>
  <c r="E1610" i="496"/>
  <c r="D1610" i="496"/>
  <c r="C1610" i="496"/>
  <c r="BE1609" i="496"/>
  <c r="BC1609" i="496"/>
  <c r="BA1609" i="496"/>
  <c r="I1609" i="496"/>
  <c r="H1609" i="496"/>
  <c r="E1609" i="496"/>
  <c r="D1609" i="496"/>
  <c r="C1609" i="496"/>
  <c r="BE1608" i="496"/>
  <c r="BC1608" i="496"/>
  <c r="BA1608" i="496"/>
  <c r="I1608" i="496"/>
  <c r="H1608" i="496"/>
  <c r="E1608" i="496"/>
  <c r="D1608" i="496"/>
  <c r="C1608" i="496"/>
  <c r="BE1607" i="496"/>
  <c r="BC1607" i="496"/>
  <c r="BA1607" i="496"/>
  <c r="I1607" i="496"/>
  <c r="H1607" i="496"/>
  <c r="E1607" i="496"/>
  <c r="D1607" i="496"/>
  <c r="C1607" i="496"/>
  <c r="BE1606" i="496"/>
  <c r="BC1606" i="496"/>
  <c r="BA1606" i="496"/>
  <c r="I1606" i="496"/>
  <c r="H1606" i="496"/>
  <c r="E1606" i="496"/>
  <c r="D1606" i="496"/>
  <c r="C1606" i="496"/>
  <c r="BE1605" i="496"/>
  <c r="BC1605" i="496"/>
  <c r="BA1605" i="496"/>
  <c r="I1605" i="496"/>
  <c r="H1605" i="496"/>
  <c r="E1605" i="496"/>
  <c r="D1605" i="496"/>
  <c r="C1605" i="496"/>
  <c r="BE1604" i="496"/>
  <c r="BC1604" i="496"/>
  <c r="BA1604" i="496"/>
  <c r="I1604" i="496"/>
  <c r="H1604" i="496"/>
  <c r="E1604" i="496"/>
  <c r="D1604" i="496"/>
  <c r="C1604" i="496"/>
  <c r="BE1603" i="496"/>
  <c r="BC1603" i="496"/>
  <c r="BA1603" i="496"/>
  <c r="I1603" i="496"/>
  <c r="H1603" i="496"/>
  <c r="E1603" i="496"/>
  <c r="D1603" i="496"/>
  <c r="C1603" i="496"/>
  <c r="BE1602" i="496"/>
  <c r="BC1602" i="496"/>
  <c r="BA1602" i="496"/>
  <c r="I1602" i="496"/>
  <c r="H1602" i="496"/>
  <c r="E1602" i="496"/>
  <c r="D1602" i="496"/>
  <c r="C1602" i="496"/>
  <c r="BE1601" i="496"/>
  <c r="BC1601" i="496"/>
  <c r="BA1601" i="496"/>
  <c r="I1601" i="496"/>
  <c r="H1601" i="496"/>
  <c r="E1601" i="496"/>
  <c r="D1601" i="496"/>
  <c r="C1601" i="496"/>
  <c r="BE1600" i="496"/>
  <c r="BC1600" i="496"/>
  <c r="BA1600" i="496"/>
  <c r="I1600" i="496"/>
  <c r="H1600" i="496"/>
  <c r="E1600" i="496"/>
  <c r="D1600" i="496"/>
  <c r="C1600" i="496"/>
  <c r="BE1599" i="496"/>
  <c r="BC1599" i="496"/>
  <c r="BA1599" i="496"/>
  <c r="I1599" i="496"/>
  <c r="H1599" i="496"/>
  <c r="E1599" i="496"/>
  <c r="D1599" i="496"/>
  <c r="C1599" i="496"/>
  <c r="BE1598" i="496"/>
  <c r="BC1598" i="496"/>
  <c r="BA1598" i="496"/>
  <c r="I1598" i="496"/>
  <c r="H1598" i="496"/>
  <c r="E1598" i="496"/>
  <c r="D1598" i="496"/>
  <c r="C1598" i="496"/>
  <c r="BE1597" i="496"/>
  <c r="BC1597" i="496"/>
  <c r="BA1597" i="496"/>
  <c r="I1597" i="496"/>
  <c r="H1597" i="496"/>
  <c r="E1597" i="496"/>
  <c r="D1597" i="496"/>
  <c r="C1597" i="496"/>
  <c r="BE1596" i="496"/>
  <c r="BC1596" i="496"/>
  <c r="BA1596" i="496"/>
  <c r="I1596" i="496"/>
  <c r="H1596" i="496"/>
  <c r="E1596" i="496"/>
  <c r="D1596" i="496"/>
  <c r="C1596" i="496"/>
  <c r="BE1595" i="496"/>
  <c r="BC1595" i="496"/>
  <c r="BA1595" i="496"/>
  <c r="I1595" i="496"/>
  <c r="H1595" i="496"/>
  <c r="E1595" i="496"/>
  <c r="D1595" i="496"/>
  <c r="C1595" i="496"/>
  <c r="BE1594" i="496"/>
  <c r="BC1594" i="496"/>
  <c r="BA1594" i="496"/>
  <c r="I1594" i="496"/>
  <c r="H1594" i="496"/>
  <c r="E1594" i="496"/>
  <c r="D1594" i="496"/>
  <c r="C1594" i="496"/>
  <c r="BE1593" i="496"/>
  <c r="BC1593" i="496"/>
  <c r="BA1593" i="496"/>
  <c r="I1593" i="496"/>
  <c r="H1593" i="496"/>
  <c r="E1593" i="496"/>
  <c r="D1593" i="496"/>
  <c r="C1593" i="496"/>
  <c r="BE1592" i="496"/>
  <c r="BC1592" i="496"/>
  <c r="BA1592" i="496"/>
  <c r="I1592" i="496"/>
  <c r="H1592" i="496"/>
  <c r="E1592" i="496"/>
  <c r="D1592" i="496"/>
  <c r="C1592" i="496"/>
  <c r="BE1591" i="496"/>
  <c r="BC1591" i="496"/>
  <c r="BA1591" i="496"/>
  <c r="I1591" i="496"/>
  <c r="H1591" i="496"/>
  <c r="E1591" i="496"/>
  <c r="D1591" i="496"/>
  <c r="C1591" i="496"/>
  <c r="BE1590" i="496"/>
  <c r="BC1590" i="496"/>
  <c r="BA1590" i="496"/>
  <c r="I1590" i="496"/>
  <c r="H1590" i="496"/>
  <c r="E1590" i="496"/>
  <c r="D1590" i="496"/>
  <c r="C1590" i="496"/>
  <c r="BE1589" i="496"/>
  <c r="BC1589" i="496"/>
  <c r="BA1589" i="496"/>
  <c r="I1589" i="496"/>
  <c r="H1589" i="496"/>
  <c r="E1589" i="496"/>
  <c r="D1589" i="496"/>
  <c r="C1589" i="496"/>
  <c r="BE1588" i="496"/>
  <c r="BC1588" i="496"/>
  <c r="BA1588" i="496"/>
  <c r="I1588" i="496"/>
  <c r="H1588" i="496"/>
  <c r="E1588" i="496"/>
  <c r="D1588" i="496"/>
  <c r="C1588" i="496"/>
  <c r="BE1587" i="496"/>
  <c r="BC1587" i="496"/>
  <c r="BA1587" i="496"/>
  <c r="I1587" i="496"/>
  <c r="H1587" i="496"/>
  <c r="E1587" i="496"/>
  <c r="D1587" i="496"/>
  <c r="C1587" i="496"/>
  <c r="BE1586" i="496"/>
  <c r="BC1586" i="496"/>
  <c r="BA1586" i="496"/>
  <c r="I1586" i="496"/>
  <c r="H1586" i="496"/>
  <c r="E1586" i="496"/>
  <c r="D1586" i="496"/>
  <c r="C1586" i="496"/>
  <c r="BE1585" i="496"/>
  <c r="BC1585" i="496"/>
  <c r="BA1585" i="496"/>
  <c r="I1585" i="496"/>
  <c r="H1585" i="496"/>
  <c r="E1585" i="496"/>
  <c r="D1585" i="496"/>
  <c r="C1585" i="496"/>
  <c r="BE1584" i="496"/>
  <c r="BC1584" i="496"/>
  <c r="BA1584" i="496"/>
  <c r="I1584" i="496"/>
  <c r="H1584" i="496"/>
  <c r="E1584" i="496"/>
  <c r="D1584" i="496"/>
  <c r="C1584" i="496"/>
  <c r="BE1583" i="496"/>
  <c r="BC1583" i="496"/>
  <c r="BA1583" i="496"/>
  <c r="I1583" i="496"/>
  <c r="H1583" i="496"/>
  <c r="E1583" i="496"/>
  <c r="D1583" i="496"/>
  <c r="C1583" i="496"/>
  <c r="BE1582" i="496"/>
  <c r="BC1582" i="496"/>
  <c r="BA1582" i="496"/>
  <c r="I1582" i="496"/>
  <c r="H1582" i="496"/>
  <c r="E1582" i="496"/>
  <c r="D1582" i="496"/>
  <c r="C1582" i="496"/>
  <c r="BE1581" i="496"/>
  <c r="BC1581" i="496"/>
  <c r="BA1581" i="496"/>
  <c r="I1581" i="496"/>
  <c r="H1581" i="496"/>
  <c r="E1581" i="496"/>
  <c r="D1581" i="496"/>
  <c r="C1581" i="496"/>
  <c r="BE1580" i="496"/>
  <c r="BC1580" i="496"/>
  <c r="BA1580" i="496"/>
  <c r="I1580" i="496"/>
  <c r="H1580" i="496"/>
  <c r="E1580" i="496"/>
  <c r="D1580" i="496"/>
  <c r="C1580" i="496"/>
  <c r="BE1579" i="496"/>
  <c r="BC1579" i="496"/>
  <c r="I1579" i="496"/>
  <c r="H1579" i="496"/>
  <c r="E1579" i="496"/>
  <c r="D1579" i="496"/>
  <c r="C1579" i="496"/>
  <c r="BE1578" i="496"/>
  <c r="BC1578" i="496"/>
  <c r="I1578" i="496"/>
  <c r="H1578" i="496"/>
  <c r="E1578" i="496"/>
  <c r="D1578" i="496"/>
  <c r="C1578" i="496"/>
  <c r="BE1577" i="496"/>
  <c r="BC1577" i="496"/>
  <c r="I1577" i="496"/>
  <c r="H1577" i="496"/>
  <c r="E1577" i="496"/>
  <c r="D1577" i="496"/>
  <c r="C1577" i="496"/>
  <c r="BF1576" i="496"/>
  <c r="BE1576" i="496"/>
  <c r="BC1576" i="496"/>
  <c r="I1576" i="496"/>
  <c r="H1576" i="496"/>
  <c r="E1576" i="496"/>
  <c r="D1576" i="496"/>
  <c r="C1576" i="496"/>
  <c r="BF1575" i="496"/>
  <c r="BE1575" i="496"/>
  <c r="BC1575" i="496"/>
  <c r="I1575" i="496"/>
  <c r="H1575" i="496"/>
  <c r="E1575" i="496"/>
  <c r="D1575" i="496"/>
  <c r="C1575" i="496"/>
  <c r="BF1574" i="496"/>
  <c r="BE1574" i="496"/>
  <c r="BC1574" i="496"/>
  <c r="I1574" i="496"/>
  <c r="H1574" i="496"/>
  <c r="E1574" i="496"/>
  <c r="D1574" i="496"/>
  <c r="C1574" i="496"/>
  <c r="BF1573" i="496"/>
  <c r="BE1573" i="496"/>
  <c r="BC1573" i="496"/>
  <c r="I1573" i="496"/>
  <c r="H1573" i="496"/>
  <c r="E1573" i="496"/>
  <c r="D1573" i="496"/>
  <c r="C1573" i="496"/>
  <c r="BF1572" i="496"/>
  <c r="BE1572" i="496"/>
  <c r="BC1572" i="496"/>
  <c r="I1572" i="496"/>
  <c r="H1572" i="496"/>
  <c r="E1572" i="496"/>
  <c r="D1572" i="496"/>
  <c r="C1572" i="496"/>
  <c r="BE1571" i="496"/>
  <c r="BC1571" i="496"/>
  <c r="I1571" i="496"/>
  <c r="H1571" i="496"/>
  <c r="E1571" i="496"/>
  <c r="D1571" i="496"/>
  <c r="C1571" i="496"/>
  <c r="BE1570" i="496"/>
  <c r="BC1570" i="496"/>
  <c r="I1570" i="496"/>
  <c r="H1570" i="496"/>
  <c r="E1570" i="496"/>
  <c r="D1570" i="496"/>
  <c r="C1570" i="496"/>
  <c r="BE1569" i="496"/>
  <c r="BC1569" i="496"/>
  <c r="I1569" i="496"/>
  <c r="H1569" i="496"/>
  <c r="E1569" i="496"/>
  <c r="D1569" i="496"/>
  <c r="C1569" i="496"/>
  <c r="BE1568" i="496"/>
  <c r="BC1568" i="496"/>
  <c r="I1568" i="496"/>
  <c r="H1568" i="496"/>
  <c r="E1568" i="496"/>
  <c r="D1568" i="496"/>
  <c r="C1568" i="496"/>
  <c r="BE1567" i="496"/>
  <c r="BC1567" i="496"/>
  <c r="I1567" i="496"/>
  <c r="H1567" i="496"/>
  <c r="E1567" i="496"/>
  <c r="D1567" i="496"/>
  <c r="C1567" i="496"/>
  <c r="BE1566" i="496"/>
  <c r="BC1566" i="496"/>
  <c r="I1566" i="496"/>
  <c r="H1566" i="496"/>
  <c r="E1566" i="496"/>
  <c r="D1566" i="496"/>
  <c r="C1566" i="496"/>
  <c r="BE1565" i="496"/>
  <c r="BC1565" i="496"/>
  <c r="I1565" i="496"/>
  <c r="H1565" i="496"/>
  <c r="E1565" i="496"/>
  <c r="D1565" i="496"/>
  <c r="C1565" i="496"/>
  <c r="BE1564" i="496"/>
  <c r="BC1564" i="496"/>
  <c r="I1564" i="496"/>
  <c r="H1564" i="496"/>
  <c r="E1564" i="496"/>
  <c r="D1564" i="496"/>
  <c r="C1564" i="496"/>
  <c r="BE1563" i="496"/>
  <c r="BC1563" i="496"/>
  <c r="I1563" i="496"/>
  <c r="H1563" i="496"/>
  <c r="E1563" i="496"/>
  <c r="D1563" i="496"/>
  <c r="C1563" i="496"/>
  <c r="BE1562" i="496"/>
  <c r="BC1562" i="496"/>
  <c r="I1562" i="496"/>
  <c r="H1562" i="496"/>
  <c r="E1562" i="496"/>
  <c r="D1562" i="496"/>
  <c r="C1562" i="496"/>
  <c r="BE1561" i="496"/>
  <c r="BC1561" i="496"/>
  <c r="I1561" i="496"/>
  <c r="H1561" i="496"/>
  <c r="E1561" i="496"/>
  <c r="D1561" i="496"/>
  <c r="C1561" i="496"/>
  <c r="BE1560" i="496"/>
  <c r="BC1560" i="496"/>
  <c r="I1560" i="496"/>
  <c r="H1560" i="496"/>
  <c r="E1560" i="496"/>
  <c r="D1560" i="496"/>
  <c r="C1560" i="496"/>
  <c r="BE1559" i="496"/>
  <c r="BC1559" i="496"/>
  <c r="I1559" i="496"/>
  <c r="H1559" i="496"/>
  <c r="E1559" i="496"/>
  <c r="D1559" i="496"/>
  <c r="C1559" i="496"/>
  <c r="BE1558" i="496"/>
  <c r="BC1558" i="496"/>
  <c r="I1558" i="496"/>
  <c r="H1558" i="496"/>
  <c r="E1558" i="496"/>
  <c r="D1558" i="496"/>
  <c r="C1558" i="496"/>
  <c r="BE1557" i="496"/>
  <c r="BC1557" i="496"/>
  <c r="I1557" i="496"/>
  <c r="H1557" i="496"/>
  <c r="E1557" i="496"/>
  <c r="D1557" i="496"/>
  <c r="C1557" i="496"/>
  <c r="BE1556" i="496"/>
  <c r="BC1556" i="496"/>
  <c r="I1556" i="496"/>
  <c r="H1556" i="496"/>
  <c r="E1556" i="496"/>
  <c r="D1556" i="496"/>
  <c r="C1556" i="496"/>
  <c r="BE1555" i="496"/>
  <c r="BC1555" i="496"/>
  <c r="I1555" i="496"/>
  <c r="H1555" i="496"/>
  <c r="E1555" i="496"/>
  <c r="D1555" i="496"/>
  <c r="C1555" i="496"/>
  <c r="BE1554" i="496"/>
  <c r="BC1554" i="496"/>
  <c r="I1554" i="496"/>
  <c r="H1554" i="496"/>
  <c r="E1554" i="496"/>
  <c r="D1554" i="496"/>
  <c r="C1554" i="496"/>
  <c r="BE1553" i="496"/>
  <c r="BC1553" i="496"/>
  <c r="I1553" i="496"/>
  <c r="H1553" i="496"/>
  <c r="E1553" i="496"/>
  <c r="D1553" i="496"/>
  <c r="C1553" i="496"/>
  <c r="BE1552" i="496"/>
  <c r="BC1552" i="496"/>
  <c r="I1552" i="496"/>
  <c r="H1552" i="496"/>
  <c r="E1552" i="496"/>
  <c r="D1552" i="496"/>
  <c r="C1552" i="496"/>
  <c r="BE1551" i="496"/>
  <c r="BC1551" i="496"/>
  <c r="I1551" i="496"/>
  <c r="H1551" i="496"/>
  <c r="E1551" i="496"/>
  <c r="D1551" i="496"/>
  <c r="C1551" i="496"/>
  <c r="BE1550" i="496"/>
  <c r="BC1550" i="496"/>
  <c r="I1550" i="496"/>
  <c r="H1550" i="496"/>
  <c r="E1550" i="496"/>
  <c r="D1550" i="496"/>
  <c r="C1550" i="496"/>
  <c r="BE1549" i="496"/>
  <c r="BC1549" i="496"/>
  <c r="I1549" i="496"/>
  <c r="H1549" i="496"/>
  <c r="E1549" i="496"/>
  <c r="D1549" i="496"/>
  <c r="C1549" i="496"/>
  <c r="BE1548" i="496"/>
  <c r="BC1548" i="496"/>
  <c r="I1548" i="496"/>
  <c r="H1548" i="496"/>
  <c r="E1548" i="496"/>
  <c r="D1548" i="496"/>
  <c r="C1548" i="496"/>
  <c r="BE1547" i="496"/>
  <c r="BC1547" i="496"/>
  <c r="I1547" i="496"/>
  <c r="H1547" i="496"/>
  <c r="E1547" i="496"/>
  <c r="D1547" i="496"/>
  <c r="C1547" i="496"/>
  <c r="BE1546" i="496"/>
  <c r="BC1546" i="496"/>
  <c r="I1546" i="496"/>
  <c r="H1546" i="496"/>
  <c r="E1546" i="496"/>
  <c r="D1546" i="496"/>
  <c r="C1546" i="496"/>
  <c r="BE1545" i="496"/>
  <c r="BC1545" i="496"/>
  <c r="I1545" i="496"/>
  <c r="H1545" i="496"/>
  <c r="E1545" i="496"/>
  <c r="D1545" i="496"/>
  <c r="C1545" i="496"/>
  <c r="BE1544" i="496"/>
  <c r="BC1544" i="496"/>
  <c r="I1544" i="496"/>
  <c r="H1544" i="496"/>
  <c r="E1544" i="496"/>
  <c r="D1544" i="496"/>
  <c r="C1544" i="496"/>
  <c r="BE1543" i="496"/>
  <c r="BC1543" i="496"/>
  <c r="I1543" i="496"/>
  <c r="H1543" i="496"/>
  <c r="E1543" i="496"/>
  <c r="D1543" i="496"/>
  <c r="C1543" i="496"/>
  <c r="BE1542" i="496"/>
  <c r="BC1542" i="496"/>
  <c r="I1542" i="496"/>
  <c r="H1542" i="496"/>
  <c r="E1542" i="496"/>
  <c r="D1542" i="496"/>
  <c r="C1542" i="496"/>
  <c r="BE1541" i="496"/>
  <c r="BC1541" i="496"/>
  <c r="I1541" i="496"/>
  <c r="H1541" i="496"/>
  <c r="E1541" i="496"/>
  <c r="D1541" i="496"/>
  <c r="C1541" i="496"/>
  <c r="BE1540" i="496"/>
  <c r="BC1540" i="496"/>
  <c r="I1540" i="496"/>
  <c r="H1540" i="496"/>
  <c r="E1540" i="496"/>
  <c r="D1540" i="496"/>
  <c r="C1540" i="496"/>
  <c r="BE1539" i="496"/>
  <c r="BC1539" i="496"/>
  <c r="I1539" i="496"/>
  <c r="H1539" i="496"/>
  <c r="E1539" i="496"/>
  <c r="D1539" i="496"/>
  <c r="C1539" i="496"/>
  <c r="BE1538" i="496"/>
  <c r="BC1538" i="496"/>
  <c r="I1538" i="496"/>
  <c r="H1538" i="496"/>
  <c r="E1538" i="496"/>
  <c r="D1538" i="496"/>
  <c r="C1538" i="496"/>
  <c r="BE1537" i="496"/>
  <c r="BC1537" i="496"/>
  <c r="I1537" i="496"/>
  <c r="H1537" i="496"/>
  <c r="E1537" i="496"/>
  <c r="D1537" i="496"/>
  <c r="C1537" i="496"/>
  <c r="BE1536" i="496"/>
  <c r="BC1536" i="496"/>
  <c r="I1536" i="496"/>
  <c r="H1536" i="496"/>
  <c r="E1536" i="496"/>
  <c r="D1536" i="496"/>
  <c r="C1536" i="496"/>
  <c r="BE1535" i="496"/>
  <c r="BC1535" i="496"/>
  <c r="I1535" i="496"/>
  <c r="H1535" i="496"/>
  <c r="E1535" i="496"/>
  <c r="D1535" i="496"/>
  <c r="C1535" i="496"/>
  <c r="BE1534" i="496"/>
  <c r="BC1534" i="496"/>
  <c r="I1534" i="496"/>
  <c r="H1534" i="496"/>
  <c r="E1534" i="496"/>
  <c r="D1534" i="496"/>
  <c r="C1534" i="496"/>
  <c r="BE1533" i="496"/>
  <c r="BC1533" i="496"/>
  <c r="I1533" i="496"/>
  <c r="H1533" i="496"/>
  <c r="E1533" i="496"/>
  <c r="D1533" i="496"/>
  <c r="C1533" i="496"/>
  <c r="BE1532" i="496"/>
  <c r="BC1532" i="496"/>
  <c r="I1532" i="496"/>
  <c r="H1532" i="496"/>
  <c r="E1532" i="496"/>
  <c r="D1532" i="496"/>
  <c r="C1532" i="496"/>
  <c r="BE1531" i="496"/>
  <c r="BC1531" i="496"/>
  <c r="I1531" i="496"/>
  <c r="H1531" i="496"/>
  <c r="E1531" i="496"/>
  <c r="D1531" i="496"/>
  <c r="C1531" i="496"/>
  <c r="BE1530" i="496"/>
  <c r="BC1530" i="496"/>
  <c r="I1530" i="496"/>
  <c r="H1530" i="496"/>
  <c r="E1530" i="496"/>
  <c r="D1530" i="496"/>
  <c r="C1530" i="496"/>
  <c r="BE1529" i="496"/>
  <c r="BC1529" i="496"/>
  <c r="I1529" i="496"/>
  <c r="H1529" i="496"/>
  <c r="E1529" i="496"/>
  <c r="D1529" i="496"/>
  <c r="C1529" i="496"/>
  <c r="BE1528" i="496"/>
  <c r="BC1528" i="496"/>
  <c r="I1528" i="496"/>
  <c r="H1528" i="496"/>
  <c r="E1528" i="496"/>
  <c r="D1528" i="496"/>
  <c r="C1528" i="496"/>
  <c r="BE1527" i="496"/>
  <c r="BC1527" i="496"/>
  <c r="I1527" i="496"/>
  <c r="H1527" i="496"/>
  <c r="E1527" i="496"/>
  <c r="D1527" i="496"/>
  <c r="C1527" i="496"/>
  <c r="BE1526" i="496"/>
  <c r="BC1526" i="496"/>
  <c r="I1526" i="496"/>
  <c r="H1526" i="496"/>
  <c r="E1526" i="496"/>
  <c r="D1526" i="496"/>
  <c r="C1526" i="496"/>
  <c r="BE1525" i="496"/>
  <c r="BC1525" i="496"/>
  <c r="I1525" i="496"/>
  <c r="H1525" i="496"/>
  <c r="E1525" i="496"/>
  <c r="D1525" i="496"/>
  <c r="C1525" i="496"/>
  <c r="BE1524" i="496"/>
  <c r="BC1524" i="496"/>
  <c r="I1524" i="496"/>
  <c r="H1524" i="496"/>
  <c r="E1524" i="496"/>
  <c r="D1524" i="496"/>
  <c r="C1524" i="496"/>
  <c r="BE1523" i="496"/>
  <c r="BC1523" i="496"/>
  <c r="I1523" i="496"/>
  <c r="H1523" i="496"/>
  <c r="E1523" i="496"/>
  <c r="D1523" i="496"/>
  <c r="C1523" i="496"/>
  <c r="BE1522" i="496"/>
  <c r="BC1522" i="496"/>
  <c r="I1522" i="496"/>
  <c r="H1522" i="496"/>
  <c r="E1522" i="496"/>
  <c r="D1522" i="496"/>
  <c r="C1522" i="496"/>
  <c r="BE1521" i="496"/>
  <c r="BC1521" i="496"/>
  <c r="I1521" i="496"/>
  <c r="H1521" i="496"/>
  <c r="E1521" i="496"/>
  <c r="D1521" i="496"/>
  <c r="C1521" i="496"/>
  <c r="BE1520" i="496"/>
  <c r="BC1520" i="496"/>
  <c r="I1520" i="496"/>
  <c r="H1520" i="496"/>
  <c r="E1520" i="496"/>
  <c r="D1520" i="496"/>
  <c r="C1520" i="496"/>
  <c r="BE1519" i="496"/>
  <c r="BC1519" i="496"/>
  <c r="I1519" i="496"/>
  <c r="H1519" i="496"/>
  <c r="E1519" i="496"/>
  <c r="D1519" i="496"/>
  <c r="C1519" i="496"/>
  <c r="BE1518" i="496"/>
  <c r="BC1518" i="496"/>
  <c r="I1518" i="496"/>
  <c r="H1518" i="496"/>
  <c r="E1518" i="496"/>
  <c r="D1518" i="496"/>
  <c r="C1518" i="496"/>
  <c r="BE1517" i="496"/>
  <c r="BC1517" i="496"/>
  <c r="I1517" i="496"/>
  <c r="H1517" i="496"/>
  <c r="E1517" i="496"/>
  <c r="D1517" i="496"/>
  <c r="C1517" i="496"/>
  <c r="BE1516" i="496"/>
  <c r="BC1516" i="496"/>
  <c r="I1516" i="496"/>
  <c r="H1516" i="496"/>
  <c r="E1516" i="496"/>
  <c r="D1516" i="496"/>
  <c r="C1516" i="496"/>
  <c r="BE1515" i="496"/>
  <c r="BC1515" i="496"/>
  <c r="I1515" i="496"/>
  <c r="H1515" i="496"/>
  <c r="E1515" i="496"/>
  <c r="D1515" i="496"/>
  <c r="C1515" i="496"/>
  <c r="BE1514" i="496"/>
  <c r="BC1514" i="496"/>
  <c r="I1514" i="496"/>
  <c r="H1514" i="496"/>
  <c r="E1514" i="496"/>
  <c r="D1514" i="496"/>
  <c r="C1514" i="496"/>
  <c r="BE1513" i="496"/>
  <c r="BC1513" i="496"/>
  <c r="I1513" i="496"/>
  <c r="H1513" i="496"/>
  <c r="E1513" i="496"/>
  <c r="D1513" i="496"/>
  <c r="C1513" i="496"/>
  <c r="BE1512" i="496"/>
  <c r="BC1512" i="496"/>
  <c r="I1512" i="496"/>
  <c r="H1512" i="496"/>
  <c r="E1512" i="496"/>
  <c r="D1512" i="496"/>
  <c r="C1512" i="496"/>
  <c r="BE1511" i="496"/>
  <c r="BC1511" i="496"/>
  <c r="I1511" i="496"/>
  <c r="H1511" i="496"/>
  <c r="E1511" i="496"/>
  <c r="D1511" i="496"/>
  <c r="C1511" i="496"/>
  <c r="BE1510" i="496"/>
  <c r="BC1510" i="496"/>
  <c r="I1510" i="496"/>
  <c r="H1510" i="496"/>
  <c r="E1510" i="496"/>
  <c r="D1510" i="496"/>
  <c r="C1510" i="496"/>
  <c r="BE1509" i="496"/>
  <c r="BC1509" i="496"/>
  <c r="I1509" i="496"/>
  <c r="H1509" i="496"/>
  <c r="E1509" i="496"/>
  <c r="D1509" i="496"/>
  <c r="C1509" i="496"/>
  <c r="BE1508" i="496"/>
  <c r="BC1508" i="496"/>
  <c r="I1508" i="496"/>
  <c r="H1508" i="496"/>
  <c r="E1508" i="496"/>
  <c r="D1508" i="496"/>
  <c r="C1508" i="496"/>
  <c r="BE1507" i="496"/>
  <c r="BC1507" i="496"/>
  <c r="I1507" i="496"/>
  <c r="H1507" i="496"/>
  <c r="E1507" i="496"/>
  <c r="D1507" i="496"/>
  <c r="C1507" i="496"/>
  <c r="BE1506" i="496"/>
  <c r="BC1506" i="496"/>
  <c r="I1506" i="496"/>
  <c r="H1506" i="496"/>
  <c r="E1506" i="496"/>
  <c r="D1506" i="496"/>
  <c r="C1506" i="496"/>
  <c r="BE1505" i="496"/>
  <c r="BC1505" i="496"/>
  <c r="I1505" i="496"/>
  <c r="H1505" i="496"/>
  <c r="E1505" i="496"/>
  <c r="D1505" i="496"/>
  <c r="C1505" i="496"/>
  <c r="BE1504" i="496"/>
  <c r="BC1504" i="496"/>
  <c r="I1504" i="496"/>
  <c r="H1504" i="496"/>
  <c r="E1504" i="496"/>
  <c r="D1504" i="496"/>
  <c r="C1504" i="496"/>
  <c r="BE1503" i="496"/>
  <c r="BC1503" i="496"/>
  <c r="I1503" i="496"/>
  <c r="H1503" i="496"/>
  <c r="E1503" i="496"/>
  <c r="D1503" i="496"/>
  <c r="C1503" i="496"/>
  <c r="BE1502" i="496"/>
  <c r="BC1502" i="496"/>
  <c r="I1502" i="496"/>
  <c r="H1502" i="496"/>
  <c r="E1502" i="496"/>
  <c r="D1502" i="496"/>
  <c r="C1502" i="496"/>
  <c r="BE1501" i="496"/>
  <c r="BC1501" i="496"/>
  <c r="I1501" i="496"/>
  <c r="H1501" i="496"/>
  <c r="E1501" i="496"/>
  <c r="D1501" i="496"/>
  <c r="C1501" i="496"/>
  <c r="BE1500" i="496"/>
  <c r="BC1500" i="496"/>
  <c r="I1500" i="496"/>
  <c r="H1500" i="496"/>
  <c r="E1500" i="496"/>
  <c r="D1500" i="496"/>
  <c r="C1500" i="496"/>
  <c r="BE1499" i="496"/>
  <c r="BC1499" i="496"/>
  <c r="I1499" i="496"/>
  <c r="H1499" i="496"/>
  <c r="E1499" i="496"/>
  <c r="D1499" i="496"/>
  <c r="C1499" i="496"/>
  <c r="BE1498" i="496"/>
  <c r="BC1498" i="496"/>
  <c r="I1498" i="496"/>
  <c r="H1498" i="496"/>
  <c r="E1498" i="496"/>
  <c r="D1498" i="496"/>
  <c r="C1498" i="496"/>
  <c r="BE1497" i="496"/>
  <c r="BC1497" i="496"/>
  <c r="I1497" i="496"/>
  <c r="H1497" i="496"/>
  <c r="E1497" i="496"/>
  <c r="D1497" i="496"/>
  <c r="C1497" i="496"/>
  <c r="BE1496" i="496"/>
  <c r="BC1496" i="496"/>
  <c r="I1496" i="496"/>
  <c r="H1496" i="496"/>
  <c r="E1496" i="496"/>
  <c r="D1496" i="496"/>
  <c r="C1496" i="496"/>
  <c r="BE1495" i="496"/>
  <c r="BC1495" i="496"/>
  <c r="I1495" i="496"/>
  <c r="H1495" i="496"/>
  <c r="E1495" i="496"/>
  <c r="D1495" i="496"/>
  <c r="C1495" i="496"/>
  <c r="BE1494" i="496"/>
  <c r="BC1494" i="496"/>
  <c r="I1494" i="496"/>
  <c r="H1494" i="496"/>
  <c r="E1494" i="496"/>
  <c r="D1494" i="496"/>
  <c r="C1494" i="496"/>
  <c r="BE1493" i="496"/>
  <c r="BC1493" i="496"/>
  <c r="I1493" i="496"/>
  <c r="H1493" i="496"/>
  <c r="E1493" i="496"/>
  <c r="D1493" i="496"/>
  <c r="C1493" i="496"/>
  <c r="BE1492" i="496"/>
  <c r="BC1492" i="496"/>
  <c r="I1492" i="496"/>
  <c r="H1492" i="496"/>
  <c r="E1492" i="496"/>
  <c r="D1492" i="496"/>
  <c r="C1492" i="496"/>
  <c r="BE1491" i="496"/>
  <c r="BC1491" i="496"/>
  <c r="I1491" i="496"/>
  <c r="H1491" i="496"/>
  <c r="E1491" i="496"/>
  <c r="D1491" i="496"/>
  <c r="C1491" i="496"/>
  <c r="BE1490" i="496"/>
  <c r="BC1490" i="496"/>
  <c r="I1490" i="496"/>
  <c r="H1490" i="496"/>
  <c r="E1490" i="496"/>
  <c r="D1490" i="496"/>
  <c r="C1490" i="496"/>
  <c r="BE1489" i="496"/>
  <c r="BC1489" i="496"/>
  <c r="I1489" i="496"/>
  <c r="H1489" i="496"/>
  <c r="E1489" i="496"/>
  <c r="D1489" i="496"/>
  <c r="C1489" i="496"/>
  <c r="BE1488" i="496"/>
  <c r="BC1488" i="496"/>
  <c r="I1488" i="496"/>
  <c r="H1488" i="496"/>
  <c r="E1488" i="496"/>
  <c r="D1488" i="496"/>
  <c r="C1488" i="496"/>
  <c r="BE1487" i="496"/>
  <c r="BC1487" i="496"/>
  <c r="I1487" i="496"/>
  <c r="H1487" i="496"/>
  <c r="E1487" i="496"/>
  <c r="D1487" i="496"/>
  <c r="C1487" i="496"/>
  <c r="BE1486" i="496"/>
  <c r="BC1486" i="496"/>
  <c r="I1486" i="496"/>
  <c r="H1486" i="496"/>
  <c r="E1486" i="496"/>
  <c r="D1486" i="496"/>
  <c r="C1486" i="496"/>
  <c r="BE1485" i="496"/>
  <c r="BC1485" i="496"/>
  <c r="I1485" i="496"/>
  <c r="H1485" i="496"/>
  <c r="E1485" i="496"/>
  <c r="D1485" i="496"/>
  <c r="C1485" i="496"/>
  <c r="BE1484" i="496"/>
  <c r="BC1484" i="496"/>
  <c r="I1484" i="496"/>
  <c r="H1484" i="496"/>
  <c r="E1484" i="496"/>
  <c r="D1484" i="496"/>
  <c r="C1484" i="496"/>
  <c r="BE1483" i="496"/>
  <c r="BC1483" i="496"/>
  <c r="I1483" i="496"/>
  <c r="H1483" i="496"/>
  <c r="E1483" i="496"/>
  <c r="D1483" i="496"/>
  <c r="C1483" i="496"/>
  <c r="BE1482" i="496"/>
  <c r="BC1482" i="496"/>
  <c r="I1482" i="496"/>
  <c r="H1482" i="496"/>
  <c r="E1482" i="496"/>
  <c r="D1482" i="496"/>
  <c r="C1482" i="496"/>
  <c r="BE1481" i="496"/>
  <c r="BC1481" i="496"/>
  <c r="I1481" i="496"/>
  <c r="H1481" i="496"/>
  <c r="E1481" i="496"/>
  <c r="D1481" i="496"/>
  <c r="C1481" i="496"/>
  <c r="BE1480" i="496"/>
  <c r="BC1480" i="496"/>
  <c r="BA1480" i="496"/>
  <c r="I1480" i="496"/>
  <c r="H1480" i="496"/>
  <c r="E1480" i="496"/>
  <c r="D1480" i="496"/>
  <c r="C1480" i="496"/>
  <c r="BE1479" i="496"/>
  <c r="BC1479" i="496"/>
  <c r="BA1479" i="496"/>
  <c r="I1479" i="496"/>
  <c r="H1479" i="496"/>
  <c r="E1479" i="496"/>
  <c r="D1479" i="496"/>
  <c r="C1479" i="496"/>
  <c r="BE1478" i="496"/>
  <c r="BC1478" i="496"/>
  <c r="BA1478" i="496"/>
  <c r="I1478" i="496"/>
  <c r="H1478" i="496"/>
  <c r="E1478" i="496"/>
  <c r="D1478" i="496"/>
  <c r="C1478" i="496"/>
  <c r="BE1477" i="496"/>
  <c r="BC1477" i="496"/>
  <c r="BA1477" i="496"/>
  <c r="I1477" i="496"/>
  <c r="H1477" i="496"/>
  <c r="E1477" i="496"/>
  <c r="D1477" i="496"/>
  <c r="C1477" i="496"/>
  <c r="BE1476" i="496"/>
  <c r="BC1476" i="496"/>
  <c r="BA1476" i="496"/>
  <c r="I1476" i="496"/>
  <c r="H1476" i="496"/>
  <c r="E1476" i="496"/>
  <c r="D1476" i="496"/>
  <c r="C1476" i="496"/>
  <c r="BE1475" i="496"/>
  <c r="BC1475" i="496"/>
  <c r="BA1475" i="496"/>
  <c r="I1475" i="496"/>
  <c r="H1475" i="496"/>
  <c r="E1475" i="496"/>
  <c r="D1475" i="496"/>
  <c r="C1475" i="496"/>
  <c r="BE1474" i="496"/>
  <c r="BC1474" i="496"/>
  <c r="BA1474" i="496"/>
  <c r="I1474" i="496"/>
  <c r="H1474" i="496"/>
  <c r="E1474" i="496"/>
  <c r="D1474" i="496"/>
  <c r="C1474" i="496"/>
  <c r="BE1473" i="496"/>
  <c r="BC1473" i="496"/>
  <c r="BA1473" i="496"/>
  <c r="I1473" i="496"/>
  <c r="H1473" i="496"/>
  <c r="E1473" i="496"/>
  <c r="D1473" i="496"/>
  <c r="C1473" i="496"/>
  <c r="BE1472" i="496"/>
  <c r="BC1472" i="496"/>
  <c r="BA1472" i="496"/>
  <c r="I1472" i="496"/>
  <c r="H1472" i="496"/>
  <c r="E1472" i="496"/>
  <c r="D1472" i="496"/>
  <c r="C1472" i="496"/>
  <c r="BE1471" i="496"/>
  <c r="BC1471" i="496"/>
  <c r="BA1471" i="496"/>
  <c r="I1471" i="496"/>
  <c r="H1471" i="496"/>
  <c r="E1471" i="496"/>
  <c r="D1471" i="496"/>
  <c r="C1471" i="496"/>
  <c r="BE1470" i="496"/>
  <c r="BC1470" i="496"/>
  <c r="BA1470" i="496"/>
  <c r="I1470" i="496"/>
  <c r="H1470" i="496"/>
  <c r="E1470" i="496"/>
  <c r="D1470" i="496"/>
  <c r="C1470" i="496"/>
  <c r="BE1469" i="496"/>
  <c r="BC1469" i="496"/>
  <c r="BA1469" i="496"/>
  <c r="I1469" i="496"/>
  <c r="H1469" i="496"/>
  <c r="E1469" i="496"/>
  <c r="D1469" i="496"/>
  <c r="C1469" i="496"/>
  <c r="BE1468" i="496"/>
  <c r="BC1468" i="496"/>
  <c r="BA1468" i="496"/>
  <c r="I1468" i="496"/>
  <c r="H1468" i="496"/>
  <c r="E1468" i="496"/>
  <c r="D1468" i="496"/>
  <c r="C1468" i="496"/>
  <c r="BE1467" i="496"/>
  <c r="BC1467" i="496"/>
  <c r="BA1467" i="496"/>
  <c r="I1467" i="496"/>
  <c r="H1467" i="496"/>
  <c r="E1467" i="496"/>
  <c r="D1467" i="496"/>
  <c r="C1467" i="496"/>
  <c r="BE1466" i="496"/>
  <c r="BC1466" i="496"/>
  <c r="BA1466" i="496"/>
  <c r="I1466" i="496"/>
  <c r="H1466" i="496"/>
  <c r="E1466" i="496"/>
  <c r="D1466" i="496"/>
  <c r="C1466" i="496"/>
  <c r="BE1465" i="496"/>
  <c r="BC1465" i="496"/>
  <c r="BA1465" i="496"/>
  <c r="I1465" i="496"/>
  <c r="H1465" i="496"/>
  <c r="E1465" i="496"/>
  <c r="D1465" i="496"/>
  <c r="C1465" i="496"/>
  <c r="BE1464" i="496"/>
  <c r="BC1464" i="496"/>
  <c r="BA1464" i="496"/>
  <c r="I1464" i="496"/>
  <c r="H1464" i="496"/>
  <c r="E1464" i="496"/>
  <c r="D1464" i="496"/>
  <c r="C1464" i="496"/>
  <c r="BE1463" i="496"/>
  <c r="BC1463" i="496"/>
  <c r="BA1463" i="496"/>
  <c r="I1463" i="496"/>
  <c r="H1463" i="496"/>
  <c r="E1463" i="496"/>
  <c r="D1463" i="496"/>
  <c r="C1463" i="496"/>
  <c r="BE1462" i="496"/>
  <c r="BC1462" i="496"/>
  <c r="BA1462" i="496"/>
  <c r="I1462" i="496"/>
  <c r="H1462" i="496"/>
  <c r="E1462" i="496"/>
  <c r="D1462" i="496"/>
  <c r="C1462" i="496"/>
  <c r="BF1461" i="496"/>
  <c r="BE1461" i="496"/>
  <c r="BC1461" i="496"/>
  <c r="I1461" i="496"/>
  <c r="H1461" i="496"/>
  <c r="E1461" i="496"/>
  <c r="D1461" i="496"/>
  <c r="C1461" i="496"/>
  <c r="BE1460" i="496"/>
  <c r="BC1460" i="496"/>
  <c r="I1460" i="496"/>
  <c r="H1460" i="496"/>
  <c r="E1460" i="496"/>
  <c r="D1460" i="496"/>
  <c r="C1460" i="496"/>
  <c r="BE1459" i="496"/>
  <c r="BC1459" i="496"/>
  <c r="I1459" i="496"/>
  <c r="H1459" i="496"/>
  <c r="E1459" i="496"/>
  <c r="D1459" i="496"/>
  <c r="C1459" i="496"/>
  <c r="BE1458" i="496"/>
  <c r="BC1458" i="496"/>
  <c r="I1458" i="496"/>
  <c r="H1458" i="496"/>
  <c r="E1458" i="496"/>
  <c r="D1458" i="496"/>
  <c r="C1458" i="496"/>
  <c r="BE1457" i="496"/>
  <c r="BC1457" i="496"/>
  <c r="I1457" i="496"/>
  <c r="H1457" i="496"/>
  <c r="E1457" i="496"/>
  <c r="D1457" i="496"/>
  <c r="C1457" i="496"/>
  <c r="BE1456" i="496"/>
  <c r="BC1456" i="496"/>
  <c r="I1456" i="496"/>
  <c r="H1456" i="496"/>
  <c r="E1456" i="496"/>
  <c r="D1456" i="496"/>
  <c r="C1456" i="496"/>
  <c r="BE1455" i="496"/>
  <c r="BC1455" i="496"/>
  <c r="I1455" i="496"/>
  <c r="H1455" i="496"/>
  <c r="E1455" i="496"/>
  <c r="D1455" i="496"/>
  <c r="C1455" i="496"/>
  <c r="BE1454" i="496"/>
  <c r="BC1454" i="496"/>
  <c r="I1454" i="496"/>
  <c r="H1454" i="496"/>
  <c r="E1454" i="496"/>
  <c r="D1454" i="496"/>
  <c r="C1454" i="496"/>
  <c r="BE1453" i="496"/>
  <c r="BC1453" i="496"/>
  <c r="I1453" i="496"/>
  <c r="H1453" i="496"/>
  <c r="E1453" i="496"/>
  <c r="D1453" i="496"/>
  <c r="C1453" i="496"/>
  <c r="BE1452" i="496"/>
  <c r="BC1452" i="496"/>
  <c r="I1452" i="496"/>
  <c r="H1452" i="496"/>
  <c r="E1452" i="496"/>
  <c r="D1452" i="496"/>
  <c r="C1452" i="496"/>
  <c r="BE1451" i="496"/>
  <c r="BC1451" i="496"/>
  <c r="I1451" i="496"/>
  <c r="H1451" i="496"/>
  <c r="E1451" i="496"/>
  <c r="D1451" i="496"/>
  <c r="C1451" i="496"/>
  <c r="BE1450" i="496"/>
  <c r="BC1450" i="496"/>
  <c r="I1450" i="496"/>
  <c r="H1450" i="496"/>
  <c r="E1450" i="496"/>
  <c r="D1450" i="496"/>
  <c r="C1450" i="496"/>
  <c r="BE1449" i="496"/>
  <c r="BC1449" i="496"/>
  <c r="I1449" i="496"/>
  <c r="H1449" i="496"/>
  <c r="E1449" i="496"/>
  <c r="D1449" i="496"/>
  <c r="C1449" i="496"/>
  <c r="BE1448" i="496"/>
  <c r="BC1448" i="496"/>
  <c r="I1448" i="496"/>
  <c r="H1448" i="496"/>
  <c r="E1448" i="496"/>
  <c r="D1448" i="496"/>
  <c r="C1448" i="496"/>
  <c r="BE1447" i="496"/>
  <c r="BC1447" i="496"/>
  <c r="I1447" i="496"/>
  <c r="H1447" i="496"/>
  <c r="E1447" i="496"/>
  <c r="D1447" i="496"/>
  <c r="C1447" i="496"/>
  <c r="BE1446" i="496"/>
  <c r="BC1446" i="496"/>
  <c r="I1446" i="496"/>
  <c r="H1446" i="496"/>
  <c r="E1446" i="496"/>
  <c r="D1446" i="496"/>
  <c r="C1446" i="496"/>
  <c r="BE1445" i="496"/>
  <c r="BC1445" i="496"/>
  <c r="I1445" i="496"/>
  <c r="H1445" i="496"/>
  <c r="E1445" i="496"/>
  <c r="D1445" i="496"/>
  <c r="C1445" i="496"/>
  <c r="BE1444" i="496"/>
  <c r="BC1444" i="496"/>
  <c r="I1444" i="496"/>
  <c r="H1444" i="496"/>
  <c r="E1444" i="496"/>
  <c r="D1444" i="496"/>
  <c r="C1444" i="496"/>
  <c r="BE1443" i="496"/>
  <c r="BC1443" i="496"/>
  <c r="I1443" i="496"/>
  <c r="H1443" i="496"/>
  <c r="E1443" i="496"/>
  <c r="D1443" i="496"/>
  <c r="C1443" i="496"/>
  <c r="BE1442" i="496"/>
  <c r="BC1442" i="496"/>
  <c r="I1442" i="496"/>
  <c r="H1442" i="496"/>
  <c r="E1442" i="496"/>
  <c r="D1442" i="496"/>
  <c r="C1442" i="496"/>
  <c r="BE1441" i="496"/>
  <c r="BC1441" i="496"/>
  <c r="I1441" i="496"/>
  <c r="H1441" i="496"/>
  <c r="E1441" i="496"/>
  <c r="D1441" i="496"/>
  <c r="C1441" i="496"/>
  <c r="BE1440" i="496"/>
  <c r="BC1440" i="496"/>
  <c r="I1440" i="496"/>
  <c r="H1440" i="496"/>
  <c r="E1440" i="496"/>
  <c r="D1440" i="496"/>
  <c r="C1440" i="496"/>
  <c r="BE1439" i="496"/>
  <c r="BC1439" i="496"/>
  <c r="I1439" i="496"/>
  <c r="H1439" i="496"/>
  <c r="E1439" i="496"/>
  <c r="D1439" i="496"/>
  <c r="C1439" i="496"/>
  <c r="BE1438" i="496"/>
  <c r="BC1438" i="496"/>
  <c r="I1438" i="496"/>
  <c r="H1438" i="496"/>
  <c r="E1438" i="496"/>
  <c r="D1438" i="496"/>
  <c r="C1438" i="496"/>
  <c r="BE1437" i="496"/>
  <c r="BC1437" i="496"/>
  <c r="I1437" i="496"/>
  <c r="H1437" i="496"/>
  <c r="E1437" i="496"/>
  <c r="D1437" i="496"/>
  <c r="C1437" i="496"/>
  <c r="BE1436" i="496"/>
  <c r="BC1436" i="496"/>
  <c r="I1436" i="496"/>
  <c r="H1436" i="496"/>
  <c r="E1436" i="496"/>
  <c r="D1436" i="496"/>
  <c r="C1436" i="496"/>
  <c r="BE1435" i="496"/>
  <c r="BC1435" i="496"/>
  <c r="I1435" i="496"/>
  <c r="H1435" i="496"/>
  <c r="E1435" i="496"/>
  <c r="D1435" i="496"/>
  <c r="C1435" i="496"/>
  <c r="BE1434" i="496"/>
  <c r="BC1434" i="496"/>
  <c r="I1434" i="496"/>
  <c r="H1434" i="496"/>
  <c r="E1434" i="496"/>
  <c r="D1434" i="496"/>
  <c r="C1434" i="496"/>
  <c r="BE1433" i="496"/>
  <c r="BC1433" i="496"/>
  <c r="I1433" i="496"/>
  <c r="H1433" i="496"/>
  <c r="E1433" i="496"/>
  <c r="D1433" i="496"/>
  <c r="C1433" i="496"/>
  <c r="BE1432" i="496"/>
  <c r="BC1432" i="496"/>
  <c r="I1432" i="496"/>
  <c r="H1432" i="496"/>
  <c r="E1432" i="496"/>
  <c r="D1432" i="496"/>
  <c r="C1432" i="496"/>
  <c r="BE1431" i="496"/>
  <c r="BC1431" i="496"/>
  <c r="I1431" i="496"/>
  <c r="H1431" i="496"/>
  <c r="E1431" i="496"/>
  <c r="D1431" i="496"/>
  <c r="C1431" i="496"/>
  <c r="BE1430" i="496"/>
  <c r="BC1430" i="496"/>
  <c r="I1430" i="496"/>
  <c r="H1430" i="496"/>
  <c r="E1430" i="496"/>
  <c r="D1430" i="496"/>
  <c r="C1430" i="496"/>
  <c r="BE1429" i="496"/>
  <c r="BC1429" i="496"/>
  <c r="I1429" i="496"/>
  <c r="H1429" i="496"/>
  <c r="E1429" i="496"/>
  <c r="D1429" i="496"/>
  <c r="C1429" i="496"/>
  <c r="BE1428" i="496"/>
  <c r="BC1428" i="496"/>
  <c r="I1428" i="496"/>
  <c r="H1428" i="496"/>
  <c r="E1428" i="496"/>
  <c r="D1428" i="496"/>
  <c r="C1428" i="496"/>
  <c r="BE1427" i="496"/>
  <c r="BC1427" i="496"/>
  <c r="I1427" i="496"/>
  <c r="H1427" i="496"/>
  <c r="E1427" i="496"/>
  <c r="D1427" i="496"/>
  <c r="C1427" i="496"/>
  <c r="BE1426" i="496"/>
  <c r="BC1426" i="496"/>
  <c r="I1426" i="496"/>
  <c r="H1426" i="496"/>
  <c r="E1426" i="496"/>
  <c r="D1426" i="496"/>
  <c r="C1426" i="496"/>
  <c r="BE1425" i="496"/>
  <c r="BC1425" i="496"/>
  <c r="I1425" i="496"/>
  <c r="H1425" i="496"/>
  <c r="E1425" i="496"/>
  <c r="D1425" i="496"/>
  <c r="C1425" i="496"/>
  <c r="BE1424" i="496"/>
  <c r="BC1424" i="496"/>
  <c r="I1424" i="496"/>
  <c r="H1424" i="496"/>
  <c r="E1424" i="496"/>
  <c r="D1424" i="496"/>
  <c r="C1424" i="496"/>
  <c r="BE1423" i="496"/>
  <c r="BC1423" i="496"/>
  <c r="I1423" i="496"/>
  <c r="H1423" i="496"/>
  <c r="E1423" i="496"/>
  <c r="D1423" i="496"/>
  <c r="C1423" i="496"/>
  <c r="BE1422" i="496"/>
  <c r="BC1422" i="496"/>
  <c r="I1422" i="496"/>
  <c r="H1422" i="496"/>
  <c r="E1422" i="496"/>
  <c r="D1422" i="496"/>
  <c r="C1422" i="496"/>
  <c r="BE1421" i="496"/>
  <c r="BC1421" i="496"/>
  <c r="I1421" i="496"/>
  <c r="H1421" i="496"/>
  <c r="E1421" i="496"/>
  <c r="D1421" i="496"/>
  <c r="C1421" i="496"/>
  <c r="BE1420" i="496"/>
  <c r="BC1420" i="496"/>
  <c r="I1420" i="496"/>
  <c r="H1420" i="496"/>
  <c r="E1420" i="496"/>
  <c r="D1420" i="496"/>
  <c r="C1420" i="496"/>
  <c r="BE1419" i="496"/>
  <c r="BC1419" i="496"/>
  <c r="I1419" i="496"/>
  <c r="H1419" i="496"/>
  <c r="E1419" i="496"/>
  <c r="D1419" i="496"/>
  <c r="C1419" i="496"/>
  <c r="BE1418" i="496"/>
  <c r="BC1418" i="496"/>
  <c r="I1418" i="496"/>
  <c r="H1418" i="496"/>
  <c r="E1418" i="496"/>
  <c r="D1418" i="496"/>
  <c r="C1418" i="496"/>
  <c r="BE1417" i="496"/>
  <c r="BC1417" i="496"/>
  <c r="I1417" i="496"/>
  <c r="H1417" i="496"/>
  <c r="E1417" i="496"/>
  <c r="D1417" i="496"/>
  <c r="C1417" i="496"/>
  <c r="BE1416" i="496"/>
  <c r="BC1416" i="496"/>
  <c r="I1416" i="496"/>
  <c r="H1416" i="496"/>
  <c r="E1416" i="496"/>
  <c r="D1416" i="496"/>
  <c r="C1416" i="496"/>
  <c r="BE1415" i="496"/>
  <c r="BC1415" i="496"/>
  <c r="I1415" i="496"/>
  <c r="H1415" i="496"/>
  <c r="E1415" i="496"/>
  <c r="D1415" i="496"/>
  <c r="C1415" i="496"/>
  <c r="BE1414" i="496"/>
  <c r="BC1414" i="496"/>
  <c r="I1414" i="496"/>
  <c r="H1414" i="496"/>
  <c r="E1414" i="496"/>
  <c r="D1414" i="496"/>
  <c r="C1414" i="496"/>
  <c r="BE1413" i="496"/>
  <c r="BC1413" i="496"/>
  <c r="I1413" i="496"/>
  <c r="H1413" i="496"/>
  <c r="E1413" i="496"/>
  <c r="D1413" i="496"/>
  <c r="C1413" i="496"/>
  <c r="BE1412" i="496"/>
  <c r="BC1412" i="496"/>
  <c r="I1412" i="496"/>
  <c r="H1412" i="496"/>
  <c r="E1412" i="496"/>
  <c r="D1412" i="496"/>
  <c r="C1412" i="496"/>
  <c r="BE1411" i="496"/>
  <c r="BC1411" i="496"/>
  <c r="I1411" i="496"/>
  <c r="H1411" i="496"/>
  <c r="E1411" i="496"/>
  <c r="D1411" i="496"/>
  <c r="C1411" i="496"/>
  <c r="BE1410" i="496"/>
  <c r="BC1410" i="496"/>
  <c r="I1410" i="496"/>
  <c r="H1410" i="496"/>
  <c r="E1410" i="496"/>
  <c r="D1410" i="496"/>
  <c r="C1410" i="496"/>
  <c r="BE1409" i="496"/>
  <c r="BC1409" i="496"/>
  <c r="I1409" i="496"/>
  <c r="H1409" i="496"/>
  <c r="E1409" i="496"/>
  <c r="D1409" i="496"/>
  <c r="C1409" i="496"/>
  <c r="BE1408" i="496"/>
  <c r="BC1408" i="496"/>
  <c r="I1408" i="496"/>
  <c r="H1408" i="496"/>
  <c r="E1408" i="496"/>
  <c r="D1408" i="496"/>
  <c r="C1408" i="496"/>
  <c r="BE1407" i="496"/>
  <c r="BC1407" i="496"/>
  <c r="I1407" i="496"/>
  <c r="H1407" i="496"/>
  <c r="E1407" i="496"/>
  <c r="D1407" i="496"/>
  <c r="C1407" i="496"/>
  <c r="BE1406" i="496"/>
  <c r="BC1406" i="496"/>
  <c r="I1406" i="496"/>
  <c r="H1406" i="496"/>
  <c r="E1406" i="496"/>
  <c r="D1406" i="496"/>
  <c r="C1406" i="496"/>
  <c r="BE1405" i="496"/>
  <c r="BC1405" i="496"/>
  <c r="I1405" i="496"/>
  <c r="H1405" i="496"/>
  <c r="E1405" i="496"/>
  <c r="D1405" i="496"/>
  <c r="C1405" i="496"/>
  <c r="BE1404" i="496"/>
  <c r="BC1404" i="496"/>
  <c r="I1404" i="496"/>
  <c r="H1404" i="496"/>
  <c r="E1404" i="496"/>
  <c r="D1404" i="496"/>
  <c r="C1404" i="496"/>
  <c r="BE1403" i="496"/>
  <c r="BC1403" i="496"/>
  <c r="I1403" i="496"/>
  <c r="H1403" i="496"/>
  <c r="E1403" i="496"/>
  <c r="D1403" i="496"/>
  <c r="C1403" i="496"/>
  <c r="BE1402" i="496"/>
  <c r="BC1402" i="496"/>
  <c r="I1402" i="496"/>
  <c r="H1402" i="496"/>
  <c r="E1402" i="496"/>
  <c r="D1402" i="496"/>
  <c r="C1402" i="496"/>
  <c r="BE1401" i="496"/>
  <c r="BC1401" i="496"/>
  <c r="I1401" i="496"/>
  <c r="H1401" i="496"/>
  <c r="E1401" i="496"/>
  <c r="D1401" i="496"/>
  <c r="C1401" i="496"/>
  <c r="BE1400" i="496"/>
  <c r="BC1400" i="496"/>
  <c r="I1400" i="496"/>
  <c r="H1400" i="496"/>
  <c r="E1400" i="496"/>
  <c r="D1400" i="496"/>
  <c r="C1400" i="496"/>
  <c r="BE1399" i="496"/>
  <c r="BC1399" i="496"/>
  <c r="I1399" i="496"/>
  <c r="H1399" i="496"/>
  <c r="E1399" i="496"/>
  <c r="D1399" i="496"/>
  <c r="C1399" i="496"/>
  <c r="BE1398" i="496"/>
  <c r="BC1398" i="496"/>
  <c r="I1398" i="496"/>
  <c r="H1398" i="496"/>
  <c r="E1398" i="496"/>
  <c r="D1398" i="496"/>
  <c r="C1398" i="496"/>
  <c r="BE1397" i="496"/>
  <c r="BC1397" i="496"/>
  <c r="I1397" i="496"/>
  <c r="H1397" i="496"/>
  <c r="E1397" i="496"/>
  <c r="D1397" i="496"/>
  <c r="C1397" i="496"/>
  <c r="BE1396" i="496"/>
  <c r="BC1396" i="496"/>
  <c r="I1396" i="496"/>
  <c r="H1396" i="496"/>
  <c r="E1396" i="496"/>
  <c r="D1396" i="496"/>
  <c r="C1396" i="496"/>
  <c r="BE1395" i="496"/>
  <c r="BC1395" i="496"/>
  <c r="I1395" i="496"/>
  <c r="H1395" i="496"/>
  <c r="E1395" i="496"/>
  <c r="D1395" i="496"/>
  <c r="C1395" i="496"/>
  <c r="BE1394" i="496"/>
  <c r="BC1394" i="496"/>
  <c r="I1394" i="496"/>
  <c r="H1394" i="496"/>
  <c r="E1394" i="496"/>
  <c r="D1394" i="496"/>
  <c r="C1394" i="496"/>
  <c r="BE1393" i="496"/>
  <c r="BC1393" i="496"/>
  <c r="I1393" i="496"/>
  <c r="H1393" i="496"/>
  <c r="E1393" i="496"/>
  <c r="D1393" i="496"/>
  <c r="C1393" i="496"/>
  <c r="BE1392" i="496"/>
  <c r="BC1392" i="496"/>
  <c r="I1392" i="496"/>
  <c r="H1392" i="496"/>
  <c r="E1392" i="496"/>
  <c r="D1392" i="496"/>
  <c r="C1392" i="496"/>
  <c r="BE1391" i="496"/>
  <c r="BC1391" i="496"/>
  <c r="I1391" i="496"/>
  <c r="H1391" i="496"/>
  <c r="E1391" i="496"/>
  <c r="D1391" i="496"/>
  <c r="C1391" i="496"/>
  <c r="BE1390" i="496"/>
  <c r="BC1390" i="496"/>
  <c r="I1390" i="496"/>
  <c r="H1390" i="496"/>
  <c r="E1390" i="496"/>
  <c r="D1390" i="496"/>
  <c r="C1390" i="496"/>
  <c r="BE1389" i="496"/>
  <c r="BC1389" i="496"/>
  <c r="I1389" i="496"/>
  <c r="H1389" i="496"/>
  <c r="E1389" i="496"/>
  <c r="D1389" i="496"/>
  <c r="C1389" i="496"/>
  <c r="BE1388" i="496"/>
  <c r="BC1388" i="496"/>
  <c r="I1388" i="496"/>
  <c r="H1388" i="496"/>
  <c r="E1388" i="496"/>
  <c r="D1388" i="496"/>
  <c r="C1388" i="496"/>
  <c r="BE1387" i="496"/>
  <c r="BC1387" i="496"/>
  <c r="I1387" i="496"/>
  <c r="H1387" i="496"/>
  <c r="E1387" i="496"/>
  <c r="D1387" i="496"/>
  <c r="C1387" i="496"/>
  <c r="BE1386" i="496"/>
  <c r="BC1386" i="496"/>
  <c r="I1386" i="496"/>
  <c r="H1386" i="496"/>
  <c r="E1386" i="496"/>
  <c r="D1386" i="496"/>
  <c r="C1386" i="496"/>
  <c r="BE1385" i="496"/>
  <c r="BC1385" i="496"/>
  <c r="I1385" i="496"/>
  <c r="H1385" i="496"/>
  <c r="E1385" i="496"/>
  <c r="D1385" i="496"/>
  <c r="C1385" i="496"/>
  <c r="BE1384" i="496"/>
  <c r="BC1384" i="496"/>
  <c r="I1384" i="496"/>
  <c r="H1384" i="496"/>
  <c r="E1384" i="496"/>
  <c r="D1384" i="496"/>
  <c r="C1384" i="496"/>
  <c r="BE1383" i="496"/>
  <c r="BC1383" i="496"/>
  <c r="I1383" i="496"/>
  <c r="H1383" i="496"/>
  <c r="E1383" i="496"/>
  <c r="D1383" i="496"/>
  <c r="C1383" i="496"/>
  <c r="BE1382" i="496"/>
  <c r="BC1382" i="496"/>
  <c r="I1382" i="496"/>
  <c r="H1382" i="496"/>
  <c r="E1382" i="496"/>
  <c r="D1382" i="496"/>
  <c r="C1382" i="496"/>
  <c r="BE1381" i="496"/>
  <c r="BC1381" i="496"/>
  <c r="I1381" i="496"/>
  <c r="H1381" i="496"/>
  <c r="E1381" i="496"/>
  <c r="D1381" i="496"/>
  <c r="C1381" i="496"/>
  <c r="BE1380" i="496"/>
  <c r="BC1380" i="496"/>
  <c r="I1380" i="496"/>
  <c r="H1380" i="496"/>
  <c r="E1380" i="496"/>
  <c r="D1380" i="496"/>
  <c r="C1380" i="496"/>
  <c r="BE1379" i="496"/>
  <c r="BC1379" i="496"/>
  <c r="I1379" i="496"/>
  <c r="H1379" i="496"/>
  <c r="E1379" i="496"/>
  <c r="D1379" i="496"/>
  <c r="C1379" i="496"/>
  <c r="BE1378" i="496"/>
  <c r="BC1378" i="496"/>
  <c r="I1378" i="496"/>
  <c r="H1378" i="496"/>
  <c r="E1378" i="496"/>
  <c r="D1378" i="496"/>
  <c r="C1378" i="496"/>
  <c r="BE1377" i="496"/>
  <c r="BC1377" i="496"/>
  <c r="I1377" i="496"/>
  <c r="H1377" i="496"/>
  <c r="E1377" i="496"/>
  <c r="D1377" i="496"/>
  <c r="C1377" i="496"/>
  <c r="BE1376" i="496"/>
  <c r="BC1376" i="496"/>
  <c r="I1376" i="496"/>
  <c r="H1376" i="496"/>
  <c r="E1376" i="496"/>
  <c r="D1376" i="496"/>
  <c r="C1376" i="496"/>
  <c r="BE1375" i="496"/>
  <c r="BC1375" i="496"/>
  <c r="I1375" i="496"/>
  <c r="H1375" i="496"/>
  <c r="E1375" i="496"/>
  <c r="D1375" i="496"/>
  <c r="C1375" i="496"/>
  <c r="BE1374" i="496"/>
  <c r="BC1374" i="496"/>
  <c r="I1374" i="496"/>
  <c r="H1374" i="496"/>
  <c r="E1374" i="496"/>
  <c r="D1374" i="496"/>
  <c r="C1374" i="496"/>
  <c r="BE1373" i="496"/>
  <c r="BC1373" i="496"/>
  <c r="I1373" i="496"/>
  <c r="H1373" i="496"/>
  <c r="E1373" i="496"/>
  <c r="D1373" i="496"/>
  <c r="C1373" i="496"/>
  <c r="BE1372" i="496"/>
  <c r="BC1372" i="496"/>
  <c r="I1372" i="496"/>
  <c r="H1372" i="496"/>
  <c r="E1372" i="496"/>
  <c r="D1372" i="496"/>
  <c r="C1372" i="496"/>
  <c r="BE1371" i="496"/>
  <c r="BC1371" i="496"/>
  <c r="I1371" i="496"/>
  <c r="H1371" i="496"/>
  <c r="E1371" i="496"/>
  <c r="D1371" i="496"/>
  <c r="C1371" i="496"/>
  <c r="BE1370" i="496"/>
  <c r="BC1370" i="496"/>
  <c r="I1370" i="496"/>
  <c r="H1370" i="496"/>
  <c r="E1370" i="496"/>
  <c r="D1370" i="496"/>
  <c r="C1370" i="496"/>
  <c r="BE1369" i="496"/>
  <c r="BC1369" i="496"/>
  <c r="I1369" i="496"/>
  <c r="H1369" i="496"/>
  <c r="E1369" i="496"/>
  <c r="D1369" i="496"/>
  <c r="C1369" i="496"/>
  <c r="BE1368" i="496"/>
  <c r="BC1368" i="496"/>
  <c r="I1368" i="496"/>
  <c r="H1368" i="496"/>
  <c r="E1368" i="496"/>
  <c r="D1368" i="496"/>
  <c r="C1368" i="496"/>
  <c r="BE1367" i="496"/>
  <c r="BC1367" i="496"/>
  <c r="I1367" i="496"/>
  <c r="H1367" i="496"/>
  <c r="E1367" i="496"/>
  <c r="D1367" i="496"/>
  <c r="C1367" i="496"/>
  <c r="BE1366" i="496"/>
  <c r="BC1366" i="496"/>
  <c r="I1366" i="496"/>
  <c r="H1366" i="496"/>
  <c r="E1366" i="496"/>
  <c r="D1366" i="496"/>
  <c r="C1366" i="496"/>
  <c r="BE1365" i="496"/>
  <c r="BC1365" i="496"/>
  <c r="I1365" i="496"/>
  <c r="H1365" i="496"/>
  <c r="E1365" i="496"/>
  <c r="D1365" i="496"/>
  <c r="C1365" i="496"/>
  <c r="BE1364" i="496"/>
  <c r="BC1364" i="496"/>
  <c r="I1364" i="496"/>
  <c r="H1364" i="496"/>
  <c r="E1364" i="496"/>
  <c r="D1364" i="496"/>
  <c r="C1364" i="496"/>
  <c r="BE1363" i="496"/>
  <c r="BC1363" i="496"/>
  <c r="I1363" i="496"/>
  <c r="H1363" i="496"/>
  <c r="E1363" i="496"/>
  <c r="D1363" i="496"/>
  <c r="C1363" i="496"/>
  <c r="BE1362" i="496"/>
  <c r="BC1362" i="496"/>
  <c r="I1362" i="496"/>
  <c r="H1362" i="496"/>
  <c r="E1362" i="496"/>
  <c r="D1362" i="496"/>
  <c r="C1362" i="496"/>
  <c r="BE1361" i="496"/>
  <c r="BC1361" i="496"/>
  <c r="I1361" i="496"/>
  <c r="H1361" i="496"/>
  <c r="E1361" i="496"/>
  <c r="D1361" i="496"/>
  <c r="C1361" i="496"/>
  <c r="BE1360" i="496"/>
  <c r="BC1360" i="496"/>
  <c r="I1360" i="496"/>
  <c r="H1360" i="496"/>
  <c r="E1360" i="496"/>
  <c r="D1360" i="496"/>
  <c r="C1360" i="496"/>
  <c r="BE1359" i="496"/>
  <c r="BC1359" i="496"/>
  <c r="I1359" i="496"/>
  <c r="H1359" i="496"/>
  <c r="E1359" i="496"/>
  <c r="D1359" i="496"/>
  <c r="C1359" i="496"/>
  <c r="BE1358" i="496"/>
  <c r="BC1358" i="496"/>
  <c r="I1358" i="496"/>
  <c r="H1358" i="496"/>
  <c r="E1358" i="496"/>
  <c r="D1358" i="496"/>
  <c r="C1358" i="496"/>
  <c r="BE1357" i="496"/>
  <c r="BC1357" i="496"/>
  <c r="I1357" i="496"/>
  <c r="H1357" i="496"/>
  <c r="E1357" i="496"/>
  <c r="D1357" i="496"/>
  <c r="C1357" i="496"/>
  <c r="BE1356" i="496"/>
  <c r="BC1356" i="496"/>
  <c r="I1356" i="496"/>
  <c r="H1356" i="496"/>
  <c r="E1356" i="496"/>
  <c r="D1356" i="496"/>
  <c r="C1356" i="496"/>
  <c r="BE1355" i="496"/>
  <c r="BC1355" i="496"/>
  <c r="I1355" i="496"/>
  <c r="H1355" i="496"/>
  <c r="E1355" i="496"/>
  <c r="D1355" i="496"/>
  <c r="C1355" i="496"/>
  <c r="BE1354" i="496"/>
  <c r="BC1354" i="496"/>
  <c r="I1354" i="496"/>
  <c r="H1354" i="496"/>
  <c r="E1354" i="496"/>
  <c r="D1354" i="496"/>
  <c r="C1354" i="496"/>
  <c r="BE1353" i="496"/>
  <c r="BC1353" i="496"/>
  <c r="I1353" i="496"/>
  <c r="H1353" i="496"/>
  <c r="E1353" i="496"/>
  <c r="D1353" i="496"/>
  <c r="C1353" i="496"/>
  <c r="BE1352" i="496"/>
  <c r="BC1352" i="496"/>
  <c r="I1352" i="496"/>
  <c r="H1352" i="496"/>
  <c r="E1352" i="496"/>
  <c r="D1352" i="496"/>
  <c r="C1352" i="496"/>
  <c r="BE1351" i="496"/>
  <c r="BC1351" i="496"/>
  <c r="I1351" i="496"/>
  <c r="H1351" i="496"/>
  <c r="E1351" i="496"/>
  <c r="D1351" i="496"/>
  <c r="C1351" i="496"/>
  <c r="BE1350" i="496"/>
  <c r="BC1350" i="496"/>
  <c r="I1350" i="496"/>
  <c r="H1350" i="496"/>
  <c r="E1350" i="496"/>
  <c r="D1350" i="496"/>
  <c r="C1350" i="496"/>
  <c r="BE1349" i="496"/>
  <c r="BC1349" i="496"/>
  <c r="I1349" i="496"/>
  <c r="H1349" i="496"/>
  <c r="E1349" i="496"/>
  <c r="D1349" i="496"/>
  <c r="C1349" i="496"/>
  <c r="BE1348" i="496"/>
  <c r="BC1348" i="496"/>
  <c r="I1348" i="496"/>
  <c r="H1348" i="496"/>
  <c r="E1348" i="496"/>
  <c r="D1348" i="496"/>
  <c r="C1348" i="496"/>
  <c r="BE1347" i="496"/>
  <c r="BC1347" i="496"/>
  <c r="I1347" i="496"/>
  <c r="H1347" i="496"/>
  <c r="E1347" i="496"/>
  <c r="D1347" i="496"/>
  <c r="C1347" i="496"/>
  <c r="BE1346" i="496"/>
  <c r="BC1346" i="496"/>
  <c r="I1346" i="496"/>
  <c r="H1346" i="496"/>
  <c r="E1346" i="496"/>
  <c r="D1346" i="496"/>
  <c r="C1346" i="496"/>
  <c r="BE1345" i="496"/>
  <c r="BC1345" i="496"/>
  <c r="I1345" i="496"/>
  <c r="H1345" i="496"/>
  <c r="E1345" i="496"/>
  <c r="D1345" i="496"/>
  <c r="C1345" i="496"/>
  <c r="BE1344" i="496"/>
  <c r="BC1344" i="496"/>
  <c r="I1344" i="496"/>
  <c r="H1344" i="496"/>
  <c r="E1344" i="496"/>
  <c r="D1344" i="496"/>
  <c r="C1344" i="496"/>
  <c r="BE1343" i="496"/>
  <c r="BC1343" i="496"/>
  <c r="I1343" i="496"/>
  <c r="H1343" i="496"/>
  <c r="E1343" i="496"/>
  <c r="D1343" i="496"/>
  <c r="C1343" i="496"/>
  <c r="BE1342" i="496"/>
  <c r="BC1342" i="496"/>
  <c r="I1342" i="496"/>
  <c r="H1342" i="496"/>
  <c r="E1342" i="496"/>
  <c r="D1342" i="496"/>
  <c r="C1342" i="496"/>
  <c r="BE1341" i="496"/>
  <c r="BC1341" i="496"/>
  <c r="I1341" i="496"/>
  <c r="H1341" i="496"/>
  <c r="E1341" i="496"/>
  <c r="D1341" i="496"/>
  <c r="C1341" i="496"/>
  <c r="BE1340" i="496"/>
  <c r="BC1340" i="496"/>
  <c r="I1340" i="496"/>
  <c r="H1340" i="496"/>
  <c r="E1340" i="496"/>
  <c r="D1340" i="496"/>
  <c r="C1340" i="496"/>
  <c r="BE1339" i="496"/>
  <c r="BC1339" i="496"/>
  <c r="I1339" i="496"/>
  <c r="H1339" i="496"/>
  <c r="E1339" i="496"/>
  <c r="D1339" i="496"/>
  <c r="C1339" i="496"/>
  <c r="BE1338" i="496"/>
  <c r="BC1338" i="496"/>
  <c r="I1338" i="496"/>
  <c r="H1338" i="496"/>
  <c r="E1338" i="496"/>
  <c r="D1338" i="496"/>
  <c r="C1338" i="496"/>
  <c r="BE1337" i="496"/>
  <c r="BC1337" i="496"/>
  <c r="BA1337" i="496"/>
  <c r="I1337" i="496"/>
  <c r="H1337" i="496"/>
  <c r="E1337" i="496"/>
  <c r="D1337" i="496"/>
  <c r="C1337" i="496"/>
  <c r="BE1336" i="496"/>
  <c r="BC1336" i="496"/>
  <c r="BA1336" i="496"/>
  <c r="I1336" i="496"/>
  <c r="H1336" i="496"/>
  <c r="E1336" i="496"/>
  <c r="D1336" i="496"/>
  <c r="C1336" i="496"/>
  <c r="BE1335" i="496"/>
  <c r="BC1335" i="496"/>
  <c r="BA1335" i="496"/>
  <c r="I1335" i="496"/>
  <c r="H1335" i="496"/>
  <c r="E1335" i="496"/>
  <c r="D1335" i="496"/>
  <c r="C1335" i="496"/>
  <c r="BE1334" i="496"/>
  <c r="BC1334" i="496"/>
  <c r="BA1334" i="496"/>
  <c r="I1334" i="496"/>
  <c r="H1334" i="496"/>
  <c r="E1334" i="496"/>
  <c r="D1334" i="496"/>
  <c r="C1334" i="496"/>
  <c r="BE1333" i="496"/>
  <c r="BC1333" i="496"/>
  <c r="BA1333" i="496"/>
  <c r="I1333" i="496"/>
  <c r="H1333" i="496"/>
  <c r="E1333" i="496"/>
  <c r="D1333" i="496"/>
  <c r="C1333" i="496"/>
  <c r="BE1332" i="496"/>
  <c r="BC1332" i="496"/>
  <c r="BA1332" i="496"/>
  <c r="I1332" i="496"/>
  <c r="H1332" i="496"/>
  <c r="E1332" i="496"/>
  <c r="D1332" i="496"/>
  <c r="C1332" i="496"/>
  <c r="BE1331" i="496"/>
  <c r="BC1331" i="496"/>
  <c r="BA1331" i="496"/>
  <c r="I1331" i="496"/>
  <c r="H1331" i="496"/>
  <c r="E1331" i="496"/>
  <c r="D1331" i="496"/>
  <c r="C1331" i="496"/>
  <c r="BE1330" i="496"/>
  <c r="BC1330" i="496"/>
  <c r="BA1330" i="496"/>
  <c r="I1330" i="496"/>
  <c r="H1330" i="496"/>
  <c r="E1330" i="496"/>
  <c r="D1330" i="496"/>
  <c r="C1330" i="496"/>
  <c r="BE1329" i="496"/>
  <c r="BC1329" i="496"/>
  <c r="BA1329" i="496"/>
  <c r="I1329" i="496"/>
  <c r="H1329" i="496"/>
  <c r="E1329" i="496"/>
  <c r="D1329" i="496"/>
  <c r="C1329" i="496"/>
  <c r="BE1328" i="496"/>
  <c r="BC1328" i="496"/>
  <c r="BA1328" i="496"/>
  <c r="I1328" i="496"/>
  <c r="H1328" i="496"/>
  <c r="E1328" i="496"/>
  <c r="D1328" i="496"/>
  <c r="C1328" i="496"/>
  <c r="BF1327" i="496"/>
  <c r="BE1327" i="496"/>
  <c r="BC1327" i="496"/>
  <c r="I1327" i="496"/>
  <c r="H1327" i="496"/>
  <c r="E1327" i="496"/>
  <c r="D1327" i="496"/>
  <c r="C1327" i="496"/>
  <c r="BE1326" i="496"/>
  <c r="BC1326" i="496"/>
  <c r="I1326" i="496"/>
  <c r="H1326" i="496"/>
  <c r="E1326" i="496"/>
  <c r="D1326" i="496"/>
  <c r="C1326" i="496"/>
  <c r="BF1325" i="496"/>
  <c r="BE1325" i="496"/>
  <c r="BC1325" i="496"/>
  <c r="I1325" i="496"/>
  <c r="H1325" i="496"/>
  <c r="E1325" i="496"/>
  <c r="D1325" i="496"/>
  <c r="C1325" i="496"/>
  <c r="BE1324" i="496"/>
  <c r="BC1324" i="496"/>
  <c r="I1324" i="496"/>
  <c r="H1324" i="496"/>
  <c r="E1324" i="496"/>
  <c r="D1324" i="496"/>
  <c r="C1324" i="496"/>
  <c r="BE1323" i="496"/>
  <c r="BC1323" i="496"/>
  <c r="I1323" i="496"/>
  <c r="H1323" i="496"/>
  <c r="E1323" i="496"/>
  <c r="D1323" i="496"/>
  <c r="C1323" i="496"/>
  <c r="BE1322" i="496"/>
  <c r="BC1322" i="496"/>
  <c r="I1322" i="496"/>
  <c r="H1322" i="496"/>
  <c r="E1322" i="496"/>
  <c r="D1322" i="496"/>
  <c r="C1322" i="496"/>
  <c r="BE1321" i="496"/>
  <c r="BC1321" i="496"/>
  <c r="I1321" i="496"/>
  <c r="H1321" i="496"/>
  <c r="E1321" i="496"/>
  <c r="D1321" i="496"/>
  <c r="C1321" i="496"/>
  <c r="BE1320" i="496"/>
  <c r="BC1320" i="496"/>
  <c r="I1320" i="496"/>
  <c r="H1320" i="496"/>
  <c r="E1320" i="496"/>
  <c r="D1320" i="496"/>
  <c r="C1320" i="496"/>
  <c r="BE1319" i="496"/>
  <c r="BC1319" i="496"/>
  <c r="I1319" i="496"/>
  <c r="H1319" i="496"/>
  <c r="E1319" i="496"/>
  <c r="D1319" i="496"/>
  <c r="C1319" i="496"/>
  <c r="BE1318" i="496"/>
  <c r="BC1318" i="496"/>
  <c r="I1318" i="496"/>
  <c r="H1318" i="496"/>
  <c r="E1318" i="496"/>
  <c r="D1318" i="496"/>
  <c r="C1318" i="496"/>
  <c r="BE1317" i="496"/>
  <c r="BC1317" i="496"/>
  <c r="I1317" i="496"/>
  <c r="H1317" i="496"/>
  <c r="E1317" i="496"/>
  <c r="D1317" i="496"/>
  <c r="C1317" i="496"/>
  <c r="BE1316" i="496"/>
  <c r="BC1316" i="496"/>
  <c r="I1316" i="496"/>
  <c r="H1316" i="496"/>
  <c r="E1316" i="496"/>
  <c r="D1316" i="496"/>
  <c r="C1316" i="496"/>
  <c r="BE1315" i="496"/>
  <c r="BC1315" i="496"/>
  <c r="I1315" i="496"/>
  <c r="H1315" i="496"/>
  <c r="E1315" i="496"/>
  <c r="D1315" i="496"/>
  <c r="C1315" i="496"/>
  <c r="BE1314" i="496"/>
  <c r="BC1314" i="496"/>
  <c r="I1314" i="496"/>
  <c r="H1314" i="496"/>
  <c r="E1314" i="496"/>
  <c r="D1314" i="496"/>
  <c r="C1314" i="496"/>
  <c r="BE1313" i="496"/>
  <c r="BC1313" i="496"/>
  <c r="I1313" i="496"/>
  <c r="H1313" i="496"/>
  <c r="E1313" i="496"/>
  <c r="D1313" i="496"/>
  <c r="C1313" i="496"/>
  <c r="BE1312" i="496"/>
  <c r="BC1312" i="496"/>
  <c r="I1312" i="496"/>
  <c r="H1312" i="496"/>
  <c r="E1312" i="496"/>
  <c r="D1312" i="496"/>
  <c r="C1312" i="496"/>
  <c r="BE1311" i="496"/>
  <c r="BC1311" i="496"/>
  <c r="I1311" i="496"/>
  <c r="H1311" i="496"/>
  <c r="E1311" i="496"/>
  <c r="D1311" i="496"/>
  <c r="C1311" i="496"/>
  <c r="BE1310" i="496"/>
  <c r="BC1310" i="496"/>
  <c r="I1310" i="496"/>
  <c r="H1310" i="496"/>
  <c r="E1310" i="496"/>
  <c r="D1310" i="496"/>
  <c r="C1310" i="496"/>
  <c r="BE1309" i="496"/>
  <c r="BC1309" i="496"/>
  <c r="I1309" i="496"/>
  <c r="H1309" i="496"/>
  <c r="E1309" i="496"/>
  <c r="D1309" i="496"/>
  <c r="C1309" i="496"/>
  <c r="BE1308" i="496"/>
  <c r="BC1308" i="496"/>
  <c r="I1308" i="496"/>
  <c r="H1308" i="496"/>
  <c r="E1308" i="496"/>
  <c r="D1308" i="496"/>
  <c r="C1308" i="496"/>
  <c r="BE1307" i="496"/>
  <c r="BC1307" i="496"/>
  <c r="I1307" i="496"/>
  <c r="H1307" i="496"/>
  <c r="E1307" i="496"/>
  <c r="D1307" i="496"/>
  <c r="C1307" i="496"/>
  <c r="BE1306" i="496"/>
  <c r="BC1306" i="496"/>
  <c r="I1306" i="496"/>
  <c r="H1306" i="496"/>
  <c r="E1306" i="496"/>
  <c r="D1306" i="496"/>
  <c r="C1306" i="496"/>
  <c r="BE1305" i="496"/>
  <c r="BC1305" i="496"/>
  <c r="I1305" i="496"/>
  <c r="H1305" i="496"/>
  <c r="E1305" i="496"/>
  <c r="D1305" i="496"/>
  <c r="C1305" i="496"/>
  <c r="BE1304" i="496"/>
  <c r="BC1304" i="496"/>
  <c r="I1304" i="496"/>
  <c r="H1304" i="496"/>
  <c r="E1304" i="496"/>
  <c r="D1304" i="496"/>
  <c r="C1304" i="496"/>
  <c r="BE1303" i="496"/>
  <c r="BC1303" i="496"/>
  <c r="I1303" i="496"/>
  <c r="H1303" i="496"/>
  <c r="E1303" i="496"/>
  <c r="D1303" i="496"/>
  <c r="C1303" i="496"/>
  <c r="BE1302" i="496"/>
  <c r="BC1302" i="496"/>
  <c r="I1302" i="496"/>
  <c r="H1302" i="496"/>
  <c r="E1302" i="496"/>
  <c r="D1302" i="496"/>
  <c r="C1302" i="496"/>
  <c r="BE1301" i="496"/>
  <c r="BC1301" i="496"/>
  <c r="I1301" i="496"/>
  <c r="H1301" i="496"/>
  <c r="E1301" i="496"/>
  <c r="D1301" i="496"/>
  <c r="C1301" i="496"/>
  <c r="BE1300" i="496"/>
  <c r="BC1300" i="496"/>
  <c r="I1300" i="496"/>
  <c r="H1300" i="496"/>
  <c r="E1300" i="496"/>
  <c r="D1300" i="496"/>
  <c r="C1300" i="496"/>
  <c r="BE1299" i="496"/>
  <c r="BC1299" i="496"/>
  <c r="I1299" i="496"/>
  <c r="H1299" i="496"/>
  <c r="E1299" i="496"/>
  <c r="D1299" i="496"/>
  <c r="C1299" i="496"/>
  <c r="BE1298" i="496"/>
  <c r="BC1298" i="496"/>
  <c r="I1298" i="496"/>
  <c r="H1298" i="496"/>
  <c r="E1298" i="496"/>
  <c r="D1298" i="496"/>
  <c r="C1298" i="496"/>
  <c r="BE1297" i="496"/>
  <c r="BC1297" i="496"/>
  <c r="I1297" i="496"/>
  <c r="H1297" i="496"/>
  <c r="E1297" i="496"/>
  <c r="D1297" i="496"/>
  <c r="C1297" i="496"/>
  <c r="BE1296" i="496"/>
  <c r="BC1296" i="496"/>
  <c r="I1296" i="496"/>
  <c r="H1296" i="496"/>
  <c r="E1296" i="496"/>
  <c r="D1296" i="496"/>
  <c r="C1296" i="496"/>
  <c r="BE1295" i="496"/>
  <c r="BC1295" i="496"/>
  <c r="I1295" i="496"/>
  <c r="H1295" i="496"/>
  <c r="E1295" i="496"/>
  <c r="D1295" i="496"/>
  <c r="C1295" i="496"/>
  <c r="BE1294" i="496"/>
  <c r="BC1294" i="496"/>
  <c r="I1294" i="496"/>
  <c r="H1294" i="496"/>
  <c r="E1294" i="496"/>
  <c r="D1294" i="496"/>
  <c r="C1294" i="496"/>
  <c r="BE1293" i="496"/>
  <c r="BC1293" i="496"/>
  <c r="I1293" i="496"/>
  <c r="H1293" i="496"/>
  <c r="E1293" i="496"/>
  <c r="D1293" i="496"/>
  <c r="C1293" i="496"/>
  <c r="BE1292" i="496"/>
  <c r="BC1292" i="496"/>
  <c r="I1292" i="496"/>
  <c r="H1292" i="496"/>
  <c r="E1292" i="496"/>
  <c r="D1292" i="496"/>
  <c r="C1292" i="496"/>
  <c r="BE1291" i="496"/>
  <c r="BC1291" i="496"/>
  <c r="I1291" i="496"/>
  <c r="H1291" i="496"/>
  <c r="E1291" i="496"/>
  <c r="D1291" i="496"/>
  <c r="C1291" i="496"/>
  <c r="BE1290" i="496"/>
  <c r="BC1290" i="496"/>
  <c r="I1290" i="496"/>
  <c r="H1290" i="496"/>
  <c r="E1290" i="496"/>
  <c r="D1290" i="496"/>
  <c r="C1290" i="496"/>
  <c r="BE1289" i="496"/>
  <c r="BC1289" i="496"/>
  <c r="I1289" i="496"/>
  <c r="H1289" i="496"/>
  <c r="E1289" i="496"/>
  <c r="D1289" i="496"/>
  <c r="C1289" i="496"/>
  <c r="BE1288" i="496"/>
  <c r="BC1288" i="496"/>
  <c r="I1288" i="496"/>
  <c r="H1288" i="496"/>
  <c r="E1288" i="496"/>
  <c r="D1288" i="496"/>
  <c r="C1288" i="496"/>
  <c r="BE1287" i="496"/>
  <c r="BC1287" i="496"/>
  <c r="I1287" i="496"/>
  <c r="H1287" i="496"/>
  <c r="E1287" i="496"/>
  <c r="D1287" i="496"/>
  <c r="C1287" i="496"/>
  <c r="BE1286" i="496"/>
  <c r="BC1286" i="496"/>
  <c r="I1286" i="496"/>
  <c r="H1286" i="496"/>
  <c r="E1286" i="496"/>
  <c r="D1286" i="496"/>
  <c r="C1286" i="496"/>
  <c r="BE1285" i="496"/>
  <c r="BC1285" i="496"/>
  <c r="I1285" i="496"/>
  <c r="H1285" i="496"/>
  <c r="E1285" i="496"/>
  <c r="D1285" i="496"/>
  <c r="C1285" i="496"/>
  <c r="BE1284" i="496"/>
  <c r="BC1284" i="496"/>
  <c r="I1284" i="496"/>
  <c r="H1284" i="496"/>
  <c r="E1284" i="496"/>
  <c r="D1284" i="496"/>
  <c r="C1284" i="496"/>
  <c r="BE1283" i="496"/>
  <c r="BC1283" i="496"/>
  <c r="I1283" i="496"/>
  <c r="H1283" i="496"/>
  <c r="E1283" i="496"/>
  <c r="D1283" i="496"/>
  <c r="C1283" i="496"/>
  <c r="BE1282" i="496"/>
  <c r="BC1282" i="496"/>
  <c r="I1282" i="496"/>
  <c r="H1282" i="496"/>
  <c r="E1282" i="496"/>
  <c r="D1282" i="496"/>
  <c r="C1282" i="496"/>
  <c r="BE1281" i="496"/>
  <c r="BC1281" i="496"/>
  <c r="I1281" i="496"/>
  <c r="H1281" i="496"/>
  <c r="E1281" i="496"/>
  <c r="D1281" i="496"/>
  <c r="C1281" i="496"/>
  <c r="BE1280" i="496"/>
  <c r="BC1280" i="496"/>
  <c r="I1280" i="496"/>
  <c r="H1280" i="496"/>
  <c r="E1280" i="496"/>
  <c r="D1280" i="496"/>
  <c r="C1280" i="496"/>
  <c r="BE1279" i="496"/>
  <c r="BC1279" i="496"/>
  <c r="I1279" i="496"/>
  <c r="H1279" i="496"/>
  <c r="E1279" i="496"/>
  <c r="D1279" i="496"/>
  <c r="C1279" i="496"/>
  <c r="BE1278" i="496"/>
  <c r="BC1278" i="496"/>
  <c r="I1278" i="496"/>
  <c r="H1278" i="496"/>
  <c r="E1278" i="496"/>
  <c r="D1278" i="496"/>
  <c r="C1278" i="496"/>
  <c r="BE1277" i="496"/>
  <c r="BC1277" i="496"/>
  <c r="I1277" i="496"/>
  <c r="H1277" i="496"/>
  <c r="E1277" i="496"/>
  <c r="D1277" i="496"/>
  <c r="C1277" i="496"/>
  <c r="BE1276" i="496"/>
  <c r="BC1276" i="496"/>
  <c r="I1276" i="496"/>
  <c r="H1276" i="496"/>
  <c r="E1276" i="496"/>
  <c r="D1276" i="496"/>
  <c r="C1276" i="496"/>
  <c r="BE1275" i="496"/>
  <c r="BC1275" i="496"/>
  <c r="I1275" i="496"/>
  <c r="H1275" i="496"/>
  <c r="E1275" i="496"/>
  <c r="D1275" i="496"/>
  <c r="C1275" i="496"/>
  <c r="BE1274" i="496"/>
  <c r="BC1274" i="496"/>
  <c r="I1274" i="496"/>
  <c r="H1274" i="496"/>
  <c r="E1274" i="496"/>
  <c r="D1274" i="496"/>
  <c r="C1274" i="496"/>
  <c r="BE1273" i="496"/>
  <c r="BC1273" i="496"/>
  <c r="I1273" i="496"/>
  <c r="H1273" i="496"/>
  <c r="E1273" i="496"/>
  <c r="D1273" i="496"/>
  <c r="C1273" i="496"/>
  <c r="BE1272" i="496"/>
  <c r="BC1272" i="496"/>
  <c r="I1272" i="496"/>
  <c r="H1272" i="496"/>
  <c r="E1272" i="496"/>
  <c r="D1272" i="496"/>
  <c r="C1272" i="496"/>
  <c r="BE1271" i="496"/>
  <c r="BC1271" i="496"/>
  <c r="I1271" i="496"/>
  <c r="H1271" i="496"/>
  <c r="E1271" i="496"/>
  <c r="D1271" i="496"/>
  <c r="C1271" i="496"/>
  <c r="BE1270" i="496"/>
  <c r="BC1270" i="496"/>
  <c r="I1270" i="496"/>
  <c r="H1270" i="496"/>
  <c r="E1270" i="496"/>
  <c r="D1270" i="496"/>
  <c r="C1270" i="496"/>
  <c r="BE1269" i="496"/>
  <c r="BC1269" i="496"/>
  <c r="I1269" i="496"/>
  <c r="H1269" i="496"/>
  <c r="E1269" i="496"/>
  <c r="D1269" i="496"/>
  <c r="C1269" i="496"/>
  <c r="BE1268" i="496"/>
  <c r="BC1268" i="496"/>
  <c r="I1268" i="496"/>
  <c r="H1268" i="496"/>
  <c r="E1268" i="496"/>
  <c r="D1268" i="496"/>
  <c r="C1268" i="496"/>
  <c r="BE1267" i="496"/>
  <c r="BC1267" i="496"/>
  <c r="I1267" i="496"/>
  <c r="H1267" i="496"/>
  <c r="E1267" i="496"/>
  <c r="D1267" i="496"/>
  <c r="C1267" i="496"/>
  <c r="BE1266" i="496"/>
  <c r="BC1266" i="496"/>
  <c r="I1266" i="496"/>
  <c r="H1266" i="496"/>
  <c r="E1266" i="496"/>
  <c r="D1266" i="496"/>
  <c r="C1266" i="496"/>
  <c r="BE1265" i="496"/>
  <c r="BC1265" i="496"/>
  <c r="I1265" i="496"/>
  <c r="H1265" i="496"/>
  <c r="E1265" i="496"/>
  <c r="D1265" i="496"/>
  <c r="C1265" i="496"/>
  <c r="BE1264" i="496"/>
  <c r="BC1264" i="496"/>
  <c r="I1264" i="496"/>
  <c r="H1264" i="496"/>
  <c r="E1264" i="496"/>
  <c r="D1264" i="496"/>
  <c r="C1264" i="496"/>
  <c r="BE1263" i="496"/>
  <c r="BC1263" i="496"/>
  <c r="I1263" i="496"/>
  <c r="H1263" i="496"/>
  <c r="E1263" i="496"/>
  <c r="D1263" i="496"/>
  <c r="C1263" i="496"/>
  <c r="BE1262" i="496"/>
  <c r="BC1262" i="496"/>
  <c r="I1262" i="496"/>
  <c r="H1262" i="496"/>
  <c r="E1262" i="496"/>
  <c r="D1262" i="496"/>
  <c r="C1262" i="496"/>
  <c r="BE1261" i="496"/>
  <c r="BC1261" i="496"/>
  <c r="I1261" i="496"/>
  <c r="H1261" i="496"/>
  <c r="E1261" i="496"/>
  <c r="D1261" i="496"/>
  <c r="C1261" i="496"/>
  <c r="BE1260" i="496"/>
  <c r="BC1260" i="496"/>
  <c r="I1260" i="496"/>
  <c r="H1260" i="496"/>
  <c r="E1260" i="496"/>
  <c r="D1260" i="496"/>
  <c r="C1260" i="496"/>
  <c r="BE1259" i="496"/>
  <c r="BC1259" i="496"/>
  <c r="I1259" i="496"/>
  <c r="H1259" i="496"/>
  <c r="E1259" i="496"/>
  <c r="D1259" i="496"/>
  <c r="C1259" i="496"/>
  <c r="BE1258" i="496"/>
  <c r="BC1258" i="496"/>
  <c r="I1258" i="496"/>
  <c r="H1258" i="496"/>
  <c r="E1258" i="496"/>
  <c r="D1258" i="496"/>
  <c r="C1258" i="496"/>
  <c r="BE1257" i="496"/>
  <c r="BC1257" i="496"/>
  <c r="I1257" i="496"/>
  <c r="H1257" i="496"/>
  <c r="E1257" i="496"/>
  <c r="D1257" i="496"/>
  <c r="C1257" i="496"/>
  <c r="BE1256" i="496"/>
  <c r="BC1256" i="496"/>
  <c r="I1256" i="496"/>
  <c r="H1256" i="496"/>
  <c r="E1256" i="496"/>
  <c r="D1256" i="496"/>
  <c r="C1256" i="496"/>
  <c r="BE1255" i="496"/>
  <c r="BC1255" i="496"/>
  <c r="I1255" i="496"/>
  <c r="H1255" i="496"/>
  <c r="E1255" i="496"/>
  <c r="D1255" i="496"/>
  <c r="C1255" i="496"/>
  <c r="BE1254" i="496"/>
  <c r="BC1254" i="496"/>
  <c r="I1254" i="496"/>
  <c r="H1254" i="496"/>
  <c r="E1254" i="496"/>
  <c r="D1254" i="496"/>
  <c r="C1254" i="496"/>
  <c r="BE1253" i="496"/>
  <c r="BC1253" i="496"/>
  <c r="I1253" i="496"/>
  <c r="H1253" i="496"/>
  <c r="E1253" i="496"/>
  <c r="D1253" i="496"/>
  <c r="C1253" i="496"/>
  <c r="BE1252" i="496"/>
  <c r="BC1252" i="496"/>
  <c r="I1252" i="496"/>
  <c r="H1252" i="496"/>
  <c r="E1252" i="496"/>
  <c r="D1252" i="496"/>
  <c r="C1252" i="496"/>
  <c r="BE1251" i="496"/>
  <c r="BC1251" i="496"/>
  <c r="I1251" i="496"/>
  <c r="H1251" i="496"/>
  <c r="E1251" i="496"/>
  <c r="D1251" i="496"/>
  <c r="C1251" i="496"/>
  <c r="BE1250" i="496"/>
  <c r="BC1250" i="496"/>
  <c r="I1250" i="496"/>
  <c r="H1250" i="496"/>
  <c r="E1250" i="496"/>
  <c r="D1250" i="496"/>
  <c r="C1250" i="496"/>
  <c r="BE1249" i="496"/>
  <c r="BC1249" i="496"/>
  <c r="I1249" i="496"/>
  <c r="H1249" i="496"/>
  <c r="E1249" i="496"/>
  <c r="D1249" i="496"/>
  <c r="C1249" i="496"/>
  <c r="BE1248" i="496"/>
  <c r="BC1248" i="496"/>
  <c r="I1248" i="496"/>
  <c r="H1248" i="496"/>
  <c r="E1248" i="496"/>
  <c r="D1248" i="496"/>
  <c r="C1248" i="496"/>
  <c r="BE1247" i="496"/>
  <c r="BC1247" i="496"/>
  <c r="I1247" i="496"/>
  <c r="H1247" i="496"/>
  <c r="E1247" i="496"/>
  <c r="D1247" i="496"/>
  <c r="C1247" i="496"/>
  <c r="BE1246" i="496"/>
  <c r="BC1246" i="496"/>
  <c r="I1246" i="496"/>
  <c r="H1246" i="496"/>
  <c r="E1246" i="496"/>
  <c r="D1246" i="496"/>
  <c r="C1246" i="496"/>
  <c r="BE1245" i="496"/>
  <c r="BC1245" i="496"/>
  <c r="I1245" i="496"/>
  <c r="H1245" i="496"/>
  <c r="E1245" i="496"/>
  <c r="D1245" i="496"/>
  <c r="C1245" i="496"/>
  <c r="BE1244" i="496"/>
  <c r="BC1244" i="496"/>
  <c r="I1244" i="496"/>
  <c r="H1244" i="496"/>
  <c r="E1244" i="496"/>
  <c r="D1244" i="496"/>
  <c r="C1244" i="496"/>
  <c r="BE1243" i="496"/>
  <c r="BC1243" i="496"/>
  <c r="I1243" i="496"/>
  <c r="H1243" i="496"/>
  <c r="E1243" i="496"/>
  <c r="D1243" i="496"/>
  <c r="C1243" i="496"/>
  <c r="BE1242" i="496"/>
  <c r="BC1242" i="496"/>
  <c r="I1242" i="496"/>
  <c r="H1242" i="496"/>
  <c r="E1242" i="496"/>
  <c r="D1242" i="496"/>
  <c r="C1242" i="496"/>
  <c r="BE1241" i="496"/>
  <c r="BC1241" i="496"/>
  <c r="I1241" i="496"/>
  <c r="H1241" i="496"/>
  <c r="E1241" i="496"/>
  <c r="D1241" i="496"/>
  <c r="C1241" i="496"/>
  <c r="BE1240" i="496"/>
  <c r="BC1240" i="496"/>
  <c r="I1240" i="496"/>
  <c r="H1240" i="496"/>
  <c r="E1240" i="496"/>
  <c r="D1240" i="496"/>
  <c r="C1240" i="496"/>
  <c r="BE1239" i="496"/>
  <c r="BC1239" i="496"/>
  <c r="I1239" i="496"/>
  <c r="H1239" i="496"/>
  <c r="E1239" i="496"/>
  <c r="D1239" i="496"/>
  <c r="C1239" i="496"/>
  <c r="BE1238" i="496"/>
  <c r="BC1238" i="496"/>
  <c r="I1238" i="496"/>
  <c r="H1238" i="496"/>
  <c r="E1238" i="496"/>
  <c r="D1238" i="496"/>
  <c r="C1238" i="496"/>
  <c r="BE1237" i="496"/>
  <c r="BC1237" i="496"/>
  <c r="I1237" i="496"/>
  <c r="H1237" i="496"/>
  <c r="E1237" i="496"/>
  <c r="D1237" i="496"/>
  <c r="C1237" i="496"/>
  <c r="BE1236" i="496"/>
  <c r="BC1236" i="496"/>
  <c r="I1236" i="496"/>
  <c r="H1236" i="496"/>
  <c r="E1236" i="496"/>
  <c r="D1236" i="496"/>
  <c r="C1236" i="496"/>
  <c r="BE1235" i="496"/>
  <c r="BC1235" i="496"/>
  <c r="I1235" i="496"/>
  <c r="H1235" i="496"/>
  <c r="E1235" i="496"/>
  <c r="D1235" i="496"/>
  <c r="C1235" i="496"/>
  <c r="BE1234" i="496"/>
  <c r="BC1234" i="496"/>
  <c r="I1234" i="496"/>
  <c r="H1234" i="496"/>
  <c r="E1234" i="496"/>
  <c r="D1234" i="496"/>
  <c r="C1234" i="496"/>
  <c r="BE1233" i="496"/>
  <c r="BC1233" i="496"/>
  <c r="I1233" i="496"/>
  <c r="H1233" i="496"/>
  <c r="E1233" i="496"/>
  <c r="D1233" i="496"/>
  <c r="C1233" i="496"/>
  <c r="BE1232" i="496"/>
  <c r="BC1232" i="496"/>
  <c r="I1232" i="496"/>
  <c r="H1232" i="496"/>
  <c r="E1232" i="496"/>
  <c r="D1232" i="496"/>
  <c r="C1232" i="496"/>
  <c r="BE1231" i="496"/>
  <c r="BC1231" i="496"/>
  <c r="I1231" i="496"/>
  <c r="H1231" i="496"/>
  <c r="E1231" i="496"/>
  <c r="D1231" i="496"/>
  <c r="C1231" i="496"/>
  <c r="BE1230" i="496"/>
  <c r="BC1230" i="496"/>
  <c r="I1230" i="496"/>
  <c r="H1230" i="496"/>
  <c r="E1230" i="496"/>
  <c r="D1230" i="496"/>
  <c r="C1230" i="496"/>
  <c r="BE1229" i="496"/>
  <c r="BC1229" i="496"/>
  <c r="I1229" i="496"/>
  <c r="H1229" i="496"/>
  <c r="E1229" i="496"/>
  <c r="D1229" i="496"/>
  <c r="C1229" i="496"/>
  <c r="BE1228" i="496"/>
  <c r="BC1228" i="496"/>
  <c r="I1228" i="496"/>
  <c r="H1228" i="496"/>
  <c r="E1228" i="496"/>
  <c r="D1228" i="496"/>
  <c r="C1228" i="496"/>
  <c r="BE1227" i="496"/>
  <c r="BC1227" i="496"/>
  <c r="I1227" i="496"/>
  <c r="H1227" i="496"/>
  <c r="E1227" i="496"/>
  <c r="D1227" i="496"/>
  <c r="C1227" i="496"/>
  <c r="BE1226" i="496"/>
  <c r="BC1226" i="496"/>
  <c r="I1226" i="496"/>
  <c r="H1226" i="496"/>
  <c r="E1226" i="496"/>
  <c r="D1226" i="496"/>
  <c r="C1226" i="496"/>
  <c r="BE1225" i="496"/>
  <c r="BC1225" i="496"/>
  <c r="I1225" i="496"/>
  <c r="H1225" i="496"/>
  <c r="E1225" i="496"/>
  <c r="D1225" i="496"/>
  <c r="C1225" i="496"/>
  <c r="BE1224" i="496"/>
  <c r="BC1224" i="496"/>
  <c r="I1224" i="496"/>
  <c r="H1224" i="496"/>
  <c r="E1224" i="496"/>
  <c r="D1224" i="496"/>
  <c r="C1224" i="496"/>
  <c r="BE1223" i="496"/>
  <c r="BC1223" i="496"/>
  <c r="I1223" i="496"/>
  <c r="H1223" i="496"/>
  <c r="E1223" i="496"/>
  <c r="D1223" i="496"/>
  <c r="C1223" i="496"/>
  <c r="BE1222" i="496"/>
  <c r="BC1222" i="496"/>
  <c r="I1222" i="496"/>
  <c r="H1222" i="496"/>
  <c r="E1222" i="496"/>
  <c r="D1222" i="496"/>
  <c r="C1222" i="496"/>
  <c r="BE1221" i="496"/>
  <c r="BC1221" i="496"/>
  <c r="I1221" i="496"/>
  <c r="H1221" i="496"/>
  <c r="E1221" i="496"/>
  <c r="D1221" i="496"/>
  <c r="C1221" i="496"/>
  <c r="BE1220" i="496"/>
  <c r="BC1220" i="496"/>
  <c r="I1220" i="496"/>
  <c r="H1220" i="496"/>
  <c r="E1220" i="496"/>
  <c r="D1220" i="496"/>
  <c r="C1220" i="496"/>
  <c r="BE1219" i="496"/>
  <c r="BC1219" i="496"/>
  <c r="I1219" i="496"/>
  <c r="H1219" i="496"/>
  <c r="E1219" i="496"/>
  <c r="D1219" i="496"/>
  <c r="C1219" i="496"/>
  <c r="BE1218" i="496"/>
  <c r="BC1218" i="496"/>
  <c r="I1218" i="496"/>
  <c r="H1218" i="496"/>
  <c r="E1218" i="496"/>
  <c r="D1218" i="496"/>
  <c r="C1218" i="496"/>
  <c r="BE1217" i="496"/>
  <c r="BC1217" i="496"/>
  <c r="I1217" i="496"/>
  <c r="H1217" i="496"/>
  <c r="E1217" i="496"/>
  <c r="D1217" i="496"/>
  <c r="C1217" i="496"/>
  <c r="BE1216" i="496"/>
  <c r="BC1216" i="496"/>
  <c r="I1216" i="496"/>
  <c r="H1216" i="496"/>
  <c r="E1216" i="496"/>
  <c r="D1216" i="496"/>
  <c r="C1216" i="496"/>
  <c r="BE1215" i="496"/>
  <c r="BC1215" i="496"/>
  <c r="I1215" i="496"/>
  <c r="H1215" i="496"/>
  <c r="E1215" i="496"/>
  <c r="D1215" i="496"/>
  <c r="C1215" i="496"/>
  <c r="BE1214" i="496"/>
  <c r="BC1214" i="496"/>
  <c r="I1214" i="496"/>
  <c r="H1214" i="496"/>
  <c r="E1214" i="496"/>
  <c r="D1214" i="496"/>
  <c r="C1214" i="496"/>
  <c r="BE1213" i="496"/>
  <c r="BC1213" i="496"/>
  <c r="I1213" i="496"/>
  <c r="H1213" i="496"/>
  <c r="E1213" i="496"/>
  <c r="D1213" i="496"/>
  <c r="C1213" i="496"/>
  <c r="BE1212" i="496"/>
  <c r="BC1212" i="496"/>
  <c r="I1212" i="496"/>
  <c r="H1212" i="496"/>
  <c r="E1212" i="496"/>
  <c r="D1212" i="496"/>
  <c r="C1212" i="496"/>
  <c r="BE1211" i="496"/>
  <c r="BC1211" i="496"/>
  <c r="I1211" i="496"/>
  <c r="H1211" i="496"/>
  <c r="E1211" i="496"/>
  <c r="D1211" i="496"/>
  <c r="C1211" i="496"/>
  <c r="BE1210" i="496"/>
  <c r="BC1210" i="496"/>
  <c r="I1210" i="496"/>
  <c r="H1210" i="496"/>
  <c r="E1210" i="496"/>
  <c r="D1210" i="496"/>
  <c r="C1210" i="496"/>
  <c r="BE1209" i="496"/>
  <c r="BC1209" i="496"/>
  <c r="I1209" i="496"/>
  <c r="H1209" i="496"/>
  <c r="E1209" i="496"/>
  <c r="D1209" i="496"/>
  <c r="C1209" i="496"/>
  <c r="BE1208" i="496"/>
  <c r="BC1208" i="496"/>
  <c r="I1208" i="496"/>
  <c r="H1208" i="496"/>
  <c r="E1208" i="496"/>
  <c r="D1208" i="496"/>
  <c r="C1208" i="496"/>
  <c r="BE1207" i="496"/>
  <c r="BC1207" i="496"/>
  <c r="I1207" i="496"/>
  <c r="H1207" i="496"/>
  <c r="E1207" i="496"/>
  <c r="D1207" i="496"/>
  <c r="C1207" i="496"/>
  <c r="BE1206" i="496"/>
  <c r="BC1206" i="496"/>
  <c r="I1206" i="496"/>
  <c r="H1206" i="496"/>
  <c r="E1206" i="496"/>
  <c r="D1206" i="496"/>
  <c r="C1206" i="496"/>
  <c r="BE1205" i="496"/>
  <c r="BC1205" i="496"/>
  <c r="I1205" i="496"/>
  <c r="H1205" i="496"/>
  <c r="E1205" i="496"/>
  <c r="D1205" i="496"/>
  <c r="C1205" i="496"/>
  <c r="BE1204" i="496"/>
  <c r="BC1204" i="496"/>
  <c r="I1204" i="496"/>
  <c r="H1204" i="496"/>
  <c r="E1204" i="496"/>
  <c r="D1204" i="496"/>
  <c r="C1204" i="496"/>
  <c r="BE1203" i="496"/>
  <c r="BC1203" i="496"/>
  <c r="I1203" i="496"/>
  <c r="H1203" i="496"/>
  <c r="E1203" i="496"/>
  <c r="D1203" i="496"/>
  <c r="C1203" i="496"/>
  <c r="BE1202" i="496"/>
  <c r="BC1202" i="496"/>
  <c r="I1202" i="496"/>
  <c r="H1202" i="496"/>
  <c r="E1202" i="496"/>
  <c r="D1202" i="496"/>
  <c r="C1202" i="496"/>
  <c r="BE1201" i="496"/>
  <c r="BC1201" i="496"/>
  <c r="I1201" i="496"/>
  <c r="H1201" i="496"/>
  <c r="E1201" i="496"/>
  <c r="D1201" i="496"/>
  <c r="C1201" i="496"/>
  <c r="BE1200" i="496"/>
  <c r="BC1200" i="496"/>
  <c r="I1200" i="496"/>
  <c r="H1200" i="496"/>
  <c r="E1200" i="496"/>
  <c r="D1200" i="496"/>
  <c r="C1200" i="496"/>
  <c r="BE1199" i="496"/>
  <c r="BC1199" i="496"/>
  <c r="I1199" i="496"/>
  <c r="H1199" i="496"/>
  <c r="E1199" i="496"/>
  <c r="D1199" i="496"/>
  <c r="C1199" i="496"/>
  <c r="BE1198" i="496"/>
  <c r="BC1198" i="496"/>
  <c r="I1198" i="496"/>
  <c r="H1198" i="496"/>
  <c r="E1198" i="496"/>
  <c r="D1198" i="496"/>
  <c r="C1198" i="496"/>
  <c r="BE1197" i="496"/>
  <c r="BC1197" i="496"/>
  <c r="I1197" i="496"/>
  <c r="H1197" i="496"/>
  <c r="E1197" i="496"/>
  <c r="D1197" i="496"/>
  <c r="C1197" i="496"/>
  <c r="BE1196" i="496"/>
  <c r="BC1196" i="496"/>
  <c r="I1196" i="496"/>
  <c r="H1196" i="496"/>
  <c r="E1196" i="496"/>
  <c r="D1196" i="496"/>
  <c r="C1196" i="496"/>
  <c r="BE1195" i="496"/>
  <c r="BC1195" i="496"/>
  <c r="I1195" i="496"/>
  <c r="H1195" i="496"/>
  <c r="E1195" i="496"/>
  <c r="D1195" i="496"/>
  <c r="C1195" i="496"/>
  <c r="BE1194" i="496"/>
  <c r="BC1194" i="496"/>
  <c r="I1194" i="496"/>
  <c r="H1194" i="496"/>
  <c r="E1194" i="496"/>
  <c r="D1194" i="496"/>
  <c r="C1194" i="496"/>
  <c r="BE1193" i="496"/>
  <c r="BC1193" i="496"/>
  <c r="I1193" i="496"/>
  <c r="H1193" i="496"/>
  <c r="E1193" i="496"/>
  <c r="D1193" i="496"/>
  <c r="C1193" i="496"/>
  <c r="BE1192" i="496"/>
  <c r="BC1192" i="496"/>
  <c r="I1192" i="496"/>
  <c r="H1192" i="496"/>
  <c r="E1192" i="496"/>
  <c r="D1192" i="496"/>
  <c r="C1192" i="496"/>
  <c r="BE1191" i="496"/>
  <c r="BC1191" i="496"/>
  <c r="I1191" i="496"/>
  <c r="H1191" i="496"/>
  <c r="E1191" i="496"/>
  <c r="D1191" i="496"/>
  <c r="C1191" i="496"/>
  <c r="BE1190" i="496"/>
  <c r="BC1190" i="496"/>
  <c r="I1190" i="496"/>
  <c r="H1190" i="496"/>
  <c r="E1190" i="496"/>
  <c r="D1190" i="496"/>
  <c r="C1190" i="496"/>
  <c r="BE1189" i="496"/>
  <c r="BC1189" i="496"/>
  <c r="I1189" i="496"/>
  <c r="H1189" i="496"/>
  <c r="E1189" i="496"/>
  <c r="D1189" i="496"/>
  <c r="C1189" i="496"/>
  <c r="BE1188" i="496"/>
  <c r="BC1188" i="496"/>
  <c r="I1188" i="496"/>
  <c r="H1188" i="496"/>
  <c r="E1188" i="496"/>
  <c r="D1188" i="496"/>
  <c r="C1188" i="496"/>
  <c r="BE1187" i="496"/>
  <c r="BC1187" i="496"/>
  <c r="I1187" i="496"/>
  <c r="H1187" i="496"/>
  <c r="E1187" i="496"/>
  <c r="D1187" i="496"/>
  <c r="C1187" i="496"/>
  <c r="BE1186" i="496"/>
  <c r="BC1186" i="496"/>
  <c r="I1186" i="496"/>
  <c r="H1186" i="496"/>
  <c r="E1186" i="496"/>
  <c r="D1186" i="496"/>
  <c r="C1186" i="496"/>
  <c r="BE1185" i="496"/>
  <c r="BC1185" i="496"/>
  <c r="I1185" i="496"/>
  <c r="H1185" i="496"/>
  <c r="E1185" i="496"/>
  <c r="D1185" i="496"/>
  <c r="C1185" i="496"/>
  <c r="BE1184" i="496"/>
  <c r="BC1184" i="496"/>
  <c r="I1184" i="496"/>
  <c r="H1184" i="496"/>
  <c r="E1184" i="496"/>
  <c r="D1184" i="496"/>
  <c r="C1184" i="496"/>
  <c r="BE1183" i="496"/>
  <c r="BC1183" i="496"/>
  <c r="I1183" i="496"/>
  <c r="H1183" i="496"/>
  <c r="E1183" i="496"/>
  <c r="D1183" i="496"/>
  <c r="C1183" i="496"/>
  <c r="BE1182" i="496"/>
  <c r="BC1182" i="496"/>
  <c r="I1182" i="496"/>
  <c r="H1182" i="496"/>
  <c r="E1182" i="496"/>
  <c r="D1182" i="496"/>
  <c r="C1182" i="496"/>
  <c r="BE1181" i="496"/>
  <c r="BC1181" i="496"/>
  <c r="I1181" i="496"/>
  <c r="H1181" i="496"/>
  <c r="E1181" i="496"/>
  <c r="D1181" i="496"/>
  <c r="C1181" i="496"/>
  <c r="BE1180" i="496"/>
  <c r="BC1180" i="496"/>
  <c r="I1180" i="496"/>
  <c r="H1180" i="496"/>
  <c r="E1180" i="496"/>
  <c r="D1180" i="496"/>
  <c r="C1180" i="496"/>
  <c r="BE1179" i="496"/>
  <c r="BC1179" i="496"/>
  <c r="I1179" i="496"/>
  <c r="H1179" i="496"/>
  <c r="E1179" i="496"/>
  <c r="D1179" i="496"/>
  <c r="C1179" i="496"/>
  <c r="BE1178" i="496"/>
  <c r="BC1178" i="496"/>
  <c r="I1178" i="496"/>
  <c r="H1178" i="496"/>
  <c r="E1178" i="496"/>
  <c r="D1178" i="496"/>
  <c r="C1178" i="496"/>
  <c r="BE1177" i="496"/>
  <c r="BC1177" i="496"/>
  <c r="I1177" i="496"/>
  <c r="H1177" i="496"/>
  <c r="E1177" i="496"/>
  <c r="D1177" i="496"/>
  <c r="C1177" i="496"/>
  <c r="BE1176" i="496"/>
  <c r="BC1176" i="496"/>
  <c r="I1176" i="496"/>
  <c r="H1176" i="496"/>
  <c r="E1176" i="496"/>
  <c r="D1176" i="496"/>
  <c r="C1176" i="496"/>
  <c r="BE1175" i="496"/>
  <c r="BC1175" i="496"/>
  <c r="I1175" i="496"/>
  <c r="H1175" i="496"/>
  <c r="E1175" i="496"/>
  <c r="D1175" i="496"/>
  <c r="C1175" i="496"/>
  <c r="BE1174" i="496"/>
  <c r="BC1174" i="496"/>
  <c r="I1174" i="496"/>
  <c r="H1174" i="496"/>
  <c r="E1174" i="496"/>
  <c r="D1174" i="496"/>
  <c r="C1174" i="496"/>
  <c r="BE1173" i="496"/>
  <c r="BC1173" i="496"/>
  <c r="I1173" i="496"/>
  <c r="H1173" i="496"/>
  <c r="E1173" i="496"/>
  <c r="D1173" i="496"/>
  <c r="C1173" i="496"/>
  <c r="BE1172" i="496"/>
  <c r="BC1172" i="496"/>
  <c r="I1172" i="496"/>
  <c r="H1172" i="496"/>
  <c r="E1172" i="496"/>
  <c r="D1172" i="496"/>
  <c r="C1172" i="496"/>
  <c r="BE1171" i="496"/>
  <c r="BC1171" i="496"/>
  <c r="I1171" i="496"/>
  <c r="H1171" i="496"/>
  <c r="E1171" i="496"/>
  <c r="D1171" i="496"/>
  <c r="C1171" i="496"/>
  <c r="BE1170" i="496"/>
  <c r="BC1170" i="496"/>
  <c r="I1170" i="496"/>
  <c r="H1170" i="496"/>
  <c r="E1170" i="496"/>
  <c r="D1170" i="496"/>
  <c r="C1170" i="496"/>
  <c r="BE1169" i="496"/>
  <c r="BC1169" i="496"/>
  <c r="I1169" i="496"/>
  <c r="H1169" i="496"/>
  <c r="E1169" i="496"/>
  <c r="D1169" i="496"/>
  <c r="C1169" i="496"/>
  <c r="BE1168" i="496"/>
  <c r="BC1168" i="496"/>
  <c r="I1168" i="496"/>
  <c r="H1168" i="496"/>
  <c r="E1168" i="496"/>
  <c r="D1168" i="496"/>
  <c r="C1168" i="496"/>
  <c r="BE1167" i="496"/>
  <c r="BC1167" i="496"/>
  <c r="I1167" i="496"/>
  <c r="H1167" i="496"/>
  <c r="E1167" i="496"/>
  <c r="D1167" i="496"/>
  <c r="C1167" i="496"/>
  <c r="BE1166" i="496"/>
  <c r="BC1166" i="496"/>
  <c r="I1166" i="496"/>
  <c r="H1166" i="496"/>
  <c r="E1166" i="496"/>
  <c r="D1166" i="496"/>
  <c r="C1166" i="496"/>
  <c r="BE1165" i="496"/>
  <c r="BC1165" i="496"/>
  <c r="I1165" i="496"/>
  <c r="H1165" i="496"/>
  <c r="E1165" i="496"/>
  <c r="D1165" i="496"/>
  <c r="C1165" i="496"/>
  <c r="BE1164" i="496"/>
  <c r="BC1164" i="496"/>
  <c r="I1164" i="496"/>
  <c r="H1164" i="496"/>
  <c r="E1164" i="496"/>
  <c r="D1164" i="496"/>
  <c r="C1164" i="496"/>
  <c r="BE1163" i="496"/>
  <c r="BC1163" i="496"/>
  <c r="I1163" i="496"/>
  <c r="H1163" i="496"/>
  <c r="E1163" i="496"/>
  <c r="D1163" i="496"/>
  <c r="C1163" i="496"/>
  <c r="BE1162" i="496"/>
  <c r="BC1162" i="496"/>
  <c r="I1162" i="496"/>
  <c r="H1162" i="496"/>
  <c r="E1162" i="496"/>
  <c r="D1162" i="496"/>
  <c r="C1162" i="496"/>
  <c r="BE1161" i="496"/>
  <c r="BC1161" i="496"/>
  <c r="I1161" i="496"/>
  <c r="H1161" i="496"/>
  <c r="E1161" i="496"/>
  <c r="D1161" i="496"/>
  <c r="C1161" i="496"/>
  <c r="BE1160" i="496"/>
  <c r="BC1160" i="496"/>
  <c r="I1160" i="496"/>
  <c r="H1160" i="496"/>
  <c r="E1160" i="496"/>
  <c r="D1160" i="496"/>
  <c r="C1160" i="496"/>
  <c r="BE1159" i="496"/>
  <c r="BC1159" i="496"/>
  <c r="I1159" i="496"/>
  <c r="H1159" i="496"/>
  <c r="E1159" i="496"/>
  <c r="D1159" i="496"/>
  <c r="C1159" i="496"/>
  <c r="BE1158" i="496"/>
  <c r="BC1158" i="496"/>
  <c r="I1158" i="496"/>
  <c r="H1158" i="496"/>
  <c r="E1158" i="496"/>
  <c r="D1158" i="496"/>
  <c r="C1158" i="496"/>
  <c r="BE1157" i="496"/>
  <c r="BC1157" i="496"/>
  <c r="I1157" i="496"/>
  <c r="H1157" i="496"/>
  <c r="E1157" i="496"/>
  <c r="D1157" i="496"/>
  <c r="C1157" i="496"/>
  <c r="BE1156" i="496"/>
  <c r="BC1156" i="496"/>
  <c r="I1156" i="496"/>
  <c r="H1156" i="496"/>
  <c r="E1156" i="496"/>
  <c r="D1156" i="496"/>
  <c r="C1156" i="496"/>
  <c r="BE1155" i="496"/>
  <c r="BC1155" i="496"/>
  <c r="I1155" i="496"/>
  <c r="H1155" i="496"/>
  <c r="E1155" i="496"/>
  <c r="D1155" i="496"/>
  <c r="C1155" i="496"/>
  <c r="BE1154" i="496"/>
  <c r="BC1154" i="496"/>
  <c r="I1154" i="496"/>
  <c r="H1154" i="496"/>
  <c r="E1154" i="496"/>
  <c r="D1154" i="496"/>
  <c r="C1154" i="496"/>
  <c r="BE1153" i="496"/>
  <c r="BC1153" i="496"/>
  <c r="I1153" i="496"/>
  <c r="H1153" i="496"/>
  <c r="E1153" i="496"/>
  <c r="D1153" i="496"/>
  <c r="C1153" i="496"/>
  <c r="BE1152" i="496"/>
  <c r="BC1152" i="496"/>
  <c r="I1152" i="496"/>
  <c r="H1152" i="496"/>
  <c r="E1152" i="496"/>
  <c r="D1152" i="496"/>
  <c r="C1152" i="496"/>
  <c r="BE1151" i="496"/>
  <c r="BC1151" i="496"/>
  <c r="I1151" i="496"/>
  <c r="H1151" i="496"/>
  <c r="E1151" i="496"/>
  <c r="D1151" i="496"/>
  <c r="C1151" i="496"/>
  <c r="BE1150" i="496"/>
  <c r="BC1150" i="496"/>
  <c r="I1150" i="496"/>
  <c r="H1150" i="496"/>
  <c r="E1150" i="496"/>
  <c r="D1150" i="496"/>
  <c r="C1150" i="496"/>
  <c r="BE1149" i="496"/>
  <c r="BC1149" i="496"/>
  <c r="I1149" i="496"/>
  <c r="H1149" i="496"/>
  <c r="E1149" i="496"/>
  <c r="D1149" i="496"/>
  <c r="C1149" i="496"/>
  <c r="BE1148" i="496"/>
  <c r="BC1148" i="496"/>
  <c r="I1148" i="496"/>
  <c r="H1148" i="496"/>
  <c r="E1148" i="496"/>
  <c r="D1148" i="496"/>
  <c r="C1148" i="496"/>
  <c r="BE1147" i="496"/>
  <c r="BC1147" i="496"/>
  <c r="I1147" i="496"/>
  <c r="H1147" i="496"/>
  <c r="E1147" i="496"/>
  <c r="D1147" i="496"/>
  <c r="C1147" i="496"/>
  <c r="BE1146" i="496"/>
  <c r="BC1146" i="496"/>
  <c r="I1146" i="496"/>
  <c r="H1146" i="496"/>
  <c r="E1146" i="496"/>
  <c r="D1146" i="496"/>
  <c r="C1146" i="496"/>
  <c r="BE1145" i="496"/>
  <c r="BC1145" i="496"/>
  <c r="I1145" i="496"/>
  <c r="H1145" i="496"/>
  <c r="E1145" i="496"/>
  <c r="D1145" i="496"/>
  <c r="C1145" i="496"/>
  <c r="BE1144" i="496"/>
  <c r="BC1144" i="496"/>
  <c r="I1144" i="496"/>
  <c r="H1144" i="496"/>
  <c r="E1144" i="496"/>
  <c r="D1144" i="496"/>
  <c r="C1144" i="496"/>
  <c r="BE1143" i="496"/>
  <c r="BC1143" i="496"/>
  <c r="I1143" i="496"/>
  <c r="H1143" i="496"/>
  <c r="E1143" i="496"/>
  <c r="D1143" i="496"/>
  <c r="C1143" i="496"/>
  <c r="BE1142" i="496"/>
  <c r="BC1142" i="496"/>
  <c r="I1142" i="496"/>
  <c r="H1142" i="496"/>
  <c r="E1142" i="496"/>
  <c r="D1142" i="496"/>
  <c r="C1142" i="496"/>
  <c r="BE1141" i="496"/>
  <c r="BC1141" i="496"/>
  <c r="I1141" i="496"/>
  <c r="H1141" i="496"/>
  <c r="E1141" i="496"/>
  <c r="D1141" i="496"/>
  <c r="C1141" i="496"/>
  <c r="BE1140" i="496"/>
  <c r="BC1140" i="496"/>
  <c r="I1140" i="496"/>
  <c r="H1140" i="496"/>
  <c r="E1140" i="496"/>
  <c r="D1140" i="496"/>
  <c r="C1140" i="496"/>
  <c r="BE1139" i="496"/>
  <c r="BC1139" i="496"/>
  <c r="I1139" i="496"/>
  <c r="H1139" i="496"/>
  <c r="E1139" i="496"/>
  <c r="D1139" i="496"/>
  <c r="C1139" i="496"/>
  <c r="BE1138" i="496"/>
  <c r="BC1138" i="496"/>
  <c r="I1138" i="496"/>
  <c r="H1138" i="496"/>
  <c r="E1138" i="496"/>
  <c r="D1138" i="496"/>
  <c r="C1138" i="496"/>
  <c r="BE1137" i="496"/>
  <c r="BC1137" i="496"/>
  <c r="I1137" i="496"/>
  <c r="H1137" i="496"/>
  <c r="E1137" i="496"/>
  <c r="D1137" i="496"/>
  <c r="C1137" i="496"/>
  <c r="BE1136" i="496"/>
  <c r="BC1136" i="496"/>
  <c r="I1136" i="496"/>
  <c r="H1136" i="496"/>
  <c r="E1136" i="496"/>
  <c r="D1136" i="496"/>
  <c r="C1136" i="496"/>
  <c r="BE1135" i="496"/>
  <c r="BC1135" i="496"/>
  <c r="I1135" i="496"/>
  <c r="H1135" i="496"/>
  <c r="E1135" i="496"/>
  <c r="D1135" i="496"/>
  <c r="C1135" i="496"/>
  <c r="BE1134" i="496"/>
  <c r="BC1134" i="496"/>
  <c r="I1134" i="496"/>
  <c r="H1134" i="496"/>
  <c r="E1134" i="496"/>
  <c r="D1134" i="496"/>
  <c r="C1134" i="496"/>
  <c r="BE1133" i="496"/>
  <c r="BC1133" i="496"/>
  <c r="I1133" i="496"/>
  <c r="H1133" i="496"/>
  <c r="E1133" i="496"/>
  <c r="D1133" i="496"/>
  <c r="C1133" i="496"/>
  <c r="BE1132" i="496"/>
  <c r="BC1132" i="496"/>
  <c r="I1132" i="496"/>
  <c r="H1132" i="496"/>
  <c r="E1132" i="496"/>
  <c r="D1132" i="496"/>
  <c r="C1132" i="496"/>
  <c r="BE1131" i="496"/>
  <c r="BC1131" i="496"/>
  <c r="I1131" i="496"/>
  <c r="H1131" i="496"/>
  <c r="E1131" i="496"/>
  <c r="D1131" i="496"/>
  <c r="C1131" i="496"/>
  <c r="BE1130" i="496"/>
  <c r="BC1130" i="496"/>
  <c r="I1130" i="496"/>
  <c r="H1130" i="496"/>
  <c r="E1130" i="496"/>
  <c r="D1130" i="496"/>
  <c r="C1130" i="496"/>
  <c r="BE1129" i="496"/>
  <c r="BC1129" i="496"/>
  <c r="I1129" i="496"/>
  <c r="H1129" i="496"/>
  <c r="E1129" i="496"/>
  <c r="D1129" i="496"/>
  <c r="C1129" i="496"/>
  <c r="BE1128" i="496"/>
  <c r="BC1128" i="496"/>
  <c r="I1128" i="496"/>
  <c r="H1128" i="496"/>
  <c r="E1128" i="496"/>
  <c r="D1128" i="496"/>
  <c r="C1128" i="496"/>
  <c r="BE1127" i="496"/>
  <c r="BC1127" i="496"/>
  <c r="I1127" i="496"/>
  <c r="H1127" i="496"/>
  <c r="E1127" i="496"/>
  <c r="D1127" i="496"/>
  <c r="C1127" i="496"/>
  <c r="BE1126" i="496"/>
  <c r="BC1126" i="496"/>
  <c r="I1126" i="496"/>
  <c r="H1126" i="496"/>
  <c r="E1126" i="496"/>
  <c r="D1126" i="496"/>
  <c r="C1126" i="496"/>
  <c r="BE1125" i="496"/>
  <c r="BC1125" i="496"/>
  <c r="I1125" i="496"/>
  <c r="H1125" i="496"/>
  <c r="E1125" i="496"/>
  <c r="D1125" i="496"/>
  <c r="C1125" i="496"/>
  <c r="BE1124" i="496"/>
  <c r="BC1124" i="496"/>
  <c r="I1124" i="496"/>
  <c r="H1124" i="496"/>
  <c r="E1124" i="496"/>
  <c r="D1124" i="496"/>
  <c r="C1124" i="496"/>
  <c r="BE1123" i="496"/>
  <c r="BC1123" i="496"/>
  <c r="I1123" i="496"/>
  <c r="H1123" i="496"/>
  <c r="E1123" i="496"/>
  <c r="D1123" i="496"/>
  <c r="C1123" i="496"/>
  <c r="BE1122" i="496"/>
  <c r="BC1122" i="496"/>
  <c r="I1122" i="496"/>
  <c r="H1122" i="496"/>
  <c r="E1122" i="496"/>
  <c r="D1122" i="496"/>
  <c r="C1122" i="496"/>
  <c r="BE1121" i="496"/>
  <c r="BC1121" i="496"/>
  <c r="I1121" i="496"/>
  <c r="H1121" i="496"/>
  <c r="E1121" i="496"/>
  <c r="D1121" i="496"/>
  <c r="C1121" i="496"/>
  <c r="BE1120" i="496"/>
  <c r="BC1120" i="496"/>
  <c r="I1120" i="496"/>
  <c r="H1120" i="496"/>
  <c r="E1120" i="496"/>
  <c r="D1120" i="496"/>
  <c r="C1120" i="496"/>
  <c r="BE1119" i="496"/>
  <c r="BC1119" i="496"/>
  <c r="I1119" i="496"/>
  <c r="H1119" i="496"/>
  <c r="E1119" i="496"/>
  <c r="D1119" i="496"/>
  <c r="C1119" i="496"/>
  <c r="BE1118" i="496"/>
  <c r="BC1118" i="496"/>
  <c r="I1118" i="496"/>
  <c r="H1118" i="496"/>
  <c r="E1118" i="496"/>
  <c r="D1118" i="496"/>
  <c r="C1118" i="496"/>
  <c r="BE1117" i="496"/>
  <c r="BC1117" i="496"/>
  <c r="I1117" i="496"/>
  <c r="H1117" i="496"/>
  <c r="E1117" i="496"/>
  <c r="D1117" i="496"/>
  <c r="C1117" i="496"/>
  <c r="BE1116" i="496"/>
  <c r="BC1116" i="496"/>
  <c r="I1116" i="496"/>
  <c r="H1116" i="496"/>
  <c r="E1116" i="496"/>
  <c r="D1116" i="496"/>
  <c r="C1116" i="496"/>
  <c r="BE1115" i="496"/>
  <c r="BC1115" i="496"/>
  <c r="I1115" i="496"/>
  <c r="H1115" i="496"/>
  <c r="E1115" i="496"/>
  <c r="D1115" i="496"/>
  <c r="C1115" i="496"/>
  <c r="BE1114" i="496"/>
  <c r="BC1114" i="496"/>
  <c r="I1114" i="496"/>
  <c r="H1114" i="496"/>
  <c r="E1114" i="496"/>
  <c r="D1114" i="496"/>
  <c r="C1114" i="496"/>
  <c r="BE1113" i="496"/>
  <c r="BC1113" i="496"/>
  <c r="I1113" i="496"/>
  <c r="H1113" i="496"/>
  <c r="E1113" i="496"/>
  <c r="D1113" i="496"/>
  <c r="C1113" i="496"/>
  <c r="BE1112" i="496"/>
  <c r="BC1112" i="496"/>
  <c r="I1112" i="496"/>
  <c r="H1112" i="496"/>
  <c r="E1112" i="496"/>
  <c r="D1112" i="496"/>
  <c r="C1112" i="496"/>
  <c r="BE1111" i="496"/>
  <c r="BC1111" i="496"/>
  <c r="I1111" i="496"/>
  <c r="H1111" i="496"/>
  <c r="E1111" i="496"/>
  <c r="D1111" i="496"/>
  <c r="C1111" i="496"/>
  <c r="BE1110" i="496"/>
  <c r="BC1110" i="496"/>
  <c r="I1110" i="496"/>
  <c r="H1110" i="496"/>
  <c r="E1110" i="496"/>
  <c r="D1110" i="496"/>
  <c r="C1110" i="496"/>
  <c r="BE1109" i="496"/>
  <c r="BC1109" i="496"/>
  <c r="I1109" i="496"/>
  <c r="H1109" i="496"/>
  <c r="E1109" i="496"/>
  <c r="D1109" i="496"/>
  <c r="C1109" i="496"/>
  <c r="BE1108" i="496"/>
  <c r="BC1108" i="496"/>
  <c r="I1108" i="496"/>
  <c r="H1108" i="496"/>
  <c r="E1108" i="496"/>
  <c r="D1108" i="496"/>
  <c r="C1108" i="496"/>
  <c r="BE1107" i="496"/>
  <c r="BC1107" i="496"/>
  <c r="I1107" i="496"/>
  <c r="H1107" i="496"/>
  <c r="E1107" i="496"/>
  <c r="D1107" i="496"/>
  <c r="C1107" i="496"/>
  <c r="BE1106" i="496"/>
  <c r="BC1106" i="496"/>
  <c r="I1106" i="496"/>
  <c r="H1106" i="496"/>
  <c r="E1106" i="496"/>
  <c r="D1106" i="496"/>
  <c r="C1106" i="496"/>
  <c r="BE1105" i="496"/>
  <c r="BC1105" i="496"/>
  <c r="I1105" i="496"/>
  <c r="H1105" i="496"/>
  <c r="E1105" i="496"/>
  <c r="D1105" i="496"/>
  <c r="C1105" i="496"/>
  <c r="BE1104" i="496"/>
  <c r="BC1104" i="496"/>
  <c r="I1104" i="496"/>
  <c r="H1104" i="496"/>
  <c r="E1104" i="496"/>
  <c r="D1104" i="496"/>
  <c r="C1104" i="496"/>
  <c r="BE1103" i="496"/>
  <c r="BC1103" i="496"/>
  <c r="I1103" i="496"/>
  <c r="H1103" i="496"/>
  <c r="E1103" i="496"/>
  <c r="D1103" i="496"/>
  <c r="C1103" i="496"/>
  <c r="BE1102" i="496"/>
  <c r="BC1102" i="496"/>
  <c r="I1102" i="496"/>
  <c r="H1102" i="496"/>
  <c r="E1102" i="496"/>
  <c r="D1102" i="496"/>
  <c r="C1102" i="496"/>
  <c r="BE1101" i="496"/>
  <c r="BC1101" i="496"/>
  <c r="I1101" i="496"/>
  <c r="H1101" i="496"/>
  <c r="E1101" i="496"/>
  <c r="D1101" i="496"/>
  <c r="C1101" i="496"/>
  <c r="BE1100" i="496"/>
  <c r="BC1100" i="496"/>
  <c r="I1100" i="496"/>
  <c r="H1100" i="496"/>
  <c r="E1100" i="496"/>
  <c r="D1100" i="496"/>
  <c r="C1100" i="496"/>
  <c r="BE1099" i="496"/>
  <c r="BC1099" i="496"/>
  <c r="I1099" i="496"/>
  <c r="H1099" i="496"/>
  <c r="E1099" i="496"/>
  <c r="D1099" i="496"/>
  <c r="C1099" i="496"/>
  <c r="BE1098" i="496"/>
  <c r="BC1098" i="496"/>
  <c r="I1098" i="496"/>
  <c r="H1098" i="496"/>
  <c r="E1098" i="496"/>
  <c r="D1098" i="496"/>
  <c r="C1098" i="496"/>
  <c r="BE1097" i="496"/>
  <c r="BC1097" i="496"/>
  <c r="I1097" i="496"/>
  <c r="H1097" i="496"/>
  <c r="E1097" i="496"/>
  <c r="D1097" i="496"/>
  <c r="C1097" i="496"/>
  <c r="BE1096" i="496"/>
  <c r="BC1096" i="496"/>
  <c r="I1096" i="496"/>
  <c r="H1096" i="496"/>
  <c r="E1096" i="496"/>
  <c r="D1096" i="496"/>
  <c r="C1096" i="496"/>
  <c r="BE1095" i="496"/>
  <c r="BC1095" i="496"/>
  <c r="I1095" i="496"/>
  <c r="H1095" i="496"/>
  <c r="E1095" i="496"/>
  <c r="D1095" i="496"/>
  <c r="C1095" i="496"/>
  <c r="BE1094" i="496"/>
  <c r="BC1094" i="496"/>
  <c r="I1094" i="496"/>
  <c r="H1094" i="496"/>
  <c r="E1094" i="496"/>
  <c r="D1094" i="496"/>
  <c r="C1094" i="496"/>
  <c r="BE1093" i="496"/>
  <c r="BC1093" i="496"/>
  <c r="I1093" i="496"/>
  <c r="H1093" i="496"/>
  <c r="E1093" i="496"/>
  <c r="D1093" i="496"/>
  <c r="C1093" i="496"/>
  <c r="BE1092" i="496"/>
  <c r="BC1092" i="496"/>
  <c r="I1092" i="496"/>
  <c r="H1092" i="496"/>
  <c r="E1092" i="496"/>
  <c r="D1092" i="496"/>
  <c r="C1092" i="496"/>
  <c r="BE1091" i="496"/>
  <c r="BC1091" i="496"/>
  <c r="I1091" i="496"/>
  <c r="H1091" i="496"/>
  <c r="E1091" i="496"/>
  <c r="D1091" i="496"/>
  <c r="C1091" i="496"/>
  <c r="BE1090" i="496"/>
  <c r="BC1090" i="496"/>
  <c r="I1090" i="496"/>
  <c r="H1090" i="496"/>
  <c r="E1090" i="496"/>
  <c r="D1090" i="496"/>
  <c r="C1090" i="496"/>
  <c r="BE1089" i="496"/>
  <c r="BC1089" i="496"/>
  <c r="I1089" i="496"/>
  <c r="H1089" i="496"/>
  <c r="E1089" i="496"/>
  <c r="D1089" i="496"/>
  <c r="C1089" i="496"/>
  <c r="BE1088" i="496"/>
  <c r="BC1088" i="496"/>
  <c r="I1088" i="496"/>
  <c r="H1088" i="496"/>
  <c r="E1088" i="496"/>
  <c r="D1088" i="496"/>
  <c r="C1088" i="496"/>
  <c r="BE1087" i="496"/>
  <c r="BC1087" i="496"/>
  <c r="I1087" i="496"/>
  <c r="H1087" i="496"/>
  <c r="E1087" i="496"/>
  <c r="D1087" i="496"/>
  <c r="C1087" i="496"/>
  <c r="BE1086" i="496"/>
  <c r="BC1086" i="496"/>
  <c r="I1086" i="496"/>
  <c r="H1086" i="496"/>
  <c r="E1086" i="496"/>
  <c r="D1086" i="496"/>
  <c r="C1086" i="496"/>
  <c r="BE1085" i="496"/>
  <c r="BC1085" i="496"/>
  <c r="I1085" i="496"/>
  <c r="H1085" i="496"/>
  <c r="E1085" i="496"/>
  <c r="D1085" i="496"/>
  <c r="C1085" i="496"/>
  <c r="BE1084" i="496"/>
  <c r="BC1084" i="496"/>
  <c r="I1084" i="496"/>
  <c r="H1084" i="496"/>
  <c r="E1084" i="496"/>
  <c r="D1084" i="496"/>
  <c r="C1084" i="496"/>
  <c r="BE1083" i="496"/>
  <c r="BC1083" i="496"/>
  <c r="I1083" i="496"/>
  <c r="H1083" i="496"/>
  <c r="E1083" i="496"/>
  <c r="D1083" i="496"/>
  <c r="C1083" i="496"/>
  <c r="BE1082" i="496"/>
  <c r="BC1082" i="496"/>
  <c r="I1082" i="496"/>
  <c r="H1082" i="496"/>
  <c r="E1082" i="496"/>
  <c r="D1082" i="496"/>
  <c r="C1082" i="496"/>
  <c r="BE1081" i="496"/>
  <c r="BC1081" i="496"/>
  <c r="I1081" i="496"/>
  <c r="H1081" i="496"/>
  <c r="E1081" i="496"/>
  <c r="D1081" i="496"/>
  <c r="C1081" i="496"/>
  <c r="BE1080" i="496"/>
  <c r="BC1080" i="496"/>
  <c r="I1080" i="496"/>
  <c r="H1080" i="496"/>
  <c r="E1080" i="496"/>
  <c r="D1080" i="496"/>
  <c r="C1080" i="496"/>
  <c r="BE1079" i="496"/>
  <c r="BC1079" i="496"/>
  <c r="I1079" i="496"/>
  <c r="H1079" i="496"/>
  <c r="E1079" i="496"/>
  <c r="D1079" i="496"/>
  <c r="C1079" i="496"/>
  <c r="BE1078" i="496"/>
  <c r="BC1078" i="496"/>
  <c r="I1078" i="496"/>
  <c r="H1078" i="496"/>
  <c r="E1078" i="496"/>
  <c r="D1078" i="496"/>
  <c r="C1078" i="496"/>
  <c r="BE1077" i="496"/>
  <c r="BC1077" i="496"/>
  <c r="I1077" i="496"/>
  <c r="H1077" i="496"/>
  <c r="E1077" i="496"/>
  <c r="D1077" i="496"/>
  <c r="C1077" i="496"/>
  <c r="BE1076" i="496"/>
  <c r="BC1076" i="496"/>
  <c r="I1076" i="496"/>
  <c r="H1076" i="496"/>
  <c r="E1076" i="496"/>
  <c r="D1076" i="496"/>
  <c r="C1076" i="496"/>
  <c r="BE1075" i="496"/>
  <c r="BC1075" i="496"/>
  <c r="I1075" i="496"/>
  <c r="H1075" i="496"/>
  <c r="E1075" i="496"/>
  <c r="D1075" i="496"/>
  <c r="C1075" i="496"/>
  <c r="BE1074" i="496"/>
  <c r="BC1074" i="496"/>
  <c r="I1074" i="496"/>
  <c r="H1074" i="496"/>
  <c r="E1074" i="496"/>
  <c r="D1074" i="496"/>
  <c r="C1074" i="496"/>
  <c r="BE1073" i="496"/>
  <c r="BC1073" i="496"/>
  <c r="I1073" i="496"/>
  <c r="H1073" i="496"/>
  <c r="E1073" i="496"/>
  <c r="D1073" i="496"/>
  <c r="C1073" i="496"/>
  <c r="BE1072" i="496"/>
  <c r="BC1072" i="496"/>
  <c r="I1072" i="496"/>
  <c r="H1072" i="496"/>
  <c r="E1072" i="496"/>
  <c r="D1072" i="496"/>
  <c r="C1072" i="496"/>
  <c r="BE1071" i="496"/>
  <c r="BC1071" i="496"/>
  <c r="I1071" i="496"/>
  <c r="H1071" i="496"/>
  <c r="E1071" i="496"/>
  <c r="D1071" i="496"/>
  <c r="C1071" i="496"/>
  <c r="BE1070" i="496"/>
  <c r="BC1070" i="496"/>
  <c r="I1070" i="496"/>
  <c r="H1070" i="496"/>
  <c r="E1070" i="496"/>
  <c r="D1070" i="496"/>
  <c r="C1070" i="496"/>
  <c r="BE1069" i="496"/>
  <c r="BC1069" i="496"/>
  <c r="I1069" i="496"/>
  <c r="H1069" i="496"/>
  <c r="E1069" i="496"/>
  <c r="D1069" i="496"/>
  <c r="C1069" i="496"/>
  <c r="BE1068" i="496"/>
  <c r="BC1068" i="496"/>
  <c r="I1068" i="496"/>
  <c r="H1068" i="496"/>
  <c r="E1068" i="496"/>
  <c r="D1068" i="496"/>
  <c r="C1068" i="496"/>
  <c r="BE1067" i="496"/>
  <c r="BC1067" i="496"/>
  <c r="I1067" i="496"/>
  <c r="H1067" i="496"/>
  <c r="E1067" i="496"/>
  <c r="D1067" i="496"/>
  <c r="C1067" i="496"/>
  <c r="BE1066" i="496"/>
  <c r="BC1066" i="496"/>
  <c r="I1066" i="496"/>
  <c r="H1066" i="496"/>
  <c r="E1066" i="496"/>
  <c r="D1066" i="496"/>
  <c r="C1066" i="496"/>
  <c r="BE1065" i="496"/>
  <c r="BC1065" i="496"/>
  <c r="I1065" i="496"/>
  <c r="H1065" i="496"/>
  <c r="E1065" i="496"/>
  <c r="D1065" i="496"/>
  <c r="C1065" i="496"/>
  <c r="BE1064" i="496"/>
  <c r="BC1064" i="496"/>
  <c r="I1064" i="496"/>
  <c r="H1064" i="496"/>
  <c r="E1064" i="496"/>
  <c r="D1064" i="496"/>
  <c r="C1064" i="496"/>
  <c r="BE1063" i="496"/>
  <c r="BC1063" i="496"/>
  <c r="I1063" i="496"/>
  <c r="H1063" i="496"/>
  <c r="E1063" i="496"/>
  <c r="D1063" i="496"/>
  <c r="C1063" i="496"/>
  <c r="BE1062" i="496"/>
  <c r="BC1062" i="496"/>
  <c r="I1062" i="496"/>
  <c r="H1062" i="496"/>
  <c r="E1062" i="496"/>
  <c r="D1062" i="496"/>
  <c r="C1062" i="496"/>
  <c r="BE1061" i="496"/>
  <c r="BC1061" i="496"/>
  <c r="I1061" i="496"/>
  <c r="H1061" i="496"/>
  <c r="E1061" i="496"/>
  <c r="D1061" i="496"/>
  <c r="C1061" i="496"/>
  <c r="BE1060" i="496"/>
  <c r="BC1060" i="496"/>
  <c r="I1060" i="496"/>
  <c r="H1060" i="496"/>
  <c r="E1060" i="496"/>
  <c r="D1060" i="496"/>
  <c r="C1060" i="496"/>
  <c r="BE1059" i="496"/>
  <c r="BC1059" i="496"/>
  <c r="I1059" i="496"/>
  <c r="H1059" i="496"/>
  <c r="E1059" i="496"/>
  <c r="D1059" i="496"/>
  <c r="C1059" i="496"/>
  <c r="BE1058" i="496"/>
  <c r="BC1058" i="496"/>
  <c r="I1058" i="496"/>
  <c r="H1058" i="496"/>
  <c r="E1058" i="496"/>
  <c r="D1058" i="496"/>
  <c r="C1058" i="496"/>
  <c r="BE1057" i="496"/>
  <c r="BC1057" i="496"/>
  <c r="I1057" i="496"/>
  <c r="H1057" i="496"/>
  <c r="E1057" i="496"/>
  <c r="D1057" i="496"/>
  <c r="C1057" i="496"/>
  <c r="BE1056" i="496"/>
  <c r="BC1056" i="496"/>
  <c r="I1056" i="496"/>
  <c r="H1056" i="496"/>
  <c r="E1056" i="496"/>
  <c r="D1056" i="496"/>
  <c r="C1056" i="496"/>
  <c r="BE1055" i="496"/>
  <c r="BC1055" i="496"/>
  <c r="I1055" i="496"/>
  <c r="H1055" i="496"/>
  <c r="E1055" i="496"/>
  <c r="D1055" i="496"/>
  <c r="C1055" i="496"/>
  <c r="BE1054" i="496"/>
  <c r="BC1054" i="496"/>
  <c r="I1054" i="496"/>
  <c r="H1054" i="496"/>
  <c r="E1054" i="496"/>
  <c r="D1054" i="496"/>
  <c r="C1054" i="496"/>
  <c r="BE1053" i="496"/>
  <c r="BC1053" i="496"/>
  <c r="I1053" i="496"/>
  <c r="H1053" i="496"/>
  <c r="E1053" i="496"/>
  <c r="D1053" i="496"/>
  <c r="C1053" i="496"/>
  <c r="BE1052" i="496"/>
  <c r="BC1052" i="496"/>
  <c r="I1052" i="496"/>
  <c r="H1052" i="496"/>
  <c r="E1052" i="496"/>
  <c r="D1052" i="496"/>
  <c r="C1052" i="496"/>
  <c r="BE1051" i="496"/>
  <c r="BC1051" i="496"/>
  <c r="I1051" i="496"/>
  <c r="H1051" i="496"/>
  <c r="E1051" i="496"/>
  <c r="D1051" i="496"/>
  <c r="C1051" i="496"/>
  <c r="BE1050" i="496"/>
  <c r="BC1050" i="496"/>
  <c r="I1050" i="496"/>
  <c r="H1050" i="496"/>
  <c r="E1050" i="496"/>
  <c r="D1050" i="496"/>
  <c r="C1050" i="496"/>
  <c r="BE1049" i="496"/>
  <c r="BC1049" i="496"/>
  <c r="I1049" i="496"/>
  <c r="H1049" i="496"/>
  <c r="E1049" i="496"/>
  <c r="D1049" i="496"/>
  <c r="C1049" i="496"/>
  <c r="BE1048" i="496"/>
  <c r="BC1048" i="496"/>
  <c r="I1048" i="496"/>
  <c r="H1048" i="496"/>
  <c r="E1048" i="496"/>
  <c r="D1048" i="496"/>
  <c r="C1048" i="496"/>
  <c r="BE1047" i="496"/>
  <c r="BC1047" i="496"/>
  <c r="I1047" i="496"/>
  <c r="H1047" i="496"/>
  <c r="E1047" i="496"/>
  <c r="D1047" i="496"/>
  <c r="C1047" i="496"/>
  <c r="BE1046" i="496"/>
  <c r="BC1046" i="496"/>
  <c r="I1046" i="496"/>
  <c r="H1046" i="496"/>
  <c r="E1046" i="496"/>
  <c r="D1046" i="496"/>
  <c r="C1046" i="496"/>
  <c r="BE1045" i="496"/>
  <c r="BC1045" i="496"/>
  <c r="I1045" i="496"/>
  <c r="H1045" i="496"/>
  <c r="E1045" i="496"/>
  <c r="D1045" i="496"/>
  <c r="C1045" i="496"/>
  <c r="BE1044" i="496"/>
  <c r="BC1044" i="496"/>
  <c r="I1044" i="496"/>
  <c r="H1044" i="496"/>
  <c r="E1044" i="496"/>
  <c r="D1044" i="496"/>
  <c r="C1044" i="496"/>
  <c r="BE1043" i="496"/>
  <c r="BC1043" i="496"/>
  <c r="I1043" i="496"/>
  <c r="H1043" i="496"/>
  <c r="E1043" i="496"/>
  <c r="D1043" i="496"/>
  <c r="C1043" i="496"/>
  <c r="BE1042" i="496"/>
  <c r="BC1042" i="496"/>
  <c r="I1042" i="496"/>
  <c r="H1042" i="496"/>
  <c r="E1042" i="496"/>
  <c r="D1042" i="496"/>
  <c r="C1042" i="496"/>
  <c r="BE1041" i="496"/>
  <c r="BC1041" i="496"/>
  <c r="I1041" i="496"/>
  <c r="H1041" i="496"/>
  <c r="E1041" i="496"/>
  <c r="D1041" i="496"/>
  <c r="C1041" i="496"/>
  <c r="BE1040" i="496"/>
  <c r="BC1040" i="496"/>
  <c r="I1040" i="496"/>
  <c r="H1040" i="496"/>
  <c r="E1040" i="496"/>
  <c r="D1040" i="496"/>
  <c r="C1040" i="496"/>
  <c r="BE1039" i="496"/>
  <c r="BC1039" i="496"/>
  <c r="I1039" i="496"/>
  <c r="H1039" i="496"/>
  <c r="E1039" i="496"/>
  <c r="D1039" i="496"/>
  <c r="C1039" i="496"/>
  <c r="BE1038" i="496"/>
  <c r="BC1038" i="496"/>
  <c r="BA1038" i="496"/>
  <c r="I1038" i="496"/>
  <c r="H1038" i="496"/>
  <c r="E1038" i="496"/>
  <c r="D1038" i="496"/>
  <c r="C1038" i="496"/>
  <c r="BE1037" i="496"/>
  <c r="BC1037" i="496"/>
  <c r="BA1037" i="496"/>
  <c r="I1037" i="496"/>
  <c r="H1037" i="496"/>
  <c r="E1037" i="496"/>
  <c r="D1037" i="496"/>
  <c r="C1037" i="496"/>
  <c r="BE1036" i="496"/>
  <c r="BC1036" i="496"/>
  <c r="BA1036" i="496"/>
  <c r="I1036" i="496"/>
  <c r="H1036" i="496"/>
  <c r="E1036" i="496"/>
  <c r="D1036" i="496"/>
  <c r="C1036" i="496"/>
  <c r="BE1035" i="496"/>
  <c r="BC1035" i="496"/>
  <c r="BA1035" i="496"/>
  <c r="I1035" i="496"/>
  <c r="H1035" i="496"/>
  <c r="E1035" i="496"/>
  <c r="D1035" i="496"/>
  <c r="C1035" i="496"/>
  <c r="BE1034" i="496"/>
  <c r="BC1034" i="496"/>
  <c r="BA1034" i="496"/>
  <c r="I1034" i="496"/>
  <c r="H1034" i="496"/>
  <c r="E1034" i="496"/>
  <c r="D1034" i="496"/>
  <c r="C1034" i="496"/>
  <c r="BE1033" i="496"/>
  <c r="BC1033" i="496"/>
  <c r="BA1033" i="496"/>
  <c r="I1033" i="496"/>
  <c r="H1033" i="496"/>
  <c r="E1033" i="496"/>
  <c r="D1033" i="496"/>
  <c r="C1033" i="496"/>
  <c r="BE1032" i="496"/>
  <c r="BC1032" i="496"/>
  <c r="BA1032" i="496"/>
  <c r="I1032" i="496"/>
  <c r="H1032" i="496"/>
  <c r="E1032" i="496"/>
  <c r="D1032" i="496"/>
  <c r="C1032" i="496"/>
  <c r="BE1031" i="496"/>
  <c r="BC1031" i="496"/>
  <c r="BA1031" i="496"/>
  <c r="I1031" i="496"/>
  <c r="H1031" i="496"/>
  <c r="E1031" i="496"/>
  <c r="D1031" i="496"/>
  <c r="C1031" i="496"/>
  <c r="BE1030" i="496"/>
  <c r="BC1030" i="496"/>
  <c r="BA1030" i="496"/>
  <c r="I1030" i="496"/>
  <c r="H1030" i="496"/>
  <c r="E1030" i="496"/>
  <c r="D1030" i="496"/>
  <c r="C1030" i="496"/>
  <c r="BE1029" i="496"/>
  <c r="BC1029" i="496"/>
  <c r="BA1029" i="496"/>
  <c r="I1029" i="496"/>
  <c r="H1029" i="496"/>
  <c r="E1029" i="496"/>
  <c r="D1029" i="496"/>
  <c r="C1029" i="496"/>
  <c r="BE1028" i="496"/>
  <c r="BC1028" i="496"/>
  <c r="BA1028" i="496"/>
  <c r="I1028" i="496"/>
  <c r="H1028" i="496"/>
  <c r="E1028" i="496"/>
  <c r="D1028" i="496"/>
  <c r="C1028" i="496"/>
  <c r="BE1027" i="496"/>
  <c r="BC1027" i="496"/>
  <c r="I1027" i="496"/>
  <c r="H1027" i="496"/>
  <c r="E1027" i="496"/>
  <c r="D1027" i="496"/>
  <c r="C1027" i="496"/>
  <c r="BF1026" i="496"/>
  <c r="BE1026" i="496"/>
  <c r="BC1026" i="496"/>
  <c r="I1026" i="496"/>
  <c r="H1026" i="496"/>
  <c r="E1026" i="496"/>
  <c r="D1026" i="496"/>
  <c r="C1026" i="496"/>
  <c r="BF1025" i="496"/>
  <c r="BE1025" i="496"/>
  <c r="BC1025" i="496"/>
  <c r="I1025" i="496"/>
  <c r="H1025" i="496"/>
  <c r="E1025" i="496"/>
  <c r="D1025" i="496"/>
  <c r="C1025" i="496"/>
  <c r="BE1024" i="496"/>
  <c r="BC1024" i="496"/>
  <c r="I1024" i="496"/>
  <c r="H1024" i="496"/>
  <c r="E1024" i="496"/>
  <c r="D1024" i="496"/>
  <c r="C1024" i="496"/>
  <c r="BE1023" i="496"/>
  <c r="BC1023" i="496"/>
  <c r="I1023" i="496"/>
  <c r="H1023" i="496"/>
  <c r="E1023" i="496"/>
  <c r="D1023" i="496"/>
  <c r="C1023" i="496"/>
  <c r="BE1022" i="496"/>
  <c r="BC1022" i="496"/>
  <c r="I1022" i="496"/>
  <c r="H1022" i="496"/>
  <c r="E1022" i="496"/>
  <c r="D1022" i="496"/>
  <c r="C1022" i="496"/>
  <c r="BE1021" i="496"/>
  <c r="BC1021" i="496"/>
  <c r="I1021" i="496"/>
  <c r="H1021" i="496"/>
  <c r="E1021" i="496"/>
  <c r="D1021" i="496"/>
  <c r="C1021" i="496"/>
  <c r="BE1020" i="496"/>
  <c r="BC1020" i="496"/>
  <c r="I1020" i="496"/>
  <c r="H1020" i="496"/>
  <c r="E1020" i="496"/>
  <c r="D1020" i="496"/>
  <c r="C1020" i="496"/>
  <c r="BE1019" i="496"/>
  <c r="BC1019" i="496"/>
  <c r="I1019" i="496"/>
  <c r="H1019" i="496"/>
  <c r="E1019" i="496"/>
  <c r="D1019" i="496"/>
  <c r="C1019" i="496"/>
  <c r="BE1018" i="496"/>
  <c r="BC1018" i="496"/>
  <c r="I1018" i="496"/>
  <c r="H1018" i="496"/>
  <c r="E1018" i="496"/>
  <c r="D1018" i="496"/>
  <c r="C1018" i="496"/>
  <c r="BE1017" i="496"/>
  <c r="BC1017" i="496"/>
  <c r="I1017" i="496"/>
  <c r="H1017" i="496"/>
  <c r="E1017" i="496"/>
  <c r="D1017" i="496"/>
  <c r="C1017" i="496"/>
  <c r="BE1016" i="496"/>
  <c r="BC1016" i="496"/>
  <c r="I1016" i="496"/>
  <c r="H1016" i="496"/>
  <c r="E1016" i="496"/>
  <c r="D1016" i="496"/>
  <c r="C1016" i="496"/>
  <c r="BE1015" i="496"/>
  <c r="BC1015" i="496"/>
  <c r="I1015" i="496"/>
  <c r="H1015" i="496"/>
  <c r="E1015" i="496"/>
  <c r="D1015" i="496"/>
  <c r="C1015" i="496"/>
  <c r="BE1014" i="496"/>
  <c r="BC1014" i="496"/>
  <c r="I1014" i="496"/>
  <c r="H1014" i="496"/>
  <c r="E1014" i="496"/>
  <c r="D1014" i="496"/>
  <c r="C1014" i="496"/>
  <c r="BE1013" i="496"/>
  <c r="BC1013" i="496"/>
  <c r="I1013" i="496"/>
  <c r="H1013" i="496"/>
  <c r="E1013" i="496"/>
  <c r="D1013" i="496"/>
  <c r="C1013" i="496"/>
  <c r="BE1012" i="496"/>
  <c r="BC1012" i="496"/>
  <c r="I1012" i="496"/>
  <c r="H1012" i="496"/>
  <c r="E1012" i="496"/>
  <c r="D1012" i="496"/>
  <c r="C1012" i="496"/>
  <c r="BE1011" i="496"/>
  <c r="BC1011" i="496"/>
  <c r="I1011" i="496"/>
  <c r="H1011" i="496"/>
  <c r="E1011" i="496"/>
  <c r="D1011" i="496"/>
  <c r="C1011" i="496"/>
  <c r="BE1010" i="496"/>
  <c r="BC1010" i="496"/>
  <c r="I1010" i="496"/>
  <c r="H1010" i="496"/>
  <c r="E1010" i="496"/>
  <c r="D1010" i="496"/>
  <c r="C1010" i="496"/>
  <c r="BE1009" i="496"/>
  <c r="BC1009" i="496"/>
  <c r="I1009" i="496"/>
  <c r="H1009" i="496"/>
  <c r="E1009" i="496"/>
  <c r="D1009" i="496"/>
  <c r="C1009" i="496"/>
  <c r="BE1008" i="496"/>
  <c r="BC1008" i="496"/>
  <c r="I1008" i="496"/>
  <c r="H1008" i="496"/>
  <c r="E1008" i="496"/>
  <c r="D1008" i="496"/>
  <c r="C1008" i="496"/>
  <c r="BE1007" i="496"/>
  <c r="BC1007" i="496"/>
  <c r="I1007" i="496"/>
  <c r="H1007" i="496"/>
  <c r="E1007" i="496"/>
  <c r="D1007" i="496"/>
  <c r="C1007" i="496"/>
  <c r="BE1006" i="496"/>
  <c r="BC1006" i="496"/>
  <c r="I1006" i="496"/>
  <c r="H1006" i="496"/>
  <c r="E1006" i="496"/>
  <c r="D1006" i="496"/>
  <c r="C1006" i="496"/>
  <c r="BE1005" i="496"/>
  <c r="BC1005" i="496"/>
  <c r="I1005" i="496"/>
  <c r="H1005" i="496"/>
  <c r="E1005" i="496"/>
  <c r="D1005" i="496"/>
  <c r="C1005" i="496"/>
  <c r="BE1004" i="496"/>
  <c r="BC1004" i="496"/>
  <c r="I1004" i="496"/>
  <c r="H1004" i="496"/>
  <c r="E1004" i="496"/>
  <c r="D1004" i="496"/>
  <c r="C1004" i="496"/>
  <c r="BE1003" i="496"/>
  <c r="BC1003" i="496"/>
  <c r="I1003" i="496"/>
  <c r="H1003" i="496"/>
  <c r="E1003" i="496"/>
  <c r="D1003" i="496"/>
  <c r="C1003" i="496"/>
  <c r="BE1002" i="496"/>
  <c r="BC1002" i="496"/>
  <c r="I1002" i="496"/>
  <c r="H1002" i="496"/>
  <c r="E1002" i="496"/>
  <c r="D1002" i="496"/>
  <c r="C1002" i="496"/>
  <c r="BE1001" i="496"/>
  <c r="BC1001" i="496"/>
  <c r="I1001" i="496"/>
  <c r="H1001" i="496"/>
  <c r="E1001" i="496"/>
  <c r="D1001" i="496"/>
  <c r="C1001" i="496"/>
  <c r="BE1000" i="496"/>
  <c r="BC1000" i="496"/>
  <c r="I1000" i="496"/>
  <c r="H1000" i="496"/>
  <c r="E1000" i="496"/>
  <c r="D1000" i="496"/>
  <c r="C1000" i="496"/>
  <c r="BE999" i="496"/>
  <c r="BC999" i="496"/>
  <c r="I999" i="496"/>
  <c r="H999" i="496"/>
  <c r="E999" i="496"/>
  <c r="D999" i="496"/>
  <c r="C999" i="496"/>
  <c r="BE998" i="496"/>
  <c r="BC998" i="496"/>
  <c r="I998" i="496"/>
  <c r="H998" i="496"/>
  <c r="E998" i="496"/>
  <c r="D998" i="496"/>
  <c r="C998" i="496"/>
  <c r="BE997" i="496"/>
  <c r="BC997" i="496"/>
  <c r="I997" i="496"/>
  <c r="H997" i="496"/>
  <c r="E997" i="496"/>
  <c r="D997" i="496"/>
  <c r="C997" i="496"/>
  <c r="BE996" i="496"/>
  <c r="BC996" i="496"/>
  <c r="I996" i="496"/>
  <c r="H996" i="496"/>
  <c r="E996" i="496"/>
  <c r="D996" i="496"/>
  <c r="C996" i="496"/>
  <c r="BE995" i="496"/>
  <c r="BC995" i="496"/>
  <c r="I995" i="496"/>
  <c r="H995" i="496"/>
  <c r="E995" i="496"/>
  <c r="D995" i="496"/>
  <c r="C995" i="496"/>
  <c r="BE994" i="496"/>
  <c r="BC994" i="496"/>
  <c r="I994" i="496"/>
  <c r="H994" i="496"/>
  <c r="E994" i="496"/>
  <c r="D994" i="496"/>
  <c r="C994" i="496"/>
  <c r="BE993" i="496"/>
  <c r="BC993" i="496"/>
  <c r="I993" i="496"/>
  <c r="H993" i="496"/>
  <c r="E993" i="496"/>
  <c r="D993" i="496"/>
  <c r="C993" i="496"/>
  <c r="BE992" i="496"/>
  <c r="BC992" i="496"/>
  <c r="I992" i="496"/>
  <c r="H992" i="496"/>
  <c r="E992" i="496"/>
  <c r="D992" i="496"/>
  <c r="C992" i="496"/>
  <c r="BE991" i="496"/>
  <c r="BC991" i="496"/>
  <c r="I991" i="496"/>
  <c r="H991" i="496"/>
  <c r="E991" i="496"/>
  <c r="D991" i="496"/>
  <c r="C991" i="496"/>
  <c r="BE990" i="496"/>
  <c r="BC990" i="496"/>
  <c r="I990" i="496"/>
  <c r="H990" i="496"/>
  <c r="E990" i="496"/>
  <c r="D990" i="496"/>
  <c r="C990" i="496"/>
  <c r="BE989" i="496"/>
  <c r="BC989" i="496"/>
  <c r="I989" i="496"/>
  <c r="H989" i="496"/>
  <c r="E989" i="496"/>
  <c r="D989" i="496"/>
  <c r="C989" i="496"/>
  <c r="BE988" i="496"/>
  <c r="BC988" i="496"/>
  <c r="I988" i="496"/>
  <c r="H988" i="496"/>
  <c r="E988" i="496"/>
  <c r="D988" i="496"/>
  <c r="C988" i="496"/>
  <c r="BE987" i="496"/>
  <c r="BC987" i="496"/>
  <c r="I987" i="496"/>
  <c r="H987" i="496"/>
  <c r="E987" i="496"/>
  <c r="D987" i="496"/>
  <c r="C987" i="496"/>
  <c r="BE986" i="496"/>
  <c r="BC986" i="496"/>
  <c r="I986" i="496"/>
  <c r="H986" i="496"/>
  <c r="E986" i="496"/>
  <c r="D986" i="496"/>
  <c r="C986" i="496"/>
  <c r="BE985" i="496"/>
  <c r="BC985" i="496"/>
  <c r="I985" i="496"/>
  <c r="H985" i="496"/>
  <c r="E985" i="496"/>
  <c r="D985" i="496"/>
  <c r="C985" i="496"/>
  <c r="BE984" i="496"/>
  <c r="BC984" i="496"/>
  <c r="I984" i="496"/>
  <c r="H984" i="496"/>
  <c r="E984" i="496"/>
  <c r="D984" i="496"/>
  <c r="C984" i="496"/>
  <c r="BE983" i="496"/>
  <c r="BC983" i="496"/>
  <c r="I983" i="496"/>
  <c r="H983" i="496"/>
  <c r="E983" i="496"/>
  <c r="D983" i="496"/>
  <c r="C983" i="496"/>
  <c r="BE982" i="496"/>
  <c r="BC982" i="496"/>
  <c r="I982" i="496"/>
  <c r="H982" i="496"/>
  <c r="E982" i="496"/>
  <c r="D982" i="496"/>
  <c r="C982" i="496"/>
  <c r="BE981" i="496"/>
  <c r="BC981" i="496"/>
  <c r="I981" i="496"/>
  <c r="H981" i="496"/>
  <c r="E981" i="496"/>
  <c r="D981" i="496"/>
  <c r="C981" i="496"/>
  <c r="BE980" i="496"/>
  <c r="BC980" i="496"/>
  <c r="I980" i="496"/>
  <c r="H980" i="496"/>
  <c r="E980" i="496"/>
  <c r="D980" i="496"/>
  <c r="C980" i="496"/>
  <c r="BE979" i="496"/>
  <c r="BC979" i="496"/>
  <c r="I979" i="496"/>
  <c r="H979" i="496"/>
  <c r="E979" i="496"/>
  <c r="D979" i="496"/>
  <c r="C979" i="496"/>
  <c r="BE978" i="496"/>
  <c r="BC978" i="496"/>
  <c r="I978" i="496"/>
  <c r="H978" i="496"/>
  <c r="E978" i="496"/>
  <c r="D978" i="496"/>
  <c r="C978" i="496"/>
  <c r="BE977" i="496"/>
  <c r="BC977" i="496"/>
  <c r="I977" i="496"/>
  <c r="H977" i="496"/>
  <c r="E977" i="496"/>
  <c r="D977" i="496"/>
  <c r="C977" i="496"/>
  <c r="BE976" i="496"/>
  <c r="BC976" i="496"/>
  <c r="I976" i="496"/>
  <c r="H976" i="496"/>
  <c r="E976" i="496"/>
  <c r="D976" i="496"/>
  <c r="C976" i="496"/>
  <c r="BE975" i="496"/>
  <c r="BC975" i="496"/>
  <c r="I975" i="496"/>
  <c r="H975" i="496"/>
  <c r="E975" i="496"/>
  <c r="D975" i="496"/>
  <c r="C975" i="496"/>
  <c r="BE974" i="496"/>
  <c r="BC974" i="496"/>
  <c r="I974" i="496"/>
  <c r="H974" i="496"/>
  <c r="E974" i="496"/>
  <c r="D974" i="496"/>
  <c r="C974" i="496"/>
  <c r="BE973" i="496"/>
  <c r="BC973" i="496"/>
  <c r="I973" i="496"/>
  <c r="H973" i="496"/>
  <c r="E973" i="496"/>
  <c r="D973" i="496"/>
  <c r="C973" i="496"/>
  <c r="BE972" i="496"/>
  <c r="BC972" i="496"/>
  <c r="I972" i="496"/>
  <c r="H972" i="496"/>
  <c r="E972" i="496"/>
  <c r="D972" i="496"/>
  <c r="C972" i="496"/>
  <c r="BE971" i="496"/>
  <c r="BC971" i="496"/>
  <c r="I971" i="496"/>
  <c r="H971" i="496"/>
  <c r="E971" i="496"/>
  <c r="D971" i="496"/>
  <c r="C971" i="496"/>
  <c r="BE970" i="496"/>
  <c r="BC970" i="496"/>
  <c r="I970" i="496"/>
  <c r="H970" i="496"/>
  <c r="E970" i="496"/>
  <c r="D970" i="496"/>
  <c r="C970" i="496"/>
  <c r="BE969" i="496"/>
  <c r="BC969" i="496"/>
  <c r="I969" i="496"/>
  <c r="H969" i="496"/>
  <c r="E969" i="496"/>
  <c r="D969" i="496"/>
  <c r="C969" i="496"/>
  <c r="BE968" i="496"/>
  <c r="BC968" i="496"/>
  <c r="I968" i="496"/>
  <c r="H968" i="496"/>
  <c r="E968" i="496"/>
  <c r="D968" i="496"/>
  <c r="C968" i="496"/>
  <c r="BE967" i="496"/>
  <c r="BC967" i="496"/>
  <c r="I967" i="496"/>
  <c r="H967" i="496"/>
  <c r="E967" i="496"/>
  <c r="D967" i="496"/>
  <c r="C967" i="496"/>
  <c r="BE966" i="496"/>
  <c r="BC966" i="496"/>
  <c r="I966" i="496"/>
  <c r="H966" i="496"/>
  <c r="E966" i="496"/>
  <c r="D966" i="496"/>
  <c r="C966" i="496"/>
  <c r="BE965" i="496"/>
  <c r="BC965" i="496"/>
  <c r="I965" i="496"/>
  <c r="H965" i="496"/>
  <c r="E965" i="496"/>
  <c r="D965" i="496"/>
  <c r="C965" i="496"/>
  <c r="BE964" i="496"/>
  <c r="BC964" i="496"/>
  <c r="I964" i="496"/>
  <c r="H964" i="496"/>
  <c r="E964" i="496"/>
  <c r="D964" i="496"/>
  <c r="C964" i="496"/>
  <c r="BE963" i="496"/>
  <c r="BC963" i="496"/>
  <c r="I963" i="496"/>
  <c r="H963" i="496"/>
  <c r="E963" i="496"/>
  <c r="D963" i="496"/>
  <c r="C963" i="496"/>
  <c r="BE962" i="496"/>
  <c r="BC962" i="496"/>
  <c r="I962" i="496"/>
  <c r="H962" i="496"/>
  <c r="E962" i="496"/>
  <c r="D962" i="496"/>
  <c r="C962" i="496"/>
  <c r="BE961" i="496"/>
  <c r="BC961" i="496"/>
  <c r="I961" i="496"/>
  <c r="H961" i="496"/>
  <c r="E961" i="496"/>
  <c r="D961" i="496"/>
  <c r="C961" i="496"/>
  <c r="BE960" i="496"/>
  <c r="BC960" i="496"/>
  <c r="I960" i="496"/>
  <c r="H960" i="496"/>
  <c r="E960" i="496"/>
  <c r="D960" i="496"/>
  <c r="C960" i="496"/>
  <c r="BE959" i="496"/>
  <c r="BC959" i="496"/>
  <c r="I959" i="496"/>
  <c r="H959" i="496"/>
  <c r="E959" i="496"/>
  <c r="D959" i="496"/>
  <c r="C959" i="496"/>
  <c r="BE958" i="496"/>
  <c r="BC958" i="496"/>
  <c r="I958" i="496"/>
  <c r="H958" i="496"/>
  <c r="E958" i="496"/>
  <c r="D958" i="496"/>
  <c r="C958" i="496"/>
  <c r="BE957" i="496"/>
  <c r="BC957" i="496"/>
  <c r="I957" i="496"/>
  <c r="H957" i="496"/>
  <c r="E957" i="496"/>
  <c r="D957" i="496"/>
  <c r="C957" i="496"/>
  <c r="BE956" i="496"/>
  <c r="BC956" i="496"/>
  <c r="I956" i="496"/>
  <c r="H956" i="496"/>
  <c r="E956" i="496"/>
  <c r="D956" i="496"/>
  <c r="C956" i="496"/>
  <c r="BE955" i="496"/>
  <c r="BC955" i="496"/>
  <c r="I955" i="496"/>
  <c r="H955" i="496"/>
  <c r="E955" i="496"/>
  <c r="D955" i="496"/>
  <c r="C955" i="496"/>
  <c r="BE954" i="496"/>
  <c r="BC954" i="496"/>
  <c r="I954" i="496"/>
  <c r="H954" i="496"/>
  <c r="E954" i="496"/>
  <c r="D954" i="496"/>
  <c r="C954" i="496"/>
  <c r="BE953" i="496"/>
  <c r="BC953" i="496"/>
  <c r="I953" i="496"/>
  <c r="H953" i="496"/>
  <c r="E953" i="496"/>
  <c r="D953" i="496"/>
  <c r="C953" i="496"/>
  <c r="BE952" i="496"/>
  <c r="BC952" i="496"/>
  <c r="I952" i="496"/>
  <c r="H952" i="496"/>
  <c r="E952" i="496"/>
  <c r="D952" i="496"/>
  <c r="C952" i="496"/>
  <c r="BE951" i="496"/>
  <c r="BC951" i="496"/>
  <c r="I951" i="496"/>
  <c r="H951" i="496"/>
  <c r="E951" i="496"/>
  <c r="D951" i="496"/>
  <c r="C951" i="496"/>
  <c r="BE950" i="496"/>
  <c r="BC950" i="496"/>
  <c r="I950" i="496"/>
  <c r="H950" i="496"/>
  <c r="E950" i="496"/>
  <c r="D950" i="496"/>
  <c r="C950" i="496"/>
  <c r="BE949" i="496"/>
  <c r="BC949" i="496"/>
  <c r="I949" i="496"/>
  <c r="H949" i="496"/>
  <c r="E949" i="496"/>
  <c r="D949" i="496"/>
  <c r="C949" i="496"/>
  <c r="BE948" i="496"/>
  <c r="BC948" i="496"/>
  <c r="I948" i="496"/>
  <c r="H948" i="496"/>
  <c r="E948" i="496"/>
  <c r="D948" i="496"/>
  <c r="C948" i="496"/>
  <c r="BE947" i="496"/>
  <c r="BC947" i="496"/>
  <c r="I947" i="496"/>
  <c r="H947" i="496"/>
  <c r="E947" i="496"/>
  <c r="D947" i="496"/>
  <c r="C947" i="496"/>
  <c r="BE946" i="496"/>
  <c r="BC946" i="496"/>
  <c r="I946" i="496"/>
  <c r="H946" i="496"/>
  <c r="E946" i="496"/>
  <c r="D946" i="496"/>
  <c r="C946" i="496"/>
  <c r="BE945" i="496"/>
  <c r="BC945" i="496"/>
  <c r="I945" i="496"/>
  <c r="H945" i="496"/>
  <c r="E945" i="496"/>
  <c r="D945" i="496"/>
  <c r="C945" i="496"/>
  <c r="BE944" i="496"/>
  <c r="BC944" i="496"/>
  <c r="I944" i="496"/>
  <c r="H944" i="496"/>
  <c r="E944" i="496"/>
  <c r="D944" i="496"/>
  <c r="C944" i="496"/>
  <c r="BE943" i="496"/>
  <c r="BC943" i="496"/>
  <c r="I943" i="496"/>
  <c r="H943" i="496"/>
  <c r="E943" i="496"/>
  <c r="D943" i="496"/>
  <c r="C943" i="496"/>
  <c r="BE942" i="496"/>
  <c r="BC942" i="496"/>
  <c r="I942" i="496"/>
  <c r="H942" i="496"/>
  <c r="E942" i="496"/>
  <c r="D942" i="496"/>
  <c r="C942" i="496"/>
  <c r="BE941" i="496"/>
  <c r="BC941" i="496"/>
  <c r="I941" i="496"/>
  <c r="H941" i="496"/>
  <c r="E941" i="496"/>
  <c r="D941" i="496"/>
  <c r="C941" i="496"/>
  <c r="BE940" i="496"/>
  <c r="BC940" i="496"/>
  <c r="I940" i="496"/>
  <c r="H940" i="496"/>
  <c r="E940" i="496"/>
  <c r="D940" i="496"/>
  <c r="C940" i="496"/>
  <c r="BE939" i="496"/>
  <c r="BC939" i="496"/>
  <c r="I939" i="496"/>
  <c r="H939" i="496"/>
  <c r="E939" i="496"/>
  <c r="D939" i="496"/>
  <c r="C939" i="496"/>
  <c r="BE938" i="496"/>
  <c r="BC938" i="496"/>
  <c r="I938" i="496"/>
  <c r="H938" i="496"/>
  <c r="E938" i="496"/>
  <c r="D938" i="496"/>
  <c r="C938" i="496"/>
  <c r="BE937" i="496"/>
  <c r="BC937" i="496"/>
  <c r="I937" i="496"/>
  <c r="H937" i="496"/>
  <c r="E937" i="496"/>
  <c r="D937" i="496"/>
  <c r="C937" i="496"/>
  <c r="BE936" i="496"/>
  <c r="BC936" i="496"/>
  <c r="I936" i="496"/>
  <c r="H936" i="496"/>
  <c r="E936" i="496"/>
  <c r="D936" i="496"/>
  <c r="C936" i="496"/>
  <c r="BE935" i="496"/>
  <c r="BC935" i="496"/>
  <c r="I935" i="496"/>
  <c r="H935" i="496"/>
  <c r="E935" i="496"/>
  <c r="D935" i="496"/>
  <c r="C935" i="496"/>
  <c r="BE934" i="496"/>
  <c r="BC934" i="496"/>
  <c r="I934" i="496"/>
  <c r="H934" i="496"/>
  <c r="E934" i="496"/>
  <c r="D934" i="496"/>
  <c r="C934" i="496"/>
  <c r="BE933" i="496"/>
  <c r="BC933" i="496"/>
  <c r="I933" i="496"/>
  <c r="H933" i="496"/>
  <c r="E933" i="496"/>
  <c r="D933" i="496"/>
  <c r="C933" i="496"/>
  <c r="BE932" i="496"/>
  <c r="BC932" i="496"/>
  <c r="I932" i="496"/>
  <c r="H932" i="496"/>
  <c r="E932" i="496"/>
  <c r="D932" i="496"/>
  <c r="C932" i="496"/>
  <c r="BE931" i="496"/>
  <c r="BC931" i="496"/>
  <c r="I931" i="496"/>
  <c r="H931" i="496"/>
  <c r="E931" i="496"/>
  <c r="D931" i="496"/>
  <c r="C931" i="496"/>
  <c r="BE930" i="496"/>
  <c r="BC930" i="496"/>
  <c r="I930" i="496"/>
  <c r="H930" i="496"/>
  <c r="E930" i="496"/>
  <c r="D930" i="496"/>
  <c r="C930" i="496"/>
  <c r="BE929" i="496"/>
  <c r="BC929" i="496"/>
  <c r="I929" i="496"/>
  <c r="H929" i="496"/>
  <c r="E929" i="496"/>
  <c r="D929" i="496"/>
  <c r="C929" i="496"/>
  <c r="BE928" i="496"/>
  <c r="BC928" i="496"/>
  <c r="I928" i="496"/>
  <c r="H928" i="496"/>
  <c r="E928" i="496"/>
  <c r="D928" i="496"/>
  <c r="C928" i="496"/>
  <c r="BE927" i="496"/>
  <c r="BC927" i="496"/>
  <c r="I927" i="496"/>
  <c r="H927" i="496"/>
  <c r="E927" i="496"/>
  <c r="D927" i="496"/>
  <c r="C927" i="496"/>
  <c r="BE926" i="496"/>
  <c r="BC926" i="496"/>
  <c r="I926" i="496"/>
  <c r="H926" i="496"/>
  <c r="E926" i="496"/>
  <c r="D926" i="496"/>
  <c r="C926" i="496"/>
  <c r="BE925" i="496"/>
  <c r="BC925" i="496"/>
  <c r="I925" i="496"/>
  <c r="H925" i="496"/>
  <c r="E925" i="496"/>
  <c r="D925" i="496"/>
  <c r="C925" i="496"/>
  <c r="BE924" i="496"/>
  <c r="BC924" i="496"/>
  <c r="I924" i="496"/>
  <c r="H924" i="496"/>
  <c r="E924" i="496"/>
  <c r="D924" i="496"/>
  <c r="C924" i="496"/>
  <c r="BE923" i="496"/>
  <c r="BC923" i="496"/>
  <c r="I923" i="496"/>
  <c r="H923" i="496"/>
  <c r="E923" i="496"/>
  <c r="D923" i="496"/>
  <c r="C923" i="496"/>
  <c r="BE922" i="496"/>
  <c r="BC922" i="496"/>
  <c r="I922" i="496"/>
  <c r="H922" i="496"/>
  <c r="E922" i="496"/>
  <c r="D922" i="496"/>
  <c r="C922" i="496"/>
  <c r="BE921" i="496"/>
  <c r="BC921" i="496"/>
  <c r="I921" i="496"/>
  <c r="H921" i="496"/>
  <c r="E921" i="496"/>
  <c r="D921" i="496"/>
  <c r="C921" i="496"/>
  <c r="BE920" i="496"/>
  <c r="BC920" i="496"/>
  <c r="I920" i="496"/>
  <c r="H920" i="496"/>
  <c r="E920" i="496"/>
  <c r="D920" i="496"/>
  <c r="C920" i="496"/>
  <c r="BE919" i="496"/>
  <c r="BC919" i="496"/>
  <c r="I919" i="496"/>
  <c r="H919" i="496"/>
  <c r="E919" i="496"/>
  <c r="D919" i="496"/>
  <c r="C919" i="496"/>
  <c r="BE918" i="496"/>
  <c r="BC918" i="496"/>
  <c r="I918" i="496"/>
  <c r="H918" i="496"/>
  <c r="E918" i="496"/>
  <c r="D918" i="496"/>
  <c r="C918" i="496"/>
  <c r="BE917" i="496"/>
  <c r="BC917" i="496"/>
  <c r="I917" i="496"/>
  <c r="H917" i="496"/>
  <c r="E917" i="496"/>
  <c r="D917" i="496"/>
  <c r="C917" i="496"/>
  <c r="BE916" i="496"/>
  <c r="BC916" i="496"/>
  <c r="I916" i="496"/>
  <c r="H916" i="496"/>
  <c r="E916" i="496"/>
  <c r="D916" i="496"/>
  <c r="C916" i="496"/>
  <c r="BE915" i="496"/>
  <c r="BC915" i="496"/>
  <c r="I915" i="496"/>
  <c r="H915" i="496"/>
  <c r="E915" i="496"/>
  <c r="D915" i="496"/>
  <c r="C915" i="496"/>
  <c r="BE914" i="496"/>
  <c r="BC914" i="496"/>
  <c r="I914" i="496"/>
  <c r="H914" i="496"/>
  <c r="E914" i="496"/>
  <c r="D914" i="496"/>
  <c r="C914" i="496"/>
  <c r="BE913" i="496"/>
  <c r="BC913" i="496"/>
  <c r="I913" i="496"/>
  <c r="H913" i="496"/>
  <c r="E913" i="496"/>
  <c r="D913" i="496"/>
  <c r="C913" i="496"/>
  <c r="BE912" i="496"/>
  <c r="BC912" i="496"/>
  <c r="I912" i="496"/>
  <c r="H912" i="496"/>
  <c r="E912" i="496"/>
  <c r="D912" i="496"/>
  <c r="C912" i="496"/>
  <c r="BE911" i="496"/>
  <c r="BC911" i="496"/>
  <c r="I911" i="496"/>
  <c r="H911" i="496"/>
  <c r="E911" i="496"/>
  <c r="D911" i="496"/>
  <c r="C911" i="496"/>
  <c r="BE910" i="496"/>
  <c r="BC910" i="496"/>
  <c r="I910" i="496"/>
  <c r="H910" i="496"/>
  <c r="E910" i="496"/>
  <c r="D910" i="496"/>
  <c r="C910" i="496"/>
  <c r="BE909" i="496"/>
  <c r="BC909" i="496"/>
  <c r="I909" i="496"/>
  <c r="H909" i="496"/>
  <c r="E909" i="496"/>
  <c r="D909" i="496"/>
  <c r="C909" i="496"/>
  <c r="BE908" i="496"/>
  <c r="BC908" i="496"/>
  <c r="I908" i="496"/>
  <c r="H908" i="496"/>
  <c r="E908" i="496"/>
  <c r="D908" i="496"/>
  <c r="C908" i="496"/>
  <c r="BE907" i="496"/>
  <c r="BC907" i="496"/>
  <c r="I907" i="496"/>
  <c r="H907" i="496"/>
  <c r="E907" i="496"/>
  <c r="D907" i="496"/>
  <c r="C907" i="496"/>
  <c r="BE906" i="496"/>
  <c r="BC906" i="496"/>
  <c r="I906" i="496"/>
  <c r="H906" i="496"/>
  <c r="E906" i="496"/>
  <c r="D906" i="496"/>
  <c r="C906" i="496"/>
  <c r="BE905" i="496"/>
  <c r="BC905" i="496"/>
  <c r="I905" i="496"/>
  <c r="H905" i="496"/>
  <c r="E905" i="496"/>
  <c r="D905" i="496"/>
  <c r="C905" i="496"/>
  <c r="BE904" i="496"/>
  <c r="BC904" i="496"/>
  <c r="I904" i="496"/>
  <c r="H904" i="496"/>
  <c r="E904" i="496"/>
  <c r="D904" i="496"/>
  <c r="C904" i="496"/>
  <c r="BE903" i="496"/>
  <c r="BC903" i="496"/>
  <c r="I903" i="496"/>
  <c r="H903" i="496"/>
  <c r="E903" i="496"/>
  <c r="D903" i="496"/>
  <c r="C903" i="496"/>
  <c r="BE902" i="496"/>
  <c r="BC902" i="496"/>
  <c r="I902" i="496"/>
  <c r="H902" i="496"/>
  <c r="E902" i="496"/>
  <c r="D902" i="496"/>
  <c r="C902" i="496"/>
  <c r="BE901" i="496"/>
  <c r="BC901" i="496"/>
  <c r="I901" i="496"/>
  <c r="H901" i="496"/>
  <c r="E901" i="496"/>
  <c r="D901" i="496"/>
  <c r="C901" i="496"/>
  <c r="BE900" i="496"/>
  <c r="BC900" i="496"/>
  <c r="I900" i="496"/>
  <c r="H900" i="496"/>
  <c r="E900" i="496"/>
  <c r="D900" i="496"/>
  <c r="C900" i="496"/>
  <c r="BE899" i="496"/>
  <c r="BC899" i="496"/>
  <c r="I899" i="496"/>
  <c r="H899" i="496"/>
  <c r="E899" i="496"/>
  <c r="D899" i="496"/>
  <c r="C899" i="496"/>
  <c r="BE898" i="496"/>
  <c r="BC898" i="496"/>
  <c r="I898" i="496"/>
  <c r="H898" i="496"/>
  <c r="E898" i="496"/>
  <c r="D898" i="496"/>
  <c r="C898" i="496"/>
  <c r="BE897" i="496"/>
  <c r="BC897" i="496"/>
  <c r="I897" i="496"/>
  <c r="H897" i="496"/>
  <c r="E897" i="496"/>
  <c r="D897" i="496"/>
  <c r="C897" i="496"/>
  <c r="BE896" i="496"/>
  <c r="BC896" i="496"/>
  <c r="I896" i="496"/>
  <c r="H896" i="496"/>
  <c r="E896" i="496"/>
  <c r="D896" i="496"/>
  <c r="C896" i="496"/>
  <c r="BE895" i="496"/>
  <c r="BC895" i="496"/>
  <c r="I895" i="496"/>
  <c r="H895" i="496"/>
  <c r="E895" i="496"/>
  <c r="D895" i="496"/>
  <c r="C895" i="496"/>
  <c r="BE894" i="496"/>
  <c r="BC894" i="496"/>
  <c r="I894" i="496"/>
  <c r="H894" i="496"/>
  <c r="E894" i="496"/>
  <c r="D894" i="496"/>
  <c r="C894" i="496"/>
  <c r="BE893" i="496"/>
  <c r="BC893" i="496"/>
  <c r="I893" i="496"/>
  <c r="H893" i="496"/>
  <c r="E893" i="496"/>
  <c r="D893" i="496"/>
  <c r="C893" i="496"/>
  <c r="BE892" i="496"/>
  <c r="BC892" i="496"/>
  <c r="I892" i="496"/>
  <c r="H892" i="496"/>
  <c r="E892" i="496"/>
  <c r="D892" i="496"/>
  <c r="C892" i="496"/>
  <c r="BE891" i="496"/>
  <c r="BC891" i="496"/>
  <c r="I891" i="496"/>
  <c r="H891" i="496"/>
  <c r="E891" i="496"/>
  <c r="D891" i="496"/>
  <c r="C891" i="496"/>
  <c r="BE890" i="496"/>
  <c r="BC890" i="496"/>
  <c r="I890" i="496"/>
  <c r="H890" i="496"/>
  <c r="E890" i="496"/>
  <c r="D890" i="496"/>
  <c r="C890" i="496"/>
  <c r="BE889" i="496"/>
  <c r="BC889" i="496"/>
  <c r="I889" i="496"/>
  <c r="H889" i="496"/>
  <c r="E889" i="496"/>
  <c r="D889" i="496"/>
  <c r="C889" i="496"/>
  <c r="BE888" i="496"/>
  <c r="BC888" i="496"/>
  <c r="I888" i="496"/>
  <c r="H888" i="496"/>
  <c r="E888" i="496"/>
  <c r="D888" i="496"/>
  <c r="C888" i="496"/>
  <c r="BE887" i="496"/>
  <c r="BC887" i="496"/>
  <c r="I887" i="496"/>
  <c r="H887" i="496"/>
  <c r="E887" i="496"/>
  <c r="D887" i="496"/>
  <c r="C887" i="496"/>
  <c r="BE886" i="496"/>
  <c r="BC886" i="496"/>
  <c r="I886" i="496"/>
  <c r="H886" i="496"/>
  <c r="E886" i="496"/>
  <c r="D886" i="496"/>
  <c r="C886" i="496"/>
  <c r="BE885" i="496"/>
  <c r="BC885" i="496"/>
  <c r="I885" i="496"/>
  <c r="H885" i="496"/>
  <c r="E885" i="496"/>
  <c r="D885" i="496"/>
  <c r="C885" i="496"/>
  <c r="BE884" i="496"/>
  <c r="BC884" i="496"/>
  <c r="I884" i="496"/>
  <c r="H884" i="496"/>
  <c r="E884" i="496"/>
  <c r="D884" i="496"/>
  <c r="C884" i="496"/>
  <c r="BE883" i="496"/>
  <c r="BC883" i="496"/>
  <c r="I883" i="496"/>
  <c r="H883" i="496"/>
  <c r="E883" i="496"/>
  <c r="D883" i="496"/>
  <c r="C883" i="496"/>
  <c r="BE882" i="496"/>
  <c r="BC882" i="496"/>
  <c r="I882" i="496"/>
  <c r="H882" i="496"/>
  <c r="E882" i="496"/>
  <c r="D882" i="496"/>
  <c r="C882" i="496"/>
  <c r="BE881" i="496"/>
  <c r="BC881" i="496"/>
  <c r="I881" i="496"/>
  <c r="H881" i="496"/>
  <c r="E881" i="496"/>
  <c r="D881" i="496"/>
  <c r="C881" i="496"/>
  <c r="BE880" i="496"/>
  <c r="BC880" i="496"/>
  <c r="I880" i="496"/>
  <c r="H880" i="496"/>
  <c r="E880" i="496"/>
  <c r="D880" i="496"/>
  <c r="C880" i="496"/>
  <c r="BE879" i="496"/>
  <c r="BC879" i="496"/>
  <c r="I879" i="496"/>
  <c r="H879" i="496"/>
  <c r="E879" i="496"/>
  <c r="D879" i="496"/>
  <c r="C879" i="496"/>
  <c r="BE878" i="496"/>
  <c r="BC878" i="496"/>
  <c r="I878" i="496"/>
  <c r="H878" i="496"/>
  <c r="E878" i="496"/>
  <c r="D878" i="496"/>
  <c r="C878" i="496"/>
  <c r="BE877" i="496"/>
  <c r="BC877" i="496"/>
  <c r="I877" i="496"/>
  <c r="H877" i="496"/>
  <c r="E877" i="496"/>
  <c r="D877" i="496"/>
  <c r="C877" i="496"/>
  <c r="BE876" i="496"/>
  <c r="BC876" i="496"/>
  <c r="BA876" i="496"/>
  <c r="I876" i="496"/>
  <c r="H876" i="496"/>
  <c r="E876" i="496"/>
  <c r="D876" i="496"/>
  <c r="C876" i="496"/>
  <c r="BE875" i="496"/>
  <c r="BC875" i="496"/>
  <c r="BA875" i="496"/>
  <c r="I875" i="496"/>
  <c r="H875" i="496"/>
  <c r="E875" i="496"/>
  <c r="D875" i="496"/>
  <c r="C875" i="496"/>
  <c r="BE874" i="496"/>
  <c r="BC874" i="496"/>
  <c r="BA874" i="496"/>
  <c r="I874" i="496"/>
  <c r="H874" i="496"/>
  <c r="E874" i="496"/>
  <c r="D874" i="496"/>
  <c r="C874" i="496"/>
  <c r="BE873" i="496"/>
  <c r="BC873" i="496"/>
  <c r="BA873" i="496"/>
  <c r="I873" i="496"/>
  <c r="H873" i="496"/>
  <c r="E873" i="496"/>
  <c r="D873" i="496"/>
  <c r="C873" i="496"/>
  <c r="BE872" i="496"/>
  <c r="BC872" i="496"/>
  <c r="BA872" i="496"/>
  <c r="I872" i="496"/>
  <c r="H872" i="496"/>
  <c r="E872" i="496"/>
  <c r="D872" i="496"/>
  <c r="C872" i="496"/>
  <c r="BE871" i="496"/>
  <c r="BC871" i="496"/>
  <c r="BA871" i="496"/>
  <c r="I871" i="496"/>
  <c r="H871" i="496"/>
  <c r="E871" i="496"/>
  <c r="D871" i="496"/>
  <c r="C871" i="496"/>
  <c r="BE870" i="496"/>
  <c r="BC870" i="496"/>
  <c r="BA870" i="496"/>
  <c r="I870" i="496"/>
  <c r="H870" i="496"/>
  <c r="E870" i="496"/>
  <c r="D870" i="496"/>
  <c r="C870" i="496"/>
  <c r="BE869" i="496"/>
  <c r="BC869" i="496"/>
  <c r="BA869" i="496"/>
  <c r="I869" i="496"/>
  <c r="H869" i="496"/>
  <c r="E869" i="496"/>
  <c r="D869" i="496"/>
  <c r="C869" i="496"/>
  <c r="BE868" i="496"/>
  <c r="BC868" i="496"/>
  <c r="BA868" i="496"/>
  <c r="I868" i="496"/>
  <c r="H868" i="496"/>
  <c r="E868" i="496"/>
  <c r="D868" i="496"/>
  <c r="C868" i="496"/>
  <c r="BE867" i="496"/>
  <c r="BC867" i="496"/>
  <c r="BA867" i="496"/>
  <c r="I867" i="496"/>
  <c r="H867" i="496"/>
  <c r="E867" i="496"/>
  <c r="D867" i="496"/>
  <c r="C867" i="496"/>
  <c r="BE866" i="496"/>
  <c r="BC866" i="496"/>
  <c r="I866" i="496"/>
  <c r="H866" i="496"/>
  <c r="E866" i="496"/>
  <c r="D866" i="496"/>
  <c r="C866" i="496"/>
  <c r="BE865" i="496"/>
  <c r="BC865" i="496"/>
  <c r="I865" i="496"/>
  <c r="H865" i="496"/>
  <c r="E865" i="496"/>
  <c r="D865" i="496"/>
  <c r="C865" i="496"/>
  <c r="BE864" i="496"/>
  <c r="BC864" i="496"/>
  <c r="I864" i="496"/>
  <c r="H864" i="496"/>
  <c r="E864" i="496"/>
  <c r="D864" i="496"/>
  <c r="C864" i="496"/>
  <c r="BE863" i="496"/>
  <c r="BC863" i="496"/>
  <c r="I863" i="496"/>
  <c r="H863" i="496"/>
  <c r="E863" i="496"/>
  <c r="D863" i="496"/>
  <c r="C863" i="496"/>
  <c r="BE862" i="496"/>
  <c r="BC862" i="496"/>
  <c r="I862" i="496"/>
  <c r="H862" i="496"/>
  <c r="E862" i="496"/>
  <c r="D862" i="496"/>
  <c r="C862" i="496"/>
  <c r="BE861" i="496"/>
  <c r="BC861" i="496"/>
  <c r="I861" i="496"/>
  <c r="H861" i="496"/>
  <c r="E861" i="496"/>
  <c r="D861" i="496"/>
  <c r="C861" i="496"/>
  <c r="BE860" i="496"/>
  <c r="BC860" i="496"/>
  <c r="I860" i="496"/>
  <c r="H860" i="496"/>
  <c r="E860" i="496"/>
  <c r="D860" i="496"/>
  <c r="C860" i="496"/>
  <c r="BE859" i="496"/>
  <c r="BC859" i="496"/>
  <c r="I859" i="496"/>
  <c r="H859" i="496"/>
  <c r="E859" i="496"/>
  <c r="D859" i="496"/>
  <c r="C859" i="496"/>
  <c r="BE858" i="496"/>
  <c r="BC858" i="496"/>
  <c r="I858" i="496"/>
  <c r="H858" i="496"/>
  <c r="E858" i="496"/>
  <c r="D858" i="496"/>
  <c r="C858" i="496"/>
  <c r="BE857" i="496"/>
  <c r="BC857" i="496"/>
  <c r="I857" i="496"/>
  <c r="H857" i="496"/>
  <c r="E857" i="496"/>
  <c r="D857" i="496"/>
  <c r="C857" i="496"/>
  <c r="BE856" i="496"/>
  <c r="BC856" i="496"/>
  <c r="I856" i="496"/>
  <c r="H856" i="496"/>
  <c r="E856" i="496"/>
  <c r="D856" i="496"/>
  <c r="C856" i="496"/>
  <c r="BE855" i="496"/>
  <c r="BC855" i="496"/>
  <c r="I855" i="496"/>
  <c r="H855" i="496"/>
  <c r="E855" i="496"/>
  <c r="D855" i="496"/>
  <c r="C855" i="496"/>
  <c r="BE854" i="496"/>
  <c r="BC854" i="496"/>
  <c r="I854" i="496"/>
  <c r="H854" i="496"/>
  <c r="E854" i="496"/>
  <c r="D854" i="496"/>
  <c r="C854" i="496"/>
  <c r="BE853" i="496"/>
  <c r="BC853" i="496"/>
  <c r="I853" i="496"/>
  <c r="H853" i="496"/>
  <c r="E853" i="496"/>
  <c r="D853" i="496"/>
  <c r="C853" i="496"/>
  <c r="BE852" i="496"/>
  <c r="BC852" i="496"/>
  <c r="I852" i="496"/>
  <c r="H852" i="496"/>
  <c r="E852" i="496"/>
  <c r="D852" i="496"/>
  <c r="C852" i="496"/>
  <c r="BE851" i="496"/>
  <c r="BC851" i="496"/>
  <c r="I851" i="496"/>
  <c r="H851" i="496"/>
  <c r="E851" i="496"/>
  <c r="D851" i="496"/>
  <c r="C851" i="496"/>
  <c r="BE850" i="496"/>
  <c r="BC850" i="496"/>
  <c r="I850" i="496"/>
  <c r="H850" i="496"/>
  <c r="E850" i="496"/>
  <c r="D850" i="496"/>
  <c r="C850" i="496"/>
  <c r="BE849" i="496"/>
  <c r="BC849" i="496"/>
  <c r="I849" i="496"/>
  <c r="H849" i="496"/>
  <c r="E849" i="496"/>
  <c r="D849" i="496"/>
  <c r="C849" i="496"/>
  <c r="BE848" i="496"/>
  <c r="BC848" i="496"/>
  <c r="I848" i="496"/>
  <c r="H848" i="496"/>
  <c r="E848" i="496"/>
  <c r="D848" i="496"/>
  <c r="C848" i="496"/>
  <c r="BE847" i="496"/>
  <c r="BC847" i="496"/>
  <c r="I847" i="496"/>
  <c r="H847" i="496"/>
  <c r="E847" i="496"/>
  <c r="D847" i="496"/>
  <c r="C847" i="496"/>
  <c r="BE846" i="496"/>
  <c r="BC846" i="496"/>
  <c r="I846" i="496"/>
  <c r="H846" i="496"/>
  <c r="E846" i="496"/>
  <c r="D846" i="496"/>
  <c r="C846" i="496"/>
  <c r="BE845" i="496"/>
  <c r="BC845" i="496"/>
  <c r="I845" i="496"/>
  <c r="H845" i="496"/>
  <c r="E845" i="496"/>
  <c r="D845" i="496"/>
  <c r="C845" i="496"/>
  <c r="BE844" i="496"/>
  <c r="BC844" i="496"/>
  <c r="I844" i="496"/>
  <c r="H844" i="496"/>
  <c r="E844" i="496"/>
  <c r="D844" i="496"/>
  <c r="C844" i="496"/>
  <c r="BE843" i="496"/>
  <c r="BC843" i="496"/>
  <c r="I843" i="496"/>
  <c r="H843" i="496"/>
  <c r="E843" i="496"/>
  <c r="D843" i="496"/>
  <c r="C843" i="496"/>
  <c r="BE842" i="496"/>
  <c r="BC842" i="496"/>
  <c r="I842" i="496"/>
  <c r="H842" i="496"/>
  <c r="E842" i="496"/>
  <c r="D842" i="496"/>
  <c r="C842" i="496"/>
  <c r="BE841" i="496"/>
  <c r="BC841" i="496"/>
  <c r="I841" i="496"/>
  <c r="H841" i="496"/>
  <c r="E841" i="496"/>
  <c r="D841" i="496"/>
  <c r="C841" i="496"/>
  <c r="BE840" i="496"/>
  <c r="BC840" i="496"/>
  <c r="I840" i="496"/>
  <c r="H840" i="496"/>
  <c r="E840" i="496"/>
  <c r="D840" i="496"/>
  <c r="C840" i="496"/>
  <c r="BE839" i="496"/>
  <c r="BC839" i="496"/>
  <c r="I839" i="496"/>
  <c r="H839" i="496"/>
  <c r="E839" i="496"/>
  <c r="D839" i="496"/>
  <c r="C839" i="496"/>
  <c r="BE838" i="496"/>
  <c r="BC838" i="496"/>
  <c r="I838" i="496"/>
  <c r="H838" i="496"/>
  <c r="E838" i="496"/>
  <c r="D838" i="496"/>
  <c r="C838" i="496"/>
  <c r="BE837" i="496"/>
  <c r="BC837" i="496"/>
  <c r="I837" i="496"/>
  <c r="H837" i="496"/>
  <c r="E837" i="496"/>
  <c r="D837" i="496"/>
  <c r="C837" i="496"/>
  <c r="BE836" i="496"/>
  <c r="BC836" i="496"/>
  <c r="I836" i="496"/>
  <c r="H836" i="496"/>
  <c r="E836" i="496"/>
  <c r="D836" i="496"/>
  <c r="C836" i="496"/>
  <c r="BE835" i="496"/>
  <c r="BC835" i="496"/>
  <c r="I835" i="496"/>
  <c r="H835" i="496"/>
  <c r="E835" i="496"/>
  <c r="D835" i="496"/>
  <c r="C835" i="496"/>
  <c r="BE834" i="496"/>
  <c r="BC834" i="496"/>
  <c r="I834" i="496"/>
  <c r="H834" i="496"/>
  <c r="E834" i="496"/>
  <c r="D834" i="496"/>
  <c r="C834" i="496"/>
  <c r="BE833" i="496"/>
  <c r="BC833" i="496"/>
  <c r="I833" i="496"/>
  <c r="H833" i="496"/>
  <c r="E833" i="496"/>
  <c r="D833" i="496"/>
  <c r="C833" i="496"/>
  <c r="BE832" i="496"/>
  <c r="BC832" i="496"/>
  <c r="I832" i="496"/>
  <c r="H832" i="496"/>
  <c r="E832" i="496"/>
  <c r="D832" i="496"/>
  <c r="C832" i="496"/>
  <c r="BE831" i="496"/>
  <c r="BC831" i="496"/>
  <c r="I831" i="496"/>
  <c r="H831" i="496"/>
  <c r="E831" i="496"/>
  <c r="D831" i="496"/>
  <c r="C831" i="496"/>
  <c r="BE830" i="496"/>
  <c r="BC830" i="496"/>
  <c r="I830" i="496"/>
  <c r="H830" i="496"/>
  <c r="E830" i="496"/>
  <c r="D830" i="496"/>
  <c r="C830" i="496"/>
  <c r="BE829" i="496"/>
  <c r="BC829" i="496"/>
  <c r="I829" i="496"/>
  <c r="H829" i="496"/>
  <c r="E829" i="496"/>
  <c r="D829" i="496"/>
  <c r="C829" i="496"/>
  <c r="BE828" i="496"/>
  <c r="BC828" i="496"/>
  <c r="I828" i="496"/>
  <c r="H828" i="496"/>
  <c r="E828" i="496"/>
  <c r="D828" i="496"/>
  <c r="C828" i="496"/>
  <c r="BE827" i="496"/>
  <c r="BC827" i="496"/>
  <c r="I827" i="496"/>
  <c r="H827" i="496"/>
  <c r="E827" i="496"/>
  <c r="D827" i="496"/>
  <c r="C827" i="496"/>
  <c r="BE826" i="496"/>
  <c r="BC826" i="496"/>
  <c r="I826" i="496"/>
  <c r="H826" i="496"/>
  <c r="E826" i="496"/>
  <c r="D826" i="496"/>
  <c r="C826" i="496"/>
  <c r="BE825" i="496"/>
  <c r="BC825" i="496"/>
  <c r="I825" i="496"/>
  <c r="H825" i="496"/>
  <c r="E825" i="496"/>
  <c r="D825" i="496"/>
  <c r="C825" i="496"/>
  <c r="BE824" i="496"/>
  <c r="BC824" i="496"/>
  <c r="I824" i="496"/>
  <c r="H824" i="496"/>
  <c r="E824" i="496"/>
  <c r="D824" i="496"/>
  <c r="C824" i="496"/>
  <c r="BE823" i="496"/>
  <c r="BC823" i="496"/>
  <c r="I823" i="496"/>
  <c r="H823" i="496"/>
  <c r="E823" i="496"/>
  <c r="D823" i="496"/>
  <c r="C823" i="496"/>
  <c r="BE822" i="496"/>
  <c r="BC822" i="496"/>
  <c r="I822" i="496"/>
  <c r="H822" i="496"/>
  <c r="E822" i="496"/>
  <c r="D822" i="496"/>
  <c r="C822" i="496"/>
  <c r="BE821" i="496"/>
  <c r="BC821" i="496"/>
  <c r="I821" i="496"/>
  <c r="H821" i="496"/>
  <c r="E821" i="496"/>
  <c r="D821" i="496"/>
  <c r="C821" i="496"/>
  <c r="BE820" i="496"/>
  <c r="BC820" i="496"/>
  <c r="I820" i="496"/>
  <c r="H820" i="496"/>
  <c r="E820" i="496"/>
  <c r="D820" i="496"/>
  <c r="C820" i="496"/>
  <c r="BE819" i="496"/>
  <c r="BC819" i="496"/>
  <c r="I819" i="496"/>
  <c r="H819" i="496"/>
  <c r="E819" i="496"/>
  <c r="D819" i="496"/>
  <c r="C819" i="496"/>
  <c r="BE818" i="496"/>
  <c r="BC818" i="496"/>
  <c r="I818" i="496"/>
  <c r="H818" i="496"/>
  <c r="E818" i="496"/>
  <c r="D818" i="496"/>
  <c r="C818" i="496"/>
  <c r="BE817" i="496"/>
  <c r="BC817" i="496"/>
  <c r="I817" i="496"/>
  <c r="H817" i="496"/>
  <c r="E817" i="496"/>
  <c r="D817" i="496"/>
  <c r="C817" i="496"/>
  <c r="BE816" i="496"/>
  <c r="BC816" i="496"/>
  <c r="I816" i="496"/>
  <c r="H816" i="496"/>
  <c r="E816" i="496"/>
  <c r="D816" i="496"/>
  <c r="C816" i="496"/>
  <c r="BE815" i="496"/>
  <c r="BC815" i="496"/>
  <c r="I815" i="496"/>
  <c r="H815" i="496"/>
  <c r="E815" i="496"/>
  <c r="D815" i="496"/>
  <c r="C815" i="496"/>
  <c r="BE814" i="496"/>
  <c r="BC814" i="496"/>
  <c r="I814" i="496"/>
  <c r="H814" i="496"/>
  <c r="E814" i="496"/>
  <c r="D814" i="496"/>
  <c r="C814" i="496"/>
  <c r="BE813" i="496"/>
  <c r="BC813" i="496"/>
  <c r="I813" i="496"/>
  <c r="H813" i="496"/>
  <c r="E813" i="496"/>
  <c r="D813" i="496"/>
  <c r="C813" i="496"/>
  <c r="BE812" i="496"/>
  <c r="BC812" i="496"/>
  <c r="I812" i="496"/>
  <c r="H812" i="496"/>
  <c r="E812" i="496"/>
  <c r="D812" i="496"/>
  <c r="C812" i="496"/>
  <c r="BE811" i="496"/>
  <c r="BC811" i="496"/>
  <c r="I811" i="496"/>
  <c r="H811" i="496"/>
  <c r="E811" i="496"/>
  <c r="D811" i="496"/>
  <c r="C811" i="496"/>
  <c r="BE810" i="496"/>
  <c r="BC810" i="496"/>
  <c r="I810" i="496"/>
  <c r="H810" i="496"/>
  <c r="E810" i="496"/>
  <c r="D810" i="496"/>
  <c r="C810" i="496"/>
  <c r="BE809" i="496"/>
  <c r="BC809" i="496"/>
  <c r="I809" i="496"/>
  <c r="H809" i="496"/>
  <c r="E809" i="496"/>
  <c r="D809" i="496"/>
  <c r="C809" i="496"/>
  <c r="BE808" i="496"/>
  <c r="BC808" i="496"/>
  <c r="I808" i="496"/>
  <c r="H808" i="496"/>
  <c r="E808" i="496"/>
  <c r="D808" i="496"/>
  <c r="C808" i="496"/>
  <c r="BE807" i="496"/>
  <c r="BC807" i="496"/>
  <c r="I807" i="496"/>
  <c r="H807" i="496"/>
  <c r="E807" i="496"/>
  <c r="D807" i="496"/>
  <c r="C807" i="496"/>
  <c r="BE806" i="496"/>
  <c r="BC806" i="496"/>
  <c r="I806" i="496"/>
  <c r="H806" i="496"/>
  <c r="E806" i="496"/>
  <c r="D806" i="496"/>
  <c r="C806" i="496"/>
  <c r="BF805" i="496"/>
  <c r="BE805" i="496"/>
  <c r="BC805" i="496"/>
  <c r="I805" i="496"/>
  <c r="H805" i="496"/>
  <c r="E805" i="496"/>
  <c r="D805" i="496"/>
  <c r="C805" i="496"/>
  <c r="BE804" i="496"/>
  <c r="BC804" i="496"/>
  <c r="I804" i="496"/>
  <c r="H804" i="496"/>
  <c r="E804" i="496"/>
  <c r="D804" i="496"/>
  <c r="C804" i="496"/>
  <c r="BE803" i="496"/>
  <c r="BC803" i="496"/>
  <c r="I803" i="496"/>
  <c r="H803" i="496"/>
  <c r="E803" i="496"/>
  <c r="D803" i="496"/>
  <c r="C803" i="496"/>
  <c r="BE802" i="496"/>
  <c r="BC802" i="496"/>
  <c r="I802" i="496"/>
  <c r="H802" i="496"/>
  <c r="E802" i="496"/>
  <c r="D802" i="496"/>
  <c r="C802" i="496"/>
  <c r="BE801" i="496"/>
  <c r="BC801" i="496"/>
  <c r="I801" i="496"/>
  <c r="H801" i="496"/>
  <c r="E801" i="496"/>
  <c r="D801" i="496"/>
  <c r="C801" i="496"/>
  <c r="BE800" i="496"/>
  <c r="BC800" i="496"/>
  <c r="I800" i="496"/>
  <c r="H800" i="496"/>
  <c r="E800" i="496"/>
  <c r="D800" i="496"/>
  <c r="C800" i="496"/>
  <c r="BE799" i="496"/>
  <c r="BC799" i="496"/>
  <c r="I799" i="496"/>
  <c r="H799" i="496"/>
  <c r="E799" i="496"/>
  <c r="D799" i="496"/>
  <c r="C799" i="496"/>
  <c r="BE798" i="496"/>
  <c r="BC798" i="496"/>
  <c r="I798" i="496"/>
  <c r="H798" i="496"/>
  <c r="E798" i="496"/>
  <c r="D798" i="496"/>
  <c r="C798" i="496"/>
  <c r="BE797" i="496"/>
  <c r="BC797" i="496"/>
  <c r="I797" i="496"/>
  <c r="H797" i="496"/>
  <c r="E797" i="496"/>
  <c r="D797" i="496"/>
  <c r="C797" i="496"/>
  <c r="BE796" i="496"/>
  <c r="BC796" i="496"/>
  <c r="I796" i="496"/>
  <c r="H796" i="496"/>
  <c r="E796" i="496"/>
  <c r="D796" i="496"/>
  <c r="C796" i="496"/>
  <c r="BE795" i="496"/>
  <c r="BC795" i="496"/>
  <c r="I795" i="496"/>
  <c r="H795" i="496"/>
  <c r="E795" i="496"/>
  <c r="D795" i="496"/>
  <c r="C795" i="496"/>
  <c r="BE794" i="496"/>
  <c r="BC794" i="496"/>
  <c r="I794" i="496"/>
  <c r="H794" i="496"/>
  <c r="E794" i="496"/>
  <c r="D794" i="496"/>
  <c r="C794" i="496"/>
  <c r="BE793" i="496"/>
  <c r="BC793" i="496"/>
  <c r="I793" i="496"/>
  <c r="H793" i="496"/>
  <c r="E793" i="496"/>
  <c r="D793" i="496"/>
  <c r="C793" i="496"/>
  <c r="BE792" i="496"/>
  <c r="BC792" i="496"/>
  <c r="I792" i="496"/>
  <c r="H792" i="496"/>
  <c r="E792" i="496"/>
  <c r="D792" i="496"/>
  <c r="C792" i="496"/>
  <c r="BE791" i="496"/>
  <c r="BC791" i="496"/>
  <c r="I791" i="496"/>
  <c r="H791" i="496"/>
  <c r="E791" i="496"/>
  <c r="D791" i="496"/>
  <c r="C791" i="496"/>
  <c r="BE790" i="496"/>
  <c r="BC790" i="496"/>
  <c r="I790" i="496"/>
  <c r="H790" i="496"/>
  <c r="E790" i="496"/>
  <c r="D790" i="496"/>
  <c r="C790" i="496"/>
  <c r="BE789" i="496"/>
  <c r="BC789" i="496"/>
  <c r="I789" i="496"/>
  <c r="H789" i="496"/>
  <c r="E789" i="496"/>
  <c r="D789" i="496"/>
  <c r="C789" i="496"/>
  <c r="BE788" i="496"/>
  <c r="BC788" i="496"/>
  <c r="I788" i="496"/>
  <c r="H788" i="496"/>
  <c r="E788" i="496"/>
  <c r="D788" i="496"/>
  <c r="C788" i="496"/>
  <c r="BE787" i="496"/>
  <c r="BC787" i="496"/>
  <c r="I787" i="496"/>
  <c r="H787" i="496"/>
  <c r="E787" i="496"/>
  <c r="D787" i="496"/>
  <c r="C787" i="496"/>
  <c r="BE786" i="496"/>
  <c r="BC786" i="496"/>
  <c r="I786" i="496"/>
  <c r="H786" i="496"/>
  <c r="E786" i="496"/>
  <c r="D786" i="496"/>
  <c r="C786" i="496"/>
  <c r="BE785" i="496"/>
  <c r="BC785" i="496"/>
  <c r="I785" i="496"/>
  <c r="H785" i="496"/>
  <c r="E785" i="496"/>
  <c r="D785" i="496"/>
  <c r="C785" i="496"/>
  <c r="BE784" i="496"/>
  <c r="BC784" i="496"/>
  <c r="I784" i="496"/>
  <c r="H784" i="496"/>
  <c r="E784" i="496"/>
  <c r="D784" i="496"/>
  <c r="C784" i="496"/>
  <c r="BE783" i="496"/>
  <c r="BC783" i="496"/>
  <c r="I783" i="496"/>
  <c r="H783" i="496"/>
  <c r="E783" i="496"/>
  <c r="D783" i="496"/>
  <c r="C783" i="496"/>
  <c r="BE782" i="496"/>
  <c r="BC782" i="496"/>
  <c r="I782" i="496"/>
  <c r="H782" i="496"/>
  <c r="E782" i="496"/>
  <c r="D782" i="496"/>
  <c r="C782" i="496"/>
  <c r="BE781" i="496"/>
  <c r="BC781" i="496"/>
  <c r="I781" i="496"/>
  <c r="H781" i="496"/>
  <c r="E781" i="496"/>
  <c r="D781" i="496"/>
  <c r="C781" i="496"/>
  <c r="BE780" i="496"/>
  <c r="BC780" i="496"/>
  <c r="I780" i="496"/>
  <c r="H780" i="496"/>
  <c r="E780" i="496"/>
  <c r="D780" i="496"/>
  <c r="C780" i="496"/>
  <c r="BE779" i="496"/>
  <c r="BC779" i="496"/>
  <c r="I779" i="496"/>
  <c r="H779" i="496"/>
  <c r="E779" i="496"/>
  <c r="D779" i="496"/>
  <c r="C779" i="496"/>
  <c r="BE778" i="496"/>
  <c r="BC778" i="496"/>
  <c r="I778" i="496"/>
  <c r="H778" i="496"/>
  <c r="E778" i="496"/>
  <c r="D778" i="496"/>
  <c r="C778" i="496"/>
  <c r="BE777" i="496"/>
  <c r="BC777" i="496"/>
  <c r="I777" i="496"/>
  <c r="H777" i="496"/>
  <c r="E777" i="496"/>
  <c r="D777" i="496"/>
  <c r="C777" i="496"/>
  <c r="BE776" i="496"/>
  <c r="BC776" i="496"/>
  <c r="I776" i="496"/>
  <c r="H776" i="496"/>
  <c r="E776" i="496"/>
  <c r="D776" i="496"/>
  <c r="C776" i="496"/>
  <c r="BE775" i="496"/>
  <c r="BC775" i="496"/>
  <c r="I775" i="496"/>
  <c r="H775" i="496"/>
  <c r="E775" i="496"/>
  <c r="D775" i="496"/>
  <c r="C775" i="496"/>
  <c r="BE774" i="496"/>
  <c r="BC774" i="496"/>
  <c r="I774" i="496"/>
  <c r="H774" i="496"/>
  <c r="E774" i="496"/>
  <c r="D774" i="496"/>
  <c r="C774" i="496"/>
  <c r="BE773" i="496"/>
  <c r="BC773" i="496"/>
  <c r="I773" i="496"/>
  <c r="H773" i="496"/>
  <c r="E773" i="496"/>
  <c r="D773" i="496"/>
  <c r="C773" i="496"/>
  <c r="BE772" i="496"/>
  <c r="BC772" i="496"/>
  <c r="I772" i="496"/>
  <c r="H772" i="496"/>
  <c r="E772" i="496"/>
  <c r="D772" i="496"/>
  <c r="C772" i="496"/>
  <c r="BE771" i="496"/>
  <c r="BC771" i="496"/>
  <c r="I771" i="496"/>
  <c r="H771" i="496"/>
  <c r="E771" i="496"/>
  <c r="D771" i="496"/>
  <c r="C771" i="496"/>
  <c r="BE770" i="496"/>
  <c r="BC770" i="496"/>
  <c r="I770" i="496"/>
  <c r="H770" i="496"/>
  <c r="E770" i="496"/>
  <c r="D770" i="496"/>
  <c r="C770" i="496"/>
  <c r="BE769" i="496"/>
  <c r="BC769" i="496"/>
  <c r="I769" i="496"/>
  <c r="H769" i="496"/>
  <c r="E769" i="496"/>
  <c r="D769" i="496"/>
  <c r="C769" i="496"/>
  <c r="BE768" i="496"/>
  <c r="BC768" i="496"/>
  <c r="I768" i="496"/>
  <c r="H768" i="496"/>
  <c r="E768" i="496"/>
  <c r="D768" i="496"/>
  <c r="C768" i="496"/>
  <c r="BE767" i="496"/>
  <c r="BC767" i="496"/>
  <c r="I767" i="496"/>
  <c r="H767" i="496"/>
  <c r="E767" i="496"/>
  <c r="D767" i="496"/>
  <c r="C767" i="496"/>
  <c r="BE766" i="496"/>
  <c r="BC766" i="496"/>
  <c r="I766" i="496"/>
  <c r="H766" i="496"/>
  <c r="E766" i="496"/>
  <c r="D766" i="496"/>
  <c r="C766" i="496"/>
  <c r="BE765" i="496"/>
  <c r="BC765" i="496"/>
  <c r="I765" i="496"/>
  <c r="H765" i="496"/>
  <c r="E765" i="496"/>
  <c r="D765" i="496"/>
  <c r="C765" i="496"/>
  <c r="BE764" i="496"/>
  <c r="BC764" i="496"/>
  <c r="I764" i="496"/>
  <c r="H764" i="496"/>
  <c r="E764" i="496"/>
  <c r="D764" i="496"/>
  <c r="C764" i="496"/>
  <c r="BE763" i="496"/>
  <c r="BC763" i="496"/>
  <c r="I763" i="496"/>
  <c r="H763" i="496"/>
  <c r="E763" i="496"/>
  <c r="D763" i="496"/>
  <c r="C763" i="496"/>
  <c r="BE762" i="496"/>
  <c r="BC762" i="496"/>
  <c r="I762" i="496"/>
  <c r="H762" i="496"/>
  <c r="E762" i="496"/>
  <c r="D762" i="496"/>
  <c r="C762" i="496"/>
  <c r="BE761" i="496"/>
  <c r="BC761" i="496"/>
  <c r="I761" i="496"/>
  <c r="H761" i="496"/>
  <c r="E761" i="496"/>
  <c r="D761" i="496"/>
  <c r="C761" i="496"/>
  <c r="BE760" i="496"/>
  <c r="BC760" i="496"/>
  <c r="I760" i="496"/>
  <c r="H760" i="496"/>
  <c r="E760" i="496"/>
  <c r="D760" i="496"/>
  <c r="C760" i="496"/>
  <c r="BE759" i="496"/>
  <c r="BC759" i="496"/>
  <c r="I759" i="496"/>
  <c r="H759" i="496"/>
  <c r="E759" i="496"/>
  <c r="D759" i="496"/>
  <c r="C759" i="496"/>
  <c r="BE758" i="496"/>
  <c r="BC758" i="496"/>
  <c r="I758" i="496"/>
  <c r="H758" i="496"/>
  <c r="E758" i="496"/>
  <c r="D758" i="496"/>
  <c r="C758" i="496"/>
  <c r="BE757" i="496"/>
  <c r="BC757" i="496"/>
  <c r="I757" i="496"/>
  <c r="H757" i="496"/>
  <c r="E757" i="496"/>
  <c r="D757" i="496"/>
  <c r="C757" i="496"/>
  <c r="BE756" i="496"/>
  <c r="BC756" i="496"/>
  <c r="I756" i="496"/>
  <c r="H756" i="496"/>
  <c r="E756" i="496"/>
  <c r="D756" i="496"/>
  <c r="C756" i="496"/>
  <c r="BE755" i="496"/>
  <c r="BC755" i="496"/>
  <c r="I755" i="496"/>
  <c r="H755" i="496"/>
  <c r="E755" i="496"/>
  <c r="D755" i="496"/>
  <c r="C755" i="496"/>
  <c r="BE754" i="496"/>
  <c r="BC754" i="496"/>
  <c r="I754" i="496"/>
  <c r="H754" i="496"/>
  <c r="E754" i="496"/>
  <c r="D754" i="496"/>
  <c r="C754" i="496"/>
  <c r="BE753" i="496"/>
  <c r="BC753" i="496"/>
  <c r="I753" i="496"/>
  <c r="H753" i="496"/>
  <c r="E753" i="496"/>
  <c r="D753" i="496"/>
  <c r="C753" i="496"/>
  <c r="BE752" i="496"/>
  <c r="BC752" i="496"/>
  <c r="I752" i="496"/>
  <c r="H752" i="496"/>
  <c r="E752" i="496"/>
  <c r="D752" i="496"/>
  <c r="C752" i="496"/>
  <c r="BE751" i="496"/>
  <c r="BC751" i="496"/>
  <c r="I751" i="496"/>
  <c r="H751" i="496"/>
  <c r="E751" i="496"/>
  <c r="D751" i="496"/>
  <c r="C751" i="496"/>
  <c r="BE750" i="496"/>
  <c r="BC750" i="496"/>
  <c r="I750" i="496"/>
  <c r="H750" i="496"/>
  <c r="E750" i="496"/>
  <c r="D750" i="496"/>
  <c r="C750" i="496"/>
  <c r="BE749" i="496"/>
  <c r="BC749" i="496"/>
  <c r="I749" i="496"/>
  <c r="H749" i="496"/>
  <c r="E749" i="496"/>
  <c r="D749" i="496"/>
  <c r="C749" i="496"/>
  <c r="BE748" i="496"/>
  <c r="BC748" i="496"/>
  <c r="I748" i="496"/>
  <c r="H748" i="496"/>
  <c r="E748" i="496"/>
  <c r="D748" i="496"/>
  <c r="C748" i="496"/>
  <c r="BE747" i="496"/>
  <c r="BC747" i="496"/>
  <c r="I747" i="496"/>
  <c r="H747" i="496"/>
  <c r="E747" i="496"/>
  <c r="D747" i="496"/>
  <c r="C747" i="496"/>
  <c r="BE746" i="496"/>
  <c r="BC746" i="496"/>
  <c r="I746" i="496"/>
  <c r="H746" i="496"/>
  <c r="E746" i="496"/>
  <c r="D746" i="496"/>
  <c r="C746" i="496"/>
  <c r="BE745" i="496"/>
  <c r="BC745" i="496"/>
  <c r="I745" i="496"/>
  <c r="H745" i="496"/>
  <c r="E745" i="496"/>
  <c r="D745" i="496"/>
  <c r="C745" i="496"/>
  <c r="BE744" i="496"/>
  <c r="BC744" i="496"/>
  <c r="I744" i="496"/>
  <c r="H744" i="496"/>
  <c r="E744" i="496"/>
  <c r="D744" i="496"/>
  <c r="C744" i="496"/>
  <c r="BE743" i="496"/>
  <c r="BC743" i="496"/>
  <c r="I743" i="496"/>
  <c r="H743" i="496"/>
  <c r="E743" i="496"/>
  <c r="D743" i="496"/>
  <c r="C743" i="496"/>
  <c r="BE742" i="496"/>
  <c r="BC742" i="496"/>
  <c r="I742" i="496"/>
  <c r="H742" i="496"/>
  <c r="E742" i="496"/>
  <c r="D742" i="496"/>
  <c r="C742" i="496"/>
  <c r="BE741" i="496"/>
  <c r="BC741" i="496"/>
  <c r="I741" i="496"/>
  <c r="H741" i="496"/>
  <c r="E741" i="496"/>
  <c r="D741" i="496"/>
  <c r="C741" i="496"/>
  <c r="BE740" i="496"/>
  <c r="BC740" i="496"/>
  <c r="I740" i="496"/>
  <c r="H740" i="496"/>
  <c r="E740" i="496"/>
  <c r="D740" i="496"/>
  <c r="C740" i="496"/>
  <c r="BE739" i="496"/>
  <c r="BC739" i="496"/>
  <c r="I739" i="496"/>
  <c r="H739" i="496"/>
  <c r="E739" i="496"/>
  <c r="D739" i="496"/>
  <c r="C739" i="496"/>
  <c r="BE738" i="496"/>
  <c r="BC738" i="496"/>
  <c r="I738" i="496"/>
  <c r="H738" i="496"/>
  <c r="E738" i="496"/>
  <c r="D738" i="496"/>
  <c r="C738" i="496"/>
  <c r="BE737" i="496"/>
  <c r="BC737" i="496"/>
  <c r="I737" i="496"/>
  <c r="H737" i="496"/>
  <c r="E737" i="496"/>
  <c r="D737" i="496"/>
  <c r="C737" i="496"/>
  <c r="BE736" i="496"/>
  <c r="BC736" i="496"/>
  <c r="I736" i="496"/>
  <c r="H736" i="496"/>
  <c r="E736" i="496"/>
  <c r="D736" i="496"/>
  <c r="C736" i="496"/>
  <c r="BE735" i="496"/>
  <c r="BC735" i="496"/>
  <c r="I735" i="496"/>
  <c r="H735" i="496"/>
  <c r="E735" i="496"/>
  <c r="D735" i="496"/>
  <c r="C735" i="496"/>
  <c r="BE734" i="496"/>
  <c r="BC734" i="496"/>
  <c r="I734" i="496"/>
  <c r="H734" i="496"/>
  <c r="E734" i="496"/>
  <c r="D734" i="496"/>
  <c r="C734" i="496"/>
  <c r="BE733" i="496"/>
  <c r="BC733" i="496"/>
  <c r="I733" i="496"/>
  <c r="H733" i="496"/>
  <c r="E733" i="496"/>
  <c r="D733" i="496"/>
  <c r="C733" i="496"/>
  <c r="BE732" i="496"/>
  <c r="BC732" i="496"/>
  <c r="I732" i="496"/>
  <c r="H732" i="496"/>
  <c r="E732" i="496"/>
  <c r="D732" i="496"/>
  <c r="C732" i="496"/>
  <c r="BE731" i="496"/>
  <c r="BC731" i="496"/>
  <c r="I731" i="496"/>
  <c r="H731" i="496"/>
  <c r="E731" i="496"/>
  <c r="D731" i="496"/>
  <c r="C731" i="496"/>
  <c r="BE730" i="496"/>
  <c r="BC730" i="496"/>
  <c r="I730" i="496"/>
  <c r="H730" i="496"/>
  <c r="E730" i="496"/>
  <c r="D730" i="496"/>
  <c r="C730" i="496"/>
  <c r="BE729" i="496"/>
  <c r="BC729" i="496"/>
  <c r="I729" i="496"/>
  <c r="H729" i="496"/>
  <c r="E729" i="496"/>
  <c r="D729" i="496"/>
  <c r="C729" i="496"/>
  <c r="BE728" i="496"/>
  <c r="BC728" i="496"/>
  <c r="I728" i="496"/>
  <c r="H728" i="496"/>
  <c r="E728" i="496"/>
  <c r="D728" i="496"/>
  <c r="C728" i="496"/>
  <c r="BE727" i="496"/>
  <c r="BC727" i="496"/>
  <c r="I727" i="496"/>
  <c r="H727" i="496"/>
  <c r="E727" i="496"/>
  <c r="D727" i="496"/>
  <c r="C727" i="496"/>
  <c r="BE726" i="496"/>
  <c r="BC726" i="496"/>
  <c r="I726" i="496"/>
  <c r="H726" i="496"/>
  <c r="E726" i="496"/>
  <c r="D726" i="496"/>
  <c r="C726" i="496"/>
  <c r="BE725" i="496"/>
  <c r="BC725" i="496"/>
  <c r="I725" i="496"/>
  <c r="H725" i="496"/>
  <c r="E725" i="496"/>
  <c r="D725" i="496"/>
  <c r="C725" i="496"/>
  <c r="BF724" i="496"/>
  <c r="BE724" i="496"/>
  <c r="BC724" i="496"/>
  <c r="I724" i="496"/>
  <c r="H724" i="496"/>
  <c r="E724" i="496"/>
  <c r="D724" i="496"/>
  <c r="C724" i="496"/>
  <c r="BE723" i="496"/>
  <c r="BC723" i="496"/>
  <c r="I723" i="496"/>
  <c r="H723" i="496"/>
  <c r="E723" i="496"/>
  <c r="D723" i="496"/>
  <c r="C723" i="496"/>
  <c r="BF722" i="496"/>
  <c r="BE722" i="496"/>
  <c r="BC722" i="496"/>
  <c r="I722" i="496"/>
  <c r="H722" i="496"/>
  <c r="E722" i="496"/>
  <c r="D722" i="496"/>
  <c r="C722" i="496"/>
  <c r="BE721" i="496"/>
  <c r="BC721" i="496"/>
  <c r="I721" i="496"/>
  <c r="H721" i="496"/>
  <c r="E721" i="496"/>
  <c r="D721" i="496"/>
  <c r="C721" i="496"/>
  <c r="BE720" i="496"/>
  <c r="BC720" i="496"/>
  <c r="I720" i="496"/>
  <c r="H720" i="496"/>
  <c r="E720" i="496"/>
  <c r="D720" i="496"/>
  <c r="C720" i="496"/>
  <c r="BE719" i="496"/>
  <c r="BC719" i="496"/>
  <c r="I719" i="496"/>
  <c r="H719" i="496"/>
  <c r="E719" i="496"/>
  <c r="D719" i="496"/>
  <c r="C719" i="496"/>
  <c r="BE718" i="496"/>
  <c r="BC718" i="496"/>
  <c r="I718" i="496"/>
  <c r="H718" i="496"/>
  <c r="E718" i="496"/>
  <c r="D718" i="496"/>
  <c r="C718" i="496"/>
  <c r="BE717" i="496"/>
  <c r="BC717" i="496"/>
  <c r="I717" i="496"/>
  <c r="H717" i="496"/>
  <c r="E717" i="496"/>
  <c r="D717" i="496"/>
  <c r="C717" i="496"/>
  <c r="BE716" i="496"/>
  <c r="BC716" i="496"/>
  <c r="I716" i="496"/>
  <c r="H716" i="496"/>
  <c r="E716" i="496"/>
  <c r="D716" i="496"/>
  <c r="C716" i="496"/>
  <c r="BE715" i="496"/>
  <c r="BC715" i="496"/>
  <c r="I715" i="496"/>
  <c r="H715" i="496"/>
  <c r="E715" i="496"/>
  <c r="D715" i="496"/>
  <c r="C715" i="496"/>
  <c r="BE714" i="496"/>
  <c r="BC714" i="496"/>
  <c r="I714" i="496"/>
  <c r="H714" i="496"/>
  <c r="E714" i="496"/>
  <c r="D714" i="496"/>
  <c r="C714" i="496"/>
  <c r="BE713" i="496"/>
  <c r="BC713" i="496"/>
  <c r="I713" i="496"/>
  <c r="H713" i="496"/>
  <c r="E713" i="496"/>
  <c r="D713" i="496"/>
  <c r="C713" i="496"/>
  <c r="BE712" i="496"/>
  <c r="BC712" i="496"/>
  <c r="I712" i="496"/>
  <c r="H712" i="496"/>
  <c r="E712" i="496"/>
  <c r="D712" i="496"/>
  <c r="C712" i="496"/>
  <c r="BE711" i="496"/>
  <c r="BC711" i="496"/>
  <c r="I711" i="496"/>
  <c r="H711" i="496"/>
  <c r="E711" i="496"/>
  <c r="D711" i="496"/>
  <c r="C711" i="496"/>
  <c r="BE710" i="496"/>
  <c r="BC710" i="496"/>
  <c r="I710" i="496"/>
  <c r="H710" i="496"/>
  <c r="E710" i="496"/>
  <c r="D710" i="496"/>
  <c r="C710" i="496"/>
  <c r="BE709" i="496"/>
  <c r="BC709" i="496"/>
  <c r="I709" i="496"/>
  <c r="H709" i="496"/>
  <c r="E709" i="496"/>
  <c r="D709" i="496"/>
  <c r="C709" i="496"/>
  <c r="BE708" i="496"/>
  <c r="BC708" i="496"/>
  <c r="I708" i="496"/>
  <c r="H708" i="496"/>
  <c r="E708" i="496"/>
  <c r="D708" i="496"/>
  <c r="C708" i="496"/>
  <c r="BE707" i="496"/>
  <c r="BC707" i="496"/>
  <c r="I707" i="496"/>
  <c r="H707" i="496"/>
  <c r="E707" i="496"/>
  <c r="D707" i="496"/>
  <c r="C707" i="496"/>
  <c r="BE706" i="496"/>
  <c r="BC706" i="496"/>
  <c r="I706" i="496"/>
  <c r="H706" i="496"/>
  <c r="E706" i="496"/>
  <c r="D706" i="496"/>
  <c r="C706" i="496"/>
  <c r="BE705" i="496"/>
  <c r="BC705" i="496"/>
  <c r="I705" i="496"/>
  <c r="H705" i="496"/>
  <c r="E705" i="496"/>
  <c r="D705" i="496"/>
  <c r="C705" i="496"/>
  <c r="BE704" i="496"/>
  <c r="BC704" i="496"/>
  <c r="I704" i="496"/>
  <c r="H704" i="496"/>
  <c r="E704" i="496"/>
  <c r="D704" i="496"/>
  <c r="C704" i="496"/>
  <c r="BE703" i="496"/>
  <c r="BC703" i="496"/>
  <c r="I703" i="496"/>
  <c r="H703" i="496"/>
  <c r="E703" i="496"/>
  <c r="D703" i="496"/>
  <c r="C703" i="496"/>
  <c r="BE702" i="496"/>
  <c r="BC702" i="496"/>
  <c r="I702" i="496"/>
  <c r="H702" i="496"/>
  <c r="E702" i="496"/>
  <c r="D702" i="496"/>
  <c r="C702" i="496"/>
  <c r="BF701" i="496"/>
  <c r="BE701" i="496"/>
  <c r="BC701" i="496"/>
  <c r="I701" i="496"/>
  <c r="H701" i="496"/>
  <c r="E701" i="496"/>
  <c r="D701" i="496"/>
  <c r="C701" i="496"/>
  <c r="BE700" i="496"/>
  <c r="BC700" i="496"/>
  <c r="I700" i="496"/>
  <c r="H700" i="496"/>
  <c r="E700" i="496"/>
  <c r="D700" i="496"/>
  <c r="C700" i="496"/>
  <c r="BE699" i="496"/>
  <c r="BC699" i="496"/>
  <c r="I699" i="496"/>
  <c r="H699" i="496"/>
  <c r="E699" i="496"/>
  <c r="D699" i="496"/>
  <c r="C699" i="496"/>
  <c r="BE698" i="496"/>
  <c r="BC698" i="496"/>
  <c r="I698" i="496"/>
  <c r="H698" i="496"/>
  <c r="E698" i="496"/>
  <c r="D698" i="496"/>
  <c r="C698" i="496"/>
  <c r="BE697" i="496"/>
  <c r="BC697" i="496"/>
  <c r="I697" i="496"/>
  <c r="H697" i="496"/>
  <c r="E697" i="496"/>
  <c r="D697" i="496"/>
  <c r="C697" i="496"/>
  <c r="BE696" i="496"/>
  <c r="BC696" i="496"/>
  <c r="I696" i="496"/>
  <c r="H696" i="496"/>
  <c r="E696" i="496"/>
  <c r="D696" i="496"/>
  <c r="C696" i="496"/>
  <c r="BE695" i="496"/>
  <c r="BC695" i="496"/>
  <c r="I695" i="496"/>
  <c r="H695" i="496"/>
  <c r="E695" i="496"/>
  <c r="D695" i="496"/>
  <c r="C695" i="496"/>
  <c r="BE694" i="496"/>
  <c r="BC694" i="496"/>
  <c r="I694" i="496"/>
  <c r="H694" i="496"/>
  <c r="E694" i="496"/>
  <c r="D694" i="496"/>
  <c r="C694" i="496"/>
  <c r="BE693" i="496"/>
  <c r="BC693" i="496"/>
  <c r="I693" i="496"/>
  <c r="H693" i="496"/>
  <c r="E693" i="496"/>
  <c r="D693" i="496"/>
  <c r="C693" i="496"/>
  <c r="BE692" i="496"/>
  <c r="BC692" i="496"/>
  <c r="I692" i="496"/>
  <c r="H692" i="496"/>
  <c r="E692" i="496"/>
  <c r="D692" i="496"/>
  <c r="C692" i="496"/>
  <c r="BE691" i="496"/>
  <c r="BC691" i="496"/>
  <c r="I691" i="496"/>
  <c r="H691" i="496"/>
  <c r="E691" i="496"/>
  <c r="D691" i="496"/>
  <c r="C691" i="496"/>
  <c r="BE690" i="496"/>
  <c r="BC690" i="496"/>
  <c r="I690" i="496"/>
  <c r="H690" i="496"/>
  <c r="E690" i="496"/>
  <c r="D690" i="496"/>
  <c r="C690" i="496"/>
  <c r="BE689" i="496"/>
  <c r="BC689" i="496"/>
  <c r="I689" i="496"/>
  <c r="H689" i="496"/>
  <c r="E689" i="496"/>
  <c r="D689" i="496"/>
  <c r="C689" i="496"/>
  <c r="BE688" i="496"/>
  <c r="BC688" i="496"/>
  <c r="I688" i="496"/>
  <c r="H688" i="496"/>
  <c r="E688" i="496"/>
  <c r="D688" i="496"/>
  <c r="C688" i="496"/>
  <c r="BE687" i="496"/>
  <c r="BC687" i="496"/>
  <c r="I687" i="496"/>
  <c r="H687" i="496"/>
  <c r="E687" i="496"/>
  <c r="D687" i="496"/>
  <c r="C687" i="496"/>
  <c r="BE686" i="496"/>
  <c r="BC686" i="496"/>
  <c r="I686" i="496"/>
  <c r="H686" i="496"/>
  <c r="E686" i="496"/>
  <c r="D686" i="496"/>
  <c r="C686" i="496"/>
  <c r="BE685" i="496"/>
  <c r="BC685" i="496"/>
  <c r="I685" i="496"/>
  <c r="H685" i="496"/>
  <c r="E685" i="496"/>
  <c r="D685" i="496"/>
  <c r="C685" i="496"/>
  <c r="BE684" i="496"/>
  <c r="BC684" i="496"/>
  <c r="I684" i="496"/>
  <c r="H684" i="496"/>
  <c r="E684" i="496"/>
  <c r="D684" i="496"/>
  <c r="C684" i="496"/>
  <c r="BE683" i="496"/>
  <c r="BC683" i="496"/>
  <c r="I683" i="496"/>
  <c r="H683" i="496"/>
  <c r="E683" i="496"/>
  <c r="D683" i="496"/>
  <c r="C683" i="496"/>
  <c r="BE682" i="496"/>
  <c r="BC682" i="496"/>
  <c r="I682" i="496"/>
  <c r="H682" i="496"/>
  <c r="E682" i="496"/>
  <c r="D682" i="496"/>
  <c r="C682" i="496"/>
  <c r="BE681" i="496"/>
  <c r="BC681" i="496"/>
  <c r="I681" i="496"/>
  <c r="H681" i="496"/>
  <c r="E681" i="496"/>
  <c r="D681" i="496"/>
  <c r="C681" i="496"/>
  <c r="BE680" i="496"/>
  <c r="BC680" i="496"/>
  <c r="I680" i="496"/>
  <c r="H680" i="496"/>
  <c r="E680" i="496"/>
  <c r="D680" i="496"/>
  <c r="C680" i="496"/>
  <c r="BE679" i="496"/>
  <c r="BC679" i="496"/>
  <c r="I679" i="496"/>
  <c r="H679" i="496"/>
  <c r="E679" i="496"/>
  <c r="D679" i="496"/>
  <c r="C679" i="496"/>
  <c r="BE678" i="496"/>
  <c r="BC678" i="496"/>
  <c r="I678" i="496"/>
  <c r="H678" i="496"/>
  <c r="E678" i="496"/>
  <c r="D678" i="496"/>
  <c r="C678" i="496"/>
  <c r="BE677" i="496"/>
  <c r="BC677" i="496"/>
  <c r="I677" i="496"/>
  <c r="H677" i="496"/>
  <c r="E677" i="496"/>
  <c r="D677" i="496"/>
  <c r="C677" i="496"/>
  <c r="BF676" i="496"/>
  <c r="BE676" i="496"/>
  <c r="BC676" i="496"/>
  <c r="I676" i="496"/>
  <c r="H676" i="496"/>
  <c r="E676" i="496"/>
  <c r="D676" i="496"/>
  <c r="C676" i="496"/>
  <c r="BE675" i="496"/>
  <c r="BC675" i="496"/>
  <c r="I675" i="496"/>
  <c r="H675" i="496"/>
  <c r="E675" i="496"/>
  <c r="D675" i="496"/>
  <c r="C675" i="496"/>
  <c r="BE674" i="496"/>
  <c r="BC674" i="496"/>
  <c r="I674" i="496"/>
  <c r="H674" i="496"/>
  <c r="E674" i="496"/>
  <c r="D674" i="496"/>
  <c r="C674" i="496"/>
  <c r="BE673" i="496"/>
  <c r="BC673" i="496"/>
  <c r="I673" i="496"/>
  <c r="H673" i="496"/>
  <c r="E673" i="496"/>
  <c r="D673" i="496"/>
  <c r="C673" i="496"/>
  <c r="BE672" i="496"/>
  <c r="BC672" i="496"/>
  <c r="I672" i="496"/>
  <c r="H672" i="496"/>
  <c r="E672" i="496"/>
  <c r="D672" i="496"/>
  <c r="C672" i="496"/>
  <c r="BE671" i="496"/>
  <c r="BC671" i="496"/>
  <c r="I671" i="496"/>
  <c r="H671" i="496"/>
  <c r="E671" i="496"/>
  <c r="D671" i="496"/>
  <c r="C671" i="496"/>
  <c r="BE670" i="496"/>
  <c r="BC670" i="496"/>
  <c r="I670" i="496"/>
  <c r="H670" i="496"/>
  <c r="E670" i="496"/>
  <c r="D670" i="496"/>
  <c r="C670" i="496"/>
  <c r="BE669" i="496"/>
  <c r="BC669" i="496"/>
  <c r="I669" i="496"/>
  <c r="H669" i="496"/>
  <c r="E669" i="496"/>
  <c r="D669" i="496"/>
  <c r="C669" i="496"/>
  <c r="BE668" i="496"/>
  <c r="BC668" i="496"/>
  <c r="I668" i="496"/>
  <c r="H668" i="496"/>
  <c r="E668" i="496"/>
  <c r="D668" i="496"/>
  <c r="C668" i="496"/>
  <c r="BE667" i="496"/>
  <c r="BC667" i="496"/>
  <c r="I667" i="496"/>
  <c r="H667" i="496"/>
  <c r="E667" i="496"/>
  <c r="D667" i="496"/>
  <c r="C667" i="496"/>
  <c r="BE666" i="496"/>
  <c r="BC666" i="496"/>
  <c r="I666" i="496"/>
  <c r="H666" i="496"/>
  <c r="E666" i="496"/>
  <c r="D666" i="496"/>
  <c r="C666" i="496"/>
  <c r="BE665" i="496"/>
  <c r="BC665" i="496"/>
  <c r="I665" i="496"/>
  <c r="H665" i="496"/>
  <c r="E665" i="496"/>
  <c r="D665" i="496"/>
  <c r="C665" i="496"/>
  <c r="BE664" i="496"/>
  <c r="BC664" i="496"/>
  <c r="I664" i="496"/>
  <c r="H664" i="496"/>
  <c r="E664" i="496"/>
  <c r="D664" i="496"/>
  <c r="C664" i="496"/>
  <c r="BE663" i="496"/>
  <c r="BC663" i="496"/>
  <c r="I663" i="496"/>
  <c r="H663" i="496"/>
  <c r="E663" i="496"/>
  <c r="D663" i="496"/>
  <c r="C663" i="496"/>
  <c r="BE662" i="496"/>
  <c r="BC662" i="496"/>
  <c r="I662" i="496"/>
  <c r="H662" i="496"/>
  <c r="E662" i="496"/>
  <c r="D662" i="496"/>
  <c r="C662" i="496"/>
  <c r="BE661" i="496"/>
  <c r="BC661" i="496"/>
  <c r="I661" i="496"/>
  <c r="H661" i="496"/>
  <c r="E661" i="496"/>
  <c r="D661" i="496"/>
  <c r="C661" i="496"/>
  <c r="BF660" i="496"/>
  <c r="BE660" i="496"/>
  <c r="BC660" i="496"/>
  <c r="H660" i="496"/>
  <c r="E660" i="496"/>
  <c r="C660" i="496"/>
  <c r="BE659" i="496"/>
  <c r="BC659" i="496"/>
  <c r="I659" i="496"/>
  <c r="H659" i="496"/>
  <c r="E659" i="496"/>
  <c r="D659" i="496"/>
  <c r="C659" i="496"/>
  <c r="BE658" i="496"/>
  <c r="BC658" i="496"/>
  <c r="I658" i="496"/>
  <c r="H658" i="496"/>
  <c r="E658" i="496"/>
  <c r="D658" i="496"/>
  <c r="C658" i="496"/>
  <c r="BE657" i="496"/>
  <c r="BC657" i="496"/>
  <c r="I657" i="496"/>
  <c r="H657" i="496"/>
  <c r="E657" i="496"/>
  <c r="D657" i="496"/>
  <c r="C657" i="496"/>
  <c r="BE656" i="496"/>
  <c r="BC656" i="496"/>
  <c r="I656" i="496"/>
  <c r="H656" i="496"/>
  <c r="E656" i="496"/>
  <c r="D656" i="496"/>
  <c r="C656" i="496"/>
  <c r="BE655" i="496"/>
  <c r="BC655" i="496"/>
  <c r="I655" i="496"/>
  <c r="H655" i="496"/>
  <c r="E655" i="496"/>
  <c r="D655" i="496"/>
  <c r="C655" i="496"/>
  <c r="BE654" i="496"/>
  <c r="BC654" i="496"/>
  <c r="I654" i="496"/>
  <c r="H654" i="496"/>
  <c r="E654" i="496"/>
  <c r="D654" i="496"/>
  <c r="C654" i="496"/>
  <c r="BE653" i="496"/>
  <c r="BC653" i="496"/>
  <c r="I653" i="496"/>
  <c r="H653" i="496"/>
  <c r="E653" i="496"/>
  <c r="D653" i="496"/>
  <c r="C653" i="496"/>
  <c r="BE652" i="496"/>
  <c r="BC652" i="496"/>
  <c r="I652" i="496"/>
  <c r="H652" i="496"/>
  <c r="E652" i="496"/>
  <c r="D652" i="496"/>
  <c r="C652" i="496"/>
  <c r="BE651" i="496"/>
  <c r="BC651" i="496"/>
  <c r="I651" i="496"/>
  <c r="H651" i="496"/>
  <c r="E651" i="496"/>
  <c r="D651" i="496"/>
  <c r="C651" i="496"/>
  <c r="BE650" i="496"/>
  <c r="BC650" i="496"/>
  <c r="I650" i="496"/>
  <c r="H650" i="496"/>
  <c r="E650" i="496"/>
  <c r="D650" i="496"/>
  <c r="C650" i="496"/>
  <c r="BE649" i="496"/>
  <c r="BC649" i="496"/>
  <c r="I649" i="496"/>
  <c r="H649" i="496"/>
  <c r="E649" i="496"/>
  <c r="D649" i="496"/>
  <c r="C649" i="496"/>
  <c r="BE648" i="496"/>
  <c r="BC648" i="496"/>
  <c r="I648" i="496"/>
  <c r="H648" i="496"/>
  <c r="E648" i="496"/>
  <c r="D648" i="496"/>
  <c r="C648" i="496"/>
  <c r="BE647" i="496"/>
  <c r="BC647" i="496"/>
  <c r="I647" i="496"/>
  <c r="H647" i="496"/>
  <c r="E647" i="496"/>
  <c r="D647" i="496"/>
  <c r="C647" i="496"/>
  <c r="BE646" i="496"/>
  <c r="BC646" i="496"/>
  <c r="I646" i="496"/>
  <c r="H646" i="496"/>
  <c r="E646" i="496"/>
  <c r="D646" i="496"/>
  <c r="C646" i="496"/>
  <c r="BE645" i="496"/>
  <c r="BC645" i="496"/>
  <c r="I645" i="496"/>
  <c r="H645" i="496"/>
  <c r="E645" i="496"/>
  <c r="D645" i="496"/>
  <c r="C645" i="496"/>
  <c r="BE644" i="496"/>
  <c r="BC644" i="496"/>
  <c r="I644" i="496"/>
  <c r="H644" i="496"/>
  <c r="E644" i="496"/>
  <c r="D644" i="496"/>
  <c r="C644" i="496"/>
  <c r="BE643" i="496"/>
  <c r="BC643" i="496"/>
  <c r="I643" i="496"/>
  <c r="H643" i="496"/>
  <c r="E643" i="496"/>
  <c r="D643" i="496"/>
  <c r="C643" i="496"/>
  <c r="BF642" i="496"/>
  <c r="BE642" i="496"/>
  <c r="BC642" i="496"/>
  <c r="I642" i="496"/>
  <c r="H642" i="496"/>
  <c r="E642" i="496"/>
  <c r="D642" i="496"/>
  <c r="C642" i="496"/>
  <c r="BE641" i="496"/>
  <c r="BC641" i="496"/>
  <c r="I641" i="496"/>
  <c r="H641" i="496"/>
  <c r="E641" i="496"/>
  <c r="D641" i="496"/>
  <c r="C641" i="496"/>
  <c r="BE640" i="496"/>
  <c r="BC640" i="496"/>
  <c r="I640" i="496"/>
  <c r="H640" i="496"/>
  <c r="E640" i="496"/>
  <c r="D640" i="496"/>
  <c r="C640" i="496"/>
  <c r="BE639" i="496"/>
  <c r="BC639" i="496"/>
  <c r="I639" i="496"/>
  <c r="H639" i="496"/>
  <c r="E639" i="496"/>
  <c r="D639" i="496"/>
  <c r="C639" i="496"/>
  <c r="BE638" i="496"/>
  <c r="BC638" i="496"/>
  <c r="I638" i="496"/>
  <c r="H638" i="496"/>
  <c r="E638" i="496"/>
  <c r="D638" i="496"/>
  <c r="C638" i="496"/>
  <c r="BF637" i="496"/>
  <c r="BE637" i="496"/>
  <c r="BC637" i="496"/>
  <c r="I637" i="496"/>
  <c r="H637" i="496"/>
  <c r="E637" i="496"/>
  <c r="D637" i="496"/>
  <c r="C637" i="496"/>
  <c r="BF636" i="496"/>
  <c r="BE636" i="496"/>
  <c r="BC636" i="496"/>
  <c r="I636" i="496"/>
  <c r="H636" i="496"/>
  <c r="E636" i="496"/>
  <c r="D636" i="496"/>
  <c r="C636" i="496"/>
  <c r="BE635" i="496"/>
  <c r="BC635" i="496"/>
  <c r="I635" i="496"/>
  <c r="H635" i="496"/>
  <c r="E635" i="496"/>
  <c r="D635" i="496"/>
  <c r="C635" i="496"/>
  <c r="BE634" i="496"/>
  <c r="BC634" i="496"/>
  <c r="I634" i="496"/>
  <c r="H634" i="496"/>
  <c r="E634" i="496"/>
  <c r="D634" i="496"/>
  <c r="C634" i="496"/>
  <c r="BE633" i="496"/>
  <c r="BC633" i="496"/>
  <c r="I633" i="496"/>
  <c r="H633" i="496"/>
  <c r="E633" i="496"/>
  <c r="D633" i="496"/>
  <c r="C633" i="496"/>
  <c r="BE632" i="496"/>
  <c r="BC632" i="496"/>
  <c r="I632" i="496"/>
  <c r="H632" i="496"/>
  <c r="E632" i="496"/>
  <c r="D632" i="496"/>
  <c r="C632" i="496"/>
  <c r="BE631" i="496"/>
  <c r="BC631" i="496"/>
  <c r="I631" i="496"/>
  <c r="H631" i="496"/>
  <c r="E631" i="496"/>
  <c r="D631" i="496"/>
  <c r="C631" i="496"/>
  <c r="BE630" i="496"/>
  <c r="BC630" i="496"/>
  <c r="I630" i="496"/>
  <c r="H630" i="496"/>
  <c r="E630" i="496"/>
  <c r="D630" i="496"/>
  <c r="C630" i="496"/>
  <c r="BE629" i="496"/>
  <c r="BC629" i="496"/>
  <c r="I629" i="496"/>
  <c r="H629" i="496"/>
  <c r="E629" i="496"/>
  <c r="D629" i="496"/>
  <c r="C629" i="496"/>
  <c r="BE628" i="496"/>
  <c r="BC628" i="496"/>
  <c r="I628" i="496"/>
  <c r="H628" i="496"/>
  <c r="E628" i="496"/>
  <c r="D628" i="496"/>
  <c r="C628" i="496"/>
  <c r="BE627" i="496"/>
  <c r="BC627" i="496"/>
  <c r="I627" i="496"/>
  <c r="H627" i="496"/>
  <c r="E627" i="496"/>
  <c r="D627" i="496"/>
  <c r="C627" i="496"/>
  <c r="BE626" i="496"/>
  <c r="BC626" i="496"/>
  <c r="I626" i="496"/>
  <c r="H626" i="496"/>
  <c r="E626" i="496"/>
  <c r="D626" i="496"/>
  <c r="C626" i="496"/>
  <c r="BE625" i="496"/>
  <c r="BC625" i="496"/>
  <c r="I625" i="496"/>
  <c r="H625" i="496"/>
  <c r="E625" i="496"/>
  <c r="D625" i="496"/>
  <c r="C625" i="496"/>
  <c r="BE624" i="496"/>
  <c r="BC624" i="496"/>
  <c r="I624" i="496"/>
  <c r="H624" i="496"/>
  <c r="E624" i="496"/>
  <c r="D624" i="496"/>
  <c r="C624" i="496"/>
  <c r="BE623" i="496"/>
  <c r="BC623" i="496"/>
  <c r="I623" i="496"/>
  <c r="H623" i="496"/>
  <c r="E623" i="496"/>
  <c r="D623" i="496"/>
  <c r="C623" i="496"/>
  <c r="BE622" i="496"/>
  <c r="BC622" i="496"/>
  <c r="I622" i="496"/>
  <c r="H622" i="496"/>
  <c r="E622" i="496"/>
  <c r="D622" i="496"/>
  <c r="C622" i="496"/>
  <c r="BE621" i="496"/>
  <c r="BC621" i="496"/>
  <c r="I621" i="496"/>
  <c r="H621" i="496"/>
  <c r="E621" i="496"/>
  <c r="D621" i="496"/>
  <c r="C621" i="496"/>
  <c r="BE620" i="496"/>
  <c r="BC620" i="496"/>
  <c r="I620" i="496"/>
  <c r="H620" i="496"/>
  <c r="E620" i="496"/>
  <c r="D620" i="496"/>
  <c r="C620" i="496"/>
  <c r="BE619" i="496"/>
  <c r="BC619" i="496"/>
  <c r="I619" i="496"/>
  <c r="H619" i="496"/>
  <c r="E619" i="496"/>
  <c r="D619" i="496"/>
  <c r="C619" i="496"/>
  <c r="BE618" i="496"/>
  <c r="BC618" i="496"/>
  <c r="I618" i="496"/>
  <c r="H618" i="496"/>
  <c r="E618" i="496"/>
  <c r="D618" i="496"/>
  <c r="C618" i="496"/>
  <c r="BE617" i="496"/>
  <c r="BC617" i="496"/>
  <c r="I617" i="496"/>
  <c r="H617" i="496"/>
  <c r="E617" i="496"/>
  <c r="D617" i="496"/>
  <c r="C617" i="496"/>
  <c r="BE616" i="496"/>
  <c r="BC616" i="496"/>
  <c r="I616" i="496"/>
  <c r="H616" i="496"/>
  <c r="E616" i="496"/>
  <c r="D616" i="496"/>
  <c r="C616" i="496"/>
  <c r="BE615" i="496"/>
  <c r="BC615" i="496"/>
  <c r="I615" i="496"/>
  <c r="H615" i="496"/>
  <c r="E615" i="496"/>
  <c r="D615" i="496"/>
  <c r="C615" i="496"/>
  <c r="BE614" i="496"/>
  <c r="BC614" i="496"/>
  <c r="I614" i="496"/>
  <c r="H614" i="496"/>
  <c r="E614" i="496"/>
  <c r="D614" i="496"/>
  <c r="C614" i="496"/>
  <c r="BE613" i="496"/>
  <c r="BC613" i="496"/>
  <c r="I613" i="496"/>
  <c r="H613" i="496"/>
  <c r="E613" i="496"/>
  <c r="D613" i="496"/>
  <c r="C613" i="496"/>
  <c r="BE612" i="496"/>
  <c r="BC612" i="496"/>
  <c r="I612" i="496"/>
  <c r="H612" i="496"/>
  <c r="E612" i="496"/>
  <c r="D612" i="496"/>
  <c r="C612" i="496"/>
  <c r="BE611" i="496"/>
  <c r="BC611" i="496"/>
  <c r="I611" i="496"/>
  <c r="H611" i="496"/>
  <c r="E611" i="496"/>
  <c r="D611" i="496"/>
  <c r="C611" i="496"/>
  <c r="BE610" i="496"/>
  <c r="BC610" i="496"/>
  <c r="I610" i="496"/>
  <c r="H610" i="496"/>
  <c r="E610" i="496"/>
  <c r="D610" i="496"/>
  <c r="C610" i="496"/>
  <c r="BE609" i="496"/>
  <c r="BC609" i="496"/>
  <c r="I609" i="496"/>
  <c r="H609" i="496"/>
  <c r="E609" i="496"/>
  <c r="D609" i="496"/>
  <c r="C609" i="496"/>
  <c r="BE608" i="496"/>
  <c r="BC608" i="496"/>
  <c r="I608" i="496"/>
  <c r="H608" i="496"/>
  <c r="E608" i="496"/>
  <c r="D608" i="496"/>
  <c r="C608" i="496"/>
  <c r="BE607" i="496"/>
  <c r="BC607" i="496"/>
  <c r="I607" i="496"/>
  <c r="H607" i="496"/>
  <c r="E607" i="496"/>
  <c r="D607" i="496"/>
  <c r="C607" i="496"/>
  <c r="BE606" i="496"/>
  <c r="BC606" i="496"/>
  <c r="I606" i="496"/>
  <c r="H606" i="496"/>
  <c r="E606" i="496"/>
  <c r="D606" i="496"/>
  <c r="C606" i="496"/>
  <c r="BE605" i="496"/>
  <c r="BC605" i="496"/>
  <c r="I605" i="496"/>
  <c r="H605" i="496"/>
  <c r="E605" i="496"/>
  <c r="D605" i="496"/>
  <c r="C605" i="496"/>
  <c r="BE604" i="496"/>
  <c r="BC604" i="496"/>
  <c r="I604" i="496"/>
  <c r="H604" i="496"/>
  <c r="E604" i="496"/>
  <c r="D604" i="496"/>
  <c r="C604" i="496"/>
  <c r="BE603" i="496"/>
  <c r="BC603" i="496"/>
  <c r="I603" i="496"/>
  <c r="H603" i="496"/>
  <c r="E603" i="496"/>
  <c r="D603" i="496"/>
  <c r="C603" i="496"/>
  <c r="BE602" i="496"/>
  <c r="BC602" i="496"/>
  <c r="I602" i="496"/>
  <c r="H602" i="496"/>
  <c r="E602" i="496"/>
  <c r="D602" i="496"/>
  <c r="C602" i="496"/>
  <c r="BE601" i="496"/>
  <c r="BC601" i="496"/>
  <c r="I601" i="496"/>
  <c r="H601" i="496"/>
  <c r="E601" i="496"/>
  <c r="D601" i="496"/>
  <c r="C601" i="496"/>
  <c r="BE600" i="496"/>
  <c r="BC600" i="496"/>
  <c r="I600" i="496"/>
  <c r="H600" i="496"/>
  <c r="E600" i="496"/>
  <c r="D600" i="496"/>
  <c r="C600" i="496"/>
  <c r="BE599" i="496"/>
  <c r="BC599" i="496"/>
  <c r="I599" i="496"/>
  <c r="H599" i="496"/>
  <c r="E599" i="496"/>
  <c r="D599" i="496"/>
  <c r="C599" i="496"/>
  <c r="BE598" i="496"/>
  <c r="BC598" i="496"/>
  <c r="I598" i="496"/>
  <c r="H598" i="496"/>
  <c r="E598" i="496"/>
  <c r="D598" i="496"/>
  <c r="C598" i="496"/>
  <c r="BE597" i="496"/>
  <c r="BC597" i="496"/>
  <c r="I597" i="496"/>
  <c r="H597" i="496"/>
  <c r="E597" i="496"/>
  <c r="D597" i="496"/>
  <c r="C597" i="496"/>
  <c r="BE596" i="496"/>
  <c r="BC596" i="496"/>
  <c r="I596" i="496"/>
  <c r="H596" i="496"/>
  <c r="E596" i="496"/>
  <c r="D596" i="496"/>
  <c r="C596" i="496"/>
  <c r="BE595" i="496"/>
  <c r="BC595" i="496"/>
  <c r="I595" i="496"/>
  <c r="H595" i="496"/>
  <c r="E595" i="496"/>
  <c r="D595" i="496"/>
  <c r="C595" i="496"/>
  <c r="BE594" i="496"/>
  <c r="BC594" i="496"/>
  <c r="I594" i="496"/>
  <c r="H594" i="496"/>
  <c r="E594" i="496"/>
  <c r="D594" i="496"/>
  <c r="C594" i="496"/>
  <c r="BE593" i="496"/>
  <c r="BC593" i="496"/>
  <c r="I593" i="496"/>
  <c r="H593" i="496"/>
  <c r="E593" i="496"/>
  <c r="D593" i="496"/>
  <c r="C593" i="496"/>
  <c r="BE592" i="496"/>
  <c r="BC592" i="496"/>
  <c r="I592" i="496"/>
  <c r="H592" i="496"/>
  <c r="E592" i="496"/>
  <c r="D592" i="496"/>
  <c r="C592" i="496"/>
  <c r="BE591" i="496"/>
  <c r="BC591" i="496"/>
  <c r="I591" i="496"/>
  <c r="H591" i="496"/>
  <c r="E591" i="496"/>
  <c r="D591" i="496"/>
  <c r="C591" i="496"/>
  <c r="BE590" i="496"/>
  <c r="BC590" i="496"/>
  <c r="I590" i="496"/>
  <c r="H590" i="496"/>
  <c r="E590" i="496"/>
  <c r="D590" i="496"/>
  <c r="C590" i="496"/>
  <c r="BE589" i="496"/>
  <c r="BC589" i="496"/>
  <c r="I589" i="496"/>
  <c r="H589" i="496"/>
  <c r="E589" i="496"/>
  <c r="D589" i="496"/>
  <c r="C589" i="496"/>
  <c r="BE588" i="496"/>
  <c r="BC588" i="496"/>
  <c r="I588" i="496"/>
  <c r="H588" i="496"/>
  <c r="E588" i="496"/>
  <c r="D588" i="496"/>
  <c r="C588" i="496"/>
  <c r="BE587" i="496"/>
  <c r="BC587" i="496"/>
  <c r="I587" i="496"/>
  <c r="H587" i="496"/>
  <c r="E587" i="496"/>
  <c r="D587" i="496"/>
  <c r="C587" i="496"/>
  <c r="BE586" i="496"/>
  <c r="BC586" i="496"/>
  <c r="I586" i="496"/>
  <c r="H586" i="496"/>
  <c r="E586" i="496"/>
  <c r="D586" i="496"/>
  <c r="C586" i="496"/>
  <c r="BE585" i="496"/>
  <c r="BC585" i="496"/>
  <c r="I585" i="496"/>
  <c r="H585" i="496"/>
  <c r="E585" i="496"/>
  <c r="D585" i="496"/>
  <c r="C585" i="496"/>
  <c r="BE584" i="496"/>
  <c r="BC584" i="496"/>
  <c r="I584" i="496"/>
  <c r="H584" i="496"/>
  <c r="E584" i="496"/>
  <c r="D584" i="496"/>
  <c r="C584" i="496"/>
  <c r="BE583" i="496"/>
  <c r="BC583" i="496"/>
  <c r="I583" i="496"/>
  <c r="H583" i="496"/>
  <c r="E583" i="496"/>
  <c r="D583" i="496"/>
  <c r="C583" i="496"/>
  <c r="BE582" i="496"/>
  <c r="BC582" i="496"/>
  <c r="I582" i="496"/>
  <c r="H582" i="496"/>
  <c r="E582" i="496"/>
  <c r="D582" i="496"/>
  <c r="C582" i="496"/>
  <c r="BE581" i="496"/>
  <c r="BC581" i="496"/>
  <c r="I581" i="496"/>
  <c r="H581" i="496"/>
  <c r="E581" i="496"/>
  <c r="D581" i="496"/>
  <c r="C581" i="496"/>
  <c r="BE580" i="496"/>
  <c r="BC580" i="496"/>
  <c r="I580" i="496"/>
  <c r="H580" i="496"/>
  <c r="E580" i="496"/>
  <c r="D580" i="496"/>
  <c r="C580" i="496"/>
  <c r="BE579" i="496"/>
  <c r="BC579" i="496"/>
  <c r="I579" i="496"/>
  <c r="H579" i="496"/>
  <c r="E579" i="496"/>
  <c r="D579" i="496"/>
  <c r="C579" i="496"/>
  <c r="BE578" i="496"/>
  <c r="BC578" i="496"/>
  <c r="I578" i="496"/>
  <c r="H578" i="496"/>
  <c r="E578" i="496"/>
  <c r="D578" i="496"/>
  <c r="C578" i="496"/>
  <c r="BE577" i="496"/>
  <c r="BC577" i="496"/>
  <c r="I577" i="496"/>
  <c r="H577" i="496"/>
  <c r="E577" i="496"/>
  <c r="D577" i="496"/>
  <c r="C577" i="496"/>
  <c r="BE576" i="496"/>
  <c r="BC576" i="496"/>
  <c r="I576" i="496"/>
  <c r="H576" i="496"/>
  <c r="E576" i="496"/>
  <c r="D576" i="496"/>
  <c r="C576" i="496"/>
  <c r="BE575" i="496"/>
  <c r="BC575" i="496"/>
  <c r="I575" i="496"/>
  <c r="H575" i="496"/>
  <c r="E575" i="496"/>
  <c r="D575" i="496"/>
  <c r="C575" i="496"/>
  <c r="BE574" i="496"/>
  <c r="BC574" i="496"/>
  <c r="I574" i="496"/>
  <c r="H574" i="496"/>
  <c r="E574" i="496"/>
  <c r="D574" i="496"/>
  <c r="C574" i="496"/>
  <c r="BE573" i="496"/>
  <c r="BC573" i="496"/>
  <c r="I573" i="496"/>
  <c r="H573" i="496"/>
  <c r="E573" i="496"/>
  <c r="D573" i="496"/>
  <c r="C573" i="496"/>
  <c r="BE572" i="496"/>
  <c r="BC572" i="496"/>
  <c r="I572" i="496"/>
  <c r="H572" i="496"/>
  <c r="E572" i="496"/>
  <c r="D572" i="496"/>
  <c r="C572" i="496"/>
  <c r="BE571" i="496"/>
  <c r="BC571" i="496"/>
  <c r="I571" i="496"/>
  <c r="H571" i="496"/>
  <c r="E571" i="496"/>
  <c r="D571" i="496"/>
  <c r="C571" i="496"/>
  <c r="BE570" i="496"/>
  <c r="BC570" i="496"/>
  <c r="I570" i="496"/>
  <c r="H570" i="496"/>
  <c r="E570" i="496"/>
  <c r="D570" i="496"/>
  <c r="C570" i="496"/>
  <c r="BF569" i="496"/>
  <c r="BE569" i="496"/>
  <c r="BC569" i="496"/>
  <c r="I569" i="496"/>
  <c r="H569" i="496"/>
  <c r="E569" i="496"/>
  <c r="D569" i="496"/>
  <c r="C569" i="496"/>
  <c r="BE568" i="496"/>
  <c r="BC568" i="496"/>
  <c r="I568" i="496"/>
  <c r="H568" i="496"/>
  <c r="E568" i="496"/>
  <c r="D568" i="496"/>
  <c r="C568" i="496"/>
  <c r="BE567" i="496"/>
  <c r="BC567" i="496"/>
  <c r="I567" i="496"/>
  <c r="H567" i="496"/>
  <c r="E567" i="496"/>
  <c r="D567" i="496"/>
  <c r="C567" i="496"/>
  <c r="BE566" i="496"/>
  <c r="BC566" i="496"/>
  <c r="I566" i="496"/>
  <c r="H566" i="496"/>
  <c r="E566" i="496"/>
  <c r="D566" i="496"/>
  <c r="C566" i="496"/>
  <c r="BE565" i="496"/>
  <c r="BC565" i="496"/>
  <c r="I565" i="496"/>
  <c r="H565" i="496"/>
  <c r="E565" i="496"/>
  <c r="D565" i="496"/>
  <c r="C565" i="496"/>
  <c r="BE564" i="496"/>
  <c r="BC564" i="496"/>
  <c r="I564" i="496"/>
  <c r="H564" i="496"/>
  <c r="E564" i="496"/>
  <c r="D564" i="496"/>
  <c r="C564" i="496"/>
  <c r="BE563" i="496"/>
  <c r="BC563" i="496"/>
  <c r="I563" i="496"/>
  <c r="H563" i="496"/>
  <c r="E563" i="496"/>
  <c r="D563" i="496"/>
  <c r="C563" i="496"/>
  <c r="BE562" i="496"/>
  <c r="BC562" i="496"/>
  <c r="I562" i="496"/>
  <c r="H562" i="496"/>
  <c r="E562" i="496"/>
  <c r="D562" i="496"/>
  <c r="C562" i="496"/>
  <c r="BE561" i="496"/>
  <c r="BC561" i="496"/>
  <c r="I561" i="496"/>
  <c r="H561" i="496"/>
  <c r="E561" i="496"/>
  <c r="D561" i="496"/>
  <c r="C561" i="496"/>
  <c r="BE560" i="496"/>
  <c r="BC560" i="496"/>
  <c r="I560" i="496"/>
  <c r="H560" i="496"/>
  <c r="E560" i="496"/>
  <c r="D560" i="496"/>
  <c r="C560" i="496"/>
  <c r="BE559" i="496"/>
  <c r="BC559" i="496"/>
  <c r="I559" i="496"/>
  <c r="H559" i="496"/>
  <c r="E559" i="496"/>
  <c r="D559" i="496"/>
  <c r="C559" i="496"/>
  <c r="BE558" i="496"/>
  <c r="BC558" i="496"/>
  <c r="I558" i="496"/>
  <c r="H558" i="496"/>
  <c r="E558" i="496"/>
  <c r="D558" i="496"/>
  <c r="C558" i="496"/>
  <c r="BE557" i="496"/>
  <c r="BC557" i="496"/>
  <c r="I557" i="496"/>
  <c r="H557" i="496"/>
  <c r="E557" i="496"/>
  <c r="D557" i="496"/>
  <c r="C557" i="496"/>
  <c r="BE556" i="496"/>
  <c r="BC556" i="496"/>
  <c r="I556" i="496"/>
  <c r="H556" i="496"/>
  <c r="E556" i="496"/>
  <c r="D556" i="496"/>
  <c r="C556" i="496"/>
  <c r="BE555" i="496"/>
  <c r="BC555" i="496"/>
  <c r="I555" i="496"/>
  <c r="H555" i="496"/>
  <c r="E555" i="496"/>
  <c r="D555" i="496"/>
  <c r="C555" i="496"/>
  <c r="BE554" i="496"/>
  <c r="BC554" i="496"/>
  <c r="I554" i="496"/>
  <c r="H554" i="496"/>
  <c r="E554" i="496"/>
  <c r="D554" i="496"/>
  <c r="C554" i="496"/>
  <c r="BE553" i="496"/>
  <c r="BC553" i="496"/>
  <c r="I553" i="496"/>
  <c r="H553" i="496"/>
  <c r="E553" i="496"/>
  <c r="D553" i="496"/>
  <c r="C553" i="496"/>
  <c r="BE552" i="496"/>
  <c r="BC552" i="496"/>
  <c r="I552" i="496"/>
  <c r="H552" i="496"/>
  <c r="E552" i="496"/>
  <c r="D552" i="496"/>
  <c r="C552" i="496"/>
  <c r="BE551" i="496"/>
  <c r="BC551" i="496"/>
  <c r="I551" i="496"/>
  <c r="H551" i="496"/>
  <c r="E551" i="496"/>
  <c r="D551" i="496"/>
  <c r="C551" i="496"/>
  <c r="BE550" i="496"/>
  <c r="BC550" i="496"/>
  <c r="I550" i="496"/>
  <c r="H550" i="496"/>
  <c r="E550" i="496"/>
  <c r="D550" i="496"/>
  <c r="C550" i="496"/>
  <c r="BE549" i="496"/>
  <c r="BC549" i="496"/>
  <c r="I549" i="496"/>
  <c r="H549" i="496"/>
  <c r="E549" i="496"/>
  <c r="D549" i="496"/>
  <c r="C549" i="496"/>
  <c r="BE548" i="496"/>
  <c r="BC548" i="496"/>
  <c r="I548" i="496"/>
  <c r="H548" i="496"/>
  <c r="E548" i="496"/>
  <c r="D548" i="496"/>
  <c r="C548" i="496"/>
  <c r="BE547" i="496"/>
  <c r="BC547" i="496"/>
  <c r="I547" i="496"/>
  <c r="H547" i="496"/>
  <c r="E547" i="496"/>
  <c r="D547" i="496"/>
  <c r="C547" i="496"/>
  <c r="BE546" i="496"/>
  <c r="BC546" i="496"/>
  <c r="I546" i="496"/>
  <c r="H546" i="496"/>
  <c r="E546" i="496"/>
  <c r="D546" i="496"/>
  <c r="C546" i="496"/>
  <c r="BE545" i="496"/>
  <c r="BC545" i="496"/>
  <c r="I545" i="496"/>
  <c r="H545" i="496"/>
  <c r="E545" i="496"/>
  <c r="D545" i="496"/>
  <c r="C545" i="496"/>
  <c r="BE544" i="496"/>
  <c r="BC544" i="496"/>
  <c r="I544" i="496"/>
  <c r="H544" i="496"/>
  <c r="E544" i="496"/>
  <c r="D544" i="496"/>
  <c r="C544" i="496"/>
  <c r="BE543" i="496"/>
  <c r="BC543" i="496"/>
  <c r="I543" i="496"/>
  <c r="H543" i="496"/>
  <c r="E543" i="496"/>
  <c r="D543" i="496"/>
  <c r="C543" i="496"/>
  <c r="BE542" i="496"/>
  <c r="BC542" i="496"/>
  <c r="I542" i="496"/>
  <c r="H542" i="496"/>
  <c r="E542" i="496"/>
  <c r="D542" i="496"/>
  <c r="C542" i="496"/>
  <c r="BE541" i="496"/>
  <c r="BC541" i="496"/>
  <c r="I541" i="496"/>
  <c r="H541" i="496"/>
  <c r="E541" i="496"/>
  <c r="D541" i="496"/>
  <c r="C541" i="496"/>
  <c r="BE540" i="496"/>
  <c r="BC540" i="496"/>
  <c r="I540" i="496"/>
  <c r="H540" i="496"/>
  <c r="E540" i="496"/>
  <c r="D540" i="496"/>
  <c r="C540" i="496"/>
  <c r="BE539" i="496"/>
  <c r="BC539" i="496"/>
  <c r="I539" i="496"/>
  <c r="H539" i="496"/>
  <c r="E539" i="496"/>
  <c r="D539" i="496"/>
  <c r="C539" i="496"/>
  <c r="BE538" i="496"/>
  <c r="BC538" i="496"/>
  <c r="I538" i="496"/>
  <c r="H538" i="496"/>
  <c r="E538" i="496"/>
  <c r="D538" i="496"/>
  <c r="C538" i="496"/>
  <c r="BE537" i="496"/>
  <c r="BC537" i="496"/>
  <c r="I537" i="496"/>
  <c r="H537" i="496"/>
  <c r="E537" i="496"/>
  <c r="D537" i="496"/>
  <c r="C537" i="496"/>
  <c r="BE536" i="496"/>
  <c r="BC536" i="496"/>
  <c r="I536" i="496"/>
  <c r="H536" i="496"/>
  <c r="E536" i="496"/>
  <c r="D536" i="496"/>
  <c r="C536" i="496"/>
  <c r="BE535" i="496"/>
  <c r="BC535" i="496"/>
  <c r="I535" i="496"/>
  <c r="H535" i="496"/>
  <c r="E535" i="496"/>
  <c r="D535" i="496"/>
  <c r="C535" i="496"/>
  <c r="BE534" i="496"/>
  <c r="BC534" i="496"/>
  <c r="I534" i="496"/>
  <c r="H534" i="496"/>
  <c r="E534" i="496"/>
  <c r="D534" i="496"/>
  <c r="C534" i="496"/>
  <c r="BE533" i="496"/>
  <c r="BC533" i="496"/>
  <c r="I533" i="496"/>
  <c r="H533" i="496"/>
  <c r="E533" i="496"/>
  <c r="D533" i="496"/>
  <c r="C533" i="496"/>
  <c r="BE532" i="496"/>
  <c r="BC532" i="496"/>
  <c r="I532" i="496"/>
  <c r="H532" i="496"/>
  <c r="E532" i="496"/>
  <c r="D532" i="496"/>
  <c r="C532" i="496"/>
  <c r="BE531" i="496"/>
  <c r="BC531" i="496"/>
  <c r="I531" i="496"/>
  <c r="H531" i="496"/>
  <c r="E531" i="496"/>
  <c r="D531" i="496"/>
  <c r="C531" i="496"/>
  <c r="BE530" i="496"/>
  <c r="BC530" i="496"/>
  <c r="I530" i="496"/>
  <c r="H530" i="496"/>
  <c r="E530" i="496"/>
  <c r="D530" i="496"/>
  <c r="C530" i="496"/>
  <c r="BE529" i="496"/>
  <c r="BC529" i="496"/>
  <c r="I529" i="496"/>
  <c r="H529" i="496"/>
  <c r="E529" i="496"/>
  <c r="D529" i="496"/>
  <c r="C529" i="496"/>
  <c r="BE528" i="496"/>
  <c r="BC528" i="496"/>
  <c r="I528" i="496"/>
  <c r="H528" i="496"/>
  <c r="E528" i="496"/>
  <c r="D528" i="496"/>
  <c r="C528" i="496"/>
  <c r="BE527" i="496"/>
  <c r="BC527" i="496"/>
  <c r="I527" i="496"/>
  <c r="H527" i="496"/>
  <c r="E527" i="496"/>
  <c r="D527" i="496"/>
  <c r="C527" i="496"/>
  <c r="BE526" i="496"/>
  <c r="BC526" i="496"/>
  <c r="I526" i="496"/>
  <c r="H526" i="496"/>
  <c r="E526" i="496"/>
  <c r="D526" i="496"/>
  <c r="C526" i="496"/>
  <c r="BE525" i="496"/>
  <c r="BC525" i="496"/>
  <c r="I525" i="496"/>
  <c r="H525" i="496"/>
  <c r="E525" i="496"/>
  <c r="D525" i="496"/>
  <c r="C525" i="496"/>
  <c r="BE524" i="496"/>
  <c r="BC524" i="496"/>
  <c r="I524" i="496"/>
  <c r="H524" i="496"/>
  <c r="E524" i="496"/>
  <c r="D524" i="496"/>
  <c r="C524" i="496"/>
  <c r="BE523" i="496"/>
  <c r="BC523" i="496"/>
  <c r="I523" i="496"/>
  <c r="H523" i="496"/>
  <c r="E523" i="496"/>
  <c r="D523" i="496"/>
  <c r="C523" i="496"/>
  <c r="BE522" i="496"/>
  <c r="BC522" i="496"/>
  <c r="I522" i="496"/>
  <c r="H522" i="496"/>
  <c r="E522" i="496"/>
  <c r="D522" i="496"/>
  <c r="C522" i="496"/>
  <c r="BE521" i="496"/>
  <c r="BC521" i="496"/>
  <c r="I521" i="496"/>
  <c r="H521" i="496"/>
  <c r="E521" i="496"/>
  <c r="D521" i="496"/>
  <c r="C521" i="496"/>
  <c r="BE520" i="496"/>
  <c r="BC520" i="496"/>
  <c r="I520" i="496"/>
  <c r="H520" i="496"/>
  <c r="E520" i="496"/>
  <c r="D520" i="496"/>
  <c r="C520" i="496"/>
  <c r="BE519" i="496"/>
  <c r="BC519" i="496"/>
  <c r="I519" i="496"/>
  <c r="H519" i="496"/>
  <c r="E519" i="496"/>
  <c r="D519" i="496"/>
  <c r="C519" i="496"/>
  <c r="BE518" i="496"/>
  <c r="BC518" i="496"/>
  <c r="I518" i="496"/>
  <c r="H518" i="496"/>
  <c r="E518" i="496"/>
  <c r="D518" i="496"/>
  <c r="C518" i="496"/>
  <c r="BE517" i="496"/>
  <c r="BC517" i="496"/>
  <c r="I517" i="496"/>
  <c r="H517" i="496"/>
  <c r="E517" i="496"/>
  <c r="D517" i="496"/>
  <c r="C517" i="496"/>
  <c r="BE516" i="496"/>
  <c r="BC516" i="496"/>
  <c r="I516" i="496"/>
  <c r="H516" i="496"/>
  <c r="E516" i="496"/>
  <c r="D516" i="496"/>
  <c r="C516" i="496"/>
  <c r="BE515" i="496"/>
  <c r="BC515" i="496"/>
  <c r="I515" i="496"/>
  <c r="H515" i="496"/>
  <c r="E515" i="496"/>
  <c r="D515" i="496"/>
  <c r="C515" i="496"/>
  <c r="BE514" i="496"/>
  <c r="BC514" i="496"/>
  <c r="I514" i="496"/>
  <c r="H514" i="496"/>
  <c r="E514" i="496"/>
  <c r="D514" i="496"/>
  <c r="C514" i="496"/>
  <c r="BE513" i="496"/>
  <c r="BC513" i="496"/>
  <c r="I513" i="496"/>
  <c r="H513" i="496"/>
  <c r="E513" i="496"/>
  <c r="D513" i="496"/>
  <c r="C513" i="496"/>
  <c r="BE512" i="496"/>
  <c r="BC512" i="496"/>
  <c r="I512" i="496"/>
  <c r="H512" i="496"/>
  <c r="E512" i="496"/>
  <c r="D512" i="496"/>
  <c r="C512" i="496"/>
  <c r="BE511" i="496"/>
  <c r="BC511" i="496"/>
  <c r="I511" i="496"/>
  <c r="H511" i="496"/>
  <c r="E511" i="496"/>
  <c r="D511" i="496"/>
  <c r="C511" i="496"/>
  <c r="BE510" i="496"/>
  <c r="BC510" i="496"/>
  <c r="I510" i="496"/>
  <c r="H510" i="496"/>
  <c r="E510" i="496"/>
  <c r="D510" i="496"/>
  <c r="C510" i="496"/>
  <c r="BE509" i="496"/>
  <c r="BC509" i="496"/>
  <c r="I509" i="496"/>
  <c r="H509" i="496"/>
  <c r="E509" i="496"/>
  <c r="D509" i="496"/>
  <c r="C509" i="496"/>
  <c r="BE508" i="496"/>
  <c r="BC508" i="496"/>
  <c r="I508" i="496"/>
  <c r="H508" i="496"/>
  <c r="E508" i="496"/>
  <c r="D508" i="496"/>
  <c r="C508" i="496"/>
  <c r="BE507" i="496"/>
  <c r="BC507" i="496"/>
  <c r="I507" i="496"/>
  <c r="H507" i="496"/>
  <c r="E507" i="496"/>
  <c r="D507" i="496"/>
  <c r="C507" i="496"/>
  <c r="BE506" i="496"/>
  <c r="BC506" i="496"/>
  <c r="I506" i="496"/>
  <c r="H506" i="496"/>
  <c r="E506" i="496"/>
  <c r="D506" i="496"/>
  <c r="C506" i="496"/>
  <c r="BE505" i="496"/>
  <c r="BC505" i="496"/>
  <c r="I505" i="496"/>
  <c r="H505" i="496"/>
  <c r="E505" i="496"/>
  <c r="D505" i="496"/>
  <c r="C505" i="496"/>
  <c r="BE504" i="496"/>
  <c r="BC504" i="496"/>
  <c r="I504" i="496"/>
  <c r="H504" i="496"/>
  <c r="E504" i="496"/>
  <c r="D504" i="496"/>
  <c r="C504" i="496"/>
  <c r="BE503" i="496"/>
  <c r="BC503" i="496"/>
  <c r="I503" i="496"/>
  <c r="H503" i="496"/>
  <c r="E503" i="496"/>
  <c r="D503" i="496"/>
  <c r="C503" i="496"/>
  <c r="BE502" i="496"/>
  <c r="BC502" i="496"/>
  <c r="I502" i="496"/>
  <c r="H502" i="496"/>
  <c r="E502" i="496"/>
  <c r="D502" i="496"/>
  <c r="C502" i="496"/>
  <c r="BE501" i="496"/>
  <c r="BC501" i="496"/>
  <c r="I501" i="496"/>
  <c r="H501" i="496"/>
  <c r="E501" i="496"/>
  <c r="D501" i="496"/>
  <c r="C501" i="496"/>
  <c r="BE500" i="496"/>
  <c r="BC500" i="496"/>
  <c r="I500" i="496"/>
  <c r="H500" i="496"/>
  <c r="E500" i="496"/>
  <c r="D500" i="496"/>
  <c r="C500" i="496"/>
  <c r="BE499" i="496"/>
  <c r="BC499" i="496"/>
  <c r="I499" i="496"/>
  <c r="H499" i="496"/>
  <c r="E499" i="496"/>
  <c r="D499" i="496"/>
  <c r="C499" i="496"/>
  <c r="BE498" i="496"/>
  <c r="BC498" i="496"/>
  <c r="I498" i="496"/>
  <c r="H498" i="496"/>
  <c r="E498" i="496"/>
  <c r="D498" i="496"/>
  <c r="C498" i="496"/>
  <c r="BF497" i="496"/>
  <c r="BE497" i="496"/>
  <c r="BC497" i="496"/>
  <c r="I497" i="496"/>
  <c r="H497" i="496"/>
  <c r="E497" i="496"/>
  <c r="D497" i="496"/>
  <c r="C497" i="496"/>
  <c r="BE496" i="496"/>
  <c r="BC496" i="496"/>
  <c r="I496" i="496"/>
  <c r="H496" i="496"/>
  <c r="E496" i="496"/>
  <c r="D496" i="496"/>
  <c r="C496" i="496"/>
  <c r="BE495" i="496"/>
  <c r="BC495" i="496"/>
  <c r="I495" i="496"/>
  <c r="H495" i="496"/>
  <c r="E495" i="496"/>
  <c r="D495" i="496"/>
  <c r="C495" i="496"/>
  <c r="BE494" i="496"/>
  <c r="BC494" i="496"/>
  <c r="I494" i="496"/>
  <c r="H494" i="496"/>
  <c r="E494" i="496"/>
  <c r="D494" i="496"/>
  <c r="C494" i="496"/>
  <c r="BE493" i="496"/>
  <c r="BC493" i="496"/>
  <c r="I493" i="496"/>
  <c r="H493" i="496"/>
  <c r="E493" i="496"/>
  <c r="D493" i="496"/>
  <c r="C493" i="496"/>
  <c r="BE492" i="496"/>
  <c r="BC492" i="496"/>
  <c r="I492" i="496"/>
  <c r="H492" i="496"/>
  <c r="E492" i="496"/>
  <c r="D492" i="496"/>
  <c r="C492" i="496"/>
  <c r="BE491" i="496"/>
  <c r="BC491" i="496"/>
  <c r="I491" i="496"/>
  <c r="H491" i="496"/>
  <c r="E491" i="496"/>
  <c r="D491" i="496"/>
  <c r="C491" i="496"/>
  <c r="BE490" i="496"/>
  <c r="BC490" i="496"/>
  <c r="I490" i="496"/>
  <c r="H490" i="496"/>
  <c r="E490" i="496"/>
  <c r="D490" i="496"/>
  <c r="C490" i="496"/>
  <c r="BE489" i="496"/>
  <c r="BC489" i="496"/>
  <c r="I489" i="496"/>
  <c r="H489" i="496"/>
  <c r="E489" i="496"/>
  <c r="D489" i="496"/>
  <c r="C489" i="496"/>
  <c r="BE488" i="496"/>
  <c r="BC488" i="496"/>
  <c r="I488" i="496"/>
  <c r="H488" i="496"/>
  <c r="E488" i="496"/>
  <c r="D488" i="496"/>
  <c r="C488" i="496"/>
  <c r="BE487" i="496"/>
  <c r="BC487" i="496"/>
  <c r="I487" i="496"/>
  <c r="H487" i="496"/>
  <c r="E487" i="496"/>
  <c r="D487" i="496"/>
  <c r="C487" i="496"/>
  <c r="BE486" i="496"/>
  <c r="BC486" i="496"/>
  <c r="I486" i="496"/>
  <c r="H486" i="496"/>
  <c r="E486" i="496"/>
  <c r="D486" i="496"/>
  <c r="C486" i="496"/>
  <c r="BF485" i="496"/>
  <c r="BE485" i="496"/>
  <c r="BC485" i="496"/>
  <c r="I485" i="496"/>
  <c r="H485" i="496"/>
  <c r="E485" i="496"/>
  <c r="D485" i="496"/>
  <c r="C485" i="496"/>
  <c r="BF484" i="496"/>
  <c r="BE484" i="496"/>
  <c r="BC484" i="496"/>
  <c r="I484" i="496"/>
  <c r="H484" i="496"/>
  <c r="E484" i="496"/>
  <c r="D484" i="496"/>
  <c r="C484" i="496"/>
  <c r="BF483" i="496"/>
  <c r="BE483" i="496"/>
  <c r="BC483" i="496"/>
  <c r="I483" i="496"/>
  <c r="H483" i="496"/>
  <c r="E483" i="496"/>
  <c r="D483" i="496"/>
  <c r="C483" i="496"/>
  <c r="BF482" i="496"/>
  <c r="BE482" i="496"/>
  <c r="BC482" i="496"/>
  <c r="I482" i="496"/>
  <c r="H482" i="496"/>
  <c r="E482" i="496"/>
  <c r="D482" i="496"/>
  <c r="C482" i="496"/>
  <c r="BF481" i="496"/>
  <c r="BE481" i="496"/>
  <c r="BC481" i="496"/>
  <c r="I481" i="496"/>
  <c r="H481" i="496"/>
  <c r="E481" i="496"/>
  <c r="D481" i="496"/>
  <c r="C481" i="496"/>
  <c r="BE480" i="496"/>
  <c r="BC480" i="496"/>
  <c r="I480" i="496"/>
  <c r="H480" i="496"/>
  <c r="E480" i="496"/>
  <c r="D480" i="496"/>
  <c r="C480" i="496"/>
  <c r="BE479" i="496"/>
  <c r="BC479" i="496"/>
  <c r="I479" i="496"/>
  <c r="H479" i="496"/>
  <c r="E479" i="496"/>
  <c r="D479" i="496"/>
  <c r="C479" i="496"/>
  <c r="BE478" i="496"/>
  <c r="BC478" i="496"/>
  <c r="I478" i="496"/>
  <c r="H478" i="496"/>
  <c r="E478" i="496"/>
  <c r="D478" i="496"/>
  <c r="C478" i="496"/>
  <c r="BE477" i="496"/>
  <c r="BC477" i="496"/>
  <c r="I477" i="496"/>
  <c r="H477" i="496"/>
  <c r="E477" i="496"/>
  <c r="D477" i="496"/>
  <c r="C477" i="496"/>
  <c r="BE476" i="496"/>
  <c r="BC476" i="496"/>
  <c r="I476" i="496"/>
  <c r="H476" i="496"/>
  <c r="E476" i="496"/>
  <c r="D476" i="496"/>
  <c r="C476" i="496"/>
  <c r="BE475" i="496"/>
  <c r="BC475" i="496"/>
  <c r="I475" i="496"/>
  <c r="H475" i="496"/>
  <c r="E475" i="496"/>
  <c r="D475" i="496"/>
  <c r="C475" i="496"/>
  <c r="BE474" i="496"/>
  <c r="BC474" i="496"/>
  <c r="I474" i="496"/>
  <c r="H474" i="496"/>
  <c r="E474" i="496"/>
  <c r="D474" i="496"/>
  <c r="C474" i="496"/>
  <c r="BE473" i="496"/>
  <c r="BC473" i="496"/>
  <c r="I473" i="496"/>
  <c r="H473" i="496"/>
  <c r="E473" i="496"/>
  <c r="D473" i="496"/>
  <c r="C473" i="496"/>
  <c r="BE472" i="496"/>
  <c r="BC472" i="496"/>
  <c r="I472" i="496"/>
  <c r="H472" i="496"/>
  <c r="E472" i="496"/>
  <c r="D472" i="496"/>
  <c r="C472" i="496"/>
  <c r="BE471" i="496"/>
  <c r="BC471" i="496"/>
  <c r="I471" i="496"/>
  <c r="H471" i="496"/>
  <c r="E471" i="496"/>
  <c r="D471" i="496"/>
  <c r="C471" i="496"/>
  <c r="BF470" i="496"/>
  <c r="BE470" i="496"/>
  <c r="BC470" i="496"/>
  <c r="I470" i="496"/>
  <c r="H470" i="496"/>
  <c r="E470" i="496"/>
  <c r="D470" i="496"/>
  <c r="C470" i="496"/>
  <c r="BF469" i="496"/>
  <c r="BE469" i="496"/>
  <c r="BC469" i="496"/>
  <c r="I469" i="496"/>
  <c r="H469" i="496"/>
  <c r="E469" i="496"/>
  <c r="D469" i="496"/>
  <c r="C469" i="496"/>
  <c r="BF468" i="496"/>
  <c r="BE468" i="496"/>
  <c r="BC468" i="496"/>
  <c r="I468" i="496"/>
  <c r="H468" i="496"/>
  <c r="E468" i="496"/>
  <c r="D468" i="496"/>
  <c r="C468" i="496"/>
  <c r="BF467" i="496"/>
  <c r="BE467" i="496"/>
  <c r="BC467" i="496"/>
  <c r="I467" i="496"/>
  <c r="H467" i="496"/>
  <c r="E467" i="496"/>
  <c r="D467" i="496"/>
  <c r="C467" i="496"/>
  <c r="BE466" i="496"/>
  <c r="BC466" i="496"/>
  <c r="I466" i="496"/>
  <c r="H466" i="496"/>
  <c r="E466" i="496"/>
  <c r="D466" i="496"/>
  <c r="C466" i="496"/>
  <c r="BE465" i="496"/>
  <c r="BC465" i="496"/>
  <c r="I465" i="496"/>
  <c r="H465" i="496"/>
  <c r="E465" i="496"/>
  <c r="D465" i="496"/>
  <c r="C465" i="496"/>
  <c r="BE464" i="496"/>
  <c r="BC464" i="496"/>
  <c r="I464" i="496"/>
  <c r="H464" i="496"/>
  <c r="E464" i="496"/>
  <c r="D464" i="496"/>
  <c r="C464" i="496"/>
  <c r="BE463" i="496"/>
  <c r="BC463" i="496"/>
  <c r="I463" i="496"/>
  <c r="H463" i="496"/>
  <c r="E463" i="496"/>
  <c r="D463" i="496"/>
  <c r="C463" i="496"/>
  <c r="BE462" i="496"/>
  <c r="BC462" i="496"/>
  <c r="I462" i="496"/>
  <c r="H462" i="496"/>
  <c r="E462" i="496"/>
  <c r="D462" i="496"/>
  <c r="C462" i="496"/>
  <c r="BE461" i="496"/>
  <c r="BC461" i="496"/>
  <c r="I461" i="496"/>
  <c r="H461" i="496"/>
  <c r="E461" i="496"/>
  <c r="D461" i="496"/>
  <c r="C461" i="496"/>
  <c r="BE460" i="496"/>
  <c r="BC460" i="496"/>
  <c r="I460" i="496"/>
  <c r="H460" i="496"/>
  <c r="E460" i="496"/>
  <c r="D460" i="496"/>
  <c r="C460" i="496"/>
  <c r="BE459" i="496"/>
  <c r="BC459" i="496"/>
  <c r="I459" i="496"/>
  <c r="H459" i="496"/>
  <c r="E459" i="496"/>
  <c r="D459" i="496"/>
  <c r="C459" i="496"/>
  <c r="BE458" i="496"/>
  <c r="BC458" i="496"/>
  <c r="I458" i="496"/>
  <c r="H458" i="496"/>
  <c r="E458" i="496"/>
  <c r="D458" i="496"/>
  <c r="C458" i="496"/>
  <c r="BE457" i="496"/>
  <c r="BC457" i="496"/>
  <c r="I457" i="496"/>
  <c r="H457" i="496"/>
  <c r="E457" i="496"/>
  <c r="D457" i="496"/>
  <c r="C457" i="496"/>
  <c r="BE456" i="496"/>
  <c r="BC456" i="496"/>
  <c r="I456" i="496"/>
  <c r="H456" i="496"/>
  <c r="E456" i="496"/>
  <c r="D456" i="496"/>
  <c r="C456" i="496"/>
  <c r="BE455" i="496"/>
  <c r="BC455" i="496"/>
  <c r="I455" i="496"/>
  <c r="H455" i="496"/>
  <c r="E455" i="496"/>
  <c r="D455" i="496"/>
  <c r="C455" i="496"/>
  <c r="BE454" i="496"/>
  <c r="BC454" i="496"/>
  <c r="I454" i="496"/>
  <c r="H454" i="496"/>
  <c r="E454" i="496"/>
  <c r="D454" i="496"/>
  <c r="C454" i="496"/>
  <c r="BE453" i="496"/>
  <c r="BC453" i="496"/>
  <c r="I453" i="496"/>
  <c r="H453" i="496"/>
  <c r="E453" i="496"/>
  <c r="D453" i="496"/>
  <c r="C453" i="496"/>
  <c r="BE452" i="496"/>
  <c r="BC452" i="496"/>
  <c r="I452" i="496"/>
  <c r="H452" i="496"/>
  <c r="E452" i="496"/>
  <c r="D452" i="496"/>
  <c r="C452" i="496"/>
  <c r="BE451" i="496"/>
  <c r="BC451" i="496"/>
  <c r="I451" i="496"/>
  <c r="H451" i="496"/>
  <c r="E451" i="496"/>
  <c r="D451" i="496"/>
  <c r="C451" i="496"/>
  <c r="BE450" i="496"/>
  <c r="BC450" i="496"/>
  <c r="I450" i="496"/>
  <c r="H450" i="496"/>
  <c r="E450" i="496"/>
  <c r="D450" i="496"/>
  <c r="C450" i="496"/>
  <c r="BE449" i="496"/>
  <c r="BC449" i="496"/>
  <c r="I449" i="496"/>
  <c r="H449" i="496"/>
  <c r="E449" i="496"/>
  <c r="D449" i="496"/>
  <c r="C449" i="496"/>
  <c r="BE448" i="496"/>
  <c r="BC448" i="496"/>
  <c r="I448" i="496"/>
  <c r="H448" i="496"/>
  <c r="E448" i="496"/>
  <c r="D448" i="496"/>
  <c r="C448" i="496"/>
  <c r="BE447" i="496"/>
  <c r="BC447" i="496"/>
  <c r="I447" i="496"/>
  <c r="H447" i="496"/>
  <c r="E447" i="496"/>
  <c r="D447" i="496"/>
  <c r="C447" i="496"/>
  <c r="BE446" i="496"/>
  <c r="BC446" i="496"/>
  <c r="I446" i="496"/>
  <c r="H446" i="496"/>
  <c r="E446" i="496"/>
  <c r="D446" i="496"/>
  <c r="C446" i="496"/>
  <c r="BE445" i="496"/>
  <c r="BC445" i="496"/>
  <c r="I445" i="496"/>
  <c r="H445" i="496"/>
  <c r="E445" i="496"/>
  <c r="D445" i="496"/>
  <c r="C445" i="496"/>
  <c r="BE444" i="496"/>
  <c r="BC444" i="496"/>
  <c r="I444" i="496"/>
  <c r="H444" i="496"/>
  <c r="E444" i="496"/>
  <c r="D444" i="496"/>
  <c r="C444" i="496"/>
  <c r="BE443" i="496"/>
  <c r="BC443" i="496"/>
  <c r="I443" i="496"/>
  <c r="H443" i="496"/>
  <c r="E443" i="496"/>
  <c r="D443" i="496"/>
  <c r="C443" i="496"/>
  <c r="BE442" i="496"/>
  <c r="BC442" i="496"/>
  <c r="I442" i="496"/>
  <c r="H442" i="496"/>
  <c r="E442" i="496"/>
  <c r="D442" i="496"/>
  <c r="C442" i="496"/>
  <c r="BE441" i="496"/>
  <c r="BC441" i="496"/>
  <c r="I441" i="496"/>
  <c r="H441" i="496"/>
  <c r="E441" i="496"/>
  <c r="D441" i="496"/>
  <c r="C441" i="496"/>
  <c r="BE440" i="496"/>
  <c r="BC440" i="496"/>
  <c r="I440" i="496"/>
  <c r="H440" i="496"/>
  <c r="E440" i="496"/>
  <c r="D440" i="496"/>
  <c r="C440" i="496"/>
  <c r="BE439" i="496"/>
  <c r="BC439" i="496"/>
  <c r="I439" i="496"/>
  <c r="H439" i="496"/>
  <c r="E439" i="496"/>
  <c r="D439" i="496"/>
  <c r="C439" i="496"/>
  <c r="BE438" i="496"/>
  <c r="BC438" i="496"/>
  <c r="I438" i="496"/>
  <c r="H438" i="496"/>
  <c r="E438" i="496"/>
  <c r="D438" i="496"/>
  <c r="C438" i="496"/>
  <c r="BE437" i="496"/>
  <c r="BC437" i="496"/>
  <c r="I437" i="496"/>
  <c r="H437" i="496"/>
  <c r="E437" i="496"/>
  <c r="D437" i="496"/>
  <c r="C437" i="496"/>
  <c r="BE436" i="496"/>
  <c r="BC436" i="496"/>
  <c r="I436" i="496"/>
  <c r="H436" i="496"/>
  <c r="E436" i="496"/>
  <c r="D436" i="496"/>
  <c r="C436" i="496"/>
  <c r="BE435" i="496"/>
  <c r="BC435" i="496"/>
  <c r="I435" i="496"/>
  <c r="H435" i="496"/>
  <c r="E435" i="496"/>
  <c r="D435" i="496"/>
  <c r="C435" i="496"/>
  <c r="BE434" i="496"/>
  <c r="BC434" i="496"/>
  <c r="I434" i="496"/>
  <c r="H434" i="496"/>
  <c r="E434" i="496"/>
  <c r="D434" i="496"/>
  <c r="C434" i="496"/>
  <c r="BE433" i="496"/>
  <c r="BC433" i="496"/>
  <c r="I433" i="496"/>
  <c r="H433" i="496"/>
  <c r="E433" i="496"/>
  <c r="D433" i="496"/>
  <c r="C433" i="496"/>
  <c r="BE432" i="496"/>
  <c r="BC432" i="496"/>
  <c r="I432" i="496"/>
  <c r="H432" i="496"/>
  <c r="E432" i="496"/>
  <c r="D432" i="496"/>
  <c r="C432" i="496"/>
  <c r="BE431" i="496"/>
  <c r="BC431" i="496"/>
  <c r="I431" i="496"/>
  <c r="H431" i="496"/>
  <c r="E431" i="496"/>
  <c r="D431" i="496"/>
  <c r="C431" i="496"/>
  <c r="BE430" i="496"/>
  <c r="BC430" i="496"/>
  <c r="I430" i="496"/>
  <c r="H430" i="496"/>
  <c r="E430" i="496"/>
  <c r="D430" i="496"/>
  <c r="C430" i="496"/>
  <c r="BE429" i="496"/>
  <c r="BC429" i="496"/>
  <c r="I429" i="496"/>
  <c r="H429" i="496"/>
  <c r="E429" i="496"/>
  <c r="D429" i="496"/>
  <c r="C429" i="496"/>
  <c r="BE428" i="496"/>
  <c r="BC428" i="496"/>
  <c r="I428" i="496"/>
  <c r="H428" i="496"/>
  <c r="E428" i="496"/>
  <c r="D428" i="496"/>
  <c r="C428" i="496"/>
  <c r="BE427" i="496"/>
  <c r="BC427" i="496"/>
  <c r="I427" i="496"/>
  <c r="H427" i="496"/>
  <c r="E427" i="496"/>
  <c r="D427" i="496"/>
  <c r="C427" i="496"/>
  <c r="BE426" i="496"/>
  <c r="BC426" i="496"/>
  <c r="I426" i="496"/>
  <c r="H426" i="496"/>
  <c r="E426" i="496"/>
  <c r="D426" i="496"/>
  <c r="C426" i="496"/>
  <c r="BE425" i="496"/>
  <c r="BC425" i="496"/>
  <c r="I425" i="496"/>
  <c r="H425" i="496"/>
  <c r="E425" i="496"/>
  <c r="D425" i="496"/>
  <c r="C425" i="496"/>
  <c r="BE424" i="496"/>
  <c r="BC424" i="496"/>
  <c r="I424" i="496"/>
  <c r="H424" i="496"/>
  <c r="E424" i="496"/>
  <c r="D424" i="496"/>
  <c r="C424" i="496"/>
  <c r="BE423" i="496"/>
  <c r="BC423" i="496"/>
  <c r="I423" i="496"/>
  <c r="H423" i="496"/>
  <c r="E423" i="496"/>
  <c r="D423" i="496"/>
  <c r="C423" i="496"/>
  <c r="BE422" i="496"/>
  <c r="BC422" i="496"/>
  <c r="I422" i="496"/>
  <c r="H422" i="496"/>
  <c r="E422" i="496"/>
  <c r="D422" i="496"/>
  <c r="C422" i="496"/>
  <c r="BE421" i="496"/>
  <c r="BC421" i="496"/>
  <c r="I421" i="496"/>
  <c r="H421" i="496"/>
  <c r="E421" i="496"/>
  <c r="D421" i="496"/>
  <c r="C421" i="496"/>
  <c r="BE420" i="496"/>
  <c r="BC420" i="496"/>
  <c r="I420" i="496"/>
  <c r="H420" i="496"/>
  <c r="E420" i="496"/>
  <c r="D420" i="496"/>
  <c r="C420" i="496"/>
  <c r="BE419" i="496"/>
  <c r="BC419" i="496"/>
  <c r="I419" i="496"/>
  <c r="H419" i="496"/>
  <c r="E419" i="496"/>
  <c r="D419" i="496"/>
  <c r="C419" i="496"/>
  <c r="BE418" i="496"/>
  <c r="BC418" i="496"/>
  <c r="I418" i="496"/>
  <c r="H418" i="496"/>
  <c r="E418" i="496"/>
  <c r="D418" i="496"/>
  <c r="C418" i="496"/>
  <c r="BE417" i="496"/>
  <c r="BC417" i="496"/>
  <c r="I417" i="496"/>
  <c r="H417" i="496"/>
  <c r="E417" i="496"/>
  <c r="D417" i="496"/>
  <c r="C417" i="496"/>
  <c r="BE416" i="496"/>
  <c r="BC416" i="496"/>
  <c r="I416" i="496"/>
  <c r="H416" i="496"/>
  <c r="E416" i="496"/>
  <c r="D416" i="496"/>
  <c r="C416" i="496"/>
  <c r="BE415" i="496"/>
  <c r="BC415" i="496"/>
  <c r="I415" i="496"/>
  <c r="H415" i="496"/>
  <c r="E415" i="496"/>
  <c r="D415" i="496"/>
  <c r="C415" i="496"/>
  <c r="BE414" i="496"/>
  <c r="BC414" i="496"/>
  <c r="I414" i="496"/>
  <c r="H414" i="496"/>
  <c r="E414" i="496"/>
  <c r="D414" i="496"/>
  <c r="C414" i="496"/>
  <c r="BE413" i="496"/>
  <c r="BC413" i="496"/>
  <c r="I413" i="496"/>
  <c r="H413" i="496"/>
  <c r="E413" i="496"/>
  <c r="D413" i="496"/>
  <c r="C413" i="496"/>
  <c r="BE412" i="496"/>
  <c r="BC412" i="496"/>
  <c r="I412" i="496"/>
  <c r="H412" i="496"/>
  <c r="E412" i="496"/>
  <c r="D412" i="496"/>
  <c r="C412" i="496"/>
  <c r="BE411" i="496"/>
  <c r="BC411" i="496"/>
  <c r="I411" i="496"/>
  <c r="H411" i="496"/>
  <c r="E411" i="496"/>
  <c r="D411" i="496"/>
  <c r="C411" i="496"/>
  <c r="BE410" i="496"/>
  <c r="BC410" i="496"/>
  <c r="I410" i="496"/>
  <c r="H410" i="496"/>
  <c r="E410" i="496"/>
  <c r="D410" i="496"/>
  <c r="C410" i="496"/>
  <c r="BE409" i="496"/>
  <c r="BC409" i="496"/>
  <c r="I409" i="496"/>
  <c r="H409" i="496"/>
  <c r="E409" i="496"/>
  <c r="D409" i="496"/>
  <c r="C409" i="496"/>
  <c r="BE408" i="496"/>
  <c r="BC408" i="496"/>
  <c r="I408" i="496"/>
  <c r="H408" i="496"/>
  <c r="E408" i="496"/>
  <c r="D408" i="496"/>
  <c r="C408" i="496"/>
  <c r="BE407" i="496"/>
  <c r="BC407" i="496"/>
  <c r="I407" i="496"/>
  <c r="H407" i="496"/>
  <c r="E407" i="496"/>
  <c r="D407" i="496"/>
  <c r="C407" i="496"/>
  <c r="BE406" i="496"/>
  <c r="BC406" i="496"/>
  <c r="I406" i="496"/>
  <c r="H406" i="496"/>
  <c r="E406" i="496"/>
  <c r="D406" i="496"/>
  <c r="C406" i="496"/>
  <c r="BE405" i="496"/>
  <c r="BC405" i="496"/>
  <c r="I405" i="496"/>
  <c r="H405" i="496"/>
  <c r="E405" i="496"/>
  <c r="D405" i="496"/>
  <c r="C405" i="496"/>
  <c r="BE404" i="496"/>
  <c r="BC404" i="496"/>
  <c r="I404" i="496"/>
  <c r="H404" i="496"/>
  <c r="E404" i="496"/>
  <c r="D404" i="496"/>
  <c r="C404" i="496"/>
  <c r="BE403" i="496"/>
  <c r="BC403" i="496"/>
  <c r="I403" i="496"/>
  <c r="H403" i="496"/>
  <c r="E403" i="496"/>
  <c r="D403" i="496"/>
  <c r="C403" i="496"/>
  <c r="BE402" i="496"/>
  <c r="BC402" i="496"/>
  <c r="I402" i="496"/>
  <c r="H402" i="496"/>
  <c r="E402" i="496"/>
  <c r="D402" i="496"/>
  <c r="C402" i="496"/>
  <c r="BE401" i="496"/>
  <c r="BC401" i="496"/>
  <c r="I401" i="496"/>
  <c r="H401" i="496"/>
  <c r="E401" i="496"/>
  <c r="D401" i="496"/>
  <c r="C401" i="496"/>
  <c r="BE400" i="496"/>
  <c r="BC400" i="496"/>
  <c r="I400" i="496"/>
  <c r="H400" i="496"/>
  <c r="E400" i="496"/>
  <c r="D400" i="496"/>
  <c r="C400" i="496"/>
  <c r="BE399" i="496"/>
  <c r="BC399" i="496"/>
  <c r="I399" i="496"/>
  <c r="H399" i="496"/>
  <c r="E399" i="496"/>
  <c r="D399" i="496"/>
  <c r="C399" i="496"/>
  <c r="BF398" i="496"/>
  <c r="BE398" i="496"/>
  <c r="BC398" i="496"/>
  <c r="I398" i="496"/>
  <c r="H398" i="496"/>
  <c r="E398" i="496"/>
  <c r="D398" i="496"/>
  <c r="C398" i="496"/>
  <c r="BF397" i="496"/>
  <c r="BE397" i="496"/>
  <c r="BC397" i="496"/>
  <c r="I397" i="496"/>
  <c r="H397" i="496"/>
  <c r="E397" i="496"/>
  <c r="D397" i="496"/>
  <c r="C397" i="496"/>
  <c r="BF396" i="496"/>
  <c r="BE396" i="496"/>
  <c r="BC396" i="496"/>
  <c r="I396" i="496"/>
  <c r="H396" i="496"/>
  <c r="E396" i="496"/>
  <c r="D396" i="496"/>
  <c r="C396" i="496"/>
  <c r="BE395" i="496"/>
  <c r="BC395" i="496"/>
  <c r="BA395" i="496"/>
  <c r="I395" i="496"/>
  <c r="H395" i="496"/>
  <c r="E395" i="496"/>
  <c r="D395" i="496"/>
  <c r="C395" i="496"/>
  <c r="BE394" i="496"/>
  <c r="BC394" i="496"/>
  <c r="I394" i="496"/>
  <c r="H394" i="496"/>
  <c r="E394" i="496"/>
  <c r="D394" i="496"/>
  <c r="C394" i="496"/>
  <c r="BE393" i="496"/>
  <c r="BC393" i="496"/>
  <c r="I393" i="496"/>
  <c r="H393" i="496"/>
  <c r="E393" i="496"/>
  <c r="D393" i="496"/>
  <c r="C393" i="496"/>
  <c r="BE392" i="496"/>
  <c r="BC392" i="496"/>
  <c r="I392" i="496"/>
  <c r="H392" i="496"/>
  <c r="E392" i="496"/>
  <c r="D392" i="496"/>
  <c r="C392" i="496"/>
  <c r="BE391" i="496"/>
  <c r="BC391" i="496"/>
  <c r="I391" i="496"/>
  <c r="H391" i="496"/>
  <c r="E391" i="496"/>
  <c r="D391" i="496"/>
  <c r="C391" i="496"/>
  <c r="BE390" i="496"/>
  <c r="BC390" i="496"/>
  <c r="I390" i="496"/>
  <c r="H390" i="496"/>
  <c r="E390" i="496"/>
  <c r="D390" i="496"/>
  <c r="C390" i="496"/>
  <c r="BE389" i="496"/>
  <c r="BC389" i="496"/>
  <c r="I389" i="496"/>
  <c r="H389" i="496"/>
  <c r="E389" i="496"/>
  <c r="D389" i="496"/>
  <c r="C389" i="496"/>
  <c r="BE388" i="496"/>
  <c r="BC388" i="496"/>
  <c r="I388" i="496"/>
  <c r="H388" i="496"/>
  <c r="E388" i="496"/>
  <c r="D388" i="496"/>
  <c r="C388" i="496"/>
  <c r="BE387" i="496"/>
  <c r="BC387" i="496"/>
  <c r="I387" i="496"/>
  <c r="H387" i="496"/>
  <c r="E387" i="496"/>
  <c r="D387" i="496"/>
  <c r="C387" i="496"/>
  <c r="BE386" i="496"/>
  <c r="BC386" i="496"/>
  <c r="I386" i="496"/>
  <c r="H386" i="496"/>
  <c r="E386" i="496"/>
  <c r="D386" i="496"/>
  <c r="C386" i="496"/>
  <c r="BE385" i="496"/>
  <c r="BC385" i="496"/>
  <c r="I385" i="496"/>
  <c r="H385" i="496"/>
  <c r="E385" i="496"/>
  <c r="D385" i="496"/>
  <c r="C385" i="496"/>
  <c r="BE384" i="496"/>
  <c r="BC384" i="496"/>
  <c r="I384" i="496"/>
  <c r="H384" i="496"/>
  <c r="E384" i="496"/>
  <c r="D384" i="496"/>
  <c r="C384" i="496"/>
  <c r="BE383" i="496"/>
  <c r="BC383" i="496"/>
  <c r="I383" i="496"/>
  <c r="H383" i="496"/>
  <c r="E383" i="496"/>
  <c r="D383" i="496"/>
  <c r="C383" i="496"/>
  <c r="BE382" i="496"/>
  <c r="BC382" i="496"/>
  <c r="I382" i="496"/>
  <c r="H382" i="496"/>
  <c r="E382" i="496"/>
  <c r="D382" i="496"/>
  <c r="C382" i="496"/>
  <c r="BE381" i="496"/>
  <c r="BC381" i="496"/>
  <c r="I381" i="496"/>
  <c r="H381" i="496"/>
  <c r="E381" i="496"/>
  <c r="D381" i="496"/>
  <c r="C381" i="496"/>
  <c r="BE380" i="496"/>
  <c r="BC380" i="496"/>
  <c r="I380" i="496"/>
  <c r="H380" i="496"/>
  <c r="E380" i="496"/>
  <c r="D380" i="496"/>
  <c r="C380" i="496"/>
  <c r="BE379" i="496"/>
  <c r="BC379" i="496"/>
  <c r="I379" i="496"/>
  <c r="H379" i="496"/>
  <c r="E379" i="496"/>
  <c r="D379" i="496"/>
  <c r="C379" i="496"/>
  <c r="BE378" i="496"/>
  <c r="BC378" i="496"/>
  <c r="I378" i="496"/>
  <c r="H378" i="496"/>
  <c r="E378" i="496"/>
  <c r="D378" i="496"/>
  <c r="C378" i="496"/>
  <c r="BE377" i="496"/>
  <c r="BC377" i="496"/>
  <c r="I377" i="496"/>
  <c r="H377" i="496"/>
  <c r="E377" i="496"/>
  <c r="D377" i="496"/>
  <c r="C377" i="496"/>
  <c r="BE376" i="496"/>
  <c r="BC376" i="496"/>
  <c r="I376" i="496"/>
  <c r="H376" i="496"/>
  <c r="E376" i="496"/>
  <c r="D376" i="496"/>
  <c r="C376" i="496"/>
  <c r="BE375" i="496"/>
  <c r="BC375" i="496"/>
  <c r="I375" i="496"/>
  <c r="H375" i="496"/>
  <c r="E375" i="496"/>
  <c r="D375" i="496"/>
  <c r="C375" i="496"/>
  <c r="BE374" i="496"/>
  <c r="BC374" i="496"/>
  <c r="I374" i="496"/>
  <c r="H374" i="496"/>
  <c r="E374" i="496"/>
  <c r="D374" i="496"/>
  <c r="C374" i="496"/>
  <c r="BE373" i="496"/>
  <c r="BC373" i="496"/>
  <c r="I373" i="496"/>
  <c r="H373" i="496"/>
  <c r="E373" i="496"/>
  <c r="D373" i="496"/>
  <c r="C373" i="496"/>
  <c r="BF372" i="496"/>
  <c r="BE372" i="496"/>
  <c r="BC372" i="496"/>
  <c r="I372" i="496"/>
  <c r="H372" i="496"/>
  <c r="E372" i="496"/>
  <c r="D372" i="496"/>
  <c r="C372" i="496"/>
  <c r="BE371" i="496"/>
  <c r="BC371" i="496"/>
  <c r="I371" i="496"/>
  <c r="H371" i="496"/>
  <c r="E371" i="496"/>
  <c r="D371" i="496"/>
  <c r="C371" i="496"/>
  <c r="BE370" i="496"/>
  <c r="BC370" i="496"/>
  <c r="I370" i="496"/>
  <c r="H370" i="496"/>
  <c r="F370" i="496"/>
  <c r="E370" i="496"/>
  <c r="D370" i="496"/>
  <c r="C370" i="496"/>
  <c r="BF369" i="496"/>
  <c r="BE369" i="496"/>
  <c r="BC369" i="496"/>
  <c r="I369" i="496"/>
  <c r="H369" i="496"/>
  <c r="E369" i="496"/>
  <c r="D369" i="496"/>
  <c r="C369" i="496"/>
  <c r="BE368" i="496"/>
  <c r="BC368" i="496"/>
  <c r="I368" i="496"/>
  <c r="H368" i="496"/>
  <c r="E368" i="496"/>
  <c r="D368" i="496"/>
  <c r="C368" i="496"/>
  <c r="BF367" i="496"/>
  <c r="BE367" i="496"/>
  <c r="BC367" i="496"/>
  <c r="I367" i="496"/>
  <c r="H367" i="496"/>
  <c r="E367" i="496"/>
  <c r="D367" i="496"/>
  <c r="C367" i="496"/>
  <c r="BF366" i="496"/>
  <c r="BE366" i="496"/>
  <c r="BC366" i="496"/>
  <c r="I366" i="496"/>
  <c r="H366" i="496"/>
  <c r="E366" i="496"/>
  <c r="D366" i="496"/>
  <c r="C366" i="496"/>
  <c r="BE365" i="496"/>
  <c r="BC365" i="496"/>
  <c r="I365" i="496"/>
  <c r="H365" i="496"/>
  <c r="E365" i="496"/>
  <c r="D365" i="496"/>
  <c r="C365" i="496"/>
  <c r="BE364" i="496"/>
  <c r="BC364" i="496"/>
  <c r="I364" i="496"/>
  <c r="H364" i="496"/>
  <c r="E364" i="496"/>
  <c r="D364" i="496"/>
  <c r="C364" i="496"/>
  <c r="BE363" i="496"/>
  <c r="BC363" i="496"/>
  <c r="I363" i="496"/>
  <c r="H363" i="496"/>
  <c r="E363" i="496"/>
  <c r="D363" i="496"/>
  <c r="C363" i="496"/>
  <c r="BF362" i="496"/>
  <c r="BE362" i="496"/>
  <c r="BC362" i="496"/>
  <c r="I362" i="496"/>
  <c r="H362" i="496"/>
  <c r="E362" i="496"/>
  <c r="D362" i="496"/>
  <c r="C362" i="496"/>
  <c r="BF361" i="496"/>
  <c r="BE361" i="496"/>
  <c r="BC361" i="496"/>
  <c r="I361" i="496"/>
  <c r="H361" i="496"/>
  <c r="E361" i="496"/>
  <c r="D361" i="496"/>
  <c r="C361" i="496"/>
  <c r="BE360" i="496"/>
  <c r="BC360" i="496"/>
  <c r="I360" i="496"/>
  <c r="H360" i="496"/>
  <c r="E360" i="496"/>
  <c r="D360" i="496"/>
  <c r="C360" i="496"/>
  <c r="BE359" i="496"/>
  <c r="BC359" i="496"/>
  <c r="I359" i="496"/>
  <c r="H359" i="496"/>
  <c r="E359" i="496"/>
  <c r="D359" i="496"/>
  <c r="C359" i="496"/>
  <c r="BF358" i="496"/>
  <c r="BE358" i="496"/>
  <c r="BC358" i="496"/>
  <c r="I358" i="496"/>
  <c r="H358" i="496"/>
  <c r="E358" i="496"/>
  <c r="D358" i="496"/>
  <c r="C358" i="496"/>
  <c r="BF357" i="496"/>
  <c r="BE357" i="496"/>
  <c r="BC357" i="496"/>
  <c r="I357" i="496"/>
  <c r="H357" i="496"/>
  <c r="E357" i="496"/>
  <c r="D357" i="496"/>
  <c r="C357" i="496"/>
  <c r="BF356" i="496"/>
  <c r="BE356" i="496"/>
  <c r="BC356" i="496"/>
  <c r="I356" i="496"/>
  <c r="H356" i="496"/>
  <c r="E356" i="496"/>
  <c r="D356" i="496"/>
  <c r="C356" i="496"/>
  <c r="BF355" i="496"/>
  <c r="BE355" i="496"/>
  <c r="BC355" i="496"/>
  <c r="I355" i="496"/>
  <c r="H355" i="496"/>
  <c r="E355" i="496"/>
  <c r="D355" i="496"/>
  <c r="C355" i="496"/>
  <c r="BE354" i="496"/>
  <c r="BC354" i="496"/>
  <c r="I354" i="496"/>
  <c r="H354" i="496"/>
  <c r="E354" i="496"/>
  <c r="D354" i="496"/>
  <c r="C354" i="496"/>
  <c r="BE353" i="496"/>
  <c r="BC353" i="496"/>
  <c r="I353" i="496"/>
  <c r="H353" i="496"/>
  <c r="E353" i="496"/>
  <c r="D353" i="496"/>
  <c r="C353" i="496"/>
  <c r="BE352" i="496"/>
  <c r="BC352" i="496"/>
  <c r="I352" i="496"/>
  <c r="H352" i="496"/>
  <c r="E352" i="496"/>
  <c r="D352" i="496"/>
  <c r="C352" i="496"/>
  <c r="BE351" i="496"/>
  <c r="BC351" i="496"/>
  <c r="I351" i="496"/>
  <c r="H351" i="496"/>
  <c r="E351" i="496"/>
  <c r="D351" i="496"/>
  <c r="C351" i="496"/>
  <c r="BF350" i="496"/>
  <c r="BE350" i="496"/>
  <c r="BC350" i="496"/>
  <c r="I350" i="496"/>
  <c r="H350" i="496"/>
  <c r="E350" i="496"/>
  <c r="D350" i="496"/>
  <c r="C350" i="496"/>
  <c r="BF349" i="496"/>
  <c r="BE349" i="496"/>
  <c r="BC349" i="496"/>
  <c r="I349" i="496"/>
  <c r="H349" i="496"/>
  <c r="E349" i="496"/>
  <c r="D349" i="496"/>
  <c r="C349" i="496"/>
  <c r="BE348" i="496"/>
  <c r="BC348" i="496"/>
  <c r="I348" i="496"/>
  <c r="H348" i="496"/>
  <c r="E348" i="496"/>
  <c r="D348" i="496"/>
  <c r="C348" i="496"/>
  <c r="BE347" i="496"/>
  <c r="BC347" i="496"/>
  <c r="I347" i="496"/>
  <c r="H347" i="496"/>
  <c r="E347" i="496"/>
  <c r="D347" i="496"/>
  <c r="C347" i="496"/>
  <c r="BE346" i="496"/>
  <c r="BC346" i="496"/>
  <c r="I346" i="496"/>
  <c r="H346" i="496"/>
  <c r="E346" i="496"/>
  <c r="D346" i="496"/>
  <c r="C346" i="496"/>
  <c r="BE345" i="496"/>
  <c r="BC345" i="496"/>
  <c r="I345" i="496"/>
  <c r="H345" i="496"/>
  <c r="E345" i="496"/>
  <c r="D345" i="496"/>
  <c r="C345" i="496"/>
  <c r="BE344" i="496"/>
  <c r="BC344" i="496"/>
  <c r="I344" i="496"/>
  <c r="H344" i="496"/>
  <c r="E344" i="496"/>
  <c r="D344" i="496"/>
  <c r="C344" i="496"/>
  <c r="BE343" i="496"/>
  <c r="BC343" i="496"/>
  <c r="I343" i="496"/>
  <c r="H343" i="496"/>
  <c r="E343" i="496"/>
  <c r="D343" i="496"/>
  <c r="C343" i="496"/>
  <c r="BE342" i="496"/>
  <c r="BC342" i="496"/>
  <c r="I342" i="496"/>
  <c r="H342" i="496"/>
  <c r="E342" i="496"/>
  <c r="D342" i="496"/>
  <c r="C342" i="496"/>
  <c r="BE341" i="496"/>
  <c r="BC341" i="496"/>
  <c r="I341" i="496"/>
  <c r="H341" i="496"/>
  <c r="E341" i="496"/>
  <c r="D341" i="496"/>
  <c r="C341" i="496"/>
  <c r="BE340" i="496"/>
  <c r="BC340" i="496"/>
  <c r="I340" i="496"/>
  <c r="H340" i="496"/>
  <c r="E340" i="496"/>
  <c r="D340" i="496"/>
  <c r="C340" i="496"/>
  <c r="BE339" i="496"/>
  <c r="BC339" i="496"/>
  <c r="I339" i="496"/>
  <c r="H339" i="496"/>
  <c r="E339" i="496"/>
  <c r="D339" i="496"/>
  <c r="C339" i="496"/>
  <c r="BE338" i="496"/>
  <c r="BC338" i="496"/>
  <c r="I338" i="496"/>
  <c r="H338" i="496"/>
  <c r="E338" i="496"/>
  <c r="D338" i="496"/>
  <c r="C338" i="496"/>
  <c r="BE337" i="496"/>
  <c r="BC337" i="496"/>
  <c r="I337" i="496"/>
  <c r="H337" i="496"/>
  <c r="E337" i="496"/>
  <c r="D337" i="496"/>
  <c r="C337" i="496"/>
  <c r="BE336" i="496"/>
  <c r="BC336" i="496"/>
  <c r="I336" i="496"/>
  <c r="H336" i="496"/>
  <c r="E336" i="496"/>
  <c r="D336" i="496"/>
  <c r="C336" i="496"/>
  <c r="BE335" i="496"/>
  <c r="BC335" i="496"/>
  <c r="I335" i="496"/>
  <c r="H335" i="496"/>
  <c r="E335" i="496"/>
  <c r="D335" i="496"/>
  <c r="C335" i="496"/>
  <c r="BE334" i="496"/>
  <c r="BC334" i="496"/>
  <c r="I334" i="496"/>
  <c r="H334" i="496"/>
  <c r="E334" i="496"/>
  <c r="D334" i="496"/>
  <c r="C334" i="496"/>
  <c r="BE333" i="496"/>
  <c r="BC333" i="496"/>
  <c r="I333" i="496"/>
  <c r="H333" i="496"/>
  <c r="E333" i="496"/>
  <c r="D333" i="496"/>
  <c r="C333" i="496"/>
  <c r="BE332" i="496"/>
  <c r="BC332" i="496"/>
  <c r="I332" i="496"/>
  <c r="H332" i="496"/>
  <c r="E332" i="496"/>
  <c r="D332" i="496"/>
  <c r="C332" i="496"/>
  <c r="BE331" i="496"/>
  <c r="BC331" i="496"/>
  <c r="I331" i="496"/>
  <c r="H331" i="496"/>
  <c r="E331" i="496"/>
  <c r="D331" i="496"/>
  <c r="C331" i="496"/>
  <c r="BE330" i="496"/>
  <c r="BC330" i="496"/>
  <c r="H330" i="496"/>
  <c r="E330" i="496"/>
  <c r="C330" i="496"/>
  <c r="BF329" i="496"/>
  <c r="BE329" i="496"/>
  <c r="BC329" i="496"/>
  <c r="I329" i="496"/>
  <c r="H329" i="496"/>
  <c r="E329" i="496"/>
  <c r="D329" i="496"/>
  <c r="C329" i="496"/>
  <c r="BF328" i="496"/>
  <c r="BE328" i="496"/>
  <c r="BC328" i="496"/>
  <c r="I328" i="496"/>
  <c r="H328" i="496"/>
  <c r="E328" i="496"/>
  <c r="D328" i="496"/>
  <c r="C328" i="496"/>
  <c r="BF327" i="496"/>
  <c r="BE327" i="496"/>
  <c r="BC327" i="496"/>
  <c r="I327" i="496"/>
  <c r="H327" i="496"/>
  <c r="E327" i="496"/>
  <c r="D327" i="496"/>
  <c r="C327" i="496"/>
  <c r="BE326" i="496"/>
  <c r="BC326" i="496"/>
  <c r="I326" i="496"/>
  <c r="H326" i="496"/>
  <c r="E326" i="496"/>
  <c r="D326" i="496"/>
  <c r="C326" i="496"/>
  <c r="BF325" i="496"/>
  <c r="BE325" i="496"/>
  <c r="BC325" i="496"/>
  <c r="H325" i="496"/>
  <c r="E325" i="496"/>
  <c r="C325" i="496"/>
  <c r="BE324" i="496"/>
  <c r="BC324" i="496"/>
  <c r="I324" i="496"/>
  <c r="H324" i="496"/>
  <c r="E324" i="496"/>
  <c r="D324" i="496"/>
  <c r="C324" i="496"/>
  <c r="BE323" i="496"/>
  <c r="BC323" i="496"/>
  <c r="I323" i="496"/>
  <c r="H323" i="496"/>
  <c r="E323" i="496"/>
  <c r="D323" i="496"/>
  <c r="C323" i="496"/>
  <c r="BF322" i="496"/>
  <c r="BE322" i="496"/>
  <c r="BC322" i="496"/>
  <c r="I322" i="496"/>
  <c r="H322" i="496"/>
  <c r="E322" i="496"/>
  <c r="D322" i="496"/>
  <c r="C322" i="496"/>
  <c r="BE321" i="496"/>
  <c r="BC321" i="496"/>
  <c r="I321" i="496"/>
  <c r="H321" i="496"/>
  <c r="E321" i="496"/>
  <c r="D321" i="496"/>
  <c r="C321" i="496"/>
  <c r="BE320" i="496"/>
  <c r="BC320" i="496"/>
  <c r="I320" i="496"/>
  <c r="H320" i="496"/>
  <c r="E320" i="496"/>
  <c r="D320" i="496"/>
  <c r="C320" i="496"/>
  <c r="BE319" i="496"/>
  <c r="BC319" i="496"/>
  <c r="I319" i="496"/>
  <c r="H319" i="496"/>
  <c r="E319" i="496"/>
  <c r="D319" i="496"/>
  <c r="C319" i="496"/>
  <c r="BE318" i="496"/>
  <c r="BC318" i="496"/>
  <c r="I318" i="496"/>
  <c r="H318" i="496"/>
  <c r="E318" i="496"/>
  <c r="D318" i="496"/>
  <c r="C318" i="496"/>
  <c r="BF317" i="496"/>
  <c r="BE317" i="496"/>
  <c r="BC317" i="496"/>
  <c r="I317" i="496"/>
  <c r="H317" i="496"/>
  <c r="E317" i="496"/>
  <c r="D317" i="496"/>
  <c r="C317" i="496"/>
  <c r="BF316" i="496"/>
  <c r="BE316" i="496"/>
  <c r="BC316" i="496"/>
  <c r="I316" i="496"/>
  <c r="H316" i="496"/>
  <c r="E316" i="496"/>
  <c r="D316" i="496"/>
  <c r="C316" i="496"/>
  <c r="BE315" i="496"/>
  <c r="BC315" i="496"/>
  <c r="I315" i="496"/>
  <c r="H315" i="496"/>
  <c r="E315" i="496"/>
  <c r="D315" i="496"/>
  <c r="C315" i="496"/>
  <c r="BE314" i="496"/>
  <c r="BC314" i="496"/>
  <c r="BA314" i="496"/>
  <c r="I314" i="496"/>
  <c r="H314" i="496"/>
  <c r="E314" i="496"/>
  <c r="D314" i="496"/>
  <c r="C314" i="496"/>
  <c r="BE313" i="496"/>
  <c r="BC313" i="496"/>
  <c r="BA313" i="496"/>
  <c r="I313" i="496"/>
  <c r="H313" i="496"/>
  <c r="E313" i="496"/>
  <c r="D313" i="496"/>
  <c r="C313" i="496"/>
  <c r="BE312" i="496"/>
  <c r="BC312" i="496"/>
  <c r="BA312" i="496"/>
  <c r="I312" i="496"/>
  <c r="H312" i="496"/>
  <c r="E312" i="496"/>
  <c r="D312" i="496"/>
  <c r="C312" i="496"/>
  <c r="BE311" i="496"/>
  <c r="BC311" i="496"/>
  <c r="BA311" i="496"/>
  <c r="I311" i="496"/>
  <c r="H311" i="496"/>
  <c r="E311" i="496"/>
  <c r="D311" i="496"/>
  <c r="C311" i="496"/>
  <c r="BE310" i="496"/>
  <c r="BC310" i="496"/>
  <c r="BA310" i="496"/>
  <c r="I310" i="496"/>
  <c r="H310" i="496"/>
  <c r="E310" i="496"/>
  <c r="D310" i="496"/>
  <c r="C310" i="496"/>
  <c r="BE309" i="496"/>
  <c r="BC309" i="496"/>
  <c r="I309" i="496"/>
  <c r="H309" i="496"/>
  <c r="E309" i="496"/>
  <c r="D309" i="496"/>
  <c r="C309" i="496"/>
  <c r="BE308" i="496"/>
  <c r="BC308" i="496"/>
  <c r="I308" i="496"/>
  <c r="H308" i="496"/>
  <c r="E308" i="496"/>
  <c r="D308" i="496"/>
  <c r="C308" i="496"/>
  <c r="BE307" i="496"/>
  <c r="BC307" i="496"/>
  <c r="I307" i="496"/>
  <c r="H307" i="496"/>
  <c r="E307" i="496"/>
  <c r="D307" i="496"/>
  <c r="C307" i="496"/>
  <c r="BE306" i="496"/>
  <c r="BC306" i="496"/>
  <c r="I306" i="496"/>
  <c r="H306" i="496"/>
  <c r="E306" i="496"/>
  <c r="D306" i="496"/>
  <c r="C306" i="496"/>
  <c r="BE305" i="496"/>
  <c r="BC305" i="496"/>
  <c r="I305" i="496"/>
  <c r="H305" i="496"/>
  <c r="E305" i="496"/>
  <c r="D305" i="496"/>
  <c r="C305" i="496"/>
  <c r="BE304" i="496"/>
  <c r="BC304" i="496"/>
  <c r="I304" i="496"/>
  <c r="H304" i="496"/>
  <c r="E304" i="496"/>
  <c r="D304" i="496"/>
  <c r="C304" i="496"/>
  <c r="BE303" i="496"/>
  <c r="BC303" i="496"/>
  <c r="BA303" i="496"/>
  <c r="I303" i="496"/>
  <c r="H303" i="496"/>
  <c r="E303" i="496"/>
  <c r="D303" i="496"/>
  <c r="C303" i="496"/>
  <c r="BE302" i="496"/>
  <c r="BC302" i="496"/>
  <c r="BA302" i="496"/>
  <c r="I302" i="496"/>
  <c r="H302" i="496"/>
  <c r="E302" i="496"/>
  <c r="D302" i="496"/>
  <c r="C302" i="496"/>
  <c r="BE301" i="496"/>
  <c r="BC301" i="496"/>
  <c r="BA301" i="496"/>
  <c r="I301" i="496"/>
  <c r="H301" i="496"/>
  <c r="E301" i="496"/>
  <c r="D301" i="496"/>
  <c r="C301" i="496"/>
  <c r="BE300" i="496"/>
  <c r="BC300" i="496"/>
  <c r="BA300" i="496"/>
  <c r="I300" i="496"/>
  <c r="H300" i="496"/>
  <c r="E300" i="496"/>
  <c r="D300" i="496"/>
  <c r="C300" i="496"/>
  <c r="BE299" i="496"/>
  <c r="BC299" i="496"/>
  <c r="BA299" i="496"/>
  <c r="I299" i="496"/>
  <c r="H299" i="496"/>
  <c r="E299" i="496"/>
  <c r="D299" i="496"/>
  <c r="C299" i="496"/>
  <c r="BE298" i="496"/>
  <c r="BC298" i="496"/>
  <c r="I298" i="496"/>
  <c r="H298" i="496"/>
  <c r="E298" i="496"/>
  <c r="D298" i="496"/>
  <c r="C298" i="496"/>
  <c r="BE297" i="496"/>
  <c r="BC297" i="496"/>
  <c r="I297" i="496"/>
  <c r="H297" i="496"/>
  <c r="E297" i="496"/>
  <c r="D297" i="496"/>
  <c r="C297" i="496"/>
  <c r="BE296" i="496"/>
  <c r="BC296" i="496"/>
  <c r="I296" i="496"/>
  <c r="H296" i="496"/>
  <c r="E296" i="496"/>
  <c r="D296" i="496"/>
  <c r="C296" i="496"/>
  <c r="BE295" i="496"/>
  <c r="BC295" i="496"/>
  <c r="I295" i="496"/>
  <c r="H295" i="496"/>
  <c r="E295" i="496"/>
  <c r="D295" i="496"/>
  <c r="C295" i="496"/>
  <c r="BE294" i="496"/>
  <c r="BC294" i="496"/>
  <c r="I294" i="496"/>
  <c r="H294" i="496"/>
  <c r="E294" i="496"/>
  <c r="D294" i="496"/>
  <c r="C294" i="496"/>
  <c r="BE293" i="496"/>
  <c r="BC293" i="496"/>
  <c r="I293" i="496"/>
  <c r="H293" i="496"/>
  <c r="E293" i="496"/>
  <c r="D293" i="496"/>
  <c r="C293" i="496"/>
  <c r="BE292" i="496"/>
  <c r="BC292" i="496"/>
  <c r="I292" i="496"/>
  <c r="H292" i="496"/>
  <c r="E292" i="496"/>
  <c r="D292" i="496"/>
  <c r="C292" i="496"/>
  <c r="BE291" i="496"/>
  <c r="BC291" i="496"/>
  <c r="I291" i="496"/>
  <c r="H291" i="496"/>
  <c r="E291" i="496"/>
  <c r="D291" i="496"/>
  <c r="C291" i="496"/>
  <c r="BF290" i="496"/>
  <c r="BE290" i="496"/>
  <c r="BC290" i="496"/>
  <c r="I290" i="496"/>
  <c r="H290" i="496"/>
  <c r="E290" i="496"/>
  <c r="D290" i="496"/>
  <c r="C290" i="496"/>
  <c r="BE289" i="496"/>
  <c r="BC289" i="496"/>
  <c r="I289" i="496"/>
  <c r="H289" i="496"/>
  <c r="E289" i="496"/>
  <c r="D289" i="496"/>
  <c r="C289" i="496"/>
  <c r="BE288" i="496"/>
  <c r="BC288" i="496"/>
  <c r="I288" i="496"/>
  <c r="H288" i="496"/>
  <c r="E288" i="496"/>
  <c r="D288" i="496"/>
  <c r="C288" i="496"/>
  <c r="BE287" i="496"/>
  <c r="BC287" i="496"/>
  <c r="I287" i="496"/>
  <c r="H287" i="496"/>
  <c r="E287" i="496"/>
  <c r="D287" i="496"/>
  <c r="C287" i="496"/>
  <c r="BE286" i="496"/>
  <c r="BC286" i="496"/>
  <c r="I286" i="496"/>
  <c r="H286" i="496"/>
  <c r="E286" i="496"/>
  <c r="D286" i="496"/>
  <c r="C286" i="496"/>
  <c r="BE285" i="496"/>
  <c r="BC285" i="496"/>
  <c r="I285" i="496"/>
  <c r="H285" i="496"/>
  <c r="E285" i="496"/>
  <c r="D285" i="496"/>
  <c r="C285" i="496"/>
  <c r="BE284" i="496"/>
  <c r="BC284" i="496"/>
  <c r="I284" i="496"/>
  <c r="H284" i="496"/>
  <c r="E284" i="496"/>
  <c r="D284" i="496"/>
  <c r="C284" i="496"/>
  <c r="BE283" i="496"/>
  <c r="BC283" i="496"/>
  <c r="BA283" i="496"/>
  <c r="I283" i="496"/>
  <c r="H283" i="496"/>
  <c r="E283" i="496"/>
  <c r="D283" i="496"/>
  <c r="C283" i="496"/>
  <c r="BE282" i="496"/>
  <c r="BC282" i="496"/>
  <c r="I282" i="496"/>
  <c r="H282" i="496"/>
  <c r="E282" i="496"/>
  <c r="D282" i="496"/>
  <c r="C282" i="496"/>
  <c r="BE281" i="496"/>
  <c r="BC281" i="496"/>
  <c r="I281" i="496"/>
  <c r="H281" i="496"/>
  <c r="E281" i="496"/>
  <c r="D281" i="496"/>
  <c r="C281" i="496"/>
  <c r="BE280" i="496"/>
  <c r="BC280" i="496"/>
  <c r="I280" i="496"/>
  <c r="H280" i="496"/>
  <c r="E280" i="496"/>
  <c r="D280" i="496"/>
  <c r="C280" i="496"/>
  <c r="BE279" i="496"/>
  <c r="BC279" i="496"/>
  <c r="I279" i="496"/>
  <c r="H279" i="496"/>
  <c r="E279" i="496"/>
  <c r="D279" i="496"/>
  <c r="C279" i="496"/>
  <c r="BF278" i="496"/>
  <c r="BE278" i="496"/>
  <c r="BC278" i="496"/>
  <c r="I278" i="496"/>
  <c r="H278" i="496"/>
  <c r="E278" i="496"/>
  <c r="D278" i="496"/>
  <c r="C278" i="496"/>
  <c r="BF277" i="496"/>
  <c r="BE277" i="496"/>
  <c r="BC277" i="496"/>
  <c r="I277" i="496"/>
  <c r="H277" i="496"/>
  <c r="E277" i="496"/>
  <c r="D277" i="496"/>
  <c r="C277" i="496"/>
  <c r="BF276" i="496"/>
  <c r="BE276" i="496"/>
  <c r="BC276" i="496"/>
  <c r="I276" i="496"/>
  <c r="H276" i="496"/>
  <c r="E276" i="496"/>
  <c r="D276" i="496"/>
  <c r="C276" i="496"/>
  <c r="BE275" i="496"/>
  <c r="BC275" i="496"/>
  <c r="I275" i="496"/>
  <c r="H275" i="496"/>
  <c r="E275" i="496"/>
  <c r="D275" i="496"/>
  <c r="C275" i="496"/>
  <c r="BE274" i="496"/>
  <c r="BC274" i="496"/>
  <c r="I274" i="496"/>
  <c r="H274" i="496"/>
  <c r="E274" i="496"/>
  <c r="D274" i="496"/>
  <c r="C274" i="496"/>
  <c r="BF273" i="496"/>
  <c r="BE273" i="496"/>
  <c r="BC273" i="496"/>
  <c r="I273" i="496"/>
  <c r="H273" i="496"/>
  <c r="E273" i="496"/>
  <c r="D273" i="496"/>
  <c r="C273" i="496"/>
  <c r="BF272" i="496"/>
  <c r="BE272" i="496"/>
  <c r="BC272" i="496"/>
  <c r="I272" i="496"/>
  <c r="H272" i="496"/>
  <c r="E272" i="496"/>
  <c r="D272" i="496"/>
  <c r="C272" i="496"/>
  <c r="BE271" i="496"/>
  <c r="BC271" i="496"/>
  <c r="I271" i="496"/>
  <c r="H271" i="496"/>
  <c r="E271" i="496"/>
  <c r="D271" i="496"/>
  <c r="C271" i="496"/>
  <c r="BE270" i="496"/>
  <c r="BC270" i="496"/>
  <c r="I270" i="496"/>
  <c r="H270" i="496"/>
  <c r="E270" i="496"/>
  <c r="D270" i="496"/>
  <c r="C270" i="496"/>
  <c r="BE269" i="496"/>
  <c r="BC269" i="496"/>
  <c r="I269" i="496"/>
  <c r="H269" i="496"/>
  <c r="E269" i="496"/>
  <c r="D269" i="496"/>
  <c r="C269" i="496"/>
  <c r="BE268" i="496"/>
  <c r="BC268" i="496"/>
  <c r="I268" i="496"/>
  <c r="H268" i="496"/>
  <c r="E268" i="496"/>
  <c r="D268" i="496"/>
  <c r="C268" i="496"/>
  <c r="BE267" i="496"/>
  <c r="BC267" i="496"/>
  <c r="BA267" i="496"/>
  <c r="I267" i="496"/>
  <c r="H267" i="496"/>
  <c r="E267" i="496"/>
  <c r="D267" i="496"/>
  <c r="C267" i="496"/>
  <c r="BE266" i="496"/>
  <c r="BC266" i="496"/>
  <c r="BA266" i="496"/>
  <c r="I266" i="496"/>
  <c r="H266" i="496"/>
  <c r="E266" i="496"/>
  <c r="D266" i="496"/>
  <c r="C266" i="496"/>
  <c r="BE265" i="496"/>
  <c r="BC265" i="496"/>
  <c r="BA265" i="496"/>
  <c r="I265" i="496"/>
  <c r="H265" i="496"/>
  <c r="E265" i="496"/>
  <c r="D265" i="496"/>
  <c r="C265" i="496"/>
  <c r="BE264" i="496"/>
  <c r="BC264" i="496"/>
  <c r="BA264" i="496"/>
  <c r="I264" i="496"/>
  <c r="H264" i="496"/>
  <c r="E264" i="496"/>
  <c r="D264" i="496"/>
  <c r="C264" i="496"/>
  <c r="BE263" i="496"/>
  <c r="BC263" i="496"/>
  <c r="BA263" i="496"/>
  <c r="I263" i="496"/>
  <c r="H263" i="496"/>
  <c r="E263" i="496"/>
  <c r="D263" i="496"/>
  <c r="C263" i="496"/>
  <c r="BE262" i="496"/>
  <c r="BC262" i="496"/>
  <c r="BA262" i="496"/>
  <c r="I262" i="496"/>
  <c r="H262" i="496"/>
  <c r="E262" i="496"/>
  <c r="D262" i="496"/>
  <c r="C262" i="496"/>
  <c r="BE261" i="496"/>
  <c r="BC261" i="496"/>
  <c r="I261" i="496"/>
  <c r="H261" i="496"/>
  <c r="E261" i="496"/>
  <c r="D261" i="496"/>
  <c r="C261" i="496"/>
  <c r="BE260" i="496"/>
  <c r="BC260" i="496"/>
  <c r="I260" i="496"/>
  <c r="H260" i="496"/>
  <c r="E260" i="496"/>
  <c r="D260" i="496"/>
  <c r="C260" i="496"/>
  <c r="BE259" i="496"/>
  <c r="BC259" i="496"/>
  <c r="I259" i="496"/>
  <c r="H259" i="496"/>
  <c r="E259" i="496"/>
  <c r="D259" i="496"/>
  <c r="C259" i="496"/>
  <c r="BE258" i="496"/>
  <c r="BC258" i="496"/>
  <c r="I258" i="496"/>
  <c r="H258" i="496"/>
  <c r="E258" i="496"/>
  <c r="D258" i="496"/>
  <c r="C258" i="496"/>
  <c r="BE257" i="496"/>
  <c r="BC257" i="496"/>
  <c r="I257" i="496"/>
  <c r="H257" i="496"/>
  <c r="E257" i="496"/>
  <c r="D257" i="496"/>
  <c r="C257" i="496"/>
  <c r="BE256" i="496"/>
  <c r="BC256" i="496"/>
  <c r="I256" i="496"/>
  <c r="H256" i="496"/>
  <c r="E256" i="496"/>
  <c r="D256" i="496"/>
  <c r="C256" i="496"/>
  <c r="BE255" i="496"/>
  <c r="BC255" i="496"/>
  <c r="I255" i="496"/>
  <c r="H255" i="496"/>
  <c r="E255" i="496"/>
  <c r="D255" i="496"/>
  <c r="C255" i="496"/>
  <c r="BE254" i="496"/>
  <c r="BC254" i="496"/>
  <c r="BA254" i="496"/>
  <c r="I254" i="496"/>
  <c r="H254" i="496"/>
  <c r="E254" i="496"/>
  <c r="D254" i="496"/>
  <c r="C254" i="496"/>
  <c r="BE253" i="496"/>
  <c r="BC253" i="496"/>
  <c r="BA253" i="496"/>
  <c r="I253" i="496"/>
  <c r="H253" i="496"/>
  <c r="E253" i="496"/>
  <c r="D253" i="496"/>
  <c r="C253" i="496"/>
  <c r="BE252" i="496"/>
  <c r="BC252" i="496"/>
  <c r="BA252" i="496"/>
  <c r="I252" i="496"/>
  <c r="H252" i="496"/>
  <c r="E252" i="496"/>
  <c r="D252" i="496"/>
  <c r="C252" i="496"/>
  <c r="BE251" i="496"/>
  <c r="BC251" i="496"/>
  <c r="BA251" i="496"/>
  <c r="I251" i="496"/>
  <c r="H251" i="496"/>
  <c r="E251" i="496"/>
  <c r="D251" i="496"/>
  <c r="C251" i="496"/>
  <c r="BE250" i="496"/>
  <c r="BC250" i="496"/>
  <c r="I250" i="496"/>
  <c r="H250" i="496"/>
  <c r="E250" i="496"/>
  <c r="D250" i="496"/>
  <c r="C250" i="496"/>
  <c r="BE249" i="496"/>
  <c r="BC249" i="496"/>
  <c r="I249" i="496"/>
  <c r="H249" i="496"/>
  <c r="E249" i="496"/>
  <c r="D249" i="496"/>
  <c r="C249" i="496"/>
  <c r="BF248" i="496"/>
  <c r="BE248" i="496"/>
  <c r="BC248" i="496"/>
  <c r="I248" i="496"/>
  <c r="H248" i="496"/>
  <c r="E248" i="496"/>
  <c r="D248" i="496"/>
  <c r="C248" i="496"/>
  <c r="BF247" i="496"/>
  <c r="BE247" i="496"/>
  <c r="BC247" i="496"/>
  <c r="I247" i="496"/>
  <c r="H247" i="496"/>
  <c r="E247" i="496"/>
  <c r="D247" i="496"/>
  <c r="C247" i="496"/>
  <c r="BF246" i="496"/>
  <c r="BE246" i="496"/>
  <c r="BC246" i="496"/>
  <c r="I246" i="496"/>
  <c r="H246" i="496"/>
  <c r="E246" i="496"/>
  <c r="D246" i="496"/>
  <c r="C246" i="496"/>
  <c r="BE245" i="496"/>
  <c r="BC245" i="496"/>
  <c r="BA245" i="496"/>
  <c r="I245" i="496"/>
  <c r="H245" i="496"/>
  <c r="E245" i="496"/>
  <c r="D245" i="496"/>
  <c r="C245" i="496"/>
  <c r="BE244" i="496"/>
  <c r="BC244" i="496"/>
  <c r="BA244" i="496"/>
  <c r="I244" i="496"/>
  <c r="H244" i="496"/>
  <c r="E244" i="496"/>
  <c r="D244" i="496"/>
  <c r="C244" i="496"/>
  <c r="BE243" i="496"/>
  <c r="BC243" i="496"/>
  <c r="BA243" i="496"/>
  <c r="I243" i="496"/>
  <c r="H243" i="496"/>
  <c r="E243" i="496"/>
  <c r="D243" i="496"/>
  <c r="C243" i="496"/>
  <c r="BE242" i="496"/>
  <c r="BC242" i="496"/>
  <c r="I242" i="496"/>
  <c r="H242" i="496"/>
  <c r="E242" i="496"/>
  <c r="D242" i="496"/>
  <c r="C242" i="496"/>
  <c r="BE241" i="496"/>
  <c r="BC241" i="496"/>
  <c r="I241" i="496"/>
  <c r="H241" i="496"/>
  <c r="E241" i="496"/>
  <c r="D241" i="496"/>
  <c r="C241" i="496"/>
  <c r="BF240" i="496"/>
  <c r="BE240" i="496"/>
  <c r="BC240" i="496"/>
  <c r="I240" i="496"/>
  <c r="H240" i="496"/>
  <c r="E240" i="496"/>
  <c r="D240" i="496"/>
  <c r="C240" i="496"/>
  <c r="BE239" i="496"/>
  <c r="BC239" i="496"/>
  <c r="I239" i="496"/>
  <c r="H239" i="496"/>
  <c r="E239" i="496"/>
  <c r="D239" i="496"/>
  <c r="C239" i="496"/>
  <c r="BF238" i="496"/>
  <c r="BE238" i="496"/>
  <c r="BC238" i="496"/>
  <c r="I238" i="496"/>
  <c r="H238" i="496"/>
  <c r="E238" i="496"/>
  <c r="D238" i="496"/>
  <c r="C238" i="496"/>
  <c r="BE237" i="496"/>
  <c r="BC237" i="496"/>
  <c r="I237" i="496"/>
  <c r="H237" i="496"/>
  <c r="E237" i="496"/>
  <c r="D237" i="496"/>
  <c r="C237" i="496"/>
  <c r="BE236" i="496"/>
  <c r="BC236" i="496"/>
  <c r="I236" i="496"/>
  <c r="H236" i="496"/>
  <c r="E236" i="496"/>
  <c r="D236" i="496"/>
  <c r="C236" i="496"/>
  <c r="BE235" i="496"/>
  <c r="BC235" i="496"/>
  <c r="I235" i="496"/>
  <c r="H235" i="496"/>
  <c r="E235" i="496"/>
  <c r="D235" i="496"/>
  <c r="C235" i="496"/>
  <c r="BE234" i="496"/>
  <c r="BC234" i="496"/>
  <c r="I234" i="496"/>
  <c r="H234" i="496"/>
  <c r="E234" i="496"/>
  <c r="D234" i="496"/>
  <c r="C234" i="496"/>
  <c r="BE233" i="496"/>
  <c r="BC233" i="496"/>
  <c r="I233" i="496"/>
  <c r="H233" i="496"/>
  <c r="E233" i="496"/>
  <c r="D233" i="496"/>
  <c r="C233" i="496"/>
  <c r="BE232" i="496"/>
  <c r="BC232" i="496"/>
  <c r="I232" i="496"/>
  <c r="H232" i="496"/>
  <c r="E232" i="496"/>
  <c r="D232" i="496"/>
  <c r="C232" i="496"/>
  <c r="BE231" i="496"/>
  <c r="BC231" i="496"/>
  <c r="I231" i="496"/>
  <c r="H231" i="496"/>
  <c r="E231" i="496"/>
  <c r="D231" i="496"/>
  <c r="C231" i="496"/>
  <c r="BE230" i="496"/>
  <c r="BC230" i="496"/>
  <c r="I230" i="496"/>
  <c r="H230" i="496"/>
  <c r="E230" i="496"/>
  <c r="D230" i="496"/>
  <c r="C230" i="496"/>
  <c r="BE229" i="496"/>
  <c r="BC229" i="496"/>
  <c r="I229" i="496"/>
  <c r="H229" i="496"/>
  <c r="E229" i="496"/>
  <c r="D229" i="496"/>
  <c r="C229" i="496"/>
  <c r="BE228" i="496"/>
  <c r="BC228" i="496"/>
  <c r="I228" i="496"/>
  <c r="H228" i="496"/>
  <c r="E228" i="496"/>
  <c r="D228" i="496"/>
  <c r="C228" i="496"/>
  <c r="BE227" i="496"/>
  <c r="BC227" i="496"/>
  <c r="I227" i="496"/>
  <c r="H227" i="496"/>
  <c r="E227" i="496"/>
  <c r="D227" i="496"/>
  <c r="C227" i="496"/>
  <c r="BE226" i="496"/>
  <c r="BC226" i="496"/>
  <c r="I226" i="496"/>
  <c r="H226" i="496"/>
  <c r="E226" i="496"/>
  <c r="D226" i="496"/>
  <c r="C226" i="496"/>
  <c r="BE225" i="496"/>
  <c r="BC225" i="496"/>
  <c r="I225" i="496"/>
  <c r="H225" i="496"/>
  <c r="E225" i="496"/>
  <c r="D225" i="496"/>
  <c r="C225" i="496"/>
  <c r="BE224" i="496"/>
  <c r="BC224" i="496"/>
  <c r="I224" i="496"/>
  <c r="H224" i="496"/>
  <c r="E224" i="496"/>
  <c r="D224" i="496"/>
  <c r="C224" i="496"/>
  <c r="BE223" i="496"/>
  <c r="BC223" i="496"/>
  <c r="I223" i="496"/>
  <c r="H223" i="496"/>
  <c r="E223" i="496"/>
  <c r="D223" i="496"/>
  <c r="C223" i="496"/>
  <c r="BE222" i="496"/>
  <c r="BC222" i="496"/>
  <c r="I222" i="496"/>
  <c r="H222" i="496"/>
  <c r="E222" i="496"/>
  <c r="D222" i="496"/>
  <c r="C222" i="496"/>
  <c r="BE221" i="496"/>
  <c r="BC221" i="496"/>
  <c r="BA221" i="496"/>
  <c r="I221" i="496"/>
  <c r="H221" i="496"/>
  <c r="E221" i="496"/>
  <c r="D221" i="496"/>
  <c r="C221" i="496"/>
  <c r="BE220" i="496"/>
  <c r="BC220" i="496"/>
  <c r="BA220" i="496"/>
  <c r="I220" i="496"/>
  <c r="H220" i="496"/>
  <c r="E220" i="496"/>
  <c r="D220" i="496"/>
  <c r="C220" i="496"/>
  <c r="BF219" i="496"/>
  <c r="BE219" i="496"/>
  <c r="BC219" i="496"/>
  <c r="I219" i="496"/>
  <c r="H219" i="496"/>
  <c r="E219" i="496"/>
  <c r="D219" i="496"/>
  <c r="C219" i="496"/>
  <c r="BE218" i="496"/>
  <c r="BC218" i="496"/>
  <c r="I218" i="496"/>
  <c r="H218" i="496"/>
  <c r="E218" i="496"/>
  <c r="D218" i="496"/>
  <c r="C218" i="496"/>
  <c r="BE217" i="496"/>
  <c r="BC217" i="496"/>
  <c r="I217" i="496"/>
  <c r="H217" i="496"/>
  <c r="E217" i="496"/>
  <c r="D217" i="496"/>
  <c r="C217" i="496"/>
  <c r="BE216" i="496"/>
  <c r="BC216" i="496"/>
  <c r="BA216" i="496"/>
  <c r="I216" i="496"/>
  <c r="H216" i="496"/>
  <c r="E216" i="496"/>
  <c r="D216" i="496"/>
  <c r="C216" i="496"/>
  <c r="BE215" i="496"/>
  <c r="BC215" i="496"/>
  <c r="H215" i="496"/>
  <c r="E215" i="496"/>
  <c r="C215" i="496"/>
  <c r="BE214" i="496"/>
  <c r="BC214" i="496"/>
  <c r="I214" i="496"/>
  <c r="H214" i="496"/>
  <c r="E214" i="496"/>
  <c r="D214" i="496"/>
  <c r="C214" i="496"/>
  <c r="BE213" i="496"/>
  <c r="BC213" i="496"/>
  <c r="I213" i="496"/>
  <c r="H213" i="496"/>
  <c r="E213" i="496"/>
  <c r="D213" i="496"/>
  <c r="C213" i="496"/>
  <c r="BE212" i="496"/>
  <c r="BC212" i="496"/>
  <c r="I212" i="496"/>
  <c r="H212" i="496"/>
  <c r="E212" i="496"/>
  <c r="D212" i="496"/>
  <c r="C212" i="496"/>
  <c r="BE211" i="496"/>
  <c r="BC211" i="496"/>
  <c r="I211" i="496"/>
  <c r="H211" i="496"/>
  <c r="E211" i="496"/>
  <c r="D211" i="496"/>
  <c r="C211" i="496"/>
  <c r="BF210" i="496"/>
  <c r="BE210" i="496"/>
  <c r="BC210" i="496"/>
  <c r="I210" i="496"/>
  <c r="H210" i="496"/>
  <c r="E210" i="496"/>
  <c r="D210" i="496"/>
  <c r="C210" i="496"/>
  <c r="BF209" i="496"/>
  <c r="BE209" i="496"/>
  <c r="BC209" i="496"/>
  <c r="I209" i="496"/>
  <c r="H209" i="496"/>
  <c r="E209" i="496"/>
  <c r="D209" i="496"/>
  <c r="C209" i="496"/>
  <c r="BF208" i="496"/>
  <c r="BE208" i="496"/>
  <c r="BC208" i="496"/>
  <c r="I208" i="496"/>
  <c r="H208" i="496"/>
  <c r="E208" i="496"/>
  <c r="D208" i="496"/>
  <c r="C208" i="496"/>
  <c r="BE207" i="496"/>
  <c r="BC207" i="496"/>
  <c r="BA207" i="496"/>
  <c r="I207" i="496"/>
  <c r="H207" i="496"/>
  <c r="E207" i="496"/>
  <c r="D207" i="496"/>
  <c r="C207" i="496"/>
  <c r="BE206" i="496"/>
  <c r="BC206" i="496"/>
  <c r="BA206" i="496"/>
  <c r="I206" i="496"/>
  <c r="H206" i="496"/>
  <c r="E206" i="496"/>
  <c r="D206" i="496"/>
  <c r="C206" i="496"/>
  <c r="BE205" i="496"/>
  <c r="BC205" i="496"/>
  <c r="BA205" i="496"/>
  <c r="I205" i="496"/>
  <c r="H205" i="496"/>
  <c r="E205" i="496"/>
  <c r="D205" i="496"/>
  <c r="C205" i="496"/>
  <c r="BE204" i="496"/>
  <c r="BC204" i="496"/>
  <c r="I204" i="496"/>
  <c r="H204" i="496"/>
  <c r="F204" i="496"/>
  <c r="E204" i="496"/>
  <c r="D204" i="496"/>
  <c r="C204" i="496"/>
  <c r="BE203" i="496"/>
  <c r="BC203" i="496"/>
  <c r="I203" i="496"/>
  <c r="H203" i="496"/>
  <c r="E203" i="496"/>
  <c r="D203" i="496"/>
  <c r="C203" i="496"/>
  <c r="BE202" i="496"/>
  <c r="BC202" i="496"/>
  <c r="I202" i="496"/>
  <c r="H202" i="496"/>
  <c r="E202" i="496"/>
  <c r="D202" i="496"/>
  <c r="C202" i="496"/>
  <c r="BF201" i="496"/>
  <c r="BE201" i="496"/>
  <c r="BC201" i="496"/>
  <c r="BA201" i="496"/>
  <c r="H201" i="496"/>
  <c r="E201" i="496"/>
  <c r="C201" i="496"/>
  <c r="BE200" i="496"/>
  <c r="BC200" i="496"/>
  <c r="I200" i="496"/>
  <c r="H200" i="496"/>
  <c r="E200" i="496"/>
  <c r="D200" i="496"/>
  <c r="C200" i="496"/>
  <c r="BF199" i="496"/>
  <c r="BE199" i="496"/>
  <c r="BC199" i="496"/>
  <c r="I199" i="496"/>
  <c r="H199" i="496"/>
  <c r="E199" i="496"/>
  <c r="D199" i="496"/>
  <c r="C199" i="496"/>
  <c r="BE198" i="496"/>
  <c r="BC198" i="496"/>
  <c r="BA198" i="496"/>
  <c r="I198" i="496"/>
  <c r="H198" i="496"/>
  <c r="E198" i="496"/>
  <c r="D198" i="496"/>
  <c r="C198" i="496"/>
  <c r="BE197" i="496"/>
  <c r="BC197" i="496"/>
  <c r="BA197" i="496"/>
  <c r="I197" i="496"/>
  <c r="H197" i="496"/>
  <c r="E197" i="496"/>
  <c r="D197" i="496"/>
  <c r="C197" i="496"/>
  <c r="BE196" i="496"/>
  <c r="BC196" i="496"/>
  <c r="BA196" i="496"/>
  <c r="I196" i="496"/>
  <c r="H196" i="496"/>
  <c r="E196" i="496"/>
  <c r="D196" i="496"/>
  <c r="C196" i="496"/>
  <c r="BE195" i="496"/>
  <c r="BC195" i="496"/>
  <c r="BA195" i="496"/>
  <c r="I195" i="496"/>
  <c r="H195" i="496"/>
  <c r="E195" i="496"/>
  <c r="D195" i="496"/>
  <c r="C195" i="496"/>
  <c r="BE194" i="496"/>
  <c r="BC194" i="496"/>
  <c r="I194" i="496"/>
  <c r="H194" i="496"/>
  <c r="E194" i="496"/>
  <c r="D194" i="496"/>
  <c r="C194" i="496"/>
  <c r="BE193" i="496"/>
  <c r="BC193" i="496"/>
  <c r="I193" i="496"/>
  <c r="H193" i="496"/>
  <c r="F193" i="496"/>
  <c r="E193" i="496"/>
  <c r="D193" i="496"/>
  <c r="C193" i="496"/>
  <c r="BF192" i="496"/>
  <c r="BE192" i="496"/>
  <c r="BC192" i="496"/>
  <c r="H192" i="496"/>
  <c r="E192" i="496"/>
  <c r="C192" i="496"/>
  <c r="BE191" i="496"/>
  <c r="BC191" i="496"/>
  <c r="I191" i="496"/>
  <c r="H191" i="496"/>
  <c r="F191" i="496"/>
  <c r="E191" i="496"/>
  <c r="D191" i="496"/>
  <c r="C191" i="496"/>
  <c r="BE190" i="496"/>
  <c r="BC190" i="496"/>
  <c r="I190" i="496"/>
  <c r="H190" i="496"/>
  <c r="E190" i="496"/>
  <c r="D190" i="496"/>
  <c r="C190" i="496"/>
  <c r="BE189" i="496"/>
  <c r="BC189" i="496"/>
  <c r="I189" i="496"/>
  <c r="H189" i="496"/>
  <c r="E189" i="496"/>
  <c r="D189" i="496"/>
  <c r="C189" i="496"/>
  <c r="BE188" i="496"/>
  <c r="BC188" i="496"/>
  <c r="I188" i="496"/>
  <c r="H188" i="496"/>
  <c r="E188" i="496"/>
  <c r="D188" i="496"/>
  <c r="C188" i="496"/>
  <c r="BE187" i="496"/>
  <c r="BC187" i="496"/>
  <c r="I187" i="496"/>
  <c r="H187" i="496"/>
  <c r="E187" i="496"/>
  <c r="D187" i="496"/>
  <c r="C187" i="496"/>
  <c r="BE186" i="496"/>
  <c r="BC186" i="496"/>
  <c r="I186" i="496"/>
  <c r="H186" i="496"/>
  <c r="E186" i="496"/>
  <c r="D186" i="496"/>
  <c r="C186" i="496"/>
  <c r="BE185" i="496"/>
  <c r="BC185" i="496"/>
  <c r="I185" i="496"/>
  <c r="H185" i="496"/>
  <c r="E185" i="496"/>
  <c r="D185" i="496"/>
  <c r="C185" i="496"/>
  <c r="BE184" i="496"/>
  <c r="BC184" i="496"/>
  <c r="H184" i="496"/>
  <c r="E184" i="496"/>
  <c r="C184" i="496"/>
  <c r="BE183" i="496"/>
  <c r="BC183" i="496"/>
  <c r="I183" i="496"/>
  <c r="H183" i="496"/>
  <c r="E183" i="496"/>
  <c r="D183" i="496"/>
  <c r="C183" i="496"/>
  <c r="BE182" i="496"/>
  <c r="BC182" i="496"/>
  <c r="I182" i="496"/>
  <c r="H182" i="496"/>
  <c r="E182" i="496"/>
  <c r="D182" i="496"/>
  <c r="C182" i="496"/>
  <c r="BE181" i="496"/>
  <c r="BC181" i="496"/>
  <c r="BA181" i="496"/>
  <c r="I181" i="496"/>
  <c r="H181" i="496"/>
  <c r="E181" i="496"/>
  <c r="D181" i="496"/>
  <c r="C181" i="496"/>
  <c r="BE180" i="496"/>
  <c r="BC180" i="496"/>
  <c r="BA180" i="496"/>
  <c r="I180" i="496"/>
  <c r="H180" i="496"/>
  <c r="E180" i="496"/>
  <c r="D180" i="496"/>
  <c r="C180" i="496"/>
  <c r="BE179" i="496"/>
  <c r="BC179" i="496"/>
  <c r="BA179" i="496"/>
  <c r="I179" i="496"/>
  <c r="H179" i="496"/>
  <c r="E179" i="496"/>
  <c r="D179" i="496"/>
  <c r="C179" i="496"/>
  <c r="BE178" i="496"/>
  <c r="BC178" i="496"/>
  <c r="BA178" i="496"/>
  <c r="I178" i="496"/>
  <c r="H178" i="496"/>
  <c r="E178" i="496"/>
  <c r="D178" i="496"/>
  <c r="C178" i="496"/>
  <c r="BE177" i="496"/>
  <c r="BC177" i="496"/>
  <c r="BA177" i="496"/>
  <c r="I177" i="496"/>
  <c r="H177" i="496"/>
  <c r="E177" i="496"/>
  <c r="D177" i="496"/>
  <c r="C177" i="496"/>
  <c r="BE176" i="496"/>
  <c r="BC176" i="496"/>
  <c r="BA176" i="496"/>
  <c r="I176" i="496"/>
  <c r="H176" i="496"/>
  <c r="E176" i="496"/>
  <c r="D176" i="496"/>
  <c r="C176" i="496"/>
  <c r="BE175" i="496"/>
  <c r="BC175" i="496"/>
  <c r="BA175" i="496"/>
  <c r="I175" i="496"/>
  <c r="H175" i="496"/>
  <c r="E175" i="496"/>
  <c r="D175" i="496"/>
  <c r="C175" i="496"/>
  <c r="BE174" i="496"/>
  <c r="BC174" i="496"/>
  <c r="BA174" i="496"/>
  <c r="I174" i="496"/>
  <c r="H174" i="496"/>
  <c r="E174" i="496"/>
  <c r="D174" i="496"/>
  <c r="C174" i="496"/>
  <c r="BE173" i="496"/>
  <c r="BC173" i="496"/>
  <c r="BA173" i="496"/>
  <c r="I173" i="496"/>
  <c r="H173" i="496"/>
  <c r="E173" i="496"/>
  <c r="D173" i="496"/>
  <c r="C173" i="496"/>
  <c r="BE172" i="496"/>
  <c r="BC172" i="496"/>
  <c r="BA172" i="496"/>
  <c r="I172" i="496"/>
  <c r="H172" i="496"/>
  <c r="E172" i="496"/>
  <c r="D172" i="496"/>
  <c r="C172" i="496"/>
  <c r="BE171" i="496"/>
  <c r="BC171" i="496"/>
  <c r="I171" i="496"/>
  <c r="H171" i="496"/>
  <c r="E171" i="496"/>
  <c r="D171" i="496"/>
  <c r="C171" i="496"/>
  <c r="BE170" i="496"/>
  <c r="BC170" i="496"/>
  <c r="BA170" i="496"/>
  <c r="I170" i="496"/>
  <c r="H170" i="496"/>
  <c r="E170" i="496"/>
  <c r="D170" i="496"/>
  <c r="C170" i="496"/>
  <c r="BE169" i="496"/>
  <c r="BC169" i="496"/>
  <c r="I169" i="496"/>
  <c r="H169" i="496"/>
  <c r="E169" i="496"/>
  <c r="D169" i="496"/>
  <c r="C169" i="496"/>
  <c r="BE168" i="496"/>
  <c r="BC168" i="496"/>
  <c r="I168" i="496"/>
  <c r="H168" i="496"/>
  <c r="E168" i="496"/>
  <c r="D168" i="496"/>
  <c r="C168" i="496"/>
  <c r="BE167" i="496"/>
  <c r="BC167" i="496"/>
  <c r="I167" i="496"/>
  <c r="H167" i="496"/>
  <c r="E167" i="496"/>
  <c r="D167" i="496"/>
  <c r="C167" i="496"/>
  <c r="BF166" i="496"/>
  <c r="BE166" i="496"/>
  <c r="BC166" i="496"/>
  <c r="H166" i="496"/>
  <c r="E166" i="496"/>
  <c r="C166" i="496"/>
  <c r="BE165" i="496"/>
  <c r="BC165" i="496"/>
  <c r="I165" i="496"/>
  <c r="H165" i="496"/>
  <c r="E165" i="496"/>
  <c r="D165" i="496"/>
  <c r="C165" i="496"/>
  <c r="BE164" i="496"/>
  <c r="BC164" i="496"/>
  <c r="I164" i="496"/>
  <c r="H164" i="496"/>
  <c r="F164" i="496"/>
  <c r="E164" i="496"/>
  <c r="D164" i="496"/>
  <c r="C164" i="496"/>
  <c r="BE163" i="496"/>
  <c r="BC163" i="496"/>
  <c r="BA163" i="496"/>
  <c r="I163" i="496"/>
  <c r="H163" i="496"/>
  <c r="E163" i="496"/>
  <c r="D163" i="496"/>
  <c r="C163" i="496"/>
  <c r="BE162" i="496"/>
  <c r="BC162" i="496"/>
  <c r="BA162" i="496"/>
  <c r="I162" i="496"/>
  <c r="H162" i="496"/>
  <c r="E162" i="496"/>
  <c r="D162" i="496"/>
  <c r="C162" i="496"/>
  <c r="BE161" i="496"/>
  <c r="BC161" i="496"/>
  <c r="BA161" i="496"/>
  <c r="I161" i="496"/>
  <c r="H161" i="496"/>
  <c r="E161" i="496"/>
  <c r="D161" i="496"/>
  <c r="C161" i="496"/>
  <c r="BE160" i="496"/>
  <c r="BC160" i="496"/>
  <c r="BA160" i="496"/>
  <c r="I160" i="496"/>
  <c r="H160" i="496"/>
  <c r="E160" i="496"/>
  <c r="D160" i="496"/>
  <c r="C160" i="496"/>
  <c r="BE159" i="496"/>
  <c r="BC159" i="496"/>
  <c r="BA159" i="496"/>
  <c r="I159" i="496"/>
  <c r="H159" i="496"/>
  <c r="E159" i="496"/>
  <c r="D159" i="496"/>
  <c r="C159" i="496"/>
  <c r="BE158" i="496"/>
  <c r="BC158" i="496"/>
  <c r="BA158" i="496"/>
  <c r="I158" i="496"/>
  <c r="H158" i="496"/>
  <c r="E158" i="496"/>
  <c r="D158" i="496"/>
  <c r="C158" i="496"/>
  <c r="BE157" i="496"/>
  <c r="BC157" i="496"/>
  <c r="I157" i="496"/>
  <c r="H157" i="496"/>
  <c r="E157" i="496"/>
  <c r="D157" i="496"/>
  <c r="C157" i="496"/>
  <c r="BE156" i="496"/>
  <c r="BC156" i="496"/>
  <c r="I156" i="496"/>
  <c r="H156" i="496"/>
  <c r="E156" i="496"/>
  <c r="D156" i="496"/>
  <c r="C156" i="496"/>
  <c r="BE155" i="496"/>
  <c r="BC155" i="496"/>
  <c r="I155" i="496"/>
  <c r="H155" i="496"/>
  <c r="E155" i="496"/>
  <c r="D155" i="496"/>
  <c r="C155" i="496"/>
  <c r="BE154" i="496"/>
  <c r="BC154" i="496"/>
  <c r="I154" i="496"/>
  <c r="H154" i="496"/>
  <c r="E154" i="496"/>
  <c r="D154" i="496"/>
  <c r="C154" i="496"/>
  <c r="BE153" i="496"/>
  <c r="BC153" i="496"/>
  <c r="I153" i="496"/>
  <c r="H153" i="496"/>
  <c r="E153" i="496"/>
  <c r="D153" i="496"/>
  <c r="C153" i="496"/>
  <c r="BE152" i="496"/>
  <c r="BC152" i="496"/>
  <c r="I152" i="496"/>
  <c r="H152" i="496"/>
  <c r="E152" i="496"/>
  <c r="D152" i="496"/>
  <c r="C152" i="496"/>
  <c r="BE151" i="496"/>
  <c r="BC151" i="496"/>
  <c r="I151" i="496"/>
  <c r="H151" i="496"/>
  <c r="E151" i="496"/>
  <c r="D151" i="496"/>
  <c r="C151" i="496"/>
  <c r="BE150" i="496"/>
  <c r="BC150" i="496"/>
  <c r="I150" i="496"/>
  <c r="H150" i="496"/>
  <c r="E150" i="496"/>
  <c r="D150" i="496"/>
  <c r="C150" i="496"/>
  <c r="BE149" i="496"/>
  <c r="BC149" i="496"/>
  <c r="I149" i="496"/>
  <c r="H149" i="496"/>
  <c r="E149" i="496"/>
  <c r="D149" i="496"/>
  <c r="C149" i="496"/>
  <c r="BE148" i="496"/>
  <c r="BC148" i="496"/>
  <c r="I148" i="496"/>
  <c r="H148" i="496"/>
  <c r="E148" i="496"/>
  <c r="D148" i="496"/>
  <c r="C148" i="496"/>
  <c r="BE147" i="496"/>
  <c r="BC147" i="496"/>
  <c r="I147" i="496"/>
  <c r="H147" i="496"/>
  <c r="E147" i="496"/>
  <c r="D147" i="496"/>
  <c r="C147" i="496"/>
  <c r="BE146" i="496"/>
  <c r="BC146" i="496"/>
  <c r="I146" i="496"/>
  <c r="H146" i="496"/>
  <c r="E146" i="496"/>
  <c r="D146" i="496"/>
  <c r="C146" i="496"/>
  <c r="BE145" i="496"/>
  <c r="BC145" i="496"/>
  <c r="I145" i="496"/>
  <c r="H145" i="496"/>
  <c r="E145" i="496"/>
  <c r="D145" i="496"/>
  <c r="C145" i="496"/>
  <c r="BE144" i="496"/>
  <c r="BC144" i="496"/>
  <c r="I144" i="496"/>
  <c r="H144" i="496"/>
  <c r="E144" i="496"/>
  <c r="D144" i="496"/>
  <c r="C144" i="496"/>
  <c r="BE143" i="496"/>
  <c r="BC143" i="496"/>
  <c r="H143" i="496"/>
  <c r="E143" i="496"/>
  <c r="C143" i="496"/>
  <c r="BE142" i="496"/>
  <c r="BC142" i="496"/>
  <c r="BA142" i="496"/>
  <c r="I142" i="496"/>
  <c r="H142" i="496"/>
  <c r="E142" i="496"/>
  <c r="D142" i="496"/>
  <c r="C142" i="496"/>
  <c r="BE141" i="496"/>
  <c r="BC141" i="496"/>
  <c r="BA141" i="496"/>
  <c r="I141" i="496"/>
  <c r="H141" i="496"/>
  <c r="E141" i="496"/>
  <c r="D141" i="496"/>
  <c r="C141" i="496"/>
  <c r="BE140" i="496"/>
  <c r="BC140" i="496"/>
  <c r="BA140" i="496"/>
  <c r="I140" i="496"/>
  <c r="H140" i="496"/>
  <c r="E140" i="496"/>
  <c r="D140" i="496"/>
  <c r="C140" i="496"/>
  <c r="BE139" i="496"/>
  <c r="BC139" i="496"/>
  <c r="I139" i="496"/>
  <c r="H139" i="496"/>
  <c r="E139" i="496"/>
  <c r="D139" i="496"/>
  <c r="C139" i="496"/>
  <c r="BE138" i="496"/>
  <c r="BC138" i="496"/>
  <c r="I138" i="496"/>
  <c r="H138" i="496"/>
  <c r="E138" i="496"/>
  <c r="D138" i="496"/>
  <c r="C138" i="496"/>
  <c r="BE137" i="496"/>
  <c r="BC137" i="496"/>
  <c r="I137" i="496"/>
  <c r="H137" i="496"/>
  <c r="E137" i="496"/>
  <c r="D137" i="496"/>
  <c r="C137" i="496"/>
  <c r="BE136" i="496"/>
  <c r="BC136" i="496"/>
  <c r="I136" i="496"/>
  <c r="H136" i="496"/>
  <c r="E136" i="496"/>
  <c r="D136" i="496"/>
  <c r="C136" i="496"/>
  <c r="BE135" i="496"/>
  <c r="BC135" i="496"/>
  <c r="I135" i="496"/>
  <c r="H135" i="496"/>
  <c r="E135" i="496"/>
  <c r="D135" i="496"/>
  <c r="C135" i="496"/>
  <c r="BE134" i="496"/>
  <c r="BC134" i="496"/>
  <c r="I134" i="496"/>
  <c r="H134" i="496"/>
  <c r="E134" i="496"/>
  <c r="D134" i="496"/>
  <c r="C134" i="496"/>
  <c r="BE133" i="496"/>
  <c r="BC133" i="496"/>
  <c r="I133" i="496"/>
  <c r="H133" i="496"/>
  <c r="E133" i="496"/>
  <c r="D133" i="496"/>
  <c r="C133" i="496"/>
  <c r="BE132" i="496"/>
  <c r="BC132" i="496"/>
  <c r="I132" i="496"/>
  <c r="H132" i="496"/>
  <c r="E132" i="496"/>
  <c r="D132" i="496"/>
  <c r="C132" i="496"/>
  <c r="BE131" i="496"/>
  <c r="BC131" i="496"/>
  <c r="I131" i="496"/>
  <c r="H131" i="496"/>
  <c r="E131" i="496"/>
  <c r="D131" i="496"/>
  <c r="C131" i="496"/>
  <c r="BE130" i="496"/>
  <c r="BC130" i="496"/>
  <c r="I130" i="496"/>
  <c r="H130" i="496"/>
  <c r="E130" i="496"/>
  <c r="D130" i="496"/>
  <c r="C130" i="496"/>
  <c r="BE129" i="496"/>
  <c r="BC129" i="496"/>
  <c r="I129" i="496"/>
  <c r="H129" i="496"/>
  <c r="E129" i="496"/>
  <c r="D129" i="496"/>
  <c r="C129" i="496"/>
  <c r="BE128" i="496"/>
  <c r="BC128" i="496"/>
  <c r="I128" i="496"/>
  <c r="H128" i="496"/>
  <c r="E128" i="496"/>
  <c r="D128" i="496"/>
  <c r="C128" i="496"/>
  <c r="BE127" i="496"/>
  <c r="BC127" i="496"/>
  <c r="I127" i="496"/>
  <c r="H127" i="496"/>
  <c r="E127" i="496"/>
  <c r="D127" i="496"/>
  <c r="C127" i="496"/>
  <c r="BE126" i="496"/>
  <c r="BC126" i="496"/>
  <c r="I126" i="496"/>
  <c r="H126" i="496"/>
  <c r="F126" i="496"/>
  <c r="E126" i="496"/>
  <c r="D126" i="496"/>
  <c r="C126" i="496"/>
  <c r="BF125" i="496"/>
  <c r="BE125" i="496"/>
  <c r="BC125" i="496"/>
  <c r="I125" i="496"/>
  <c r="H125" i="496"/>
  <c r="E125" i="496"/>
  <c r="D125" i="496"/>
  <c r="C125" i="496"/>
  <c r="BE124" i="496"/>
  <c r="BC124" i="496"/>
  <c r="I124" i="496"/>
  <c r="H124" i="496"/>
  <c r="E124" i="496"/>
  <c r="D124" i="496"/>
  <c r="C124" i="496"/>
  <c r="BE123" i="496"/>
  <c r="BC123" i="496"/>
  <c r="BA123" i="496"/>
  <c r="I123" i="496"/>
  <c r="H123" i="496"/>
  <c r="E123" i="496"/>
  <c r="D123" i="496"/>
  <c r="C123" i="496"/>
  <c r="BE122" i="496"/>
  <c r="BC122" i="496"/>
  <c r="BA122" i="496"/>
  <c r="I122" i="496"/>
  <c r="H122" i="496"/>
  <c r="E122" i="496"/>
  <c r="D122" i="496"/>
  <c r="C122" i="496"/>
  <c r="BE121" i="496"/>
  <c r="BC121" i="496"/>
  <c r="BA121" i="496"/>
  <c r="I121" i="496"/>
  <c r="H121" i="496"/>
  <c r="E121" i="496"/>
  <c r="D121" i="496"/>
  <c r="C121" i="496"/>
  <c r="BE120" i="496"/>
  <c r="BC120" i="496"/>
  <c r="H120" i="496"/>
  <c r="E120" i="496"/>
  <c r="C120" i="496"/>
  <c r="BE119" i="496"/>
  <c r="BC119" i="496"/>
  <c r="H119" i="496"/>
  <c r="E119" i="496"/>
  <c r="C119" i="496"/>
  <c r="BE118" i="496"/>
  <c r="BC118" i="496"/>
  <c r="I118" i="496"/>
  <c r="H118" i="496"/>
  <c r="E118" i="496"/>
  <c r="D118" i="496"/>
  <c r="C118" i="496"/>
  <c r="BE117" i="496"/>
  <c r="BC117" i="496"/>
  <c r="I117" i="496"/>
  <c r="H117" i="496"/>
  <c r="E117" i="496"/>
  <c r="D117" i="496"/>
  <c r="C117" i="496"/>
  <c r="BE116" i="496"/>
  <c r="BC116" i="496"/>
  <c r="I116" i="496"/>
  <c r="H116" i="496"/>
  <c r="E116" i="496"/>
  <c r="D116" i="496"/>
  <c r="C116" i="496"/>
  <c r="BE115" i="496"/>
  <c r="BC115" i="496"/>
  <c r="I115" i="496"/>
  <c r="H115" i="496"/>
  <c r="E115" i="496"/>
  <c r="D115" i="496"/>
  <c r="C115" i="496"/>
  <c r="BE114" i="496"/>
  <c r="BC114" i="496"/>
  <c r="I114" i="496"/>
  <c r="H114" i="496"/>
  <c r="E114" i="496"/>
  <c r="D114" i="496"/>
  <c r="C114" i="496"/>
  <c r="BE113" i="496"/>
  <c r="BC113" i="496"/>
  <c r="I113" i="496"/>
  <c r="H113" i="496"/>
  <c r="E113" i="496"/>
  <c r="D113" i="496"/>
  <c r="C113" i="496"/>
  <c r="BE112" i="496"/>
  <c r="BC112" i="496"/>
  <c r="I112" i="496"/>
  <c r="H112" i="496"/>
  <c r="E112" i="496"/>
  <c r="D112" i="496"/>
  <c r="C112" i="496"/>
  <c r="BE111" i="496"/>
  <c r="BC111" i="496"/>
  <c r="BA111" i="496"/>
  <c r="I111" i="496"/>
  <c r="H111" i="496"/>
  <c r="E111" i="496"/>
  <c r="D111" i="496"/>
  <c r="C111" i="496"/>
  <c r="BE110" i="496"/>
  <c r="BC110" i="496"/>
  <c r="I110" i="496"/>
  <c r="H110" i="496"/>
  <c r="E110" i="496"/>
  <c r="D110" i="496"/>
  <c r="C110" i="496"/>
  <c r="BE109" i="496"/>
  <c r="BC109" i="496"/>
  <c r="I109" i="496"/>
  <c r="H109" i="496"/>
  <c r="E109" i="496"/>
  <c r="D109" i="496"/>
  <c r="C109" i="496"/>
  <c r="BE108" i="496"/>
  <c r="BC108" i="496"/>
  <c r="I108" i="496"/>
  <c r="H108" i="496"/>
  <c r="E108" i="496"/>
  <c r="D108" i="496"/>
  <c r="C108" i="496"/>
  <c r="BE107" i="496"/>
  <c r="BC107" i="496"/>
  <c r="I107" i="496"/>
  <c r="H107" i="496"/>
  <c r="E107" i="496"/>
  <c r="D107" i="496"/>
  <c r="C107" i="496"/>
  <c r="BE106" i="496"/>
  <c r="BC106" i="496"/>
  <c r="I106" i="496"/>
  <c r="H106" i="496"/>
  <c r="E106" i="496"/>
  <c r="D106" i="496"/>
  <c r="C106" i="496"/>
  <c r="BE105" i="496"/>
  <c r="BC105" i="496"/>
  <c r="BA105" i="496"/>
  <c r="I105" i="496"/>
  <c r="H105" i="496"/>
  <c r="E105" i="496"/>
  <c r="D105" i="496"/>
  <c r="C105" i="496"/>
  <c r="BE104" i="496"/>
  <c r="BC104" i="496"/>
  <c r="I104" i="496"/>
  <c r="H104" i="496"/>
  <c r="E104" i="496"/>
  <c r="D104" i="496"/>
  <c r="C104" i="496"/>
  <c r="BE103" i="496"/>
  <c r="BC103" i="496"/>
  <c r="I103" i="496"/>
  <c r="H103" i="496"/>
  <c r="E103" i="496"/>
  <c r="D103" i="496"/>
  <c r="C103" i="496"/>
  <c r="BE102" i="496"/>
  <c r="BC102" i="496"/>
  <c r="BA102" i="496"/>
  <c r="I102" i="496"/>
  <c r="H102" i="496"/>
  <c r="E102" i="496"/>
  <c r="D102" i="496"/>
  <c r="C102" i="496"/>
  <c r="BE101" i="496"/>
  <c r="BC101" i="496"/>
  <c r="I101" i="496"/>
  <c r="H101" i="496"/>
  <c r="E101" i="496"/>
  <c r="D101" i="496"/>
  <c r="C101" i="496"/>
  <c r="BE100" i="496"/>
  <c r="BC100" i="496"/>
  <c r="I100" i="496"/>
  <c r="H100" i="496"/>
  <c r="E100" i="496"/>
  <c r="D100" i="496"/>
  <c r="C100" i="496"/>
  <c r="BE99" i="496"/>
  <c r="BC99" i="496"/>
  <c r="I99" i="496"/>
  <c r="H99" i="496"/>
  <c r="E99" i="496"/>
  <c r="D99" i="496"/>
  <c r="C99" i="496"/>
  <c r="BE98" i="496"/>
  <c r="BC98" i="496"/>
  <c r="I98" i="496"/>
  <c r="H98" i="496"/>
  <c r="E98" i="496"/>
  <c r="D98" i="496"/>
  <c r="C98" i="496"/>
  <c r="BE97" i="496"/>
  <c r="BC97" i="496"/>
  <c r="I97" i="496"/>
  <c r="H97" i="496"/>
  <c r="F97" i="496"/>
  <c r="E97" i="496"/>
  <c r="D97" i="496"/>
  <c r="C97" i="496"/>
  <c r="BE96" i="496"/>
  <c r="BC96" i="496"/>
  <c r="I96" i="496"/>
  <c r="H96" i="496"/>
  <c r="E96" i="496"/>
  <c r="D96" i="496"/>
  <c r="C96" i="496"/>
  <c r="BE95" i="496"/>
  <c r="BC95" i="496"/>
  <c r="I95" i="496"/>
  <c r="H95" i="496"/>
  <c r="E95" i="496"/>
  <c r="D95" i="496"/>
  <c r="C95" i="496"/>
  <c r="BE94" i="496"/>
  <c r="BC94" i="496"/>
  <c r="I94" i="496"/>
  <c r="H94" i="496"/>
  <c r="E94" i="496"/>
  <c r="D94" i="496"/>
  <c r="C94" i="496"/>
  <c r="BE93" i="496"/>
  <c r="BC93" i="496"/>
  <c r="I93" i="496"/>
  <c r="H93" i="496"/>
  <c r="E93" i="496"/>
  <c r="D93" i="496"/>
  <c r="C93" i="496"/>
  <c r="BE92" i="496"/>
  <c r="BC92" i="496"/>
  <c r="I92" i="496"/>
  <c r="H92" i="496"/>
  <c r="E92" i="496"/>
  <c r="D92" i="496"/>
  <c r="C92" i="496"/>
  <c r="BF91" i="496"/>
  <c r="BE91" i="496"/>
  <c r="BC91" i="496"/>
  <c r="H91" i="496"/>
  <c r="E91" i="496"/>
  <c r="C91" i="496"/>
  <c r="BE90" i="496"/>
  <c r="BC90" i="496"/>
  <c r="I90" i="496"/>
  <c r="H90" i="496"/>
  <c r="E90" i="496"/>
  <c r="D90" i="496"/>
  <c r="C90" i="496"/>
  <c r="BE89" i="496"/>
  <c r="BC89" i="496"/>
  <c r="I89" i="496"/>
  <c r="H89" i="496"/>
  <c r="E89" i="496"/>
  <c r="D89" i="496"/>
  <c r="C89" i="496"/>
  <c r="BE88" i="496"/>
  <c r="BC88" i="496"/>
  <c r="I88" i="496"/>
  <c r="H88" i="496"/>
  <c r="E88" i="496"/>
  <c r="D88" i="496"/>
  <c r="C88" i="496"/>
  <c r="BE87" i="496"/>
  <c r="BC87" i="496"/>
  <c r="I87" i="496"/>
  <c r="H87" i="496"/>
  <c r="E87" i="496"/>
  <c r="D87" i="496"/>
  <c r="C87" i="496"/>
  <c r="BE86" i="496"/>
  <c r="BC86" i="496"/>
  <c r="I86" i="496"/>
  <c r="H86" i="496"/>
  <c r="E86" i="496"/>
  <c r="D86" i="496"/>
  <c r="C86" i="496"/>
  <c r="BE85" i="496"/>
  <c r="BC85" i="496"/>
  <c r="I85" i="496"/>
  <c r="H85" i="496"/>
  <c r="E85" i="496"/>
  <c r="D85" i="496"/>
  <c r="C85" i="496"/>
  <c r="BE84" i="496"/>
  <c r="BC84" i="496"/>
  <c r="I84" i="496"/>
  <c r="H84" i="496"/>
  <c r="E84" i="496"/>
  <c r="D84" i="496"/>
  <c r="C84" i="496"/>
  <c r="BE83" i="496"/>
  <c r="BC83" i="496"/>
  <c r="I83" i="496"/>
  <c r="H83" i="496"/>
  <c r="E83" i="496"/>
  <c r="D83" i="496"/>
  <c r="C83" i="496"/>
  <c r="BE82" i="496"/>
  <c r="BC82" i="496"/>
  <c r="I82" i="496"/>
  <c r="H82" i="496"/>
  <c r="E82" i="496"/>
  <c r="D82" i="496"/>
  <c r="C82" i="496"/>
  <c r="BE81" i="496"/>
  <c r="BC81" i="496"/>
  <c r="I81" i="496"/>
  <c r="H81" i="496"/>
  <c r="E81" i="496"/>
  <c r="D81" i="496"/>
  <c r="C81" i="496"/>
  <c r="BE80" i="496"/>
  <c r="BC80" i="496"/>
  <c r="I80" i="496"/>
  <c r="H80" i="496"/>
  <c r="E80" i="496"/>
  <c r="D80" i="496"/>
  <c r="C80" i="496"/>
  <c r="BE79" i="496"/>
  <c r="BC79" i="496"/>
  <c r="I79" i="496"/>
  <c r="H79" i="496"/>
  <c r="E79" i="496"/>
  <c r="D79" i="496"/>
  <c r="C79" i="496"/>
  <c r="BE78" i="496"/>
  <c r="BC78" i="496"/>
  <c r="I78" i="496"/>
  <c r="H78" i="496"/>
  <c r="E78" i="496"/>
  <c r="D78" i="496"/>
  <c r="C78" i="496"/>
  <c r="BE77" i="496"/>
  <c r="BC77" i="496"/>
  <c r="I77" i="496"/>
  <c r="H77" i="496"/>
  <c r="E77" i="496"/>
  <c r="D77" i="496"/>
  <c r="C77" i="496"/>
  <c r="BE76" i="496"/>
  <c r="BC76" i="496"/>
  <c r="I76" i="496"/>
  <c r="H76" i="496"/>
  <c r="E76" i="496"/>
  <c r="D76" i="496"/>
  <c r="C76" i="496"/>
  <c r="BE75" i="496"/>
  <c r="BC75" i="496"/>
  <c r="I75" i="496"/>
  <c r="H75" i="496"/>
  <c r="E75" i="496"/>
  <c r="D75" i="496"/>
  <c r="C75" i="496"/>
  <c r="BE74" i="496"/>
  <c r="BC74" i="496"/>
  <c r="I74" i="496"/>
  <c r="H74" i="496"/>
  <c r="E74" i="496"/>
  <c r="D74" i="496"/>
  <c r="C74" i="496"/>
  <c r="BE73" i="496"/>
  <c r="BC73" i="496"/>
  <c r="I73" i="496"/>
  <c r="H73" i="496"/>
  <c r="E73" i="496"/>
  <c r="D73" i="496"/>
  <c r="C73" i="496"/>
  <c r="BE72" i="496"/>
  <c r="BC72" i="496"/>
  <c r="I72" i="496"/>
  <c r="H72" i="496"/>
  <c r="E72" i="496"/>
  <c r="D72" i="496"/>
  <c r="C72" i="496"/>
  <c r="BE71" i="496"/>
  <c r="BC71" i="496"/>
  <c r="I71" i="496"/>
  <c r="H71" i="496"/>
  <c r="E71" i="496"/>
  <c r="D71" i="496"/>
  <c r="C71" i="496"/>
  <c r="BE70" i="496"/>
  <c r="BC70" i="496"/>
  <c r="I70" i="496"/>
  <c r="H70" i="496"/>
  <c r="E70" i="496"/>
  <c r="D70" i="496"/>
  <c r="C70" i="496"/>
  <c r="BE69" i="496"/>
  <c r="BC69" i="496"/>
  <c r="I69" i="496"/>
  <c r="H69" i="496"/>
  <c r="E69" i="496"/>
  <c r="D69" i="496"/>
  <c r="C69" i="496"/>
  <c r="BE68" i="496"/>
  <c r="BC68" i="496"/>
  <c r="I68" i="496"/>
  <c r="H68" i="496"/>
  <c r="E68" i="496"/>
  <c r="D68" i="496"/>
  <c r="C68" i="496"/>
  <c r="BE67" i="496"/>
  <c r="BC67" i="496"/>
  <c r="I67" i="496"/>
  <c r="H67" i="496"/>
  <c r="E67" i="496"/>
  <c r="D67" i="496"/>
  <c r="C67" i="496"/>
  <c r="BE66" i="496"/>
  <c r="BC66" i="496"/>
  <c r="I66" i="496"/>
  <c r="H66" i="496"/>
  <c r="E66" i="496"/>
  <c r="D66" i="496"/>
  <c r="C66" i="496"/>
  <c r="BE65" i="496"/>
  <c r="BC65" i="496"/>
  <c r="I65" i="496"/>
  <c r="H65" i="496"/>
  <c r="E65" i="496"/>
  <c r="D65" i="496"/>
  <c r="C65" i="496"/>
  <c r="BE64" i="496"/>
  <c r="BC64" i="496"/>
  <c r="I64" i="496"/>
  <c r="H64" i="496"/>
  <c r="E64" i="496"/>
  <c r="D64" i="496"/>
  <c r="C64" i="496"/>
  <c r="BE63" i="496"/>
  <c r="BC63" i="496"/>
  <c r="I63" i="496"/>
  <c r="H63" i="496"/>
  <c r="E63" i="496"/>
  <c r="D63" i="496"/>
  <c r="C63" i="496"/>
  <c r="BE62" i="496"/>
  <c r="BC62" i="496"/>
  <c r="I62" i="496"/>
  <c r="H62" i="496"/>
  <c r="E62" i="496"/>
  <c r="D62" i="496"/>
  <c r="C62" i="496"/>
  <c r="BE61" i="496"/>
  <c r="BC61" i="496"/>
  <c r="I61" i="496"/>
  <c r="H61" i="496"/>
  <c r="E61" i="496"/>
  <c r="D61" i="496"/>
  <c r="C61" i="496"/>
  <c r="BE60" i="496"/>
  <c r="BC60" i="496"/>
  <c r="I60" i="496"/>
  <c r="H60" i="496"/>
  <c r="E60" i="496"/>
  <c r="D60" i="496"/>
  <c r="C60" i="496"/>
  <c r="BE59" i="496"/>
  <c r="BC59" i="496"/>
  <c r="I59" i="496"/>
  <c r="H59" i="496"/>
  <c r="E59" i="496"/>
  <c r="D59" i="496"/>
  <c r="C59" i="496"/>
  <c r="BE58" i="496"/>
  <c r="BC58" i="496"/>
  <c r="I58" i="496"/>
  <c r="H58" i="496"/>
  <c r="E58" i="496"/>
  <c r="D58" i="496"/>
  <c r="C58" i="496"/>
  <c r="BE57" i="496"/>
  <c r="BC57" i="496"/>
  <c r="I57" i="496"/>
  <c r="H57" i="496"/>
  <c r="E57" i="496"/>
  <c r="D57" i="496"/>
  <c r="C57" i="496"/>
  <c r="BE56" i="496"/>
  <c r="BC56" i="496"/>
  <c r="I56" i="496"/>
  <c r="H56" i="496"/>
  <c r="E56" i="496"/>
  <c r="D56" i="496"/>
  <c r="C56" i="496"/>
  <c r="BE55" i="496"/>
  <c r="BC55" i="496"/>
  <c r="I55" i="496"/>
  <c r="H55" i="496"/>
  <c r="E55" i="496"/>
  <c r="D55" i="496"/>
  <c r="C55" i="496"/>
  <c r="BE54" i="496"/>
  <c r="BC54" i="496"/>
  <c r="I54" i="496"/>
  <c r="H54" i="496"/>
  <c r="E54" i="496"/>
  <c r="D54" i="496"/>
  <c r="C54" i="496"/>
  <c r="BE53" i="496"/>
  <c r="BC53" i="496"/>
  <c r="I53" i="496"/>
  <c r="H53" i="496"/>
  <c r="E53" i="496"/>
  <c r="D53" i="496"/>
  <c r="C53" i="496"/>
  <c r="BE52" i="496"/>
  <c r="BC52" i="496"/>
  <c r="I52" i="496"/>
  <c r="H52" i="496"/>
  <c r="E52" i="496"/>
  <c r="D52" i="496"/>
  <c r="C52" i="496"/>
  <c r="BE51" i="496"/>
  <c r="BC51" i="496"/>
  <c r="I51" i="496"/>
  <c r="H51" i="496"/>
  <c r="E51" i="496"/>
  <c r="D51" i="496"/>
  <c r="C51" i="496"/>
  <c r="BE50" i="496"/>
  <c r="BC50" i="496"/>
  <c r="I50" i="496"/>
  <c r="H50" i="496"/>
  <c r="E50" i="496"/>
  <c r="D50" i="496"/>
  <c r="C50" i="496"/>
  <c r="BE49" i="496"/>
  <c r="BC49" i="496"/>
  <c r="I49" i="496"/>
  <c r="H49" i="496"/>
  <c r="E49" i="496"/>
  <c r="D49" i="496"/>
  <c r="C49" i="496"/>
  <c r="BE48" i="496"/>
  <c r="BC48" i="496"/>
  <c r="I48" i="496"/>
  <c r="H48" i="496"/>
  <c r="E48" i="496"/>
  <c r="D48" i="496"/>
  <c r="C48" i="496"/>
  <c r="BE47" i="496"/>
  <c r="BC47" i="496"/>
  <c r="I47" i="496"/>
  <c r="H47" i="496"/>
  <c r="E47" i="496"/>
  <c r="D47" i="496"/>
  <c r="C47" i="496"/>
  <c r="BE46" i="496"/>
  <c r="BC46" i="496"/>
  <c r="I46" i="496"/>
  <c r="H46" i="496"/>
  <c r="E46" i="496"/>
  <c r="D46" i="496"/>
  <c r="C46" i="496"/>
  <c r="BE45" i="496"/>
  <c r="BC45" i="496"/>
  <c r="I45" i="496"/>
  <c r="H45" i="496"/>
  <c r="E45" i="496"/>
  <c r="D45" i="496"/>
  <c r="C45" i="496"/>
  <c r="BE44" i="496"/>
  <c r="BC44" i="496"/>
  <c r="I44" i="496"/>
  <c r="H44" i="496"/>
  <c r="E44" i="496"/>
  <c r="D44" i="496"/>
  <c r="C44" i="496"/>
  <c r="BE43" i="496"/>
  <c r="BC43" i="496"/>
  <c r="I43" i="496"/>
  <c r="H43" i="496"/>
  <c r="E43" i="496"/>
  <c r="D43" i="496"/>
  <c r="C43" i="496"/>
  <c r="BE42" i="496"/>
  <c r="BC42" i="496"/>
  <c r="I42" i="496"/>
  <c r="H42" i="496"/>
  <c r="E42" i="496"/>
  <c r="D42" i="496"/>
  <c r="C42" i="496"/>
  <c r="BE41" i="496"/>
  <c r="BC41" i="496"/>
  <c r="I41" i="496"/>
  <c r="H41" i="496"/>
  <c r="E41" i="496"/>
  <c r="D41" i="496"/>
  <c r="C41" i="496"/>
  <c r="BE40" i="496"/>
  <c r="BC40" i="496"/>
  <c r="I40" i="496"/>
  <c r="H40" i="496"/>
  <c r="E40" i="496"/>
  <c r="D40" i="496"/>
  <c r="C40" i="496"/>
  <c r="BE39" i="496"/>
  <c r="BC39" i="496"/>
  <c r="I39" i="496"/>
  <c r="H39" i="496"/>
  <c r="E39" i="496"/>
  <c r="D39" i="496"/>
  <c r="C39" i="496"/>
  <c r="BE38" i="496"/>
  <c r="BC38" i="496"/>
  <c r="I38" i="496"/>
  <c r="H38" i="496"/>
  <c r="E38" i="496"/>
  <c r="D38" i="496"/>
  <c r="C38" i="496"/>
  <c r="BE37" i="496"/>
  <c r="BC37" i="496"/>
  <c r="I37" i="496"/>
  <c r="H37" i="496"/>
  <c r="E37" i="496"/>
  <c r="D37" i="496"/>
  <c r="C37" i="496"/>
  <c r="BE36" i="496"/>
  <c r="BC36" i="496"/>
  <c r="I36" i="496"/>
  <c r="H36" i="496"/>
  <c r="E36" i="496"/>
  <c r="D36" i="496"/>
  <c r="C36" i="496"/>
  <c r="BE35" i="496"/>
  <c r="BC35" i="496"/>
  <c r="I35" i="496"/>
  <c r="H35" i="496"/>
  <c r="E35" i="496"/>
  <c r="D35" i="496"/>
  <c r="C35" i="496"/>
  <c r="BE34" i="496"/>
  <c r="BC34" i="496"/>
  <c r="I34" i="496"/>
  <c r="H34" i="496"/>
  <c r="E34" i="496"/>
  <c r="D34" i="496"/>
  <c r="C34" i="496"/>
  <c r="BE33" i="496"/>
  <c r="BC33" i="496"/>
  <c r="I33" i="496"/>
  <c r="H33" i="496"/>
  <c r="E33" i="496"/>
  <c r="D33" i="496"/>
  <c r="C33" i="496"/>
  <c r="BE32" i="496"/>
  <c r="BC32" i="496"/>
  <c r="I32" i="496"/>
  <c r="H32" i="496"/>
  <c r="E32" i="496"/>
  <c r="D32" i="496"/>
  <c r="C32" i="496"/>
  <c r="BE31" i="496"/>
  <c r="BC31" i="496"/>
  <c r="I31" i="496"/>
  <c r="H31" i="496"/>
  <c r="E31" i="496"/>
  <c r="D31" i="496"/>
  <c r="C31" i="496"/>
  <c r="BE30" i="496"/>
  <c r="BC30" i="496"/>
  <c r="I30" i="496"/>
  <c r="H30" i="496"/>
  <c r="E30" i="496"/>
  <c r="D30" i="496"/>
  <c r="C30" i="496"/>
  <c r="BE29" i="496"/>
  <c r="BC29" i="496"/>
  <c r="I29" i="496"/>
  <c r="H29" i="496"/>
  <c r="E29" i="496"/>
  <c r="D29" i="496"/>
  <c r="C29" i="496"/>
  <c r="BF28" i="496"/>
  <c r="BE28" i="496"/>
  <c r="BC28" i="496"/>
  <c r="I28" i="496"/>
  <c r="H28" i="496"/>
  <c r="E28" i="496"/>
  <c r="D28" i="496"/>
  <c r="C28" i="496"/>
  <c r="BE27" i="496"/>
  <c r="BC27" i="496"/>
  <c r="I27" i="496"/>
  <c r="H27" i="496"/>
  <c r="E27" i="496"/>
  <c r="D27" i="496"/>
  <c r="C27" i="496"/>
  <c r="BE26" i="496"/>
  <c r="BC26" i="496"/>
  <c r="I26" i="496"/>
  <c r="H26" i="496"/>
  <c r="E26" i="496"/>
  <c r="D26" i="496"/>
  <c r="C26" i="496"/>
  <c r="BE25" i="496"/>
  <c r="BC25" i="496"/>
  <c r="I25" i="496"/>
  <c r="H25" i="496"/>
  <c r="E25" i="496"/>
  <c r="D25" i="496"/>
  <c r="C25" i="496"/>
  <c r="BF24" i="496"/>
  <c r="BE24" i="496"/>
  <c r="BC24" i="496"/>
  <c r="I24" i="496"/>
  <c r="H24" i="496"/>
  <c r="E24" i="496"/>
  <c r="D24" i="496"/>
  <c r="C24" i="496"/>
  <c r="BE23" i="496"/>
  <c r="BC23" i="496"/>
  <c r="I23" i="496"/>
  <c r="H23" i="496"/>
  <c r="E23" i="496"/>
  <c r="D23" i="496"/>
  <c r="C23" i="496"/>
  <c r="BE22" i="496"/>
  <c r="BC22" i="496"/>
  <c r="I22" i="496"/>
  <c r="H22" i="496"/>
  <c r="E22" i="496"/>
  <c r="D22" i="496"/>
  <c r="C22" i="496"/>
  <c r="BE21" i="496"/>
  <c r="BC21" i="496"/>
  <c r="I21" i="496"/>
  <c r="H21" i="496"/>
  <c r="E21" i="496"/>
  <c r="D21" i="496"/>
  <c r="C21" i="496"/>
  <c r="BE20" i="496"/>
  <c r="BC20" i="496"/>
  <c r="I20" i="496"/>
  <c r="H20" i="496"/>
  <c r="E20" i="496"/>
  <c r="D20" i="496"/>
  <c r="C20" i="496"/>
  <c r="BE19" i="496"/>
  <c r="BC19" i="496"/>
  <c r="I19" i="496"/>
  <c r="H19" i="496"/>
  <c r="E19" i="496"/>
  <c r="D19" i="496"/>
  <c r="C19" i="496"/>
  <c r="BE18" i="496"/>
  <c r="BC18" i="496"/>
  <c r="I18" i="496"/>
  <c r="H18" i="496"/>
  <c r="E18" i="496"/>
  <c r="D18" i="496"/>
  <c r="C18" i="496"/>
  <c r="BE17" i="496"/>
  <c r="BC17" i="496"/>
  <c r="I17" i="496"/>
  <c r="H17" i="496"/>
  <c r="E17" i="496"/>
  <c r="D17" i="496"/>
  <c r="C17" i="496"/>
  <c r="BE16" i="496"/>
  <c r="BC16" i="496"/>
  <c r="I16" i="496"/>
  <c r="H16" i="496"/>
  <c r="E16" i="496"/>
  <c r="D16" i="496"/>
  <c r="C16" i="496"/>
  <c r="BE15" i="496"/>
  <c r="BC15" i="496"/>
  <c r="I15" i="496"/>
  <c r="H15" i="496"/>
  <c r="E15" i="496"/>
  <c r="D15" i="496"/>
  <c r="C15" i="496"/>
  <c r="BE14" i="496"/>
  <c r="BC14" i="496"/>
  <c r="I14" i="496"/>
  <c r="H14" i="496"/>
  <c r="E14" i="496"/>
  <c r="D14" i="496"/>
  <c r="C14" i="496"/>
  <c r="BE13" i="496"/>
  <c r="BC13" i="496"/>
  <c r="I13" i="496"/>
  <c r="H13" i="496"/>
  <c r="E13" i="496"/>
  <c r="D13" i="496"/>
  <c r="C13" i="496"/>
  <c r="BE12" i="496"/>
  <c r="BC12" i="496"/>
  <c r="I12" i="496"/>
  <c r="H12" i="496"/>
  <c r="E12" i="496"/>
  <c r="D12" i="496"/>
  <c r="C12" i="496"/>
  <c r="BE11" i="496"/>
  <c r="BC11" i="496"/>
  <c r="I11" i="496"/>
  <c r="H11" i="496"/>
  <c r="E11" i="496"/>
  <c r="D11" i="496"/>
  <c r="C11" i="496"/>
  <c r="BE10" i="496"/>
  <c r="BC10" i="496"/>
  <c r="I10" i="496"/>
  <c r="H10" i="496"/>
  <c r="E10" i="496"/>
  <c r="D10" i="496"/>
  <c r="C10" i="496"/>
  <c r="BE9" i="496"/>
  <c r="BC9" i="496"/>
  <c r="I9" i="496"/>
  <c r="H9" i="496"/>
  <c r="E9" i="496"/>
  <c r="D9" i="496"/>
  <c r="C9" i="496"/>
  <c r="BE8" i="496"/>
  <c r="BC8" i="496"/>
  <c r="I8" i="496"/>
  <c r="H8" i="496"/>
  <c r="E8" i="496"/>
  <c r="D8" i="496"/>
  <c r="C8" i="496"/>
  <c r="BE7" i="496"/>
  <c r="BC7" i="496"/>
  <c r="I7" i="496"/>
  <c r="H7" i="496"/>
  <c r="E7" i="496"/>
  <c r="D7" i="496"/>
  <c r="C7" i="496"/>
  <c r="BE6" i="496"/>
  <c r="BC6" i="496"/>
  <c r="I6" i="496"/>
  <c r="H6" i="496"/>
  <c r="E6" i="496"/>
  <c r="D6" i="496"/>
  <c r="C6" i="496"/>
  <c r="BE5" i="496"/>
  <c r="BC5" i="496"/>
  <c r="I5" i="496"/>
  <c r="H5" i="496"/>
  <c r="E5" i="496"/>
  <c r="D5" i="496"/>
  <c r="C5" i="496"/>
  <c r="BF4" i="496"/>
  <c r="BE4" i="496"/>
  <c r="BC4" i="496"/>
  <c r="I4" i="496"/>
  <c r="H4" i="496"/>
  <c r="E4" i="496"/>
  <c r="D4" i="496"/>
  <c r="C4" i="496"/>
  <c r="BF3" i="496"/>
  <c r="BE3" i="496"/>
  <c r="BC3" i="496"/>
  <c r="I3" i="496"/>
  <c r="H3" i="496"/>
  <c r="E3" i="496"/>
  <c r="D3" i="496"/>
  <c r="C3" i="496"/>
  <c r="BF2" i="496"/>
  <c r="BE2" i="496"/>
  <c r="BC2" i="496"/>
  <c r="H2" i="496"/>
  <c r="E2" i="496"/>
  <c r="C2" i="496"/>
  <c r="AP5734" i="496" l="1"/>
  <c r="C95" i="500"/>
  <c r="B95" i="500"/>
  <c r="D92" i="500"/>
  <c r="D93" i="500" s="1"/>
  <c r="AP5733" i="496"/>
  <c r="D122" i="499"/>
  <c r="AP5732" i="496"/>
  <c r="AP5735" i="496" l="1"/>
  <c r="AP110" i="499"/>
  <c r="D121" i="499" l="1"/>
  <c r="D120" i="499"/>
  <c r="U111" i="499" l="1"/>
  <c r="B124" i="499" l="1"/>
  <c r="D115" i="499"/>
  <c r="D116" i="499" s="1"/>
  <c r="D117" i="499" s="1"/>
  <c r="D118" i="499" s="1"/>
  <c r="D119" i="499" s="1"/>
</calcChain>
</file>

<file path=xl/sharedStrings.xml><?xml version="1.0" encoding="utf-8"?>
<sst xmlns="http://schemas.openxmlformats.org/spreadsheetml/2006/main" count="1658" uniqueCount="387">
  <si>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</si>
  <si>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</si>
  <si>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</si>
  <si>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</si>
  <si>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</si>
  <si>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</si>
  <si>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</si>
  <si>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</si>
  <si>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</si>
  <si>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</si>
  <si>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</si>
  <si>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</si>
  <si>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</si>
  <si>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</si>
  <si>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</si>
  <si>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</si>
  <si>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</si>
  <si>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</si>
  <si>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</si>
  <si>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</si>
  <si>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</si>
  <si>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</si>
  <si>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</si>
  <si>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</si>
  <si>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</si>
  <si>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</si>
  <si>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</si>
  <si>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</si>
  <si>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</si>
  <si>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</si>
  <si>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</si>
  <si>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</si>
  <si>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</si>
  <si>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</si>
  <si>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</si>
  <si>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</si>
  <si>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</si>
  <si>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</si>
  <si>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</si>
  <si>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</si>
  <si>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</si>
  <si>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</si>
  <si>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</si>
  <si>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</si>
  <si>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</si>
  <si>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</si>
  <si>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</si>
  <si>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</si>
  <si>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ㅇ MG차감 내역</t>
    <phoneticPr fontId="21" type="noConversion"/>
  </si>
  <si>
    <t>합계</t>
    <phoneticPr fontId="21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</si>
  <si>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</si>
  <si>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</si>
  <si>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</si>
  <si>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</si>
  <si>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로맨스 e북 &gt; 현대물</t>
  </si>
  <si>
    <t>1</t>
  </si>
  <si>
    <t>[e북]친절하기는 얼어 죽을 1권</t>
  </si>
  <si>
    <t>솜목화</t>
  </si>
  <si>
    <t>블레슈(Blesshuu)</t>
  </si>
  <si>
    <t>[e북]친절하기는 얼어 죽을</t>
  </si>
  <si>
    <t>9791137605442</t>
  </si>
  <si>
    <t>3</t>
  </si>
  <si>
    <t>2</t>
  </si>
  <si>
    <t>[e북]친절하기는 얼어 죽을 2권</t>
  </si>
  <si>
    <t>9791137605459</t>
  </si>
  <si>
    <t>[e북]친절하기는 얼어 죽을 4권 (완결)</t>
  </si>
  <si>
    <t>4</t>
  </si>
  <si>
    <t>9791137605473</t>
  </si>
  <si>
    <t>[e북]친절하기는 얼어 죽을 3권</t>
  </si>
  <si>
    <t>9791137605466</t>
  </si>
  <si>
    <t>0000000000000</t>
  </si>
  <si>
    <t>18</t>
  </si>
  <si>
    <t>5</t>
  </si>
  <si>
    <t>19</t>
  </si>
  <si>
    <t>8</t>
  </si>
  <si>
    <t>6</t>
  </si>
  <si>
    <t>7</t>
  </si>
  <si>
    <t>9</t>
  </si>
  <si>
    <t>10</t>
  </si>
  <si>
    <t>20</t>
  </si>
  <si>
    <t>21</t>
  </si>
  <si>
    <t>11</t>
  </si>
  <si>
    <t>14</t>
  </si>
  <si>
    <t>22</t>
  </si>
  <si>
    <t>23</t>
  </si>
  <si>
    <t>24</t>
  </si>
  <si>
    <t>25</t>
  </si>
  <si>
    <t>12</t>
  </si>
  <si>
    <t>13</t>
  </si>
  <si>
    <t>15</t>
  </si>
  <si>
    <t>17</t>
  </si>
  <si>
    <t>16</t>
  </si>
  <si>
    <t>30</t>
  </si>
  <si>
    <t>32</t>
  </si>
  <si>
    <t>27</t>
  </si>
  <si>
    <t>28</t>
  </si>
  <si>
    <t>29</t>
  </si>
  <si>
    <t>31</t>
  </si>
  <si>
    <t>33</t>
  </si>
  <si>
    <t>35</t>
  </si>
  <si>
    <t>34</t>
  </si>
  <si>
    <t>36</t>
  </si>
  <si>
    <t>37</t>
  </si>
  <si>
    <t>38</t>
  </si>
  <si>
    <t>43</t>
  </si>
  <si>
    <t>50</t>
  </si>
  <si>
    <t>45</t>
  </si>
  <si>
    <t>51</t>
  </si>
  <si>
    <t>53</t>
  </si>
  <si>
    <t>55</t>
  </si>
  <si>
    <t>39</t>
  </si>
  <si>
    <t>44</t>
  </si>
  <si>
    <t>52</t>
  </si>
  <si>
    <t>54</t>
  </si>
  <si>
    <t>56</t>
  </si>
  <si>
    <t>57</t>
  </si>
  <si>
    <t>40</t>
  </si>
  <si>
    <t>41</t>
  </si>
  <si>
    <t>42</t>
  </si>
  <si>
    <t>46</t>
  </si>
  <si>
    <t>47</t>
  </si>
  <si>
    <t>48</t>
  </si>
  <si>
    <t>49</t>
  </si>
  <si>
    <t>59</t>
  </si>
  <si>
    <t>60</t>
  </si>
  <si>
    <t>61</t>
  </si>
  <si>
    <t>66</t>
  </si>
  <si>
    <t>68</t>
  </si>
  <si>
    <t>58</t>
  </si>
  <si>
    <t>65</t>
  </si>
  <si>
    <t>67</t>
  </si>
  <si>
    <t>62</t>
  </si>
  <si>
    <t>63</t>
  </si>
  <si>
    <t>64</t>
  </si>
  <si>
    <t>72</t>
  </si>
  <si>
    <t>73</t>
  </si>
  <si>
    <t>69</t>
  </si>
  <si>
    <t>87</t>
  </si>
  <si>
    <t>74</t>
  </si>
  <si>
    <t>76</t>
  </si>
  <si>
    <t>26</t>
  </si>
  <si>
    <t>84</t>
  </si>
  <si>
    <t>86</t>
  </si>
  <si>
    <t>70</t>
  </si>
  <si>
    <t>75</t>
  </si>
  <si>
    <t>81</t>
  </si>
  <si>
    <t>83</t>
  </si>
  <si>
    <t>85</t>
  </si>
  <si>
    <t>71</t>
  </si>
  <si>
    <t>80</t>
  </si>
  <si>
    <t>82</t>
  </si>
  <si>
    <t>88</t>
  </si>
  <si>
    <t>79</t>
  </si>
  <si>
    <t>77</t>
  </si>
  <si>
    <t>89</t>
  </si>
  <si>
    <t>78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</si>
  <si>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</si>
  <si>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</si>
  <si>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</si>
  <si>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</si>
  <si>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</si>
  <si>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</si>
  <si>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</si>
  <si>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</si>
  <si>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</si>
  <si>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</si>
  <si>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</si>
  <si>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</si>
  <si>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</si>
  <si>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</si>
  <si>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</si>
  <si>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친절하기는 얼어 죽을 4화</t>
  </si>
  <si>
    <t>친절하기는 얼어 죽을</t>
  </si>
  <si>
    <t>9791137604131</t>
  </si>
  <si>
    <t>로맨스 웹소설 &gt; 현대물</t>
  </si>
  <si>
    <t>친절하기는 얼어 죽을 5화</t>
  </si>
  <si>
    <t>친절하기는 얼어 죽을 6화</t>
  </si>
  <si>
    <t>친절하기는 얼어 죽을 8화</t>
  </si>
  <si>
    <t>친절하기는 얼어 죽을 외전2 7화</t>
  </si>
  <si>
    <t>친절하기는 얼어 죽을 외전2 8화</t>
  </si>
  <si>
    <t>친절하기는 얼어 죽을 7화</t>
  </si>
  <si>
    <t>친절하기는 얼어 죽을 외전2 1화</t>
  </si>
  <si>
    <t>친절하기는 얼어 죽을 외전2 5화</t>
  </si>
  <si>
    <t>친절하기는 얼어 죽을 외전2 6화</t>
  </si>
  <si>
    <t>친절하기는 얼어 죽을 9화</t>
  </si>
  <si>
    <t>친절하기는 얼어 죽을 10화</t>
  </si>
  <si>
    <t>친절하기는 얼어 죽을 외전2 2화</t>
  </si>
  <si>
    <t>친절하기는 얼어 죽을 외전2 4화</t>
  </si>
  <si>
    <t>친절하기는 얼어 죽을 12화</t>
  </si>
  <si>
    <t>친절하기는 얼어 죽을 20화</t>
  </si>
  <si>
    <t>친절하기는 얼어 죽을 외전2 3화</t>
  </si>
  <si>
    <t>친절하기는 얼어 죽을 11화</t>
  </si>
  <si>
    <t>친절하기는 얼어 죽을 15화</t>
  </si>
  <si>
    <t>친절하기는 얼어 죽을 18화</t>
  </si>
  <si>
    <t>친절하기는 얼어 죽을 21화</t>
  </si>
  <si>
    <t>친절하기는 얼어 죽을 14화</t>
  </si>
  <si>
    <t>친절하기는 얼어 죽을 16화</t>
  </si>
  <si>
    <t>친절하기는 얼어 죽을 17화</t>
  </si>
  <si>
    <t>친절하기는 얼어 죽을 19화</t>
  </si>
  <si>
    <t>친절하기는 얼어 죽을 22화</t>
  </si>
  <si>
    <t>친절하기는 얼어 죽을 23화</t>
  </si>
  <si>
    <t>친절하기는 얼어 죽을 24화</t>
  </si>
  <si>
    <t>친절하기는 얼어 죽을 25화</t>
  </si>
  <si>
    <t>친절하기는 얼어 죽을 외전 6화</t>
  </si>
  <si>
    <t>친절하기는 얼어 죽을 28화</t>
  </si>
  <si>
    <t>친절하기는 얼어 죽을 33화</t>
  </si>
  <si>
    <t>친절하기는 얼어 죽을 38화</t>
  </si>
  <si>
    <t>친절하기는 얼어 죽을 39화</t>
  </si>
  <si>
    <t>친절하기는 얼어 죽을 외전 7화</t>
  </si>
  <si>
    <t>친절하기는 얼어 죽을 13화</t>
  </si>
  <si>
    <t>친절하기는 얼어 죽을 26화</t>
  </si>
  <si>
    <t>친절하기는 얼어 죽을 29화</t>
  </si>
  <si>
    <t>친절하기는 얼어 죽을 30화</t>
  </si>
  <si>
    <t>친절하기는 얼어 죽을 32화</t>
  </si>
  <si>
    <t>친절하기는 얼어 죽을 34화</t>
  </si>
  <si>
    <t>친절하기는 얼어 죽을 36화</t>
  </si>
  <si>
    <t>친절하기는 얼어 죽을 41화</t>
  </si>
  <si>
    <t>친절하기는 얼어 죽을 42화</t>
  </si>
  <si>
    <t>친절하기는 얼어 죽을 43화</t>
  </si>
  <si>
    <t>친절하기는 얼어 죽을 27화</t>
  </si>
  <si>
    <t>친절하기는 얼어 죽을 35화</t>
  </si>
  <si>
    <t>친절하기는 얼어 죽을 37화</t>
  </si>
  <si>
    <t>친절하기는 얼어 죽을 40화</t>
  </si>
  <si>
    <t>친절하기는 얼어 죽을 44화</t>
  </si>
  <si>
    <t>친절하기는 얼어 죽을 45화</t>
  </si>
  <si>
    <t>친절하기는 얼어 죽을 46화</t>
  </si>
  <si>
    <t>친절하기는 얼어 죽을 47화</t>
  </si>
  <si>
    <t>친절하기는 얼어 죽을 48화</t>
  </si>
  <si>
    <t>친절하기는 얼어 죽을 49화</t>
  </si>
  <si>
    <t>친절하기는 얼어 죽을 50화</t>
  </si>
  <si>
    <t>친절하기는 얼어 죽을 51화</t>
  </si>
  <si>
    <t>친절하기는 얼어 죽을 52화</t>
  </si>
  <si>
    <t>친절하기는 얼어 죽을 55화</t>
  </si>
  <si>
    <t>친절하기는 얼어 죽을 56화</t>
  </si>
  <si>
    <t>친절하기는 얼어 죽을 58화</t>
  </si>
  <si>
    <t>친절하기는 얼어 죽을 59화</t>
  </si>
  <si>
    <t>친절하기는 얼어 죽을 60화</t>
  </si>
  <si>
    <t>친절하기는 얼어 죽을 65화</t>
  </si>
  <si>
    <t>친절하기는 얼어 죽을 67화</t>
  </si>
  <si>
    <t>친절하기는 얼어 죽을 72화</t>
  </si>
  <si>
    <t>친절하기는 얼어 죽을 80화</t>
  </si>
  <si>
    <t>친절하기는 얼어 죽을 88화 (완결)</t>
  </si>
  <si>
    <t>친절하기는 얼어 죽을 31화</t>
  </si>
  <si>
    <t>친절하기는 얼어 죽을 53화</t>
  </si>
  <si>
    <t>친절하기는 얼어 죽을 54화</t>
  </si>
  <si>
    <t>친절하기는 얼어 죽을 57화</t>
  </si>
  <si>
    <t>친절하기는 얼어 죽을 61화</t>
  </si>
  <si>
    <t>친절하기는 얼어 죽을 62화</t>
  </si>
  <si>
    <t>친절하기는 얼어 죽을 63화</t>
  </si>
  <si>
    <t>친절하기는 얼어 죽을 64화</t>
  </si>
  <si>
    <t>친절하기는 얼어 죽을 66화</t>
  </si>
  <si>
    <t>친절하기는 얼어 죽을 68화</t>
  </si>
  <si>
    <t>친절하기는 얼어 죽을 69화</t>
  </si>
  <si>
    <t>친절하기는 얼어 죽을 70화</t>
  </si>
  <si>
    <t>친절하기는 얼어 죽을 73화</t>
  </si>
  <si>
    <t>친절하기는 얼어 죽을 85화</t>
  </si>
  <si>
    <t>친절하기는 얼어 죽을 86화</t>
  </si>
  <si>
    <t>친절하기는 얼어 죽을 87화</t>
  </si>
  <si>
    <t>친절하기는 얼어 죽을 외전 1화</t>
  </si>
  <si>
    <t>친절하기는 얼어 죽을 외전 2화</t>
  </si>
  <si>
    <t>친절하기는 얼어 죽을 외전 3화</t>
  </si>
  <si>
    <t>친절하기는 얼어 죽을 외전 4화</t>
  </si>
  <si>
    <t>친절하기는 얼어 죽을 외전 5화</t>
  </si>
  <si>
    <t>친절하기는 얼어 죽을 71화</t>
  </si>
  <si>
    <t>친절하기는 얼어 죽을 74화</t>
  </si>
  <si>
    <t>친절하기는 얼어 죽을 76화</t>
  </si>
  <si>
    <t>친절하기는 얼어 죽을 77화</t>
  </si>
  <si>
    <t>친절하기는 얼어 죽을 78화</t>
  </si>
  <si>
    <t>친절하기는 얼어 죽을 79화</t>
  </si>
  <si>
    <t>친절하기는 얼어 죽을 82화</t>
  </si>
  <si>
    <t>친절하기는 얼어 죽을 83화</t>
  </si>
  <si>
    <t>친절하기는 얼어 죽을 75화</t>
  </si>
  <si>
    <t>친절하기는 얼어 죽을 81화</t>
  </si>
  <si>
    <t>친절하기는 얼어 죽을 84화</t>
  </si>
  <si>
    <t>친절하기는 얼어 죽을 3화</t>
  </si>
  <si>
    <t>친절하기는 얼어 죽을 프롤로그</t>
  </si>
  <si>
    <t>친절하기는 얼어 죽을 1화</t>
  </si>
  <si>
    <t>친절하기는 얼어 죽을 2화</t>
  </si>
  <si>
    <t>&lt;친절하기는&gt; MG차감</t>
    <phoneticPr fontId="18" type="noConversion"/>
  </si>
  <si>
    <t>계산서 발행금액</t>
    <phoneticPr fontId="18" type="noConversion"/>
  </si>
  <si>
    <t>총 정산액</t>
    <phoneticPr fontId="18" type="noConversion"/>
  </si>
  <si>
    <t>&lt;혐오만세&gt; MG차감</t>
    <phoneticPr fontId="18" type="noConversion"/>
  </si>
  <si>
    <t>혐오 만세 9화</t>
  </si>
  <si>
    <t>아르곤18</t>
  </si>
  <si>
    <t>앰퍼샌드B</t>
  </si>
  <si>
    <t>혐오 만세</t>
  </si>
  <si>
    <t>9791137608047</t>
  </si>
  <si>
    <t>BL 웹소설 &gt; 현대물</t>
  </si>
  <si>
    <t>혐오 만세 10화</t>
  </si>
  <si>
    <t>혐오 만세 11화</t>
  </si>
  <si>
    <t>혐오 만세 13화</t>
  </si>
  <si>
    <t>혐오 만세 14화</t>
  </si>
  <si>
    <t>혐오 만세 12화</t>
  </si>
  <si>
    <t>혐오 만세 15화</t>
  </si>
  <si>
    <t>혐오 만세 16화</t>
  </si>
  <si>
    <t>혐오 만세 17화</t>
  </si>
  <si>
    <t>혐오 만세 18화</t>
  </si>
  <si>
    <t>혐오 만세 19화</t>
  </si>
  <si>
    <t>혐오 만세 20화</t>
  </si>
  <si>
    <t>혐오 만세 21화</t>
  </si>
  <si>
    <t>혐오 만세 22화</t>
  </si>
  <si>
    <t>혐오 만세 23화</t>
  </si>
  <si>
    <t>혐오 만세 24화</t>
  </si>
  <si>
    <t>혐오 만세 25화</t>
  </si>
  <si>
    <t>혐오 만세 26화</t>
  </si>
  <si>
    <t>혐오 만세 30화</t>
  </si>
  <si>
    <t>혐오 만세 27화</t>
  </si>
  <si>
    <t>혐오 만세 28화</t>
  </si>
  <si>
    <t>혐오 만세 29화</t>
  </si>
  <si>
    <t>혐오 만세 65화</t>
  </si>
  <si>
    <t>혐오 만세 31화</t>
  </si>
  <si>
    <t>혐오 만세 32화</t>
  </si>
  <si>
    <t>혐오 만세 45화</t>
  </si>
  <si>
    <t>혐오 만세 40화</t>
  </si>
  <si>
    <t>혐오 만세 33화</t>
  </si>
  <si>
    <t>혐오 만세 35화</t>
  </si>
  <si>
    <t>혐오 만세 50화</t>
  </si>
  <si>
    <t>혐오 만세 46화</t>
  </si>
  <si>
    <t>혐오 만세 41화</t>
  </si>
  <si>
    <t>혐오 만세 34화</t>
  </si>
  <si>
    <t>혐오 만세 44화</t>
  </si>
  <si>
    <t>혐오 만세 43화</t>
  </si>
  <si>
    <t>혐오 만세 42화</t>
  </si>
  <si>
    <t>혐오 만세 51화</t>
  </si>
  <si>
    <t>혐오 만세 38화</t>
  </si>
  <si>
    <t>혐오 만세 39화</t>
  </si>
  <si>
    <t>혐오 만세 47화</t>
  </si>
  <si>
    <t>혐오 만세 36화</t>
  </si>
  <si>
    <t>혐오 만세 60화</t>
  </si>
  <si>
    <t>혐오 만세 37화</t>
  </si>
  <si>
    <t>혐오 만세 52화</t>
  </si>
  <si>
    <t>혐오 만세 64화</t>
  </si>
  <si>
    <t>혐오 만세 53화</t>
  </si>
  <si>
    <t>혐오 만세 49화</t>
  </si>
  <si>
    <t>혐오 만세 59화</t>
  </si>
  <si>
    <t>혐오 만세 48화</t>
  </si>
  <si>
    <t>혐오 만세 61화</t>
  </si>
  <si>
    <t>혐오 만세 58화</t>
  </si>
  <si>
    <t>혐오 만세 54화</t>
  </si>
  <si>
    <t>혐오 만세 62화</t>
  </si>
  <si>
    <t>혐오 만세 63화</t>
  </si>
  <si>
    <t>혐오 만세 57화</t>
  </si>
  <si>
    <t>혐오 만세 56화</t>
  </si>
  <si>
    <t>혐오 만세 55화</t>
  </si>
  <si>
    <t>혐오 만세 66화</t>
  </si>
  <si>
    <t>혐오 만세 67화</t>
  </si>
  <si>
    <t>혐오 만세 8화</t>
  </si>
  <si>
    <t>혐오 만세 6화</t>
  </si>
  <si>
    <t>혐오 만세 7화</t>
  </si>
  <si>
    <t>혐오 만세 68화</t>
  </si>
  <si>
    <t>혐오 만세 5화</t>
  </si>
  <si>
    <t>혐오 만세 4화</t>
  </si>
  <si>
    <t>혐오 만세 1화</t>
  </si>
  <si>
    <t>혐오 만세 2화</t>
  </si>
  <si>
    <t>혐오 만세 3화</t>
  </si>
  <si>
    <t>앱마켓 수수료</t>
  </si>
  <si>
    <t>iOS 정산대상액</t>
  </si>
  <si>
    <t>iOS 수수료</t>
  </si>
  <si>
    <t>iOS 취소액</t>
  </si>
  <si>
    <t>Android 정산대상액</t>
  </si>
  <si>
    <t>Android 수수료</t>
  </si>
  <si>
    <t>Android 취소액</t>
  </si>
  <si>
    <t>OneStore 정산대상액</t>
  </si>
  <si>
    <t>OneStore 수수료</t>
  </si>
  <si>
    <t>OneStore 취소액</t>
  </si>
  <si>
    <t>&lt;친절하기는&gt; MG차감</t>
    <phoneticPr fontId="18" type="noConversion"/>
  </si>
  <si>
    <t>계산서 발행금액</t>
    <phoneticPr fontId="18" type="noConversion"/>
  </si>
  <si>
    <t>혐오 만세 69화</t>
  </si>
  <si>
    <t>혐오 만세 70화</t>
  </si>
  <si>
    <t>혐오 만세 71화</t>
  </si>
  <si>
    <t>혐오 만세 72화</t>
  </si>
  <si>
    <t>혐오 만세 73화</t>
  </si>
  <si>
    <t>혐오 만세 74화</t>
  </si>
  <si>
    <t>혐오 만세 76화</t>
  </si>
  <si>
    <t>혐오 만세 75화</t>
  </si>
  <si>
    <t>혐오 만세 77화</t>
  </si>
  <si>
    <t>혐오 만세 78화</t>
  </si>
  <si>
    <t>혐오 만세 79화</t>
  </si>
  <si>
    <t>혐오 만세 80화</t>
  </si>
  <si>
    <t>혐오 만세 81화</t>
  </si>
  <si>
    <t>혐오 만세 82화</t>
  </si>
  <si>
    <t>혐오 만세 83화</t>
  </si>
  <si>
    <t>혐오 만세 84화</t>
  </si>
  <si>
    <t>혐오 만세 85화</t>
  </si>
  <si>
    <t>혐오 만세 86화</t>
  </si>
  <si>
    <t>리디 MG 차감 완</t>
    <phoneticPr fontId="18" type="noConversion"/>
  </si>
  <si>
    <t>&lt;혐오만세&gt; MG초과금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</si>
</sst>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22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0" borderId="10" xfId="1" applyFont="1" applyFill="1" applyBorder="1" applyAlignment="1">
      <alignment vertical="center"/>
    </xf>
    <xf numFmtId="41" fontId="24" fillId="0" borderId="10" xfId="1" applyFont="1" applyFill="1" applyBorder="1" applyAlignment="1">
      <alignment vertical="center"/>
    </xf>
    <xf numFmtId="41" fontId="19" fillId="33" borderId="0" xfId="1" applyFont="1" applyFill="1">
      <alignment vertical="center"/>
    </xf>
    <xf numFmtId="41" fontId="25" fillId="33" borderId="0" xfId="1" applyFont="1" applyFill="1">
      <alignment vertical="center"/>
    </xf>
    <xf numFmtId="41" fontId="0" fillId="0" borderId="0" xfId="0" applyNumberFormat="1">
      <alignment vertical="center"/>
    </xf>
    <xf numFmtId="41" fontId="0" fillId="33" borderId="0" xfId="0" applyNumberFormat="1" applyFill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5735"/>
  <sheetViews>
    <sheetView tabSelected="1" topLeftCell="AD5360" zoomScale="70" zoomScaleNormal="70" workbookViewId="0">
      <selection activeCell="AY5387" sqref="AY5387"/>
    </sheetView>
  </sheetViews>
  <sheetFormatPr defaultRowHeight="16.5" x14ac:dyDescent="0.3"/>
  <cols>
    <col min="1" max="1" width="12.75" bestFit="1" customWidth="1"/>
    <col min="2" max="2" width="11.75" bestFit="1" customWidth="1"/>
    <col min="3" max="3" width="29.875" customWidth="1"/>
    <col min="8" max="8" width="18.75" bestFit="1" customWidth="1"/>
    <col min="9" max="9" width="48.25" bestFit="1" customWidth="1"/>
    <col min="23" max="23" width="10.625" style="1" bestFit="1" customWidth="1"/>
    <col min="33" max="33" width="11.75" bestFit="1" customWidth="1"/>
    <col min="34" max="34" width="16.125" bestFit="1" customWidth="1"/>
    <col min="35" max="35" width="12.25" bestFit="1" customWidth="1"/>
    <col min="37" max="37" width="14.25" customWidth="1"/>
    <col min="38" max="38" width="12.125" customWidth="1"/>
    <col min="39" max="39" width="17.25" customWidth="1"/>
    <col min="40" max="40" width="17.375" customWidth="1"/>
    <col min="42" max="42" width="13.5" style="4" bestFit="1" customWidth="1"/>
    <col min="44" max="44" width="14.375" bestFit="1" customWidth="1"/>
    <col min="50" max="50" width="16.375" bestFit="1" customWidth="1"/>
    <col min="51" max="51" width="13" bestFit="1" customWidth="1"/>
  </cols>
  <sheetData>
    <row r="1" spans="1:58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355</v>
      </c>
      <c r="AO1" t="s">
        <v>45</v>
      </c>
      <c r="AP1" t="s">
        <v>356</v>
      </c>
      <c r="AQ1" t="s">
        <v>357</v>
      </c>
      <c r="AR1" t="s">
        <v>358</v>
      </c>
      <c r="AS1" t="s">
        <v>359</v>
      </c>
      <c r="AT1" t="s">
        <v>360</v>
      </c>
      <c r="AU1" t="s">
        <v>361</v>
      </c>
      <c r="AV1" t="s">
        <v>362</v>
      </c>
      <c r="AW1" t="s">
        <v>363</v>
      </c>
      <c r="AX1" t="s">
        <v>364</v>
      </c>
      <c r="AY1" s="2" t="s">
        <v>20</v>
      </c>
      <c r="AZ1" t="s">
        <v>21</v>
      </c>
      <c r="BA1" t="s">
        <v>22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</row>
    <row r="2" spans="1:58" x14ac:dyDescent="0.3">
      <c r="B2">
        <v>2313020867</v>
      </c>
      <c r="C2" t="str">
        <f>T("[e북]사랑에 반(反)하다")</f>
        <v>[e북]사랑에 반(反)하다</v>
      </c>
      <c r="E2" t="str">
        <f>T("복희씨")</f>
        <v>복희씨</v>
      </c>
      <c r="H2" t="str">
        <f>T("블레슈(Blesshuu)")</f>
        <v>블레슈(Blesshuu)</v>
      </c>
      <c r="J2">
        <v>2500</v>
      </c>
      <c r="K2">
        <v>577750</v>
      </c>
      <c r="L2">
        <v>250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-2250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577750</v>
      </c>
      <c r="AH2">
        <v>250</v>
      </c>
      <c r="AI2">
        <v>-2250</v>
      </c>
      <c r="AJ2">
        <v>1</v>
      </c>
      <c r="AK2">
        <v>569898</v>
      </c>
      <c r="AL2">
        <v>-2250</v>
      </c>
      <c r="AM2">
        <v>9422.4</v>
      </c>
      <c r="AN2">
        <v>-2226.7199999999998</v>
      </c>
      <c r="AO2">
        <v>0</v>
      </c>
      <c r="AP2">
        <v>3722.4</v>
      </c>
      <c r="AQ2">
        <v>-1116.72</v>
      </c>
      <c r="AR2">
        <v>0</v>
      </c>
      <c r="AS2">
        <v>5700</v>
      </c>
      <c r="AT2">
        <v>-1110</v>
      </c>
      <c r="AU2">
        <v>0</v>
      </c>
      <c r="AW2">
        <v>0</v>
      </c>
      <c r="AX2">
        <v>0</v>
      </c>
      <c r="AY2">
        <v>402390.57</v>
      </c>
      <c r="BC2" t="str">
        <f>T("9791137608078")</f>
        <v>9791137608078</v>
      </c>
      <c r="BE2" t="str">
        <f>T("로맨스 e북 &gt; 현대물")</f>
        <v>로맨스 e북 &gt; 현대물</v>
      </c>
      <c r="BF2" t="str">
        <f>T("로맨스 e북 &gt; 19+")</f>
        <v>로맨스 e북 &gt; 19+</v>
      </c>
    </row>
    <row r="3" spans="1:58" x14ac:dyDescent="0.3">
      <c r="A3">
        <v>2313021141</v>
      </c>
      <c r="B3">
        <v>2313021141</v>
      </c>
      <c r="C3" t="str">
        <f>T("[e북]우아한 세계 1권")</f>
        <v>[e북]우아한 세계 1권</v>
      </c>
      <c r="D3" t="str">
        <f>T("1")</f>
        <v>1</v>
      </c>
      <c r="E3" t="str">
        <f>T("마뇽")</f>
        <v>마뇽</v>
      </c>
      <c r="H3" t="str">
        <f>T("블레슈(Blesshuu)")</f>
        <v>블레슈(Blesshuu)</v>
      </c>
      <c r="I3" t="str">
        <f>T("[e북]우아한 세계")</f>
        <v>[e북]우아한 세계</v>
      </c>
      <c r="J3">
        <v>2000</v>
      </c>
      <c r="K3">
        <v>523200</v>
      </c>
      <c r="L3">
        <v>290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-3600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523200</v>
      </c>
      <c r="AH3">
        <v>290</v>
      </c>
      <c r="AI3">
        <v>-3600</v>
      </c>
      <c r="AJ3">
        <v>2</v>
      </c>
      <c r="AK3">
        <v>508195</v>
      </c>
      <c r="AL3">
        <v>-3600</v>
      </c>
      <c r="AM3">
        <v>18006</v>
      </c>
      <c r="AN3">
        <v>-2232.6</v>
      </c>
      <c r="AO3">
        <v>0</v>
      </c>
      <c r="AP3">
        <v>2160</v>
      </c>
      <c r="AQ3">
        <v>-648</v>
      </c>
      <c r="AR3">
        <v>0</v>
      </c>
      <c r="AS3">
        <v>15846</v>
      </c>
      <c r="AT3">
        <v>-1584.6</v>
      </c>
      <c r="AU3">
        <v>0</v>
      </c>
      <c r="AW3">
        <v>0</v>
      </c>
      <c r="AX3">
        <v>0</v>
      </c>
      <c r="AY3">
        <v>364257.88</v>
      </c>
      <c r="BC3" t="str">
        <f>T("9791137608498")</f>
        <v>9791137608498</v>
      </c>
      <c r="BE3" t="str">
        <f>T("로맨스 e북 &gt; 현대물")</f>
        <v>로맨스 e북 &gt; 현대물</v>
      </c>
      <c r="BF3" t="str">
        <f>T("로맨스 e북 &gt; 19+")</f>
        <v>로맨스 e북 &gt; 19+</v>
      </c>
    </row>
    <row r="4" spans="1:58" x14ac:dyDescent="0.3">
      <c r="A4">
        <v>2313021141</v>
      </c>
      <c r="B4">
        <v>2313021142</v>
      </c>
      <c r="C4" t="str">
        <f>T("[e북]우아한 세계 2권 (완결)")</f>
        <v>[e북]우아한 세계 2권 (완결)</v>
      </c>
      <c r="D4" t="str">
        <f>T("2")</f>
        <v>2</v>
      </c>
      <c r="E4" t="str">
        <f>T("마뇽")</f>
        <v>마뇽</v>
      </c>
      <c r="H4" t="str">
        <f>T("블레슈(Blesshuu)")</f>
        <v>블레슈(Blesshuu)</v>
      </c>
      <c r="I4" t="str">
        <f>T("[e북]우아한 세계")</f>
        <v>[e북]우아한 세계</v>
      </c>
      <c r="J4">
        <v>2000</v>
      </c>
      <c r="K4">
        <v>483600</v>
      </c>
      <c r="L4">
        <v>268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-1800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483600</v>
      </c>
      <c r="AH4">
        <v>268</v>
      </c>
      <c r="AI4">
        <v>-1800</v>
      </c>
      <c r="AJ4">
        <v>1</v>
      </c>
      <c r="AK4">
        <v>469275</v>
      </c>
      <c r="AL4">
        <v>-1800</v>
      </c>
      <c r="AM4">
        <v>17190</v>
      </c>
      <c r="AN4">
        <v>-2583</v>
      </c>
      <c r="AO4">
        <v>0</v>
      </c>
      <c r="AP4">
        <v>2160</v>
      </c>
      <c r="AQ4">
        <v>-648</v>
      </c>
      <c r="AR4">
        <v>0</v>
      </c>
      <c r="AS4">
        <v>15030</v>
      </c>
      <c r="AT4">
        <v>-1935</v>
      </c>
      <c r="AU4">
        <v>0</v>
      </c>
      <c r="AW4">
        <v>0</v>
      </c>
      <c r="AX4">
        <v>0</v>
      </c>
      <c r="AY4">
        <v>337457.4</v>
      </c>
      <c r="BC4" t="str">
        <f>T("9791137608504")</f>
        <v>9791137608504</v>
      </c>
      <c r="BE4" t="str">
        <f>T("로맨스 e북 &gt; 현대물")</f>
        <v>로맨스 e북 &gt; 현대물</v>
      </c>
      <c r="BF4" t="str">
        <f>T("로맨스 e북 &gt; 19+")</f>
        <v>로맨스 e북 &gt; 19+</v>
      </c>
    </row>
    <row r="5" spans="1:58" x14ac:dyDescent="0.3">
      <c r="A5">
        <v>2313021128</v>
      </c>
      <c r="B5">
        <v>2313021128</v>
      </c>
      <c r="C5" t="str">
        <f>T("[e북]탕녀에겐 두 개의 머리가 필요해 1권")</f>
        <v>[e북]탕녀에겐 두 개의 머리가 필요해 1권</v>
      </c>
      <c r="D5" t="str">
        <f>T("1")</f>
        <v>1</v>
      </c>
      <c r="E5" t="str">
        <f>T("목화커피")</f>
        <v>목화커피</v>
      </c>
      <c r="H5" t="str">
        <f>T("도서출판 태랑")</f>
        <v>도서출판 태랑</v>
      </c>
      <c r="I5" t="str">
        <f>T("[e북]탕녀에겐 두 개의 머리가 필요해")</f>
        <v>[e북]탕녀에겐 두 개의 머리가 필요해</v>
      </c>
      <c r="J5">
        <v>3500</v>
      </c>
      <c r="K5">
        <v>479850</v>
      </c>
      <c r="L5">
        <v>145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479850</v>
      </c>
      <c r="AH5">
        <v>145</v>
      </c>
      <c r="AI5">
        <v>0</v>
      </c>
      <c r="AJ5">
        <v>0</v>
      </c>
      <c r="AK5">
        <v>458920</v>
      </c>
      <c r="AL5">
        <v>0</v>
      </c>
      <c r="AM5">
        <v>25116</v>
      </c>
      <c r="AN5">
        <v>-4023.6</v>
      </c>
      <c r="AO5">
        <v>0</v>
      </c>
      <c r="AP5">
        <v>3780</v>
      </c>
      <c r="AQ5">
        <v>-1134</v>
      </c>
      <c r="AR5">
        <v>0</v>
      </c>
      <c r="AS5">
        <v>21336</v>
      </c>
      <c r="AT5">
        <v>-2889.6</v>
      </c>
      <c r="AU5">
        <v>0</v>
      </c>
      <c r="AW5">
        <v>0</v>
      </c>
      <c r="AX5">
        <v>0</v>
      </c>
      <c r="AY5">
        <v>336008.68</v>
      </c>
      <c r="BC5" t="str">
        <f>T("9791137608429")</f>
        <v>9791137608429</v>
      </c>
      <c r="BE5" t="str">
        <f>T("로판 e북 &gt; 서양풍 로판")</f>
        <v>로판 e북 &gt; 서양풍 로판</v>
      </c>
    </row>
    <row r="6" spans="1:58" x14ac:dyDescent="0.3">
      <c r="A6">
        <v>2313020794</v>
      </c>
      <c r="B6">
        <v>2313020872</v>
      </c>
      <c r="C6" t="str">
        <f>T("혐오 만세 69화")</f>
        <v>혐오 만세 69화</v>
      </c>
      <c r="D6" t="str">
        <f>T("69")</f>
        <v>69</v>
      </c>
      <c r="E6" t="str">
        <f>T("아르곤18")</f>
        <v>아르곤18</v>
      </c>
      <c r="H6" t="str">
        <f>T("앰퍼샌드B")</f>
        <v>앰퍼샌드B</v>
      </c>
      <c r="I6" t="str">
        <f>T("혐오 만세")</f>
        <v>혐오 만세</v>
      </c>
      <c r="J6">
        <v>100</v>
      </c>
      <c r="K6">
        <v>207900</v>
      </c>
      <c r="L6">
        <v>2079</v>
      </c>
      <c r="M6">
        <v>0</v>
      </c>
      <c r="N6">
        <v>2400</v>
      </c>
      <c r="O6">
        <v>24</v>
      </c>
      <c r="P6">
        <v>95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-400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210300</v>
      </c>
      <c r="AH6">
        <v>2198</v>
      </c>
      <c r="AI6">
        <v>-400</v>
      </c>
      <c r="AJ6">
        <v>4</v>
      </c>
      <c r="AK6">
        <v>194623</v>
      </c>
      <c r="AL6">
        <v>-400</v>
      </c>
      <c r="AM6">
        <v>18812.599999999999</v>
      </c>
      <c r="AN6">
        <v>-4547.7</v>
      </c>
      <c r="AO6">
        <v>0</v>
      </c>
      <c r="AP6">
        <v>4920.2</v>
      </c>
      <c r="AQ6">
        <v>-1476.06</v>
      </c>
      <c r="AR6">
        <v>0</v>
      </c>
      <c r="AS6">
        <v>13892.4</v>
      </c>
      <c r="AT6">
        <v>-3071.64</v>
      </c>
      <c r="AU6">
        <v>0</v>
      </c>
      <c r="AW6">
        <v>0</v>
      </c>
      <c r="AX6">
        <v>0</v>
      </c>
      <c r="AY6">
        <v>126858.24000000001</v>
      </c>
      <c r="BC6" t="str">
        <f>T("9791137608047")</f>
        <v>9791137608047</v>
      </c>
      <c r="BE6" t="str">
        <f>T("BL 웹소설 &gt; 현대물")</f>
        <v>BL 웹소설 &gt; 현대물</v>
      </c>
    </row>
    <row r="7" spans="1:58" x14ac:dyDescent="0.3">
      <c r="A7">
        <v>2313020794</v>
      </c>
      <c r="B7">
        <v>2313020873</v>
      </c>
      <c r="C7" t="str">
        <f>T("혐오 만세 70화")</f>
        <v>혐오 만세 70화</v>
      </c>
      <c r="D7" t="str">
        <f>T("70")</f>
        <v>70</v>
      </c>
      <c r="E7" t="str">
        <f>T("아르곤18")</f>
        <v>아르곤18</v>
      </c>
      <c r="H7" t="str">
        <f>T("앰퍼샌드B")</f>
        <v>앰퍼샌드B</v>
      </c>
      <c r="I7" t="str">
        <f>T("혐오 만세")</f>
        <v>혐오 만세</v>
      </c>
      <c r="J7">
        <v>100</v>
      </c>
      <c r="K7">
        <v>201100</v>
      </c>
      <c r="L7">
        <v>2011</v>
      </c>
      <c r="M7">
        <v>0</v>
      </c>
      <c r="N7">
        <v>2000</v>
      </c>
      <c r="O7">
        <v>20</v>
      </c>
      <c r="P7">
        <v>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-400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203100</v>
      </c>
      <c r="AH7">
        <v>2102</v>
      </c>
      <c r="AI7">
        <v>-400</v>
      </c>
      <c r="AJ7">
        <v>4</v>
      </c>
      <c r="AK7">
        <v>187763</v>
      </c>
      <c r="AL7">
        <v>-400</v>
      </c>
      <c r="AM7">
        <v>18404.599999999999</v>
      </c>
      <c r="AN7">
        <v>-4382.1000000000004</v>
      </c>
      <c r="AO7">
        <v>0</v>
      </c>
      <c r="AP7">
        <v>4680.2</v>
      </c>
      <c r="AQ7">
        <v>-1404.06</v>
      </c>
      <c r="AR7">
        <v>0</v>
      </c>
      <c r="AS7">
        <v>13724.4</v>
      </c>
      <c r="AT7">
        <v>-2978.04</v>
      </c>
      <c r="AU7">
        <v>0</v>
      </c>
      <c r="AW7">
        <v>0</v>
      </c>
      <c r="AX7">
        <v>0</v>
      </c>
      <c r="AY7">
        <v>122674.4</v>
      </c>
      <c r="BC7" t="str">
        <f>T("9791137608047")</f>
        <v>9791137608047</v>
      </c>
      <c r="BE7" t="str">
        <f>T("BL 웹소설 &gt; 현대물")</f>
        <v>BL 웹소설 &gt; 현대물</v>
      </c>
    </row>
    <row r="8" spans="1:58" x14ac:dyDescent="0.3">
      <c r="A8">
        <v>2313021125</v>
      </c>
      <c r="B8">
        <v>2313021125</v>
      </c>
      <c r="C8" t="str">
        <f>T("[e북]친구 졸업 1권")</f>
        <v>[e북]친구 졸업 1권</v>
      </c>
      <c r="D8" t="str">
        <f>T("1")</f>
        <v>1</v>
      </c>
      <c r="E8" t="str">
        <f>T("세상")</f>
        <v>세상</v>
      </c>
      <c r="H8" t="str">
        <f>T("앰퍼샌드B")</f>
        <v>앰퍼샌드B</v>
      </c>
      <c r="I8" t="str">
        <f>T("[e북]친구 졸업")</f>
        <v>[e북]친구 졸업</v>
      </c>
      <c r="J8">
        <v>3500</v>
      </c>
      <c r="K8">
        <v>199500</v>
      </c>
      <c r="L8">
        <v>62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199500</v>
      </c>
      <c r="AH8">
        <v>62</v>
      </c>
      <c r="AI8">
        <v>0</v>
      </c>
      <c r="AJ8">
        <v>0</v>
      </c>
      <c r="AK8">
        <v>178190</v>
      </c>
      <c r="AL8">
        <v>0</v>
      </c>
      <c r="AM8">
        <v>25572</v>
      </c>
      <c r="AN8">
        <v>-4146</v>
      </c>
      <c r="AO8">
        <v>0</v>
      </c>
      <c r="AP8">
        <v>3744</v>
      </c>
      <c r="AQ8">
        <v>-1123.2</v>
      </c>
      <c r="AR8">
        <v>0</v>
      </c>
      <c r="AS8">
        <v>21828</v>
      </c>
      <c r="AT8">
        <v>-3022.8</v>
      </c>
      <c r="AU8">
        <v>0</v>
      </c>
      <c r="AW8">
        <v>0</v>
      </c>
      <c r="AX8">
        <v>0</v>
      </c>
      <c r="AY8">
        <v>139731.20000000001</v>
      </c>
      <c r="BC8" t="str">
        <f>T("9791137608399")</f>
        <v>9791137608399</v>
      </c>
      <c r="BE8" t="str">
        <f>T("BL 소설 e북 &gt; 현대물")</f>
        <v>BL 소설 e북 &gt; 현대물</v>
      </c>
    </row>
    <row r="9" spans="1:58" x14ac:dyDescent="0.3">
      <c r="A9">
        <v>2313020794</v>
      </c>
      <c r="B9">
        <v>2313020874</v>
      </c>
      <c r="C9" t="str">
        <f>T("혐오 만세 71화")</f>
        <v>혐오 만세 71화</v>
      </c>
      <c r="D9" t="str">
        <f>T("71")</f>
        <v>71</v>
      </c>
      <c r="E9" t="str">
        <f>T("아르곤18")</f>
        <v>아르곤18</v>
      </c>
      <c r="H9" t="str">
        <f>T("앰퍼샌드B")</f>
        <v>앰퍼샌드B</v>
      </c>
      <c r="I9" t="str">
        <f>T("혐오 만세")</f>
        <v>혐오 만세</v>
      </c>
      <c r="J9">
        <v>100</v>
      </c>
      <c r="K9">
        <v>197000</v>
      </c>
      <c r="L9">
        <v>1970</v>
      </c>
      <c r="M9">
        <v>0</v>
      </c>
      <c r="N9">
        <v>2200</v>
      </c>
      <c r="O9">
        <v>22</v>
      </c>
      <c r="P9">
        <v>58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-400</v>
      </c>
      <c r="X9">
        <v>4</v>
      </c>
      <c r="Y9">
        <v>-100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199200</v>
      </c>
      <c r="AH9">
        <v>2050</v>
      </c>
      <c r="AI9">
        <v>-500</v>
      </c>
      <c r="AJ9">
        <v>5</v>
      </c>
      <c r="AK9">
        <v>184207</v>
      </c>
      <c r="AL9">
        <v>-500</v>
      </c>
      <c r="AM9">
        <v>17991.599999999999</v>
      </c>
      <c r="AN9">
        <v>-4100.76</v>
      </c>
      <c r="AO9">
        <v>0</v>
      </c>
      <c r="AP9">
        <v>4800</v>
      </c>
      <c r="AQ9">
        <v>-1440</v>
      </c>
      <c r="AR9">
        <v>0</v>
      </c>
      <c r="AS9">
        <v>13191.6</v>
      </c>
      <c r="AT9">
        <v>-2660.76</v>
      </c>
      <c r="AU9">
        <v>0</v>
      </c>
      <c r="AW9">
        <v>0</v>
      </c>
      <c r="AX9">
        <v>0</v>
      </c>
      <c r="AY9">
        <v>120740.21</v>
      </c>
      <c r="BC9" t="str">
        <f>T("9791137608047")</f>
        <v>9791137608047</v>
      </c>
      <c r="BE9" t="str">
        <f>T("BL 웹소설 &gt; 현대물")</f>
        <v>BL 웹소설 &gt; 현대물</v>
      </c>
    </row>
    <row r="10" spans="1:58" x14ac:dyDescent="0.3">
      <c r="A10">
        <v>2313020794</v>
      </c>
      <c r="B10">
        <v>2313020875</v>
      </c>
      <c r="C10" t="str">
        <f>T("혐오 만세 72화")</f>
        <v>혐오 만세 72화</v>
      </c>
      <c r="D10" t="str">
        <f>T("72")</f>
        <v>72</v>
      </c>
      <c r="E10" t="str">
        <f>T("아르곤18")</f>
        <v>아르곤18</v>
      </c>
      <c r="H10" t="str">
        <f>T("앰퍼샌드B")</f>
        <v>앰퍼샌드B</v>
      </c>
      <c r="I10" t="str">
        <f>T("혐오 만세")</f>
        <v>혐오 만세</v>
      </c>
      <c r="J10">
        <v>100</v>
      </c>
      <c r="K10">
        <v>195900</v>
      </c>
      <c r="L10">
        <v>1959</v>
      </c>
      <c r="M10">
        <v>0</v>
      </c>
      <c r="N10">
        <v>2600</v>
      </c>
      <c r="O10">
        <v>26</v>
      </c>
      <c r="P10">
        <v>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-500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198500</v>
      </c>
      <c r="AH10">
        <v>2052</v>
      </c>
      <c r="AI10">
        <v>-500</v>
      </c>
      <c r="AJ10">
        <v>5</v>
      </c>
      <c r="AK10">
        <v>183388</v>
      </c>
      <c r="AL10">
        <v>-500</v>
      </c>
      <c r="AM10">
        <v>18134.400000000001</v>
      </c>
      <c r="AN10">
        <v>-3899.04</v>
      </c>
      <c r="AO10">
        <v>0</v>
      </c>
      <c r="AP10">
        <v>4680</v>
      </c>
      <c r="AQ10">
        <v>-1404</v>
      </c>
      <c r="AR10">
        <v>0</v>
      </c>
      <c r="AS10">
        <v>13454.4</v>
      </c>
      <c r="AT10">
        <v>-2495.04</v>
      </c>
      <c r="AU10">
        <v>0</v>
      </c>
      <c r="AW10">
        <v>0</v>
      </c>
      <c r="AX10">
        <v>0</v>
      </c>
      <c r="AY10">
        <v>120615.44</v>
      </c>
      <c r="BC10" t="str">
        <f>T("9791137608047")</f>
        <v>9791137608047</v>
      </c>
      <c r="BE10" t="str">
        <f>T("BL 웹소설 &gt; 현대물")</f>
        <v>BL 웹소설 &gt; 현대물</v>
      </c>
    </row>
    <row r="11" spans="1:58" x14ac:dyDescent="0.3">
      <c r="A11">
        <v>2313021128</v>
      </c>
      <c r="B11">
        <v>2313021129</v>
      </c>
      <c r="C11" t="str">
        <f>T("[e북]탕녀에겐 두 개의 머리가 필요해 2권")</f>
        <v>[e북]탕녀에겐 두 개의 머리가 필요해 2권</v>
      </c>
      <c r="D11" t="str">
        <f>T("2")</f>
        <v>2</v>
      </c>
      <c r="E11" t="str">
        <f>T("목화커피")</f>
        <v>목화커피</v>
      </c>
      <c r="H11" t="str">
        <f>T("도서출판 태랑")</f>
        <v>도서출판 태랑</v>
      </c>
      <c r="I11" t="str">
        <f>T("[e북]탕녀에겐 두 개의 머리가 필요해")</f>
        <v>[e북]탕녀에겐 두 개의 머리가 필요해</v>
      </c>
      <c r="J11">
        <v>3500</v>
      </c>
      <c r="K11">
        <v>187950</v>
      </c>
      <c r="L11">
        <v>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187950</v>
      </c>
      <c r="AH11">
        <v>57</v>
      </c>
      <c r="AI11">
        <v>0</v>
      </c>
      <c r="AJ11">
        <v>0</v>
      </c>
      <c r="AK11">
        <v>174300</v>
      </c>
      <c r="AL11">
        <v>0</v>
      </c>
      <c r="AM11">
        <v>16380</v>
      </c>
      <c r="AN11">
        <v>-3234</v>
      </c>
      <c r="AO11">
        <v>0</v>
      </c>
      <c r="AP11">
        <v>4200</v>
      </c>
      <c r="AQ11">
        <v>-1260</v>
      </c>
      <c r="AR11">
        <v>0</v>
      </c>
      <c r="AS11">
        <v>12180</v>
      </c>
      <c r="AT11">
        <v>-1974</v>
      </c>
      <c r="AU11">
        <v>0</v>
      </c>
      <c r="AW11">
        <v>0</v>
      </c>
      <c r="AX11">
        <v>0</v>
      </c>
      <c r="AY11">
        <v>131212.20000000001</v>
      </c>
      <c r="BC11" t="str">
        <f>T("9791137608436")</f>
        <v>9791137608436</v>
      </c>
      <c r="BE11" t="str">
        <f>T("로판 e북 &gt; 서양풍 로판")</f>
        <v>로판 e북 &gt; 서양풍 로판</v>
      </c>
    </row>
    <row r="12" spans="1:58" x14ac:dyDescent="0.3">
      <c r="A12">
        <v>2313021128</v>
      </c>
      <c r="B12">
        <v>2313021130</v>
      </c>
      <c r="C12" t="str">
        <f>T("[e북]탕녀에겐 두 개의 머리가 필요해 3권 (완결)")</f>
        <v>[e북]탕녀에겐 두 개의 머리가 필요해 3권 (완결)</v>
      </c>
      <c r="D12" t="str">
        <f>T("3")</f>
        <v>3</v>
      </c>
      <c r="E12" t="str">
        <f>T("목화커피")</f>
        <v>목화커피</v>
      </c>
      <c r="H12" t="str">
        <f>T("도서출판 태랑")</f>
        <v>도서출판 태랑</v>
      </c>
      <c r="I12" t="str">
        <f>T("[e북]탕녀에겐 두 개의 머리가 필요해")</f>
        <v>[e북]탕녀에겐 두 개의 머리가 필요해</v>
      </c>
      <c r="J12">
        <v>3500</v>
      </c>
      <c r="K12">
        <v>182350</v>
      </c>
      <c r="L12">
        <v>55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182350</v>
      </c>
      <c r="AH12">
        <v>55</v>
      </c>
      <c r="AI12">
        <v>0</v>
      </c>
      <c r="AJ12">
        <v>0</v>
      </c>
      <c r="AK12">
        <v>171550</v>
      </c>
      <c r="AL12">
        <v>0</v>
      </c>
      <c r="AM12">
        <v>12960</v>
      </c>
      <c r="AN12">
        <v>-2136</v>
      </c>
      <c r="AO12">
        <v>0</v>
      </c>
      <c r="AP12">
        <v>4200</v>
      </c>
      <c r="AQ12">
        <v>-1260</v>
      </c>
      <c r="AR12">
        <v>0</v>
      </c>
      <c r="AS12">
        <v>8760</v>
      </c>
      <c r="AT12">
        <v>-876</v>
      </c>
      <c r="AU12">
        <v>0</v>
      </c>
      <c r="AW12">
        <v>0</v>
      </c>
      <c r="AX12">
        <v>0</v>
      </c>
      <c r="AY12">
        <v>127661.8</v>
      </c>
      <c r="BC12" t="str">
        <f>T("9791137608443")</f>
        <v>9791137608443</v>
      </c>
      <c r="BE12" t="str">
        <f>T("로판 e북 &gt; 서양풍 로판")</f>
        <v>로판 e북 &gt; 서양풍 로판</v>
      </c>
    </row>
    <row r="13" spans="1:58" x14ac:dyDescent="0.3">
      <c r="A13">
        <v>2313020794</v>
      </c>
      <c r="B13">
        <v>2313021121</v>
      </c>
      <c r="C13" t="str">
        <f>T("혐오 만세 73화")</f>
        <v>혐오 만세 73화</v>
      </c>
      <c r="D13" t="str">
        <f>T("73")</f>
        <v>73</v>
      </c>
      <c r="E13" t="str">
        <f t="shared" ref="E13:E18" si="0">T("아르곤18")</f>
        <v>아르곤18</v>
      </c>
      <c r="H13" t="str">
        <f t="shared" ref="H13:H23" si="1">T("앰퍼샌드B")</f>
        <v>앰퍼샌드B</v>
      </c>
      <c r="I13" t="str">
        <f t="shared" ref="I13:I18" si="2">T("혐오 만세")</f>
        <v>혐오 만세</v>
      </c>
      <c r="J13">
        <v>100</v>
      </c>
      <c r="K13">
        <v>175000</v>
      </c>
      <c r="L13">
        <v>1750</v>
      </c>
      <c r="M13">
        <v>0</v>
      </c>
      <c r="N13">
        <v>5600</v>
      </c>
      <c r="O13">
        <v>56</v>
      </c>
      <c r="P13">
        <v>49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-300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180600</v>
      </c>
      <c r="AH13">
        <v>1855</v>
      </c>
      <c r="AI13">
        <v>-300</v>
      </c>
      <c r="AJ13">
        <v>3</v>
      </c>
      <c r="AK13">
        <v>166637</v>
      </c>
      <c r="AL13">
        <v>-300</v>
      </c>
      <c r="AM13">
        <v>16755.599999999999</v>
      </c>
      <c r="AN13">
        <v>-3355.56</v>
      </c>
      <c r="AO13">
        <v>0</v>
      </c>
      <c r="AP13">
        <v>4080</v>
      </c>
      <c r="AQ13">
        <v>-1224</v>
      </c>
      <c r="AR13">
        <v>0</v>
      </c>
      <c r="AS13">
        <v>12675.6</v>
      </c>
      <c r="AT13">
        <v>-2131.56</v>
      </c>
      <c r="AU13">
        <v>0</v>
      </c>
      <c r="AW13">
        <v>0</v>
      </c>
      <c r="AX13">
        <v>0</v>
      </c>
      <c r="AY13">
        <v>110300.45</v>
      </c>
      <c r="BC13" t="str">
        <f t="shared" ref="BC13:BC18" si="3">T("9791137608047")</f>
        <v>9791137608047</v>
      </c>
      <c r="BE13" t="str">
        <f t="shared" ref="BE13:BE18" si="4">T("BL 웹소설 &gt; 현대물")</f>
        <v>BL 웹소설 &gt; 현대물</v>
      </c>
    </row>
    <row r="14" spans="1:58" x14ac:dyDescent="0.3">
      <c r="A14">
        <v>2313020794</v>
      </c>
      <c r="B14">
        <v>2313021122</v>
      </c>
      <c r="C14" t="str">
        <f>T("혐오 만세 74화")</f>
        <v>혐오 만세 74화</v>
      </c>
      <c r="D14" t="str">
        <f>T("74")</f>
        <v>74</v>
      </c>
      <c r="E14" t="str">
        <f t="shared" si="0"/>
        <v>아르곤18</v>
      </c>
      <c r="H14" t="str">
        <f t="shared" si="1"/>
        <v>앰퍼샌드B</v>
      </c>
      <c r="I14" t="str">
        <f t="shared" si="2"/>
        <v>혐오 만세</v>
      </c>
      <c r="J14">
        <v>100</v>
      </c>
      <c r="K14">
        <v>172100</v>
      </c>
      <c r="L14">
        <v>1721</v>
      </c>
      <c r="M14">
        <v>0</v>
      </c>
      <c r="N14">
        <v>5100</v>
      </c>
      <c r="O14">
        <v>51</v>
      </c>
      <c r="P14">
        <v>48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-300</v>
      </c>
      <c r="X14">
        <v>3</v>
      </c>
      <c r="Y14">
        <v>-100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177200</v>
      </c>
      <c r="AH14">
        <v>1820</v>
      </c>
      <c r="AI14">
        <v>-400</v>
      </c>
      <c r="AJ14">
        <v>4</v>
      </c>
      <c r="AK14">
        <v>163837</v>
      </c>
      <c r="AL14">
        <v>-400</v>
      </c>
      <c r="AM14">
        <v>16035.6</v>
      </c>
      <c r="AN14">
        <v>-3307.56</v>
      </c>
      <c r="AO14">
        <v>0</v>
      </c>
      <c r="AP14">
        <v>4200</v>
      </c>
      <c r="AQ14">
        <v>-1260</v>
      </c>
      <c r="AR14">
        <v>0</v>
      </c>
      <c r="AS14">
        <v>11835.6</v>
      </c>
      <c r="AT14">
        <v>-2047.56</v>
      </c>
      <c r="AU14">
        <v>0</v>
      </c>
      <c r="AW14">
        <v>0</v>
      </c>
      <c r="AX14">
        <v>0</v>
      </c>
      <c r="AY14">
        <v>108234.05</v>
      </c>
      <c r="BC14" t="str">
        <f t="shared" si="3"/>
        <v>9791137608047</v>
      </c>
      <c r="BE14" t="str">
        <f t="shared" si="4"/>
        <v>BL 웹소설 &gt; 현대물</v>
      </c>
    </row>
    <row r="15" spans="1:58" x14ac:dyDescent="0.3">
      <c r="A15">
        <v>2313020794</v>
      </c>
      <c r="B15">
        <v>2313021124</v>
      </c>
      <c r="C15" t="str">
        <f>T("혐오 만세 76화")</f>
        <v>혐오 만세 76화</v>
      </c>
      <c r="D15" t="str">
        <f>T("76")</f>
        <v>76</v>
      </c>
      <c r="E15" t="str">
        <f t="shared" si="0"/>
        <v>아르곤18</v>
      </c>
      <c r="H15" t="str">
        <f t="shared" si="1"/>
        <v>앰퍼샌드B</v>
      </c>
      <c r="I15" t="str">
        <f t="shared" si="2"/>
        <v>혐오 만세</v>
      </c>
      <c r="J15">
        <v>100</v>
      </c>
      <c r="K15">
        <v>171100</v>
      </c>
      <c r="L15">
        <v>1711</v>
      </c>
      <c r="M15">
        <v>0</v>
      </c>
      <c r="N15">
        <v>2900</v>
      </c>
      <c r="O15">
        <v>29</v>
      </c>
      <c r="P15">
        <v>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-400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174000</v>
      </c>
      <c r="AH15">
        <v>1807</v>
      </c>
      <c r="AI15">
        <v>-400</v>
      </c>
      <c r="AJ15">
        <v>4</v>
      </c>
      <c r="AK15">
        <v>160617</v>
      </c>
      <c r="AL15">
        <v>-400</v>
      </c>
      <c r="AM15">
        <v>16059.6</v>
      </c>
      <c r="AN15">
        <v>-3072.36</v>
      </c>
      <c r="AO15">
        <v>0</v>
      </c>
      <c r="AP15">
        <v>3972</v>
      </c>
      <c r="AQ15">
        <v>-1191.5999999999999</v>
      </c>
      <c r="AR15">
        <v>0</v>
      </c>
      <c r="AS15">
        <v>12087.6</v>
      </c>
      <c r="AT15">
        <v>-1880.76</v>
      </c>
      <c r="AU15">
        <v>0</v>
      </c>
      <c r="AW15">
        <v>0</v>
      </c>
      <c r="AX15">
        <v>0</v>
      </c>
      <c r="AY15">
        <v>107259.97</v>
      </c>
      <c r="BC15" t="str">
        <f t="shared" si="3"/>
        <v>9791137608047</v>
      </c>
      <c r="BE15" t="str">
        <f t="shared" si="4"/>
        <v>BL 웹소설 &gt; 현대물</v>
      </c>
    </row>
    <row r="16" spans="1:58" x14ac:dyDescent="0.3">
      <c r="A16">
        <v>2313020794</v>
      </c>
      <c r="B16">
        <v>2313021123</v>
      </c>
      <c r="C16" t="str">
        <f>T("혐오 만세 75화")</f>
        <v>혐오 만세 75화</v>
      </c>
      <c r="D16" t="str">
        <f>T("75")</f>
        <v>75</v>
      </c>
      <c r="E16" t="str">
        <f t="shared" si="0"/>
        <v>아르곤18</v>
      </c>
      <c r="H16" t="str">
        <f t="shared" si="1"/>
        <v>앰퍼샌드B</v>
      </c>
      <c r="I16" t="str">
        <f t="shared" si="2"/>
        <v>혐오 만세</v>
      </c>
      <c r="J16">
        <v>100</v>
      </c>
      <c r="K16">
        <v>167000</v>
      </c>
      <c r="L16">
        <v>1670</v>
      </c>
      <c r="M16">
        <v>0</v>
      </c>
      <c r="N16">
        <v>1100</v>
      </c>
      <c r="O16">
        <v>11</v>
      </c>
      <c r="P16">
        <v>56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-500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168100</v>
      </c>
      <c r="AH16">
        <v>1737</v>
      </c>
      <c r="AI16">
        <v>-500</v>
      </c>
      <c r="AJ16">
        <v>5</v>
      </c>
      <c r="AK16">
        <v>155250</v>
      </c>
      <c r="AL16">
        <v>-500</v>
      </c>
      <c r="AM16">
        <v>15420</v>
      </c>
      <c r="AN16">
        <v>-3102</v>
      </c>
      <c r="AO16">
        <v>0</v>
      </c>
      <c r="AP16">
        <v>4200</v>
      </c>
      <c r="AQ16">
        <v>-1260</v>
      </c>
      <c r="AR16">
        <v>0</v>
      </c>
      <c r="AS16">
        <v>11220</v>
      </c>
      <c r="AT16">
        <v>-1842</v>
      </c>
      <c r="AU16">
        <v>0</v>
      </c>
      <c r="AW16">
        <v>0</v>
      </c>
      <c r="AX16">
        <v>0</v>
      </c>
      <c r="AY16">
        <v>103077.43</v>
      </c>
      <c r="BC16" t="str">
        <f t="shared" si="3"/>
        <v>9791137608047</v>
      </c>
      <c r="BE16" t="str">
        <f t="shared" si="4"/>
        <v>BL 웹소설 &gt; 현대물</v>
      </c>
    </row>
    <row r="17" spans="1:58" x14ac:dyDescent="0.3">
      <c r="A17">
        <v>2313020794</v>
      </c>
      <c r="B17">
        <v>2313021139</v>
      </c>
      <c r="C17" t="str">
        <f>T("혐오 만세 77화")</f>
        <v>혐오 만세 77화</v>
      </c>
      <c r="D17" t="str">
        <f>T("77")</f>
        <v>77</v>
      </c>
      <c r="E17" t="str">
        <f t="shared" si="0"/>
        <v>아르곤18</v>
      </c>
      <c r="H17" t="str">
        <f t="shared" si="1"/>
        <v>앰퍼샌드B</v>
      </c>
      <c r="I17" t="str">
        <f t="shared" si="2"/>
        <v>혐오 만세</v>
      </c>
      <c r="J17">
        <v>100</v>
      </c>
      <c r="K17">
        <v>158900</v>
      </c>
      <c r="L17">
        <v>1589</v>
      </c>
      <c r="M17">
        <v>0</v>
      </c>
      <c r="N17">
        <v>2200</v>
      </c>
      <c r="O17">
        <v>22</v>
      </c>
      <c r="P17">
        <v>35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-500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161100</v>
      </c>
      <c r="AH17">
        <v>1646</v>
      </c>
      <c r="AI17">
        <v>-500</v>
      </c>
      <c r="AJ17">
        <v>5</v>
      </c>
      <c r="AK17">
        <v>149317</v>
      </c>
      <c r="AL17">
        <v>-500</v>
      </c>
      <c r="AM17">
        <v>14139.6</v>
      </c>
      <c r="AN17">
        <v>-2613.96</v>
      </c>
      <c r="AO17">
        <v>0</v>
      </c>
      <c r="AP17">
        <v>3360</v>
      </c>
      <c r="AQ17">
        <v>-1008</v>
      </c>
      <c r="AR17">
        <v>0</v>
      </c>
      <c r="AS17">
        <v>10779.6</v>
      </c>
      <c r="AT17">
        <v>-1605.96</v>
      </c>
      <c r="AU17">
        <v>0</v>
      </c>
      <c r="AW17">
        <v>0</v>
      </c>
      <c r="AX17">
        <v>0</v>
      </c>
      <c r="AY17">
        <v>100854.77</v>
      </c>
      <c r="BC17" t="str">
        <f t="shared" si="3"/>
        <v>9791137608047</v>
      </c>
      <c r="BE17" t="str">
        <f t="shared" si="4"/>
        <v>BL 웹소설 &gt; 현대물</v>
      </c>
    </row>
    <row r="18" spans="1:58" x14ac:dyDescent="0.3">
      <c r="A18">
        <v>2313020794</v>
      </c>
      <c r="B18">
        <v>2313021140</v>
      </c>
      <c r="C18" t="str">
        <f>T("혐오 만세 78화")</f>
        <v>혐오 만세 78화</v>
      </c>
      <c r="D18" t="str">
        <f>T("78")</f>
        <v>78</v>
      </c>
      <c r="E18" t="str">
        <f t="shared" si="0"/>
        <v>아르곤18</v>
      </c>
      <c r="H18" t="str">
        <f t="shared" si="1"/>
        <v>앰퍼샌드B</v>
      </c>
      <c r="I18" t="str">
        <f t="shared" si="2"/>
        <v>혐오 만세</v>
      </c>
      <c r="J18">
        <v>100</v>
      </c>
      <c r="K18">
        <v>156500</v>
      </c>
      <c r="L18">
        <v>1565</v>
      </c>
      <c r="M18">
        <v>0</v>
      </c>
      <c r="N18">
        <v>3000</v>
      </c>
      <c r="O18">
        <v>30</v>
      </c>
      <c r="P18">
        <v>41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-400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159500</v>
      </c>
      <c r="AH18">
        <v>1636</v>
      </c>
      <c r="AI18">
        <v>-400</v>
      </c>
      <c r="AJ18">
        <v>4</v>
      </c>
      <c r="AK18">
        <v>147782</v>
      </c>
      <c r="AL18">
        <v>-400</v>
      </c>
      <c r="AM18">
        <v>14061.6</v>
      </c>
      <c r="AN18">
        <v>-2577.36</v>
      </c>
      <c r="AO18">
        <v>0</v>
      </c>
      <c r="AP18">
        <v>3324</v>
      </c>
      <c r="AQ18">
        <v>-997.2</v>
      </c>
      <c r="AR18">
        <v>0</v>
      </c>
      <c r="AS18">
        <v>10737.6</v>
      </c>
      <c r="AT18">
        <v>-1580.16</v>
      </c>
      <c r="AU18">
        <v>0</v>
      </c>
      <c r="AW18">
        <v>0</v>
      </c>
      <c r="AX18">
        <v>0</v>
      </c>
      <c r="AY18">
        <v>101199.33</v>
      </c>
      <c r="BC18" t="str">
        <f t="shared" si="3"/>
        <v>9791137608047</v>
      </c>
      <c r="BE18" t="str">
        <f t="shared" si="4"/>
        <v>BL 웹소설 &gt; 현대물</v>
      </c>
    </row>
    <row r="19" spans="1:58" x14ac:dyDescent="0.3">
      <c r="A19">
        <v>2313021125</v>
      </c>
      <c r="B19">
        <v>2313021126</v>
      </c>
      <c r="C19" t="str">
        <f>T("[e북]친구 졸업 2권")</f>
        <v>[e북]친구 졸업 2권</v>
      </c>
      <c r="D19" t="str">
        <f>T("2")</f>
        <v>2</v>
      </c>
      <c r="E19" t="str">
        <f>T("세상")</f>
        <v>세상</v>
      </c>
      <c r="H19" t="str">
        <f t="shared" si="1"/>
        <v>앰퍼샌드B</v>
      </c>
      <c r="I19" t="str">
        <f>T("[e북]친구 졸업")</f>
        <v>[e북]친구 졸업</v>
      </c>
      <c r="J19">
        <v>3500</v>
      </c>
      <c r="K19">
        <v>154350</v>
      </c>
      <c r="L19">
        <v>48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154350</v>
      </c>
      <c r="AH19">
        <v>48</v>
      </c>
      <c r="AI19">
        <v>0</v>
      </c>
      <c r="AJ19">
        <v>0</v>
      </c>
      <c r="AK19">
        <v>133390</v>
      </c>
      <c r="AL19">
        <v>0</v>
      </c>
      <c r="AM19">
        <v>25152</v>
      </c>
      <c r="AN19">
        <v>-3367.2</v>
      </c>
      <c r="AO19">
        <v>0</v>
      </c>
      <c r="AP19">
        <v>60</v>
      </c>
      <c r="AQ19">
        <v>-18</v>
      </c>
      <c r="AR19">
        <v>0</v>
      </c>
      <c r="AS19">
        <v>25092</v>
      </c>
      <c r="AT19">
        <v>-3349.2</v>
      </c>
      <c r="AU19">
        <v>0</v>
      </c>
      <c r="AW19">
        <v>0</v>
      </c>
      <c r="AX19">
        <v>0</v>
      </c>
      <c r="AY19">
        <v>108622.36</v>
      </c>
      <c r="BC19" t="str">
        <f>T("9791137608405")</f>
        <v>9791137608405</v>
      </c>
      <c r="BE19" t="str">
        <f>T("BL 소설 e북 &gt; 현대물")</f>
        <v>BL 소설 e북 &gt; 현대물</v>
      </c>
    </row>
    <row r="20" spans="1:58" x14ac:dyDescent="0.3">
      <c r="A20">
        <v>2313020794</v>
      </c>
      <c r="B20">
        <v>2313020871</v>
      </c>
      <c r="C20" t="str">
        <f>T("혐오 만세 68화")</f>
        <v>혐오 만세 68화</v>
      </c>
      <c r="D20" t="str">
        <f>T("68")</f>
        <v>68</v>
      </c>
      <c r="E20" t="str">
        <f>T("아르곤18")</f>
        <v>아르곤18</v>
      </c>
      <c r="H20" t="str">
        <f t="shared" si="1"/>
        <v>앰퍼샌드B</v>
      </c>
      <c r="I20" t="str">
        <f>T("혐오 만세")</f>
        <v>혐오 만세</v>
      </c>
      <c r="J20">
        <v>100</v>
      </c>
      <c r="K20">
        <v>148100</v>
      </c>
      <c r="L20">
        <v>1481</v>
      </c>
      <c r="M20">
        <v>0</v>
      </c>
      <c r="N20">
        <v>1700</v>
      </c>
      <c r="O20">
        <v>17</v>
      </c>
      <c r="P20">
        <v>105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-500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149800</v>
      </c>
      <c r="AH20">
        <v>1603</v>
      </c>
      <c r="AI20">
        <v>-500</v>
      </c>
      <c r="AJ20">
        <v>5</v>
      </c>
      <c r="AK20">
        <v>136513</v>
      </c>
      <c r="AL20">
        <v>-500</v>
      </c>
      <c r="AM20">
        <v>15944.6</v>
      </c>
      <c r="AN20">
        <v>-3600.9</v>
      </c>
      <c r="AO20">
        <v>0</v>
      </c>
      <c r="AP20">
        <v>4644.2</v>
      </c>
      <c r="AQ20">
        <v>-1393.26</v>
      </c>
      <c r="AR20">
        <v>0</v>
      </c>
      <c r="AS20">
        <v>11300.4</v>
      </c>
      <c r="AT20">
        <v>-2207.64</v>
      </c>
      <c r="AU20">
        <v>0</v>
      </c>
      <c r="AW20">
        <v>0</v>
      </c>
      <c r="AX20">
        <v>0</v>
      </c>
      <c r="AY20">
        <v>90738.72</v>
      </c>
      <c r="BC20" t="str">
        <f>T("9791137608047")</f>
        <v>9791137608047</v>
      </c>
      <c r="BE20" t="str">
        <f>T("BL 웹소설 &gt; 현대물")</f>
        <v>BL 웹소설 &gt; 현대물</v>
      </c>
    </row>
    <row r="21" spans="1:58" x14ac:dyDescent="0.3">
      <c r="A21">
        <v>2313020794</v>
      </c>
      <c r="B21">
        <v>2313021143</v>
      </c>
      <c r="C21" t="str">
        <f>T("혐오 만세 79화")</f>
        <v>혐오 만세 79화</v>
      </c>
      <c r="D21" t="str">
        <f>T("79")</f>
        <v>79</v>
      </c>
      <c r="E21" t="str">
        <f>T("아르곤18")</f>
        <v>아르곤18</v>
      </c>
      <c r="H21" t="str">
        <f t="shared" si="1"/>
        <v>앰퍼샌드B</v>
      </c>
      <c r="I21" t="str">
        <f>T("혐오 만세")</f>
        <v>혐오 만세</v>
      </c>
      <c r="J21">
        <v>100</v>
      </c>
      <c r="K21">
        <v>141100</v>
      </c>
      <c r="L21">
        <v>1411</v>
      </c>
      <c r="M21">
        <v>0</v>
      </c>
      <c r="N21">
        <v>3800</v>
      </c>
      <c r="O21">
        <v>38</v>
      </c>
      <c r="P21">
        <v>43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-200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144900</v>
      </c>
      <c r="AH21">
        <v>1492</v>
      </c>
      <c r="AI21">
        <v>-200</v>
      </c>
      <c r="AJ21">
        <v>2</v>
      </c>
      <c r="AK21">
        <v>134852</v>
      </c>
      <c r="AL21">
        <v>-200</v>
      </c>
      <c r="AM21">
        <v>12057.6</v>
      </c>
      <c r="AN21">
        <v>-2177.7600000000002</v>
      </c>
      <c r="AO21">
        <v>0</v>
      </c>
      <c r="AP21">
        <v>2940</v>
      </c>
      <c r="AQ21">
        <v>-882</v>
      </c>
      <c r="AR21">
        <v>0</v>
      </c>
      <c r="AS21">
        <v>9117.6</v>
      </c>
      <c r="AT21">
        <v>-1295.76</v>
      </c>
      <c r="AU21">
        <v>0</v>
      </c>
      <c r="AW21">
        <v>0</v>
      </c>
      <c r="AX21">
        <v>0</v>
      </c>
      <c r="AY21">
        <v>101172.29</v>
      </c>
      <c r="BC21" t="str">
        <f>T("9791137608047")</f>
        <v>9791137608047</v>
      </c>
      <c r="BE21" t="str">
        <f>T("BL 웹소설 &gt; 현대물")</f>
        <v>BL 웹소설 &gt; 현대물</v>
      </c>
    </row>
    <row r="22" spans="1:58" x14ac:dyDescent="0.3">
      <c r="A22">
        <v>2313021125</v>
      </c>
      <c r="B22">
        <v>2313021127</v>
      </c>
      <c r="C22" t="str">
        <f>T("[e북]친구 졸업 3권 (완결)")</f>
        <v>[e북]친구 졸업 3권 (완결)</v>
      </c>
      <c r="D22" t="str">
        <f>T("3")</f>
        <v>3</v>
      </c>
      <c r="E22" t="str">
        <f>T("세상")</f>
        <v>세상</v>
      </c>
      <c r="H22" t="str">
        <f t="shared" si="1"/>
        <v>앰퍼샌드B</v>
      </c>
      <c r="I22" t="str">
        <f>T("[e북]친구 졸업")</f>
        <v>[e북]친구 졸업</v>
      </c>
      <c r="J22">
        <v>3500</v>
      </c>
      <c r="K22">
        <v>141050</v>
      </c>
      <c r="L22">
        <v>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141050</v>
      </c>
      <c r="AH22">
        <v>44</v>
      </c>
      <c r="AI22">
        <v>0</v>
      </c>
      <c r="AJ22">
        <v>0</v>
      </c>
      <c r="AK22">
        <v>134290</v>
      </c>
      <c r="AL22">
        <v>0</v>
      </c>
      <c r="AM22">
        <v>8112</v>
      </c>
      <c r="AN22">
        <v>-811.2</v>
      </c>
      <c r="AO22">
        <v>0</v>
      </c>
      <c r="AP22"/>
      <c r="AQ22">
        <v>0</v>
      </c>
      <c r="AR22">
        <v>0</v>
      </c>
      <c r="AS22">
        <v>8112</v>
      </c>
      <c r="AT22">
        <v>-811.2</v>
      </c>
      <c r="AU22">
        <v>0</v>
      </c>
      <c r="AW22">
        <v>0</v>
      </c>
      <c r="AX22">
        <v>0</v>
      </c>
      <c r="AY22">
        <v>99113.56</v>
      </c>
      <c r="BC22" t="str">
        <f>T("9791137608412")</f>
        <v>9791137608412</v>
      </c>
      <c r="BE22" t="str">
        <f>T("BL 소설 e북 &gt; 현대물")</f>
        <v>BL 소설 e북 &gt; 현대물</v>
      </c>
    </row>
    <row r="23" spans="1:58" x14ac:dyDescent="0.3">
      <c r="A23">
        <v>2313020794</v>
      </c>
      <c r="B23">
        <v>2313021144</v>
      </c>
      <c r="C23" t="str">
        <f>T("혐오 만세 80화")</f>
        <v>혐오 만세 80화</v>
      </c>
      <c r="D23" t="str">
        <f>T("80")</f>
        <v>80</v>
      </c>
      <c r="E23" t="str">
        <f>T("아르곤18")</f>
        <v>아르곤18</v>
      </c>
      <c r="H23" t="str">
        <f t="shared" si="1"/>
        <v>앰퍼샌드B</v>
      </c>
      <c r="I23" t="str">
        <f>T("혐오 만세")</f>
        <v>혐오 만세</v>
      </c>
      <c r="J23">
        <v>100</v>
      </c>
      <c r="K23">
        <v>140400</v>
      </c>
      <c r="L23">
        <v>1404</v>
      </c>
      <c r="M23">
        <v>0</v>
      </c>
      <c r="N23">
        <v>10000</v>
      </c>
      <c r="O23">
        <v>100</v>
      </c>
      <c r="P23">
        <v>67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-300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150400</v>
      </c>
      <c r="AH23">
        <v>1571</v>
      </c>
      <c r="AI23">
        <v>-300</v>
      </c>
      <c r="AJ23">
        <v>3</v>
      </c>
      <c r="AK23">
        <v>139982</v>
      </c>
      <c r="AL23">
        <v>-300</v>
      </c>
      <c r="AM23">
        <v>12501.6</v>
      </c>
      <c r="AN23">
        <v>-2282.16</v>
      </c>
      <c r="AO23">
        <v>0</v>
      </c>
      <c r="AP23">
        <v>3240</v>
      </c>
      <c r="AQ23">
        <v>-972</v>
      </c>
      <c r="AR23">
        <v>0</v>
      </c>
      <c r="AS23">
        <v>9261.6</v>
      </c>
      <c r="AT23">
        <v>-1310.1600000000001</v>
      </c>
      <c r="AU23">
        <v>0</v>
      </c>
      <c r="AW23">
        <v>0</v>
      </c>
      <c r="AX23">
        <v>0</v>
      </c>
      <c r="AY23">
        <v>104931.01</v>
      </c>
      <c r="BC23" t="str">
        <f>T("9791137608047")</f>
        <v>9791137608047</v>
      </c>
      <c r="BE23" t="str">
        <f>T("BL 웹소설 &gt; 현대물")</f>
        <v>BL 웹소설 &gt; 현대물</v>
      </c>
    </row>
    <row r="24" spans="1:58" x14ac:dyDescent="0.3">
      <c r="A24">
        <v>2313020592</v>
      </c>
      <c r="B24">
        <v>2313020592</v>
      </c>
      <c r="C24" t="str">
        <f>T("[e북]폭군 上")</f>
        <v>[e북]폭군 上</v>
      </c>
      <c r="D24" t="str">
        <f>T("1")</f>
        <v>1</v>
      </c>
      <c r="E24" t="str">
        <f>T("마뇽")</f>
        <v>마뇽</v>
      </c>
      <c r="H24" t="str">
        <f>T("도서출판 태랑")</f>
        <v>도서출판 태랑</v>
      </c>
      <c r="I24" t="str">
        <f>T("[e북]폭군")</f>
        <v>[e북]폭군</v>
      </c>
      <c r="J24">
        <v>2500</v>
      </c>
      <c r="K24">
        <v>125000</v>
      </c>
      <c r="L24">
        <v>50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125000</v>
      </c>
      <c r="AH24">
        <v>50</v>
      </c>
      <c r="AI24">
        <v>0</v>
      </c>
      <c r="AJ24">
        <v>0</v>
      </c>
      <c r="AK24">
        <v>114320</v>
      </c>
      <c r="AL24">
        <v>0</v>
      </c>
      <c r="AM24">
        <v>12816</v>
      </c>
      <c r="AN24">
        <v>-2042.4</v>
      </c>
      <c r="AO24">
        <v>0</v>
      </c>
      <c r="AP24"/>
      <c r="AQ24">
        <v>0</v>
      </c>
      <c r="AR24">
        <v>0</v>
      </c>
      <c r="AS24">
        <v>12816</v>
      </c>
      <c r="AT24">
        <v>-2042.4</v>
      </c>
      <c r="AU24">
        <v>0</v>
      </c>
      <c r="AW24">
        <v>0</v>
      </c>
      <c r="AX24">
        <v>0</v>
      </c>
      <c r="AY24">
        <v>87565.52</v>
      </c>
      <c r="BC24" t="str">
        <f>T("9791137607729")</f>
        <v>9791137607729</v>
      </c>
      <c r="BE24" t="str">
        <f>T("로맨스 e북 &gt; 역사/시대물")</f>
        <v>로맨스 e북 &gt; 역사/시대물</v>
      </c>
      <c r="BF24" t="str">
        <f>T("로맨스 e북 &gt; 19+")</f>
        <v>로맨스 e북 &gt; 19+</v>
      </c>
    </row>
    <row r="25" spans="1:58" x14ac:dyDescent="0.3">
      <c r="A25">
        <v>2313020794</v>
      </c>
      <c r="B25">
        <v>2313021487</v>
      </c>
      <c r="C25" t="str">
        <f>T("혐오 만세 81화")</f>
        <v>혐오 만세 81화</v>
      </c>
      <c r="D25" t="str">
        <f>T("81")</f>
        <v>81</v>
      </c>
      <c r="E25" t="str">
        <f>T("아르곤18")</f>
        <v>아르곤18</v>
      </c>
      <c r="H25" t="str">
        <f>T("앰퍼샌드B")</f>
        <v>앰퍼샌드B</v>
      </c>
      <c r="I25" t="str">
        <f>T("혐오 만세")</f>
        <v>혐오 만세</v>
      </c>
      <c r="J25">
        <v>100</v>
      </c>
      <c r="K25">
        <v>122500</v>
      </c>
      <c r="L25">
        <v>1225</v>
      </c>
      <c r="M25">
        <v>0</v>
      </c>
      <c r="N25">
        <v>0</v>
      </c>
      <c r="O25">
        <v>0</v>
      </c>
      <c r="P25">
        <v>32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-100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122500</v>
      </c>
      <c r="AH25">
        <v>1257</v>
      </c>
      <c r="AI25">
        <v>-100</v>
      </c>
      <c r="AJ25">
        <v>1</v>
      </c>
      <c r="AK25">
        <v>113120</v>
      </c>
      <c r="AL25">
        <v>-100</v>
      </c>
      <c r="AM25">
        <v>11256</v>
      </c>
      <c r="AN25">
        <v>-1989.6</v>
      </c>
      <c r="AO25">
        <v>0</v>
      </c>
      <c r="AP25">
        <v>2760</v>
      </c>
      <c r="AQ25">
        <v>-828</v>
      </c>
      <c r="AR25">
        <v>0</v>
      </c>
      <c r="AS25">
        <v>8496</v>
      </c>
      <c r="AT25">
        <v>-1161.5999999999999</v>
      </c>
      <c r="AU25">
        <v>0</v>
      </c>
      <c r="AW25">
        <v>0</v>
      </c>
      <c r="AX25">
        <v>0</v>
      </c>
      <c r="AY25">
        <v>85600.48</v>
      </c>
      <c r="BC25" t="str">
        <f>T("9791137608047")</f>
        <v>9791137608047</v>
      </c>
      <c r="BE25" t="str">
        <f>T("BL 웹소설 &gt; 현대물")</f>
        <v>BL 웹소설 &gt; 현대물</v>
      </c>
    </row>
    <row r="26" spans="1:58" x14ac:dyDescent="0.3">
      <c r="A26">
        <v>2313020794</v>
      </c>
      <c r="B26">
        <v>2313021488</v>
      </c>
      <c r="C26" t="str">
        <f>T("혐오 만세 82화")</f>
        <v>혐오 만세 82화</v>
      </c>
      <c r="D26" t="str">
        <f>T("82")</f>
        <v>82</v>
      </c>
      <c r="E26" t="str">
        <f>T("아르곤18")</f>
        <v>아르곤18</v>
      </c>
      <c r="H26" t="str">
        <f>T("앰퍼샌드B")</f>
        <v>앰퍼샌드B</v>
      </c>
      <c r="I26" t="str">
        <f>T("혐오 만세")</f>
        <v>혐오 만세</v>
      </c>
      <c r="J26">
        <v>100</v>
      </c>
      <c r="K26">
        <v>122000</v>
      </c>
      <c r="L26">
        <v>1220</v>
      </c>
      <c r="M26">
        <v>0</v>
      </c>
      <c r="N26">
        <v>0</v>
      </c>
      <c r="O26">
        <v>0</v>
      </c>
      <c r="P26">
        <v>26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122000</v>
      </c>
      <c r="AH26">
        <v>1246</v>
      </c>
      <c r="AI26">
        <v>0</v>
      </c>
      <c r="AJ26">
        <v>0</v>
      </c>
      <c r="AK26">
        <v>112264</v>
      </c>
      <c r="AL26">
        <v>0</v>
      </c>
      <c r="AM26">
        <v>11683.2</v>
      </c>
      <c r="AN26">
        <v>-2051.52</v>
      </c>
      <c r="AO26">
        <v>0</v>
      </c>
      <c r="AP26">
        <v>2976</v>
      </c>
      <c r="AQ26">
        <v>-892.8</v>
      </c>
      <c r="AR26">
        <v>0</v>
      </c>
      <c r="AS26">
        <v>8707.2000000000007</v>
      </c>
      <c r="AT26">
        <v>-1158.72</v>
      </c>
      <c r="AU26">
        <v>0</v>
      </c>
      <c r="AW26">
        <v>0</v>
      </c>
      <c r="AX26">
        <v>0</v>
      </c>
      <c r="AY26">
        <v>85326.98</v>
      </c>
      <c r="BC26" t="str">
        <f>T("9791137608047")</f>
        <v>9791137608047</v>
      </c>
      <c r="BE26" t="str">
        <f>T("BL 웹소설 &gt; 현대물")</f>
        <v>BL 웹소설 &gt; 현대물</v>
      </c>
    </row>
    <row r="27" spans="1:58" x14ac:dyDescent="0.3">
      <c r="A27">
        <v>2313020794</v>
      </c>
      <c r="B27">
        <v>2313021497</v>
      </c>
      <c r="C27" t="str">
        <f>T("혐오 만세 83화")</f>
        <v>혐오 만세 83화</v>
      </c>
      <c r="D27" t="str">
        <f>T("83")</f>
        <v>83</v>
      </c>
      <c r="E27" t="str">
        <f>T("아르곤18")</f>
        <v>아르곤18</v>
      </c>
      <c r="H27" t="str">
        <f>T("앰퍼샌드B")</f>
        <v>앰퍼샌드B</v>
      </c>
      <c r="I27" t="str">
        <f>T("혐오 만세")</f>
        <v>혐오 만세</v>
      </c>
      <c r="J27">
        <v>100</v>
      </c>
      <c r="K27">
        <v>118400</v>
      </c>
      <c r="L27">
        <v>1184</v>
      </c>
      <c r="M27">
        <v>0</v>
      </c>
      <c r="N27">
        <v>0</v>
      </c>
      <c r="O27">
        <v>0</v>
      </c>
      <c r="P27">
        <v>21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118400</v>
      </c>
      <c r="AH27">
        <v>1205</v>
      </c>
      <c r="AI27">
        <v>0</v>
      </c>
      <c r="AJ27">
        <v>0</v>
      </c>
      <c r="AK27">
        <v>109180</v>
      </c>
      <c r="AL27">
        <v>0</v>
      </c>
      <c r="AM27">
        <v>11064</v>
      </c>
      <c r="AN27">
        <v>-1922.4</v>
      </c>
      <c r="AO27">
        <v>0</v>
      </c>
      <c r="AP27">
        <v>3000</v>
      </c>
      <c r="AQ27">
        <v>-900</v>
      </c>
      <c r="AR27">
        <v>0</v>
      </c>
      <c r="AS27">
        <v>8064</v>
      </c>
      <c r="AT27">
        <v>-1022.4</v>
      </c>
      <c r="AU27">
        <v>0</v>
      </c>
      <c r="AW27">
        <v>0</v>
      </c>
      <c r="AX27">
        <v>0</v>
      </c>
      <c r="AY27">
        <v>82825.119999999995</v>
      </c>
      <c r="BC27" t="str">
        <f>T("9791137608047")</f>
        <v>9791137608047</v>
      </c>
      <c r="BE27" t="str">
        <f>T("BL 웹소설 &gt; 현대물")</f>
        <v>BL 웹소설 &gt; 현대물</v>
      </c>
    </row>
    <row r="28" spans="1:58" x14ac:dyDescent="0.3">
      <c r="A28">
        <v>2313020592</v>
      </c>
      <c r="B28">
        <v>2313020593</v>
      </c>
      <c r="C28" t="str">
        <f>T("[e북]폭군 下 (완결)")</f>
        <v>[e북]폭군 下 (완결)</v>
      </c>
      <c r="D28" t="str">
        <f>T("2")</f>
        <v>2</v>
      </c>
      <c r="E28" t="str">
        <f>T("마뇽")</f>
        <v>마뇽</v>
      </c>
      <c r="H28" t="str">
        <f>T("도서출판 태랑")</f>
        <v>도서출판 태랑</v>
      </c>
      <c r="I28" t="str">
        <f>T("[e북]폭군")</f>
        <v>[e북]폭군</v>
      </c>
      <c r="J28">
        <v>2500</v>
      </c>
      <c r="K28">
        <v>115000</v>
      </c>
      <c r="L28">
        <v>46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115000</v>
      </c>
      <c r="AH28">
        <v>46</v>
      </c>
      <c r="AI28">
        <v>0</v>
      </c>
      <c r="AJ28">
        <v>0</v>
      </c>
      <c r="AK28">
        <v>106900</v>
      </c>
      <c r="AL28">
        <v>0</v>
      </c>
      <c r="AM28">
        <v>9720</v>
      </c>
      <c r="AN28">
        <v>-1132.8</v>
      </c>
      <c r="AO28">
        <v>0</v>
      </c>
      <c r="AP28"/>
      <c r="AQ28">
        <v>0</v>
      </c>
      <c r="AR28">
        <v>0</v>
      </c>
      <c r="AS28">
        <v>9720</v>
      </c>
      <c r="AT28">
        <v>-1132.8</v>
      </c>
      <c r="AU28">
        <v>0</v>
      </c>
      <c r="AW28">
        <v>0</v>
      </c>
      <c r="AX28">
        <v>0</v>
      </c>
      <c r="AY28">
        <v>80841.039999999994</v>
      </c>
      <c r="BC28" t="str">
        <f>T("9791137607736")</f>
        <v>9791137607736</v>
      </c>
      <c r="BE28" t="str">
        <f>T("로맨스 e북 &gt; 역사/시대물")</f>
        <v>로맨스 e북 &gt; 역사/시대물</v>
      </c>
      <c r="BF28" t="str">
        <f>T("로맨스 e북 &gt; 19+")</f>
        <v>로맨스 e북 &gt; 19+</v>
      </c>
    </row>
    <row r="29" spans="1:58" x14ac:dyDescent="0.3">
      <c r="A29">
        <v>2313020794</v>
      </c>
      <c r="B29">
        <v>2313021498</v>
      </c>
      <c r="C29" t="str">
        <f>T("혐오 만세 84화")</f>
        <v>혐오 만세 84화</v>
      </c>
      <c r="D29" t="str">
        <f>T("84")</f>
        <v>84</v>
      </c>
      <c r="E29" t="str">
        <f>T("아르곤18")</f>
        <v>아르곤18</v>
      </c>
      <c r="H29" t="str">
        <f>T("앰퍼샌드B")</f>
        <v>앰퍼샌드B</v>
      </c>
      <c r="I29" t="str">
        <f>T("혐오 만세")</f>
        <v>혐오 만세</v>
      </c>
      <c r="J29">
        <v>100</v>
      </c>
      <c r="K29">
        <v>114800</v>
      </c>
      <c r="L29">
        <v>1148</v>
      </c>
      <c r="M29">
        <v>0</v>
      </c>
      <c r="N29">
        <v>0</v>
      </c>
      <c r="O29">
        <v>0</v>
      </c>
      <c r="P29">
        <v>23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-100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114800</v>
      </c>
      <c r="AH29">
        <v>1171</v>
      </c>
      <c r="AI29">
        <v>-100</v>
      </c>
      <c r="AJ29">
        <v>1</v>
      </c>
      <c r="AK29">
        <v>105600</v>
      </c>
      <c r="AL29">
        <v>-100</v>
      </c>
      <c r="AM29">
        <v>11040</v>
      </c>
      <c r="AN29">
        <v>-1874.4</v>
      </c>
      <c r="AO29">
        <v>0</v>
      </c>
      <c r="AP29">
        <v>2772</v>
      </c>
      <c r="AQ29">
        <v>-831.6</v>
      </c>
      <c r="AR29">
        <v>0</v>
      </c>
      <c r="AS29">
        <v>8268</v>
      </c>
      <c r="AT29">
        <v>-1042.8</v>
      </c>
      <c r="AU29">
        <v>0</v>
      </c>
      <c r="AW29">
        <v>0</v>
      </c>
      <c r="AX29">
        <v>0</v>
      </c>
      <c r="AY29">
        <v>80265.919999999998</v>
      </c>
      <c r="BC29" t="str">
        <f>T("9791137608047")</f>
        <v>9791137608047</v>
      </c>
      <c r="BE29" t="str">
        <f>T("BL 웹소설 &gt; 현대물")</f>
        <v>BL 웹소설 &gt; 현대물</v>
      </c>
    </row>
    <row r="30" spans="1:58" x14ac:dyDescent="0.3">
      <c r="A30">
        <v>2313020794</v>
      </c>
      <c r="B30">
        <v>2313020870</v>
      </c>
      <c r="C30" t="str">
        <f>T("혐오 만세 67화")</f>
        <v>혐오 만세 67화</v>
      </c>
      <c r="D30" t="str">
        <f>T("67")</f>
        <v>67</v>
      </c>
      <c r="E30" t="str">
        <f>T("아르곤18")</f>
        <v>아르곤18</v>
      </c>
      <c r="H30" t="str">
        <f>T("앰퍼샌드B")</f>
        <v>앰퍼샌드B</v>
      </c>
      <c r="I30" t="str">
        <f>T("혐오 만세")</f>
        <v>혐오 만세</v>
      </c>
      <c r="J30">
        <v>100</v>
      </c>
      <c r="K30">
        <v>106000</v>
      </c>
      <c r="L30">
        <v>1060</v>
      </c>
      <c r="M30">
        <v>0</v>
      </c>
      <c r="N30">
        <v>1400</v>
      </c>
      <c r="O30">
        <v>14</v>
      </c>
      <c r="P30">
        <v>67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-600</v>
      </c>
      <c r="X30">
        <v>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107400</v>
      </c>
      <c r="AH30">
        <v>1141</v>
      </c>
      <c r="AI30">
        <v>-600</v>
      </c>
      <c r="AJ30">
        <v>6</v>
      </c>
      <c r="AK30">
        <v>96673</v>
      </c>
      <c r="AL30">
        <v>-600</v>
      </c>
      <c r="AM30">
        <v>12872.6</v>
      </c>
      <c r="AN30">
        <v>-2652.9</v>
      </c>
      <c r="AO30">
        <v>0</v>
      </c>
      <c r="AP30">
        <v>3120.2</v>
      </c>
      <c r="AQ30">
        <v>-936.06</v>
      </c>
      <c r="AR30">
        <v>0</v>
      </c>
      <c r="AS30">
        <v>9752.4</v>
      </c>
      <c r="AT30">
        <v>-1716.84</v>
      </c>
      <c r="AU30">
        <v>0</v>
      </c>
      <c r="AW30">
        <v>0</v>
      </c>
      <c r="AX30">
        <v>0</v>
      </c>
      <c r="AY30">
        <v>65332.480000000003</v>
      </c>
      <c r="BC30" t="str">
        <f>T("9791137608047")</f>
        <v>9791137608047</v>
      </c>
      <c r="BE30" t="str">
        <f>T("BL 웹소설 &gt; 현대물")</f>
        <v>BL 웹소설 &gt; 현대물</v>
      </c>
    </row>
    <row r="31" spans="1:58" x14ac:dyDescent="0.3">
      <c r="A31">
        <v>2313007027</v>
      </c>
      <c r="B31">
        <v>2313007027</v>
      </c>
      <c r="C31" t="str">
        <f>T("[e북]레이디 스칼렛 1권")</f>
        <v>[e북]레이디 스칼렛 1권</v>
      </c>
      <c r="D31" t="str">
        <f>T("1")</f>
        <v>1</v>
      </c>
      <c r="E31" t="str">
        <f>T("불고기자리")</f>
        <v>불고기자리</v>
      </c>
      <c r="H31" t="str">
        <f>T("블레슈(Blesshuu)")</f>
        <v>블레슈(Blesshuu)</v>
      </c>
      <c r="I31" t="str">
        <f>T("[e북]레이디 스칼렛")</f>
        <v>[e북]레이디 스칼렛</v>
      </c>
      <c r="J31">
        <v>3500</v>
      </c>
      <c r="K31">
        <v>94150</v>
      </c>
      <c r="L31">
        <v>29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94150</v>
      </c>
      <c r="AH31">
        <v>29</v>
      </c>
      <c r="AI31">
        <v>0</v>
      </c>
      <c r="AJ31">
        <v>0</v>
      </c>
      <c r="AK31">
        <v>84520</v>
      </c>
      <c r="AL31">
        <v>0</v>
      </c>
      <c r="AM31">
        <v>11556</v>
      </c>
      <c r="AN31">
        <v>-1155.5999999999999</v>
      </c>
      <c r="AO31">
        <v>0</v>
      </c>
      <c r="AP31"/>
      <c r="AQ31">
        <v>0</v>
      </c>
      <c r="AR31">
        <v>0</v>
      </c>
      <c r="AS31">
        <v>11556</v>
      </c>
      <c r="AT31">
        <v>-1155.5999999999999</v>
      </c>
      <c r="AU31">
        <v>0</v>
      </c>
      <c r="AW31">
        <v>0</v>
      </c>
      <c r="AX31">
        <v>0</v>
      </c>
      <c r="AY31">
        <v>66444.28</v>
      </c>
      <c r="BC31" t="str">
        <f>T("9791159288968")</f>
        <v>9791159288968</v>
      </c>
      <c r="BE31" t="str">
        <f>T("로판 e북 &gt; 서양풍 로판")</f>
        <v>로판 e북 &gt; 서양풍 로판</v>
      </c>
    </row>
    <row r="32" spans="1:58" x14ac:dyDescent="0.3">
      <c r="A32">
        <v>2313020794</v>
      </c>
      <c r="B32">
        <v>2313021500</v>
      </c>
      <c r="C32" t="str">
        <f>T("혐오 만세 85화")</f>
        <v>혐오 만세 85화</v>
      </c>
      <c r="D32" t="str">
        <f>T("85")</f>
        <v>85</v>
      </c>
      <c r="E32" t="str">
        <f t="shared" ref="E32:E75" si="5">T("아르곤18")</f>
        <v>아르곤18</v>
      </c>
      <c r="H32" t="str">
        <f t="shared" ref="H32:H75" si="6">T("앰퍼샌드B")</f>
        <v>앰퍼샌드B</v>
      </c>
      <c r="I32" t="str">
        <f t="shared" ref="I32:I75" si="7">T("혐오 만세")</f>
        <v>혐오 만세</v>
      </c>
      <c r="J32">
        <v>100</v>
      </c>
      <c r="K32">
        <v>93600</v>
      </c>
      <c r="L32">
        <v>936</v>
      </c>
      <c r="M32">
        <v>0</v>
      </c>
      <c r="N32">
        <v>0</v>
      </c>
      <c r="O32">
        <v>0</v>
      </c>
      <c r="P32">
        <v>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-100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93600</v>
      </c>
      <c r="AH32">
        <v>949</v>
      </c>
      <c r="AI32">
        <v>-100</v>
      </c>
      <c r="AJ32">
        <v>1</v>
      </c>
      <c r="AK32">
        <v>86900</v>
      </c>
      <c r="AL32">
        <v>-100</v>
      </c>
      <c r="AM32">
        <v>8040</v>
      </c>
      <c r="AN32">
        <v>-1260</v>
      </c>
      <c r="AO32">
        <v>0</v>
      </c>
      <c r="AP32">
        <v>1800</v>
      </c>
      <c r="AQ32">
        <v>-540</v>
      </c>
      <c r="AR32">
        <v>0</v>
      </c>
      <c r="AS32">
        <v>6240</v>
      </c>
      <c r="AT32">
        <v>-720</v>
      </c>
      <c r="AU32">
        <v>0</v>
      </c>
      <c r="AW32">
        <v>0</v>
      </c>
      <c r="AX32">
        <v>0</v>
      </c>
      <c r="AY32">
        <v>65506</v>
      </c>
      <c r="BC32" t="str">
        <f t="shared" ref="BC32:BC75" si="8">T("9791137608047")</f>
        <v>9791137608047</v>
      </c>
      <c r="BE32" t="str">
        <f t="shared" ref="BE32:BE75" si="9">T("BL 웹소설 &gt; 현대물")</f>
        <v>BL 웹소설 &gt; 현대물</v>
      </c>
    </row>
    <row r="33" spans="1:57" x14ac:dyDescent="0.3">
      <c r="A33">
        <v>2313020794</v>
      </c>
      <c r="B33">
        <v>2313020869</v>
      </c>
      <c r="C33" t="str">
        <f>T("혐오 만세 66화")</f>
        <v>혐오 만세 66화</v>
      </c>
      <c r="D33" t="str">
        <f>T("66")</f>
        <v>66</v>
      </c>
      <c r="E33" t="str">
        <f t="shared" si="5"/>
        <v>아르곤18</v>
      </c>
      <c r="H33" t="str">
        <f t="shared" si="6"/>
        <v>앰퍼샌드B</v>
      </c>
      <c r="I33" t="str">
        <f t="shared" si="7"/>
        <v>혐오 만세</v>
      </c>
      <c r="J33">
        <v>100</v>
      </c>
      <c r="K33">
        <v>90500</v>
      </c>
      <c r="L33">
        <v>905</v>
      </c>
      <c r="M33">
        <v>0</v>
      </c>
      <c r="N33">
        <v>1000</v>
      </c>
      <c r="O33">
        <v>10</v>
      </c>
      <c r="P33">
        <v>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-200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91500</v>
      </c>
      <c r="AH33">
        <v>965</v>
      </c>
      <c r="AI33">
        <v>-200</v>
      </c>
      <c r="AJ33">
        <v>2</v>
      </c>
      <c r="AK33">
        <v>81859</v>
      </c>
      <c r="AL33">
        <v>-200</v>
      </c>
      <c r="AM33">
        <v>11569.4</v>
      </c>
      <c r="AN33">
        <v>-2347.38</v>
      </c>
      <c r="AO33">
        <v>0</v>
      </c>
      <c r="AP33">
        <v>2904.2</v>
      </c>
      <c r="AQ33">
        <v>-871.26</v>
      </c>
      <c r="AR33">
        <v>0</v>
      </c>
      <c r="AS33">
        <v>8665.2000000000007</v>
      </c>
      <c r="AT33">
        <v>-1476.12</v>
      </c>
      <c r="AU33">
        <v>0</v>
      </c>
      <c r="AW33">
        <v>0</v>
      </c>
      <c r="AX33">
        <v>0</v>
      </c>
      <c r="AY33">
        <v>56053.31</v>
      </c>
      <c r="BC33" t="str">
        <f t="shared" si="8"/>
        <v>9791137608047</v>
      </c>
      <c r="BE33" t="str">
        <f t="shared" si="9"/>
        <v>BL 웹소설 &gt; 현대물</v>
      </c>
    </row>
    <row r="34" spans="1:57" x14ac:dyDescent="0.3">
      <c r="A34">
        <v>2313020794</v>
      </c>
      <c r="B34">
        <v>2313020860</v>
      </c>
      <c r="C34" t="str">
        <f>T("혐오 만세 59화")</f>
        <v>혐오 만세 59화</v>
      </c>
      <c r="D34" t="str">
        <f>T("59")</f>
        <v>59</v>
      </c>
      <c r="E34" t="str">
        <f t="shared" si="5"/>
        <v>아르곤18</v>
      </c>
      <c r="H34" t="str">
        <f t="shared" si="6"/>
        <v>앰퍼샌드B</v>
      </c>
      <c r="I34" t="str">
        <f t="shared" si="7"/>
        <v>혐오 만세</v>
      </c>
      <c r="J34">
        <v>100</v>
      </c>
      <c r="K34">
        <v>84100</v>
      </c>
      <c r="L34">
        <v>841</v>
      </c>
      <c r="M34">
        <v>0</v>
      </c>
      <c r="N34">
        <v>200</v>
      </c>
      <c r="O34">
        <v>2</v>
      </c>
      <c r="P34">
        <v>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-100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84300</v>
      </c>
      <c r="AH34">
        <v>862</v>
      </c>
      <c r="AI34">
        <v>-100</v>
      </c>
      <c r="AJ34">
        <v>1</v>
      </c>
      <c r="AK34">
        <v>75308</v>
      </c>
      <c r="AL34">
        <v>-100</v>
      </c>
      <c r="AM34">
        <v>10790.4</v>
      </c>
      <c r="AN34">
        <v>-2156.64</v>
      </c>
      <c r="AO34">
        <v>0</v>
      </c>
      <c r="AP34">
        <v>2520</v>
      </c>
      <c r="AQ34">
        <v>-756</v>
      </c>
      <c r="AR34">
        <v>0</v>
      </c>
      <c r="AS34">
        <v>8270.4</v>
      </c>
      <c r="AT34">
        <v>-1400.64</v>
      </c>
      <c r="AU34">
        <v>0</v>
      </c>
      <c r="AW34">
        <v>0</v>
      </c>
      <c r="AX34">
        <v>0</v>
      </c>
      <c r="AY34">
        <v>51924.08</v>
      </c>
      <c r="BC34" t="str">
        <f t="shared" si="8"/>
        <v>9791137608047</v>
      </c>
      <c r="BE34" t="str">
        <f t="shared" si="9"/>
        <v>BL 웹소설 &gt; 현대물</v>
      </c>
    </row>
    <row r="35" spans="1:57" x14ac:dyDescent="0.3">
      <c r="A35">
        <v>2313020794</v>
      </c>
      <c r="B35">
        <v>2313020851</v>
      </c>
      <c r="C35" t="str">
        <f>T("혐오 만세 50화")</f>
        <v>혐오 만세 50화</v>
      </c>
      <c r="D35" t="str">
        <f>T("50")</f>
        <v>50</v>
      </c>
      <c r="E35" t="str">
        <f t="shared" si="5"/>
        <v>아르곤18</v>
      </c>
      <c r="H35" t="str">
        <f t="shared" si="6"/>
        <v>앰퍼샌드B</v>
      </c>
      <c r="I35" t="str">
        <f t="shared" si="7"/>
        <v>혐오 만세</v>
      </c>
      <c r="J35">
        <v>100</v>
      </c>
      <c r="K35">
        <v>83700</v>
      </c>
      <c r="L35">
        <v>837</v>
      </c>
      <c r="M35">
        <v>0</v>
      </c>
      <c r="N35">
        <v>100</v>
      </c>
      <c r="O35">
        <v>1</v>
      </c>
      <c r="P35">
        <v>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-300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83800</v>
      </c>
      <c r="AH35">
        <v>862</v>
      </c>
      <c r="AI35">
        <v>-300</v>
      </c>
      <c r="AJ35">
        <v>3</v>
      </c>
      <c r="AK35">
        <v>75258</v>
      </c>
      <c r="AL35">
        <v>-300</v>
      </c>
      <c r="AM35">
        <v>10250.4</v>
      </c>
      <c r="AN35">
        <v>-1982.64</v>
      </c>
      <c r="AO35">
        <v>0</v>
      </c>
      <c r="AP35">
        <v>2040</v>
      </c>
      <c r="AQ35">
        <v>-612</v>
      </c>
      <c r="AR35">
        <v>0</v>
      </c>
      <c r="AS35">
        <v>8210.4</v>
      </c>
      <c r="AT35">
        <v>-1370.64</v>
      </c>
      <c r="AU35">
        <v>0</v>
      </c>
      <c r="AW35">
        <v>0</v>
      </c>
      <c r="AX35">
        <v>0</v>
      </c>
      <c r="AY35">
        <v>51516.88</v>
      </c>
      <c r="BC35" t="str">
        <f t="shared" si="8"/>
        <v>9791137608047</v>
      </c>
      <c r="BE35" t="str">
        <f t="shared" si="9"/>
        <v>BL 웹소설 &gt; 현대물</v>
      </c>
    </row>
    <row r="36" spans="1:57" x14ac:dyDescent="0.3">
      <c r="A36">
        <v>2313020794</v>
      </c>
      <c r="B36">
        <v>2313020861</v>
      </c>
      <c r="C36" t="str">
        <f>T("혐오 만세 60화")</f>
        <v>혐오 만세 60화</v>
      </c>
      <c r="D36" t="str">
        <f>T("60")</f>
        <v>60</v>
      </c>
      <c r="E36" t="str">
        <f t="shared" si="5"/>
        <v>아르곤18</v>
      </c>
      <c r="H36" t="str">
        <f t="shared" si="6"/>
        <v>앰퍼샌드B</v>
      </c>
      <c r="I36" t="str">
        <f t="shared" si="7"/>
        <v>혐오 만세</v>
      </c>
      <c r="J36">
        <v>100</v>
      </c>
      <c r="K36">
        <v>83400</v>
      </c>
      <c r="L36">
        <v>834</v>
      </c>
      <c r="M36">
        <v>0</v>
      </c>
      <c r="N36">
        <v>300</v>
      </c>
      <c r="O36">
        <v>3</v>
      </c>
      <c r="P36">
        <v>20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-100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83700</v>
      </c>
      <c r="AH36">
        <v>857</v>
      </c>
      <c r="AI36">
        <v>-100</v>
      </c>
      <c r="AJ36">
        <v>1</v>
      </c>
      <c r="AK36">
        <v>74728</v>
      </c>
      <c r="AL36">
        <v>-100</v>
      </c>
      <c r="AM36">
        <v>10766.4</v>
      </c>
      <c r="AN36">
        <v>-2070.2399999999998</v>
      </c>
      <c r="AO36">
        <v>0</v>
      </c>
      <c r="AP36">
        <v>2400</v>
      </c>
      <c r="AQ36">
        <v>-720</v>
      </c>
      <c r="AR36">
        <v>0</v>
      </c>
      <c r="AS36">
        <v>8366.4</v>
      </c>
      <c r="AT36">
        <v>-1350.24</v>
      </c>
      <c r="AU36">
        <v>0</v>
      </c>
      <c r="AW36">
        <v>0</v>
      </c>
      <c r="AX36">
        <v>0</v>
      </c>
      <c r="AY36">
        <v>51547.519999999997</v>
      </c>
      <c r="BC36" t="str">
        <f t="shared" si="8"/>
        <v>9791137608047</v>
      </c>
      <c r="BE36" t="str">
        <f t="shared" si="9"/>
        <v>BL 웹소설 &gt; 현대물</v>
      </c>
    </row>
    <row r="37" spans="1:57" x14ac:dyDescent="0.3">
      <c r="A37">
        <v>2313020794</v>
      </c>
      <c r="B37">
        <v>2313020833</v>
      </c>
      <c r="C37" t="str">
        <f>T("혐오 만세 40화")</f>
        <v>혐오 만세 40화</v>
      </c>
      <c r="D37" t="str">
        <f>T("40")</f>
        <v>40</v>
      </c>
      <c r="E37" t="str">
        <f t="shared" si="5"/>
        <v>아르곤18</v>
      </c>
      <c r="H37" t="str">
        <f t="shared" si="6"/>
        <v>앰퍼샌드B</v>
      </c>
      <c r="I37" t="str">
        <f t="shared" si="7"/>
        <v>혐오 만세</v>
      </c>
      <c r="J37">
        <v>100</v>
      </c>
      <c r="K37">
        <v>82800</v>
      </c>
      <c r="L37">
        <v>828</v>
      </c>
      <c r="M37">
        <v>0</v>
      </c>
      <c r="N37">
        <v>200</v>
      </c>
      <c r="O37">
        <v>2</v>
      </c>
      <c r="P37">
        <v>28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-400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83000</v>
      </c>
      <c r="AH37">
        <v>858</v>
      </c>
      <c r="AI37">
        <v>-400</v>
      </c>
      <c r="AJ37">
        <v>4</v>
      </c>
      <c r="AK37">
        <v>74660</v>
      </c>
      <c r="AL37">
        <v>-400</v>
      </c>
      <c r="AM37">
        <v>10008</v>
      </c>
      <c r="AN37">
        <v>-1982.4</v>
      </c>
      <c r="AO37">
        <v>0</v>
      </c>
      <c r="AP37">
        <v>2040</v>
      </c>
      <c r="AQ37">
        <v>-612</v>
      </c>
      <c r="AR37">
        <v>0</v>
      </c>
      <c r="AS37">
        <v>7968</v>
      </c>
      <c r="AT37">
        <v>-1370.4</v>
      </c>
      <c r="AU37">
        <v>0</v>
      </c>
      <c r="AW37">
        <v>0</v>
      </c>
      <c r="AX37">
        <v>0</v>
      </c>
      <c r="AY37">
        <v>51053.58</v>
      </c>
      <c r="BC37" t="str">
        <f t="shared" si="8"/>
        <v>9791137608047</v>
      </c>
      <c r="BE37" t="str">
        <f t="shared" si="9"/>
        <v>BL 웹소설 &gt; 현대물</v>
      </c>
    </row>
    <row r="38" spans="1:57" x14ac:dyDescent="0.3">
      <c r="A38">
        <v>2313020794</v>
      </c>
      <c r="B38">
        <v>2313020825</v>
      </c>
      <c r="C38" t="str">
        <f>T("혐오 만세 32화")</f>
        <v>혐오 만세 32화</v>
      </c>
      <c r="D38" t="str">
        <f>T("32")</f>
        <v>32</v>
      </c>
      <c r="E38" t="str">
        <f t="shared" si="5"/>
        <v>아르곤18</v>
      </c>
      <c r="H38" t="str">
        <f t="shared" si="6"/>
        <v>앰퍼샌드B</v>
      </c>
      <c r="I38" t="str">
        <f t="shared" si="7"/>
        <v>혐오 만세</v>
      </c>
      <c r="J38">
        <v>100</v>
      </c>
      <c r="K38">
        <v>82000</v>
      </c>
      <c r="L38">
        <v>820</v>
      </c>
      <c r="M38">
        <v>0</v>
      </c>
      <c r="N38">
        <v>1000</v>
      </c>
      <c r="O38">
        <v>10</v>
      </c>
      <c r="P38">
        <v>21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-200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83000</v>
      </c>
      <c r="AH38">
        <v>851</v>
      </c>
      <c r="AI38">
        <v>-200</v>
      </c>
      <c r="AJ38">
        <v>2</v>
      </c>
      <c r="AK38">
        <v>74519</v>
      </c>
      <c r="AL38">
        <v>-200</v>
      </c>
      <c r="AM38">
        <v>10177.200000000001</v>
      </c>
      <c r="AN38">
        <v>-2104.92</v>
      </c>
      <c r="AO38">
        <v>0</v>
      </c>
      <c r="AP38">
        <v>2088</v>
      </c>
      <c r="AQ38">
        <v>-626.4</v>
      </c>
      <c r="AR38">
        <v>0</v>
      </c>
      <c r="AS38">
        <v>8089.2</v>
      </c>
      <c r="AT38">
        <v>-1478.52</v>
      </c>
      <c r="AU38">
        <v>0</v>
      </c>
      <c r="AW38">
        <v>0</v>
      </c>
      <c r="AX38">
        <v>0</v>
      </c>
      <c r="AY38">
        <v>51178.59</v>
      </c>
      <c r="BC38" t="str">
        <f t="shared" si="8"/>
        <v>9791137608047</v>
      </c>
      <c r="BE38" t="str">
        <f t="shared" si="9"/>
        <v>BL 웹소설 &gt; 현대물</v>
      </c>
    </row>
    <row r="39" spans="1:57" x14ac:dyDescent="0.3">
      <c r="A39">
        <v>2313020794</v>
      </c>
      <c r="B39">
        <v>2313020820</v>
      </c>
      <c r="C39" t="str">
        <f>T("혐오 만세 27화")</f>
        <v>혐오 만세 27화</v>
      </c>
      <c r="D39" t="str">
        <f>T("27")</f>
        <v>27</v>
      </c>
      <c r="E39" t="str">
        <f t="shared" si="5"/>
        <v>아르곤18</v>
      </c>
      <c r="H39" t="str">
        <f t="shared" si="6"/>
        <v>앰퍼샌드B</v>
      </c>
      <c r="I39" t="str">
        <f t="shared" si="7"/>
        <v>혐오 만세</v>
      </c>
      <c r="J39">
        <v>100</v>
      </c>
      <c r="K39">
        <v>81900</v>
      </c>
      <c r="L39">
        <v>819</v>
      </c>
      <c r="M39">
        <v>0</v>
      </c>
      <c r="N39">
        <v>600</v>
      </c>
      <c r="O39">
        <v>6</v>
      </c>
      <c r="P39">
        <v>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-200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82500</v>
      </c>
      <c r="AH39">
        <v>853</v>
      </c>
      <c r="AI39">
        <v>-200</v>
      </c>
      <c r="AJ39">
        <v>2</v>
      </c>
      <c r="AK39">
        <v>74208</v>
      </c>
      <c r="AL39">
        <v>-200</v>
      </c>
      <c r="AM39">
        <v>9950.4</v>
      </c>
      <c r="AN39">
        <v>-2052</v>
      </c>
      <c r="AO39">
        <v>0</v>
      </c>
      <c r="AP39">
        <v>2160</v>
      </c>
      <c r="AQ39">
        <v>-648</v>
      </c>
      <c r="AR39">
        <v>0</v>
      </c>
      <c r="AS39">
        <v>7790.4</v>
      </c>
      <c r="AT39">
        <v>-1404</v>
      </c>
      <c r="AU39">
        <v>0</v>
      </c>
      <c r="AW39">
        <v>0</v>
      </c>
      <c r="AX39">
        <v>0</v>
      </c>
      <c r="AY39">
        <v>50702.47</v>
      </c>
      <c r="BC39" t="str">
        <f t="shared" si="8"/>
        <v>9791137608047</v>
      </c>
      <c r="BE39" t="str">
        <f t="shared" si="9"/>
        <v>BL 웹소설 &gt; 현대물</v>
      </c>
    </row>
    <row r="40" spans="1:57" x14ac:dyDescent="0.3">
      <c r="A40">
        <v>2313020794</v>
      </c>
      <c r="B40">
        <v>2313020852</v>
      </c>
      <c r="C40" t="str">
        <f>T("혐오 만세 51화")</f>
        <v>혐오 만세 51화</v>
      </c>
      <c r="D40" t="str">
        <f>T("51")</f>
        <v>51</v>
      </c>
      <c r="E40" t="str">
        <f t="shared" si="5"/>
        <v>아르곤18</v>
      </c>
      <c r="H40" t="str">
        <f t="shared" si="6"/>
        <v>앰퍼샌드B</v>
      </c>
      <c r="I40" t="str">
        <f t="shared" si="7"/>
        <v>혐오 만세</v>
      </c>
      <c r="J40">
        <v>100</v>
      </c>
      <c r="K40">
        <v>81900</v>
      </c>
      <c r="L40">
        <v>819</v>
      </c>
      <c r="M40">
        <v>0</v>
      </c>
      <c r="N40">
        <v>700</v>
      </c>
      <c r="O40">
        <v>7</v>
      </c>
      <c r="P40">
        <v>16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-300</v>
      </c>
      <c r="X40">
        <v>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82600</v>
      </c>
      <c r="AH40">
        <v>842</v>
      </c>
      <c r="AI40">
        <v>-300</v>
      </c>
      <c r="AJ40">
        <v>3</v>
      </c>
      <c r="AK40">
        <v>74168</v>
      </c>
      <c r="AL40">
        <v>-300</v>
      </c>
      <c r="AM40">
        <v>10118.4</v>
      </c>
      <c r="AN40">
        <v>-2015.04</v>
      </c>
      <c r="AO40">
        <v>0</v>
      </c>
      <c r="AP40">
        <v>2136</v>
      </c>
      <c r="AQ40">
        <v>-640.79999999999995</v>
      </c>
      <c r="AR40">
        <v>0</v>
      </c>
      <c r="AS40">
        <v>7982.4</v>
      </c>
      <c r="AT40">
        <v>-1374.24</v>
      </c>
      <c r="AU40">
        <v>0</v>
      </c>
      <c r="AW40">
        <v>0</v>
      </c>
      <c r="AX40">
        <v>0</v>
      </c>
      <c r="AY40">
        <v>50682.8</v>
      </c>
      <c r="BC40" t="str">
        <f t="shared" si="8"/>
        <v>9791137608047</v>
      </c>
      <c r="BE40" t="str">
        <f t="shared" si="9"/>
        <v>BL 웹소설 &gt; 현대물</v>
      </c>
    </row>
    <row r="41" spans="1:57" x14ac:dyDescent="0.3">
      <c r="A41">
        <v>2313020794</v>
      </c>
      <c r="B41">
        <v>2313020865</v>
      </c>
      <c r="C41" t="str">
        <f>T("혐오 만세 64화")</f>
        <v>혐오 만세 64화</v>
      </c>
      <c r="D41" t="str">
        <f>T("64")</f>
        <v>64</v>
      </c>
      <c r="E41" t="str">
        <f t="shared" si="5"/>
        <v>아르곤18</v>
      </c>
      <c r="H41" t="str">
        <f t="shared" si="6"/>
        <v>앰퍼샌드B</v>
      </c>
      <c r="I41" t="str">
        <f t="shared" si="7"/>
        <v>혐오 만세</v>
      </c>
      <c r="J41">
        <v>100</v>
      </c>
      <c r="K41">
        <v>81900</v>
      </c>
      <c r="L41">
        <v>819</v>
      </c>
      <c r="M41">
        <v>0</v>
      </c>
      <c r="N41">
        <v>700</v>
      </c>
      <c r="O41">
        <v>7</v>
      </c>
      <c r="P41">
        <v>14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-100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82600</v>
      </c>
      <c r="AH41">
        <v>840</v>
      </c>
      <c r="AI41">
        <v>-100</v>
      </c>
      <c r="AJ41">
        <v>1</v>
      </c>
      <c r="AK41">
        <v>73869</v>
      </c>
      <c r="AL41">
        <v>-100</v>
      </c>
      <c r="AM41">
        <v>10477.200000000001</v>
      </c>
      <c r="AN41">
        <v>-2067.7199999999998</v>
      </c>
      <c r="AO41">
        <v>0</v>
      </c>
      <c r="AP41">
        <v>2232</v>
      </c>
      <c r="AQ41">
        <v>-669.6</v>
      </c>
      <c r="AR41">
        <v>0</v>
      </c>
      <c r="AS41">
        <v>8245.2000000000007</v>
      </c>
      <c r="AT41">
        <v>-1398.12</v>
      </c>
      <c r="AU41">
        <v>0</v>
      </c>
      <c r="AW41">
        <v>0</v>
      </c>
      <c r="AX41">
        <v>0</v>
      </c>
      <c r="AY41">
        <v>50789.39</v>
      </c>
      <c r="BC41" t="str">
        <f t="shared" si="8"/>
        <v>9791137608047</v>
      </c>
      <c r="BE41" t="str">
        <f t="shared" si="9"/>
        <v>BL 웹소설 &gt; 현대물</v>
      </c>
    </row>
    <row r="42" spans="1:57" x14ac:dyDescent="0.3">
      <c r="A42">
        <v>2313020794</v>
      </c>
      <c r="B42">
        <v>2313020832</v>
      </c>
      <c r="C42" t="str">
        <f>T("혐오 만세 39화")</f>
        <v>혐오 만세 39화</v>
      </c>
      <c r="D42" t="str">
        <f>T("39")</f>
        <v>39</v>
      </c>
      <c r="E42" t="str">
        <f t="shared" si="5"/>
        <v>아르곤18</v>
      </c>
      <c r="H42" t="str">
        <f t="shared" si="6"/>
        <v>앰퍼샌드B</v>
      </c>
      <c r="I42" t="str">
        <f t="shared" si="7"/>
        <v>혐오 만세</v>
      </c>
      <c r="J42">
        <v>100</v>
      </c>
      <c r="K42">
        <v>81800</v>
      </c>
      <c r="L42">
        <v>818</v>
      </c>
      <c r="M42">
        <v>0</v>
      </c>
      <c r="N42">
        <v>200</v>
      </c>
      <c r="O42">
        <v>2</v>
      </c>
      <c r="P42">
        <v>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-400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82000</v>
      </c>
      <c r="AH42">
        <v>836</v>
      </c>
      <c r="AI42">
        <v>-400</v>
      </c>
      <c r="AJ42">
        <v>4</v>
      </c>
      <c r="AK42">
        <v>73754</v>
      </c>
      <c r="AL42">
        <v>-400</v>
      </c>
      <c r="AM42">
        <v>9895.2000000000007</v>
      </c>
      <c r="AN42">
        <v>-2043.12</v>
      </c>
      <c r="AO42">
        <v>0</v>
      </c>
      <c r="AP42">
        <v>2040</v>
      </c>
      <c r="AQ42">
        <v>-612</v>
      </c>
      <c r="AR42">
        <v>0</v>
      </c>
      <c r="AS42">
        <v>7855.2</v>
      </c>
      <c r="AT42">
        <v>-1431.12</v>
      </c>
      <c r="AU42">
        <v>0</v>
      </c>
      <c r="AW42">
        <v>0</v>
      </c>
      <c r="AX42">
        <v>0</v>
      </c>
      <c r="AY42">
        <v>50371.92</v>
      </c>
      <c r="BC42" t="str">
        <f t="shared" si="8"/>
        <v>9791137608047</v>
      </c>
      <c r="BE42" t="str">
        <f t="shared" si="9"/>
        <v>BL 웹소설 &gt; 현대물</v>
      </c>
    </row>
    <row r="43" spans="1:57" x14ac:dyDescent="0.3">
      <c r="A43">
        <v>2313020794</v>
      </c>
      <c r="B43">
        <v>2313020819</v>
      </c>
      <c r="C43" t="str">
        <f>T("혐오 만세 26화")</f>
        <v>혐오 만세 26화</v>
      </c>
      <c r="D43" t="str">
        <f>T("26")</f>
        <v>26</v>
      </c>
      <c r="E43" t="str">
        <f t="shared" si="5"/>
        <v>아르곤18</v>
      </c>
      <c r="H43" t="str">
        <f t="shared" si="6"/>
        <v>앰퍼샌드B</v>
      </c>
      <c r="I43" t="str">
        <f t="shared" si="7"/>
        <v>혐오 만세</v>
      </c>
      <c r="J43">
        <v>100</v>
      </c>
      <c r="K43">
        <v>81400</v>
      </c>
      <c r="L43">
        <v>814</v>
      </c>
      <c r="M43">
        <v>0</v>
      </c>
      <c r="N43">
        <v>1200</v>
      </c>
      <c r="O43">
        <v>12</v>
      </c>
      <c r="P43">
        <v>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-200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82600</v>
      </c>
      <c r="AH43">
        <v>860</v>
      </c>
      <c r="AI43">
        <v>-200</v>
      </c>
      <c r="AJ43">
        <v>2</v>
      </c>
      <c r="AK43">
        <v>74308</v>
      </c>
      <c r="AL43">
        <v>-200</v>
      </c>
      <c r="AM43">
        <v>9950.4</v>
      </c>
      <c r="AN43">
        <v>-2052</v>
      </c>
      <c r="AO43">
        <v>0</v>
      </c>
      <c r="AP43">
        <v>2160</v>
      </c>
      <c r="AQ43">
        <v>-648</v>
      </c>
      <c r="AR43">
        <v>0</v>
      </c>
      <c r="AS43">
        <v>7790.4</v>
      </c>
      <c r="AT43">
        <v>-1404</v>
      </c>
      <c r="AU43">
        <v>0</v>
      </c>
      <c r="AW43">
        <v>0</v>
      </c>
      <c r="AX43">
        <v>0</v>
      </c>
      <c r="AY43">
        <v>50771.67</v>
      </c>
      <c r="BC43" t="str">
        <f t="shared" si="8"/>
        <v>9791137608047</v>
      </c>
      <c r="BE43" t="str">
        <f t="shared" si="9"/>
        <v>BL 웹소설 &gt; 현대물</v>
      </c>
    </row>
    <row r="44" spans="1:57" x14ac:dyDescent="0.3">
      <c r="A44">
        <v>2313020794</v>
      </c>
      <c r="B44">
        <v>2313020823</v>
      </c>
      <c r="C44" t="str">
        <f>T("혐오 만세 30화")</f>
        <v>혐오 만세 30화</v>
      </c>
      <c r="D44" t="str">
        <f>T("30")</f>
        <v>30</v>
      </c>
      <c r="E44" t="str">
        <f t="shared" si="5"/>
        <v>아르곤18</v>
      </c>
      <c r="H44" t="str">
        <f t="shared" si="6"/>
        <v>앰퍼샌드B</v>
      </c>
      <c r="I44" t="str">
        <f t="shared" si="7"/>
        <v>혐오 만세</v>
      </c>
      <c r="J44">
        <v>100</v>
      </c>
      <c r="K44">
        <v>81400</v>
      </c>
      <c r="L44">
        <v>814</v>
      </c>
      <c r="M44">
        <v>0</v>
      </c>
      <c r="N44">
        <v>500</v>
      </c>
      <c r="O44">
        <v>5</v>
      </c>
      <c r="P44">
        <v>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-200</v>
      </c>
      <c r="X44">
        <v>2</v>
      </c>
      <c r="Y44">
        <v>-100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81900</v>
      </c>
      <c r="AH44">
        <v>853</v>
      </c>
      <c r="AI44">
        <v>-300</v>
      </c>
      <c r="AJ44">
        <v>3</v>
      </c>
      <c r="AK44">
        <v>73963</v>
      </c>
      <c r="AL44">
        <v>-300</v>
      </c>
      <c r="AM44">
        <v>9524.4</v>
      </c>
      <c r="AN44">
        <v>-2009.4</v>
      </c>
      <c r="AO44">
        <v>0</v>
      </c>
      <c r="AP44">
        <v>2160</v>
      </c>
      <c r="AQ44">
        <v>-648</v>
      </c>
      <c r="AR44">
        <v>0</v>
      </c>
      <c r="AS44">
        <v>7364.4</v>
      </c>
      <c r="AT44">
        <v>-1361.4</v>
      </c>
      <c r="AU44">
        <v>0</v>
      </c>
      <c r="AW44">
        <v>0</v>
      </c>
      <c r="AX44">
        <v>0</v>
      </c>
      <c r="AY44">
        <v>50202.23</v>
      </c>
      <c r="BC44" t="str">
        <f t="shared" si="8"/>
        <v>9791137608047</v>
      </c>
      <c r="BE44" t="str">
        <f t="shared" si="9"/>
        <v>BL 웹소설 &gt; 현대물</v>
      </c>
    </row>
    <row r="45" spans="1:57" x14ac:dyDescent="0.3">
      <c r="A45">
        <v>2313020794</v>
      </c>
      <c r="B45">
        <v>2313020822</v>
      </c>
      <c r="C45" t="str">
        <f>T("혐오 만세 29화")</f>
        <v>혐오 만세 29화</v>
      </c>
      <c r="D45" t="str">
        <f>T("29")</f>
        <v>29</v>
      </c>
      <c r="E45" t="str">
        <f t="shared" si="5"/>
        <v>아르곤18</v>
      </c>
      <c r="H45" t="str">
        <f t="shared" si="6"/>
        <v>앰퍼샌드B</v>
      </c>
      <c r="I45" t="str">
        <f t="shared" si="7"/>
        <v>혐오 만세</v>
      </c>
      <c r="J45">
        <v>100</v>
      </c>
      <c r="K45">
        <v>81200</v>
      </c>
      <c r="L45">
        <v>812</v>
      </c>
      <c r="M45">
        <v>0</v>
      </c>
      <c r="N45">
        <v>500</v>
      </c>
      <c r="O45">
        <v>5</v>
      </c>
      <c r="P45">
        <v>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-200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81700</v>
      </c>
      <c r="AH45">
        <v>840</v>
      </c>
      <c r="AI45">
        <v>-200</v>
      </c>
      <c r="AJ45">
        <v>2</v>
      </c>
      <c r="AK45">
        <v>73343</v>
      </c>
      <c r="AL45">
        <v>-200</v>
      </c>
      <c r="AM45">
        <v>10028.4</v>
      </c>
      <c r="AN45">
        <v>-2083.8000000000002</v>
      </c>
      <c r="AO45">
        <v>0</v>
      </c>
      <c r="AP45">
        <v>2280</v>
      </c>
      <c r="AQ45">
        <v>-684</v>
      </c>
      <c r="AR45">
        <v>0</v>
      </c>
      <c r="AS45">
        <v>7748.4</v>
      </c>
      <c r="AT45">
        <v>-1399.8</v>
      </c>
      <c r="AU45">
        <v>0</v>
      </c>
      <c r="AW45">
        <v>0</v>
      </c>
      <c r="AX45">
        <v>0</v>
      </c>
      <c r="AY45">
        <v>50179.59</v>
      </c>
      <c r="BC45" t="str">
        <f t="shared" si="8"/>
        <v>9791137608047</v>
      </c>
      <c r="BE45" t="str">
        <f t="shared" si="9"/>
        <v>BL 웹소설 &gt; 현대물</v>
      </c>
    </row>
    <row r="46" spans="1:57" x14ac:dyDescent="0.3">
      <c r="A46">
        <v>2313020794</v>
      </c>
      <c r="B46">
        <v>2313020859</v>
      </c>
      <c r="C46" t="str">
        <f>T("혐오 만세 58화")</f>
        <v>혐오 만세 58화</v>
      </c>
      <c r="D46" t="str">
        <f>T("58")</f>
        <v>58</v>
      </c>
      <c r="E46" t="str">
        <f t="shared" si="5"/>
        <v>아르곤18</v>
      </c>
      <c r="H46" t="str">
        <f t="shared" si="6"/>
        <v>앰퍼샌드B</v>
      </c>
      <c r="I46" t="str">
        <f t="shared" si="7"/>
        <v>혐오 만세</v>
      </c>
      <c r="J46">
        <v>100</v>
      </c>
      <c r="K46">
        <v>81200</v>
      </c>
      <c r="L46">
        <v>812</v>
      </c>
      <c r="M46">
        <v>0</v>
      </c>
      <c r="N46">
        <v>400</v>
      </c>
      <c r="O46">
        <v>4</v>
      </c>
      <c r="P46">
        <v>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-200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81600</v>
      </c>
      <c r="AH46">
        <v>830</v>
      </c>
      <c r="AI46">
        <v>-200</v>
      </c>
      <c r="AJ46">
        <v>2</v>
      </c>
      <c r="AK46">
        <v>72888</v>
      </c>
      <c r="AL46">
        <v>-200</v>
      </c>
      <c r="AM46">
        <v>10454.4</v>
      </c>
      <c r="AN46">
        <v>-2058.2399999999998</v>
      </c>
      <c r="AO46">
        <v>0</v>
      </c>
      <c r="AP46">
        <v>2280</v>
      </c>
      <c r="AQ46">
        <v>-684</v>
      </c>
      <c r="AR46">
        <v>0</v>
      </c>
      <c r="AS46">
        <v>8174.4</v>
      </c>
      <c r="AT46">
        <v>-1374.24</v>
      </c>
      <c r="AU46">
        <v>0</v>
      </c>
      <c r="AW46">
        <v>0</v>
      </c>
      <c r="AX46">
        <v>0</v>
      </c>
      <c r="AY46">
        <v>50201.919999999998</v>
      </c>
      <c r="BC46" t="str">
        <f t="shared" si="8"/>
        <v>9791137608047</v>
      </c>
      <c r="BE46" t="str">
        <f t="shared" si="9"/>
        <v>BL 웹소설 &gt; 현대물</v>
      </c>
    </row>
    <row r="47" spans="1:57" x14ac:dyDescent="0.3">
      <c r="A47">
        <v>2313020794</v>
      </c>
      <c r="B47">
        <v>2313020831</v>
      </c>
      <c r="C47" t="str">
        <f>T("혐오 만세 38화")</f>
        <v>혐오 만세 38화</v>
      </c>
      <c r="D47" t="str">
        <f>T("38")</f>
        <v>38</v>
      </c>
      <c r="E47" t="str">
        <f t="shared" si="5"/>
        <v>아르곤18</v>
      </c>
      <c r="H47" t="str">
        <f t="shared" si="6"/>
        <v>앰퍼샌드B</v>
      </c>
      <c r="I47" t="str">
        <f t="shared" si="7"/>
        <v>혐오 만세</v>
      </c>
      <c r="J47">
        <v>100</v>
      </c>
      <c r="K47">
        <v>80600</v>
      </c>
      <c r="L47">
        <v>806</v>
      </c>
      <c r="M47">
        <v>0</v>
      </c>
      <c r="N47">
        <v>700</v>
      </c>
      <c r="O47">
        <v>7</v>
      </c>
      <c r="P47">
        <v>30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-400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81300</v>
      </c>
      <c r="AH47">
        <v>843</v>
      </c>
      <c r="AI47">
        <v>-400</v>
      </c>
      <c r="AJ47">
        <v>4</v>
      </c>
      <c r="AK47">
        <v>73310</v>
      </c>
      <c r="AL47">
        <v>-400</v>
      </c>
      <c r="AM47">
        <v>9588</v>
      </c>
      <c r="AN47">
        <v>-1959.6</v>
      </c>
      <c r="AO47">
        <v>0</v>
      </c>
      <c r="AP47">
        <v>1920</v>
      </c>
      <c r="AQ47">
        <v>-576</v>
      </c>
      <c r="AR47">
        <v>0</v>
      </c>
      <c r="AS47">
        <v>7668</v>
      </c>
      <c r="AT47">
        <v>-1383.6</v>
      </c>
      <c r="AU47">
        <v>0</v>
      </c>
      <c r="AW47">
        <v>0</v>
      </c>
      <c r="AX47">
        <v>0</v>
      </c>
      <c r="AY47">
        <v>49961.02</v>
      </c>
      <c r="BC47" t="str">
        <f t="shared" si="8"/>
        <v>9791137608047</v>
      </c>
      <c r="BE47" t="str">
        <f t="shared" si="9"/>
        <v>BL 웹소설 &gt; 현대물</v>
      </c>
    </row>
    <row r="48" spans="1:57" x14ac:dyDescent="0.3">
      <c r="A48">
        <v>2313020794</v>
      </c>
      <c r="B48">
        <v>2313021501</v>
      </c>
      <c r="C48" t="str">
        <f>T("혐오 만세 86화")</f>
        <v>혐오 만세 86화</v>
      </c>
      <c r="D48" t="str">
        <f>T("86")</f>
        <v>86</v>
      </c>
      <c r="E48" t="str">
        <f t="shared" si="5"/>
        <v>아르곤18</v>
      </c>
      <c r="H48" t="str">
        <f t="shared" si="6"/>
        <v>앰퍼샌드B</v>
      </c>
      <c r="I48" t="str">
        <f t="shared" si="7"/>
        <v>혐오 만세</v>
      </c>
      <c r="J48">
        <v>100</v>
      </c>
      <c r="K48">
        <v>80600</v>
      </c>
      <c r="L48">
        <v>806</v>
      </c>
      <c r="M48">
        <v>0</v>
      </c>
      <c r="N48">
        <v>0</v>
      </c>
      <c r="O48">
        <v>0</v>
      </c>
      <c r="P48">
        <v>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-100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80600</v>
      </c>
      <c r="AH48">
        <v>815</v>
      </c>
      <c r="AI48">
        <v>-100</v>
      </c>
      <c r="AJ48">
        <v>1</v>
      </c>
      <c r="AK48">
        <v>75270</v>
      </c>
      <c r="AL48">
        <v>-100</v>
      </c>
      <c r="AM48">
        <v>6396</v>
      </c>
      <c r="AN48">
        <v>-1047.5999999999999</v>
      </c>
      <c r="AO48">
        <v>0</v>
      </c>
      <c r="AP48">
        <v>1680</v>
      </c>
      <c r="AQ48">
        <v>-504</v>
      </c>
      <c r="AR48">
        <v>0</v>
      </c>
      <c r="AS48">
        <v>4716</v>
      </c>
      <c r="AT48">
        <v>-543.6</v>
      </c>
      <c r="AU48">
        <v>0</v>
      </c>
      <c r="AW48">
        <v>0</v>
      </c>
      <c r="AX48">
        <v>0</v>
      </c>
      <c r="AY48">
        <v>56362.879999999997</v>
      </c>
      <c r="BC48" t="str">
        <f t="shared" si="8"/>
        <v>9791137608047</v>
      </c>
      <c r="BE48" t="str">
        <f t="shared" si="9"/>
        <v>BL 웹소설 &gt; 현대물</v>
      </c>
    </row>
    <row r="49" spans="1:57" x14ac:dyDescent="0.3">
      <c r="A49">
        <v>2313020794</v>
      </c>
      <c r="B49">
        <v>2313020847</v>
      </c>
      <c r="C49" t="str">
        <f>T("혐오 만세 46화")</f>
        <v>혐오 만세 46화</v>
      </c>
      <c r="D49" t="str">
        <f>T("46")</f>
        <v>46</v>
      </c>
      <c r="E49" t="str">
        <f t="shared" si="5"/>
        <v>아르곤18</v>
      </c>
      <c r="H49" t="str">
        <f t="shared" si="6"/>
        <v>앰퍼샌드B</v>
      </c>
      <c r="I49" t="str">
        <f t="shared" si="7"/>
        <v>혐오 만세</v>
      </c>
      <c r="J49">
        <v>100</v>
      </c>
      <c r="K49">
        <v>80300</v>
      </c>
      <c r="L49">
        <v>803</v>
      </c>
      <c r="M49">
        <v>0</v>
      </c>
      <c r="N49">
        <v>200</v>
      </c>
      <c r="O49">
        <v>2</v>
      </c>
      <c r="P49">
        <v>17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-300</v>
      </c>
      <c r="X49">
        <v>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80500</v>
      </c>
      <c r="AH49">
        <v>822</v>
      </c>
      <c r="AI49">
        <v>-300</v>
      </c>
      <c r="AJ49">
        <v>3</v>
      </c>
      <c r="AK49">
        <v>72128</v>
      </c>
      <c r="AL49">
        <v>-300</v>
      </c>
      <c r="AM49">
        <v>10046.4</v>
      </c>
      <c r="AN49">
        <v>-1952.64</v>
      </c>
      <c r="AO49">
        <v>0</v>
      </c>
      <c r="AP49">
        <v>2160</v>
      </c>
      <c r="AQ49">
        <v>-648</v>
      </c>
      <c r="AR49">
        <v>0</v>
      </c>
      <c r="AS49">
        <v>7886.4</v>
      </c>
      <c r="AT49">
        <v>-1304.6400000000001</v>
      </c>
      <c r="AU49">
        <v>0</v>
      </c>
      <c r="AW49">
        <v>0</v>
      </c>
      <c r="AX49">
        <v>0</v>
      </c>
      <c r="AY49">
        <v>49564.480000000003</v>
      </c>
      <c r="BC49" t="str">
        <f t="shared" si="8"/>
        <v>9791137608047</v>
      </c>
      <c r="BE49" t="str">
        <f t="shared" si="9"/>
        <v>BL 웹소설 &gt; 현대물</v>
      </c>
    </row>
    <row r="50" spans="1:57" x14ac:dyDescent="0.3">
      <c r="A50">
        <v>2313020794</v>
      </c>
      <c r="B50">
        <v>2313020821</v>
      </c>
      <c r="C50" t="str">
        <f>T("혐오 만세 28화")</f>
        <v>혐오 만세 28화</v>
      </c>
      <c r="D50" t="str">
        <f>T("28")</f>
        <v>28</v>
      </c>
      <c r="E50" t="str">
        <f t="shared" si="5"/>
        <v>아르곤18</v>
      </c>
      <c r="H50" t="str">
        <f t="shared" si="6"/>
        <v>앰퍼샌드B</v>
      </c>
      <c r="I50" t="str">
        <f t="shared" si="7"/>
        <v>혐오 만세</v>
      </c>
      <c r="J50">
        <v>100</v>
      </c>
      <c r="K50">
        <v>80100</v>
      </c>
      <c r="L50">
        <v>801</v>
      </c>
      <c r="M50">
        <v>0</v>
      </c>
      <c r="N50">
        <v>200</v>
      </c>
      <c r="O50">
        <v>2</v>
      </c>
      <c r="P50">
        <v>21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-200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80300</v>
      </c>
      <c r="AH50">
        <v>824</v>
      </c>
      <c r="AI50">
        <v>-200</v>
      </c>
      <c r="AJ50">
        <v>2</v>
      </c>
      <c r="AK50">
        <v>72308</v>
      </c>
      <c r="AL50">
        <v>-200</v>
      </c>
      <c r="AM50">
        <v>9590.4</v>
      </c>
      <c r="AN50">
        <v>-1980</v>
      </c>
      <c r="AO50">
        <v>0</v>
      </c>
      <c r="AP50">
        <v>2100</v>
      </c>
      <c r="AQ50">
        <v>-630</v>
      </c>
      <c r="AR50">
        <v>0</v>
      </c>
      <c r="AS50">
        <v>7490.4</v>
      </c>
      <c r="AT50">
        <v>-1350</v>
      </c>
      <c r="AU50">
        <v>0</v>
      </c>
      <c r="AW50">
        <v>0</v>
      </c>
      <c r="AX50">
        <v>0</v>
      </c>
      <c r="AY50">
        <v>49317.67</v>
      </c>
      <c r="BC50" t="str">
        <f t="shared" si="8"/>
        <v>9791137608047</v>
      </c>
      <c r="BE50" t="str">
        <f t="shared" si="9"/>
        <v>BL 웹소설 &gt; 현대물</v>
      </c>
    </row>
    <row r="51" spans="1:57" x14ac:dyDescent="0.3">
      <c r="A51">
        <v>2313020794</v>
      </c>
      <c r="B51">
        <v>2313020843</v>
      </c>
      <c r="C51" t="str">
        <f>T("혐오 만세 42화")</f>
        <v>혐오 만세 42화</v>
      </c>
      <c r="D51" t="str">
        <f>T("42")</f>
        <v>42</v>
      </c>
      <c r="E51" t="str">
        <f t="shared" si="5"/>
        <v>아르곤18</v>
      </c>
      <c r="H51" t="str">
        <f t="shared" si="6"/>
        <v>앰퍼샌드B</v>
      </c>
      <c r="I51" t="str">
        <f t="shared" si="7"/>
        <v>혐오 만세</v>
      </c>
      <c r="J51">
        <v>100</v>
      </c>
      <c r="K51">
        <v>79600</v>
      </c>
      <c r="L51">
        <v>796</v>
      </c>
      <c r="M51">
        <v>0</v>
      </c>
      <c r="N51">
        <v>400</v>
      </c>
      <c r="O51">
        <v>4</v>
      </c>
      <c r="P51">
        <v>26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-200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80000</v>
      </c>
      <c r="AH51">
        <v>826</v>
      </c>
      <c r="AI51">
        <v>-200</v>
      </c>
      <c r="AJ51">
        <v>2</v>
      </c>
      <c r="AK51">
        <v>71660</v>
      </c>
      <c r="AL51">
        <v>-200</v>
      </c>
      <c r="AM51">
        <v>10008</v>
      </c>
      <c r="AN51">
        <v>-1982.4</v>
      </c>
      <c r="AO51">
        <v>0</v>
      </c>
      <c r="AP51">
        <v>2040</v>
      </c>
      <c r="AQ51">
        <v>-612</v>
      </c>
      <c r="AR51">
        <v>0</v>
      </c>
      <c r="AS51">
        <v>7968</v>
      </c>
      <c r="AT51">
        <v>-1370.4</v>
      </c>
      <c r="AU51">
        <v>0</v>
      </c>
      <c r="AW51">
        <v>0</v>
      </c>
      <c r="AX51">
        <v>0</v>
      </c>
      <c r="AY51">
        <v>49242.78</v>
      </c>
      <c r="BC51" t="str">
        <f t="shared" si="8"/>
        <v>9791137608047</v>
      </c>
      <c r="BE51" t="str">
        <f t="shared" si="9"/>
        <v>BL 웹소설 &gt; 현대물</v>
      </c>
    </row>
    <row r="52" spans="1:57" x14ac:dyDescent="0.3">
      <c r="A52">
        <v>2313020794</v>
      </c>
      <c r="B52">
        <v>2313020850</v>
      </c>
      <c r="C52" t="str">
        <f>T("혐오 만세 49화")</f>
        <v>혐오 만세 49화</v>
      </c>
      <c r="D52" t="str">
        <f>T("49")</f>
        <v>49</v>
      </c>
      <c r="E52" t="str">
        <f t="shared" si="5"/>
        <v>아르곤18</v>
      </c>
      <c r="H52" t="str">
        <f t="shared" si="6"/>
        <v>앰퍼샌드B</v>
      </c>
      <c r="I52" t="str">
        <f t="shared" si="7"/>
        <v>혐오 만세</v>
      </c>
      <c r="J52">
        <v>100</v>
      </c>
      <c r="K52">
        <v>79600</v>
      </c>
      <c r="L52">
        <v>796</v>
      </c>
      <c r="M52">
        <v>0</v>
      </c>
      <c r="N52">
        <v>400</v>
      </c>
      <c r="O52">
        <v>4</v>
      </c>
      <c r="P52">
        <v>23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-300</v>
      </c>
      <c r="X52">
        <v>3</v>
      </c>
      <c r="Y52">
        <v>-100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80000</v>
      </c>
      <c r="AH52">
        <v>823</v>
      </c>
      <c r="AI52">
        <v>-400</v>
      </c>
      <c r="AJ52">
        <v>4</v>
      </c>
      <c r="AK52">
        <v>71508</v>
      </c>
      <c r="AL52">
        <v>-400</v>
      </c>
      <c r="AM52">
        <v>10190.4</v>
      </c>
      <c r="AN52">
        <v>-1988.64</v>
      </c>
      <c r="AO52">
        <v>0</v>
      </c>
      <c r="AP52">
        <v>1980</v>
      </c>
      <c r="AQ52">
        <v>-594</v>
      </c>
      <c r="AR52">
        <v>0</v>
      </c>
      <c r="AS52">
        <v>8210.4</v>
      </c>
      <c r="AT52">
        <v>-1394.64</v>
      </c>
      <c r="AU52">
        <v>0</v>
      </c>
      <c r="AW52">
        <v>0</v>
      </c>
      <c r="AX52">
        <v>0</v>
      </c>
      <c r="AY52">
        <v>49048.08</v>
      </c>
      <c r="BC52" t="str">
        <f t="shared" si="8"/>
        <v>9791137608047</v>
      </c>
      <c r="BE52" t="str">
        <f t="shared" si="9"/>
        <v>BL 웹소설 &gt; 현대물</v>
      </c>
    </row>
    <row r="53" spans="1:57" x14ac:dyDescent="0.3">
      <c r="A53">
        <v>2313020794</v>
      </c>
      <c r="B53">
        <v>2313020857</v>
      </c>
      <c r="C53" t="str">
        <f>T("혐오 만세 56화")</f>
        <v>혐오 만세 56화</v>
      </c>
      <c r="D53" t="str">
        <f>T("56")</f>
        <v>56</v>
      </c>
      <c r="E53" t="str">
        <f t="shared" si="5"/>
        <v>아르곤18</v>
      </c>
      <c r="H53" t="str">
        <f t="shared" si="6"/>
        <v>앰퍼샌드B</v>
      </c>
      <c r="I53" t="str">
        <f t="shared" si="7"/>
        <v>혐오 만세</v>
      </c>
      <c r="J53">
        <v>100</v>
      </c>
      <c r="K53">
        <v>79500</v>
      </c>
      <c r="L53">
        <v>795</v>
      </c>
      <c r="M53">
        <v>0</v>
      </c>
      <c r="N53">
        <v>200</v>
      </c>
      <c r="O53">
        <v>2</v>
      </c>
      <c r="P53">
        <v>14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-200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79700</v>
      </c>
      <c r="AH53">
        <v>811</v>
      </c>
      <c r="AI53">
        <v>-200</v>
      </c>
      <c r="AJ53">
        <v>2</v>
      </c>
      <c r="AK53">
        <v>71218</v>
      </c>
      <c r="AL53">
        <v>-200</v>
      </c>
      <c r="AM53">
        <v>10178.4</v>
      </c>
      <c r="AN53">
        <v>-1975.44</v>
      </c>
      <c r="AO53">
        <v>0</v>
      </c>
      <c r="AP53">
        <v>2400</v>
      </c>
      <c r="AQ53">
        <v>-720</v>
      </c>
      <c r="AR53">
        <v>0</v>
      </c>
      <c r="AS53">
        <v>7778.4</v>
      </c>
      <c r="AT53">
        <v>-1255.44</v>
      </c>
      <c r="AU53">
        <v>0</v>
      </c>
      <c r="AW53">
        <v>0</v>
      </c>
      <c r="AX53">
        <v>0</v>
      </c>
      <c r="AY53">
        <v>49052.959999999999</v>
      </c>
      <c r="BC53" t="str">
        <f t="shared" si="8"/>
        <v>9791137608047</v>
      </c>
      <c r="BE53" t="str">
        <f t="shared" si="9"/>
        <v>BL 웹소설 &gt; 현대물</v>
      </c>
    </row>
    <row r="54" spans="1:57" x14ac:dyDescent="0.3">
      <c r="A54">
        <v>2313020794</v>
      </c>
      <c r="B54">
        <v>2313020866</v>
      </c>
      <c r="C54" t="str">
        <f>T("혐오 만세 65화")</f>
        <v>혐오 만세 65화</v>
      </c>
      <c r="D54" t="str">
        <f>T("65")</f>
        <v>65</v>
      </c>
      <c r="E54" t="str">
        <f t="shared" si="5"/>
        <v>아르곤18</v>
      </c>
      <c r="H54" t="str">
        <f t="shared" si="6"/>
        <v>앰퍼샌드B</v>
      </c>
      <c r="I54" t="str">
        <f t="shared" si="7"/>
        <v>혐오 만세</v>
      </c>
      <c r="J54">
        <v>100</v>
      </c>
      <c r="K54">
        <v>79400</v>
      </c>
      <c r="L54">
        <v>794</v>
      </c>
      <c r="M54">
        <v>0</v>
      </c>
      <c r="N54">
        <v>1000</v>
      </c>
      <c r="O54">
        <v>10</v>
      </c>
      <c r="P54">
        <v>30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-100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80400</v>
      </c>
      <c r="AH54">
        <v>834</v>
      </c>
      <c r="AI54">
        <v>-100</v>
      </c>
      <c r="AJ54">
        <v>1</v>
      </c>
      <c r="AK54">
        <v>71859</v>
      </c>
      <c r="AL54">
        <v>-100</v>
      </c>
      <c r="AM54">
        <v>10249.200000000001</v>
      </c>
      <c r="AN54">
        <v>-1999.32</v>
      </c>
      <c r="AO54">
        <v>0</v>
      </c>
      <c r="AP54">
        <v>2160</v>
      </c>
      <c r="AQ54">
        <v>-648</v>
      </c>
      <c r="AR54">
        <v>0</v>
      </c>
      <c r="AS54">
        <v>8089.2</v>
      </c>
      <c r="AT54">
        <v>-1351.32</v>
      </c>
      <c r="AU54">
        <v>0</v>
      </c>
      <c r="AW54">
        <v>0</v>
      </c>
      <c r="AX54">
        <v>0</v>
      </c>
      <c r="AY54">
        <v>49480.03</v>
      </c>
      <c r="BC54" t="str">
        <f t="shared" si="8"/>
        <v>9791137608047</v>
      </c>
      <c r="BE54" t="str">
        <f t="shared" si="9"/>
        <v>BL 웹소설 &gt; 현대물</v>
      </c>
    </row>
    <row r="55" spans="1:57" x14ac:dyDescent="0.3">
      <c r="A55">
        <v>2313020794</v>
      </c>
      <c r="B55">
        <v>2313020853</v>
      </c>
      <c r="C55" t="str">
        <f>T("혐오 만세 52화")</f>
        <v>혐오 만세 52화</v>
      </c>
      <c r="D55" t="str">
        <f>T("52")</f>
        <v>52</v>
      </c>
      <c r="E55" t="str">
        <f t="shared" si="5"/>
        <v>아르곤18</v>
      </c>
      <c r="H55" t="str">
        <f t="shared" si="6"/>
        <v>앰퍼샌드B</v>
      </c>
      <c r="I55" t="str">
        <f t="shared" si="7"/>
        <v>혐오 만세</v>
      </c>
      <c r="J55">
        <v>100</v>
      </c>
      <c r="K55">
        <v>79300</v>
      </c>
      <c r="L55">
        <v>793</v>
      </c>
      <c r="M55">
        <v>0</v>
      </c>
      <c r="N55">
        <v>500</v>
      </c>
      <c r="O55">
        <v>5</v>
      </c>
      <c r="P55">
        <v>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-300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79800</v>
      </c>
      <c r="AH55">
        <v>812</v>
      </c>
      <c r="AI55">
        <v>-300</v>
      </c>
      <c r="AJ55">
        <v>3</v>
      </c>
      <c r="AK55">
        <v>71638</v>
      </c>
      <c r="AL55">
        <v>-300</v>
      </c>
      <c r="AM55">
        <v>9794.4</v>
      </c>
      <c r="AN55">
        <v>-1937.04</v>
      </c>
      <c r="AO55">
        <v>0</v>
      </c>
      <c r="AP55">
        <v>2160</v>
      </c>
      <c r="AQ55">
        <v>-648</v>
      </c>
      <c r="AR55">
        <v>0</v>
      </c>
      <c r="AS55">
        <v>7634.4</v>
      </c>
      <c r="AT55">
        <v>-1289.04</v>
      </c>
      <c r="AU55">
        <v>0</v>
      </c>
      <c r="AW55">
        <v>0</v>
      </c>
      <c r="AX55">
        <v>0</v>
      </c>
      <c r="AY55">
        <v>48917.04</v>
      </c>
      <c r="BC55" t="str">
        <f t="shared" si="8"/>
        <v>9791137608047</v>
      </c>
      <c r="BE55" t="str">
        <f t="shared" si="9"/>
        <v>BL 웹소설 &gt; 현대물</v>
      </c>
    </row>
    <row r="56" spans="1:57" x14ac:dyDescent="0.3">
      <c r="A56">
        <v>2313020794</v>
      </c>
      <c r="B56">
        <v>2313020854</v>
      </c>
      <c r="C56" t="str">
        <f>T("혐오 만세 53화")</f>
        <v>혐오 만세 53화</v>
      </c>
      <c r="D56" t="str">
        <f>T("53")</f>
        <v>53</v>
      </c>
      <c r="E56" t="str">
        <f t="shared" si="5"/>
        <v>아르곤18</v>
      </c>
      <c r="H56" t="str">
        <f t="shared" si="6"/>
        <v>앰퍼샌드B</v>
      </c>
      <c r="I56" t="str">
        <f t="shared" si="7"/>
        <v>혐오 만세</v>
      </c>
      <c r="J56">
        <v>100</v>
      </c>
      <c r="K56">
        <v>79200</v>
      </c>
      <c r="L56">
        <v>792</v>
      </c>
      <c r="M56">
        <v>0</v>
      </c>
      <c r="N56">
        <v>400</v>
      </c>
      <c r="O56">
        <v>4</v>
      </c>
      <c r="P56">
        <v>15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-300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79600</v>
      </c>
      <c r="AH56">
        <v>811</v>
      </c>
      <c r="AI56">
        <v>-300</v>
      </c>
      <c r="AJ56">
        <v>3</v>
      </c>
      <c r="AK56">
        <v>71198</v>
      </c>
      <c r="AL56">
        <v>-300</v>
      </c>
      <c r="AM56">
        <v>10082.4</v>
      </c>
      <c r="AN56">
        <v>-2013.84</v>
      </c>
      <c r="AO56">
        <v>0</v>
      </c>
      <c r="AP56">
        <v>2160</v>
      </c>
      <c r="AQ56">
        <v>-648</v>
      </c>
      <c r="AR56">
        <v>0</v>
      </c>
      <c r="AS56">
        <v>7922.4</v>
      </c>
      <c r="AT56">
        <v>-1365.84</v>
      </c>
      <c r="AU56">
        <v>0</v>
      </c>
      <c r="AW56">
        <v>0</v>
      </c>
      <c r="AX56">
        <v>0</v>
      </c>
      <c r="AY56">
        <v>48810.080000000002</v>
      </c>
      <c r="BC56" t="str">
        <f t="shared" si="8"/>
        <v>9791137608047</v>
      </c>
      <c r="BE56" t="str">
        <f t="shared" si="9"/>
        <v>BL 웹소설 &gt; 현대물</v>
      </c>
    </row>
    <row r="57" spans="1:57" x14ac:dyDescent="0.3">
      <c r="A57">
        <v>2313020794</v>
      </c>
      <c r="B57">
        <v>2313020864</v>
      </c>
      <c r="C57" t="str">
        <f>T("혐오 만세 63화")</f>
        <v>혐오 만세 63화</v>
      </c>
      <c r="D57" t="str">
        <f>T("63")</f>
        <v>63</v>
      </c>
      <c r="E57" t="str">
        <f t="shared" si="5"/>
        <v>아르곤18</v>
      </c>
      <c r="H57" t="str">
        <f t="shared" si="6"/>
        <v>앰퍼샌드B</v>
      </c>
      <c r="I57" t="str">
        <f t="shared" si="7"/>
        <v>혐오 만세</v>
      </c>
      <c r="J57">
        <v>100</v>
      </c>
      <c r="K57">
        <v>79100</v>
      </c>
      <c r="L57">
        <v>791</v>
      </c>
      <c r="M57">
        <v>0</v>
      </c>
      <c r="N57">
        <v>800</v>
      </c>
      <c r="O57">
        <v>8</v>
      </c>
      <c r="P57">
        <v>15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-100</v>
      </c>
      <c r="X57">
        <v>1</v>
      </c>
      <c r="Y57">
        <v>-100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79900</v>
      </c>
      <c r="AH57">
        <v>814</v>
      </c>
      <c r="AI57">
        <v>-200</v>
      </c>
      <c r="AJ57">
        <v>2</v>
      </c>
      <c r="AK57">
        <v>71379</v>
      </c>
      <c r="AL57">
        <v>-200</v>
      </c>
      <c r="AM57">
        <v>10225.200000000001</v>
      </c>
      <c r="AN57">
        <v>-2016.12</v>
      </c>
      <c r="AO57">
        <v>0</v>
      </c>
      <c r="AP57">
        <v>2100</v>
      </c>
      <c r="AQ57">
        <v>-630</v>
      </c>
      <c r="AR57">
        <v>0</v>
      </c>
      <c r="AS57">
        <v>8125.2</v>
      </c>
      <c r="AT57">
        <v>-1386.12</v>
      </c>
      <c r="AU57">
        <v>0</v>
      </c>
      <c r="AW57">
        <v>0</v>
      </c>
      <c r="AX57">
        <v>0</v>
      </c>
      <c r="AY57">
        <v>49024.35</v>
      </c>
      <c r="BC57" t="str">
        <f t="shared" si="8"/>
        <v>9791137608047</v>
      </c>
      <c r="BE57" t="str">
        <f t="shared" si="9"/>
        <v>BL 웹소설 &gt; 현대물</v>
      </c>
    </row>
    <row r="58" spans="1:57" x14ac:dyDescent="0.3">
      <c r="A58">
        <v>2313020794</v>
      </c>
      <c r="B58">
        <v>2313020848</v>
      </c>
      <c r="C58" t="str">
        <f>T("혐오 만세 47화")</f>
        <v>혐오 만세 47화</v>
      </c>
      <c r="D58" t="str">
        <f>T("47")</f>
        <v>47</v>
      </c>
      <c r="E58" t="str">
        <f t="shared" si="5"/>
        <v>아르곤18</v>
      </c>
      <c r="H58" t="str">
        <f t="shared" si="6"/>
        <v>앰퍼샌드B</v>
      </c>
      <c r="I58" t="str">
        <f t="shared" si="7"/>
        <v>혐오 만세</v>
      </c>
      <c r="J58">
        <v>100</v>
      </c>
      <c r="K58">
        <v>78600</v>
      </c>
      <c r="L58">
        <v>786</v>
      </c>
      <c r="M58">
        <v>0</v>
      </c>
      <c r="N58">
        <v>200</v>
      </c>
      <c r="O58">
        <v>2</v>
      </c>
      <c r="P58">
        <v>20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-300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78800</v>
      </c>
      <c r="AH58">
        <v>808</v>
      </c>
      <c r="AI58">
        <v>-300</v>
      </c>
      <c r="AJ58">
        <v>3</v>
      </c>
      <c r="AK58">
        <v>70438</v>
      </c>
      <c r="AL58">
        <v>-300</v>
      </c>
      <c r="AM58">
        <v>10034.4</v>
      </c>
      <c r="AN58">
        <v>-2009.04</v>
      </c>
      <c r="AO58">
        <v>0</v>
      </c>
      <c r="AP58">
        <v>2160</v>
      </c>
      <c r="AQ58">
        <v>-648</v>
      </c>
      <c r="AR58">
        <v>0</v>
      </c>
      <c r="AS58">
        <v>7874.4</v>
      </c>
      <c r="AT58">
        <v>-1361.04</v>
      </c>
      <c r="AU58">
        <v>0</v>
      </c>
      <c r="AW58">
        <v>0</v>
      </c>
      <c r="AX58">
        <v>0</v>
      </c>
      <c r="AY58">
        <v>48507.040000000001</v>
      </c>
      <c r="BC58" t="str">
        <f t="shared" si="8"/>
        <v>9791137608047</v>
      </c>
      <c r="BE58" t="str">
        <f t="shared" si="9"/>
        <v>BL 웹소설 &gt; 현대물</v>
      </c>
    </row>
    <row r="59" spans="1:57" x14ac:dyDescent="0.3">
      <c r="A59">
        <v>2313020794</v>
      </c>
      <c r="B59">
        <v>2313020855</v>
      </c>
      <c r="C59" t="str">
        <f>T("혐오 만세 54화")</f>
        <v>혐오 만세 54화</v>
      </c>
      <c r="D59" t="str">
        <f>T("54")</f>
        <v>54</v>
      </c>
      <c r="E59" t="str">
        <f t="shared" si="5"/>
        <v>아르곤18</v>
      </c>
      <c r="H59" t="str">
        <f t="shared" si="6"/>
        <v>앰퍼샌드B</v>
      </c>
      <c r="I59" t="str">
        <f t="shared" si="7"/>
        <v>혐오 만세</v>
      </c>
      <c r="J59">
        <v>100</v>
      </c>
      <c r="K59">
        <v>78500</v>
      </c>
      <c r="L59">
        <v>785</v>
      </c>
      <c r="M59">
        <v>0</v>
      </c>
      <c r="N59">
        <v>100</v>
      </c>
      <c r="O59">
        <v>1</v>
      </c>
      <c r="P59">
        <v>21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-200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78600</v>
      </c>
      <c r="AH59">
        <v>807</v>
      </c>
      <c r="AI59">
        <v>-200</v>
      </c>
      <c r="AJ59">
        <v>2</v>
      </c>
      <c r="AK59">
        <v>70428</v>
      </c>
      <c r="AL59">
        <v>-200</v>
      </c>
      <c r="AM59">
        <v>9806.4</v>
      </c>
      <c r="AN59">
        <v>-1909.44</v>
      </c>
      <c r="AO59">
        <v>0</v>
      </c>
      <c r="AP59">
        <v>2256</v>
      </c>
      <c r="AQ59">
        <v>-676.8</v>
      </c>
      <c r="AR59">
        <v>0</v>
      </c>
      <c r="AS59">
        <v>7550.4</v>
      </c>
      <c r="AT59">
        <v>-1232.6400000000001</v>
      </c>
      <c r="AU59">
        <v>0</v>
      </c>
      <c r="AW59">
        <v>0</v>
      </c>
      <c r="AX59">
        <v>0</v>
      </c>
      <c r="AY59">
        <v>48324.800000000003</v>
      </c>
      <c r="BC59" t="str">
        <f t="shared" si="8"/>
        <v>9791137608047</v>
      </c>
      <c r="BE59" t="str">
        <f t="shared" si="9"/>
        <v>BL 웹소설 &gt; 현대물</v>
      </c>
    </row>
    <row r="60" spans="1:57" x14ac:dyDescent="0.3">
      <c r="A60">
        <v>2313020794</v>
      </c>
      <c r="B60">
        <v>2313020826</v>
      </c>
      <c r="C60" t="str">
        <f>T("혐오 만세 33화")</f>
        <v>혐오 만세 33화</v>
      </c>
      <c r="D60" t="str">
        <f>T("33")</f>
        <v>33</v>
      </c>
      <c r="E60" t="str">
        <f t="shared" si="5"/>
        <v>아르곤18</v>
      </c>
      <c r="H60" t="str">
        <f t="shared" si="6"/>
        <v>앰퍼샌드B</v>
      </c>
      <c r="I60" t="str">
        <f t="shared" si="7"/>
        <v>혐오 만세</v>
      </c>
      <c r="J60">
        <v>100</v>
      </c>
      <c r="K60">
        <v>78300</v>
      </c>
      <c r="L60">
        <v>783</v>
      </c>
      <c r="M60">
        <v>0</v>
      </c>
      <c r="N60">
        <v>400</v>
      </c>
      <c r="O60">
        <v>4</v>
      </c>
      <c r="P60">
        <v>26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-200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78700</v>
      </c>
      <c r="AH60">
        <v>813</v>
      </c>
      <c r="AI60">
        <v>-200</v>
      </c>
      <c r="AJ60">
        <v>2</v>
      </c>
      <c r="AK60">
        <v>70359</v>
      </c>
      <c r="AL60">
        <v>-200</v>
      </c>
      <c r="AM60">
        <v>10009.200000000001</v>
      </c>
      <c r="AN60">
        <v>-2102.52</v>
      </c>
      <c r="AO60">
        <v>0</v>
      </c>
      <c r="AP60">
        <v>2280</v>
      </c>
      <c r="AQ60">
        <v>-684</v>
      </c>
      <c r="AR60">
        <v>0</v>
      </c>
      <c r="AS60">
        <v>7729.2</v>
      </c>
      <c r="AT60">
        <v>-1418.52</v>
      </c>
      <c r="AU60">
        <v>0</v>
      </c>
      <c r="AW60">
        <v>0</v>
      </c>
      <c r="AX60">
        <v>0</v>
      </c>
      <c r="AY60">
        <v>48471.63</v>
      </c>
      <c r="BC60" t="str">
        <f t="shared" si="8"/>
        <v>9791137608047</v>
      </c>
      <c r="BE60" t="str">
        <f t="shared" si="9"/>
        <v>BL 웹소설 &gt; 현대물</v>
      </c>
    </row>
    <row r="61" spans="1:57" x14ac:dyDescent="0.3">
      <c r="A61">
        <v>2313020794</v>
      </c>
      <c r="B61">
        <v>2313020824</v>
      </c>
      <c r="C61" t="str">
        <f>T("혐오 만세 31화")</f>
        <v>혐오 만세 31화</v>
      </c>
      <c r="D61" t="str">
        <f>T("31")</f>
        <v>31</v>
      </c>
      <c r="E61" t="str">
        <f t="shared" si="5"/>
        <v>아르곤18</v>
      </c>
      <c r="H61" t="str">
        <f t="shared" si="6"/>
        <v>앰퍼샌드B</v>
      </c>
      <c r="I61" t="str">
        <f t="shared" si="7"/>
        <v>혐오 만세</v>
      </c>
      <c r="J61">
        <v>100</v>
      </c>
      <c r="K61">
        <v>78200</v>
      </c>
      <c r="L61">
        <v>782</v>
      </c>
      <c r="M61">
        <v>0</v>
      </c>
      <c r="N61">
        <v>1500</v>
      </c>
      <c r="O61">
        <v>15</v>
      </c>
      <c r="P61">
        <v>26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-300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79700</v>
      </c>
      <c r="AH61">
        <v>823</v>
      </c>
      <c r="AI61">
        <v>-300</v>
      </c>
      <c r="AJ61">
        <v>3</v>
      </c>
      <c r="AK61">
        <v>71475</v>
      </c>
      <c r="AL61">
        <v>-300</v>
      </c>
      <c r="AM61">
        <v>9870</v>
      </c>
      <c r="AN61">
        <v>-2019.96</v>
      </c>
      <c r="AO61">
        <v>0</v>
      </c>
      <c r="AP61">
        <v>2160</v>
      </c>
      <c r="AQ61">
        <v>-648</v>
      </c>
      <c r="AR61">
        <v>0</v>
      </c>
      <c r="AS61">
        <v>7710</v>
      </c>
      <c r="AT61">
        <v>-1371.96</v>
      </c>
      <c r="AU61">
        <v>0</v>
      </c>
      <c r="AW61">
        <v>0</v>
      </c>
      <c r="AX61">
        <v>0</v>
      </c>
      <c r="AY61">
        <v>49080.45</v>
      </c>
      <c r="BC61" t="str">
        <f t="shared" si="8"/>
        <v>9791137608047</v>
      </c>
      <c r="BE61" t="str">
        <f t="shared" si="9"/>
        <v>BL 웹소설 &gt; 현대물</v>
      </c>
    </row>
    <row r="62" spans="1:57" x14ac:dyDescent="0.3">
      <c r="A62">
        <v>2313020794</v>
      </c>
      <c r="B62">
        <v>2313020842</v>
      </c>
      <c r="C62" t="str">
        <f>T("혐오 만세 41화")</f>
        <v>혐오 만세 41화</v>
      </c>
      <c r="D62" t="str">
        <f>T("41")</f>
        <v>41</v>
      </c>
      <c r="E62" t="str">
        <f t="shared" si="5"/>
        <v>아르곤18</v>
      </c>
      <c r="H62" t="str">
        <f t="shared" si="6"/>
        <v>앰퍼샌드B</v>
      </c>
      <c r="I62" t="str">
        <f t="shared" si="7"/>
        <v>혐오 만세</v>
      </c>
      <c r="J62">
        <v>100</v>
      </c>
      <c r="K62">
        <v>78200</v>
      </c>
      <c r="L62">
        <v>782</v>
      </c>
      <c r="M62">
        <v>0</v>
      </c>
      <c r="N62">
        <v>200</v>
      </c>
      <c r="O62">
        <v>2</v>
      </c>
      <c r="P62">
        <v>32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-200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78400</v>
      </c>
      <c r="AH62">
        <v>816</v>
      </c>
      <c r="AI62">
        <v>-200</v>
      </c>
      <c r="AJ62">
        <v>2</v>
      </c>
      <c r="AK62">
        <v>70170</v>
      </c>
      <c r="AL62">
        <v>-200</v>
      </c>
      <c r="AM62">
        <v>9876</v>
      </c>
      <c r="AN62">
        <v>-1971.6</v>
      </c>
      <c r="AO62">
        <v>0</v>
      </c>
      <c r="AP62">
        <v>2040</v>
      </c>
      <c r="AQ62">
        <v>-612</v>
      </c>
      <c r="AR62">
        <v>0</v>
      </c>
      <c r="AS62">
        <v>7836</v>
      </c>
      <c r="AT62">
        <v>-1359.6</v>
      </c>
      <c r="AU62">
        <v>0</v>
      </c>
      <c r="AW62">
        <v>0</v>
      </c>
      <c r="AX62">
        <v>0</v>
      </c>
      <c r="AY62">
        <v>48245.9</v>
      </c>
      <c r="BC62" t="str">
        <f t="shared" si="8"/>
        <v>9791137608047</v>
      </c>
      <c r="BE62" t="str">
        <f t="shared" si="9"/>
        <v>BL 웹소설 &gt; 현대물</v>
      </c>
    </row>
    <row r="63" spans="1:57" x14ac:dyDescent="0.3">
      <c r="A63">
        <v>2313020794</v>
      </c>
      <c r="B63">
        <v>2313020858</v>
      </c>
      <c r="C63" t="str">
        <f>T("혐오 만세 57화")</f>
        <v>혐오 만세 57화</v>
      </c>
      <c r="D63" t="str">
        <f>T("57")</f>
        <v>57</v>
      </c>
      <c r="E63" t="str">
        <f t="shared" si="5"/>
        <v>아르곤18</v>
      </c>
      <c r="H63" t="str">
        <f t="shared" si="6"/>
        <v>앰퍼샌드B</v>
      </c>
      <c r="I63" t="str">
        <f t="shared" si="7"/>
        <v>혐오 만세</v>
      </c>
      <c r="J63">
        <v>100</v>
      </c>
      <c r="K63">
        <v>78100</v>
      </c>
      <c r="L63">
        <v>781</v>
      </c>
      <c r="M63">
        <v>0</v>
      </c>
      <c r="N63">
        <v>400</v>
      </c>
      <c r="O63">
        <v>4</v>
      </c>
      <c r="P63">
        <v>16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-200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78500</v>
      </c>
      <c r="AH63">
        <v>801</v>
      </c>
      <c r="AI63">
        <v>-200</v>
      </c>
      <c r="AJ63">
        <v>2</v>
      </c>
      <c r="AK63">
        <v>69983</v>
      </c>
      <c r="AL63">
        <v>-200</v>
      </c>
      <c r="AM63">
        <v>10220.4</v>
      </c>
      <c r="AN63">
        <v>-2016.84</v>
      </c>
      <c r="AO63">
        <v>0</v>
      </c>
      <c r="AP63">
        <v>2208</v>
      </c>
      <c r="AQ63">
        <v>-662.4</v>
      </c>
      <c r="AR63">
        <v>0</v>
      </c>
      <c r="AS63">
        <v>8012.4</v>
      </c>
      <c r="AT63">
        <v>-1354.44</v>
      </c>
      <c r="AU63">
        <v>0</v>
      </c>
      <c r="AW63">
        <v>0</v>
      </c>
      <c r="AX63">
        <v>0</v>
      </c>
      <c r="AY63">
        <v>48220.959999999999</v>
      </c>
      <c r="BC63" t="str">
        <f t="shared" si="8"/>
        <v>9791137608047</v>
      </c>
      <c r="BE63" t="str">
        <f t="shared" si="9"/>
        <v>BL 웹소설 &gt; 현대물</v>
      </c>
    </row>
    <row r="64" spans="1:57" x14ac:dyDescent="0.3">
      <c r="A64">
        <v>2313020794</v>
      </c>
      <c r="B64">
        <v>2313020863</v>
      </c>
      <c r="C64" t="str">
        <f>T("혐오 만세 62화")</f>
        <v>혐오 만세 62화</v>
      </c>
      <c r="D64" t="str">
        <f>T("62")</f>
        <v>62</v>
      </c>
      <c r="E64" t="str">
        <f t="shared" si="5"/>
        <v>아르곤18</v>
      </c>
      <c r="H64" t="str">
        <f t="shared" si="6"/>
        <v>앰퍼샌드B</v>
      </c>
      <c r="I64" t="str">
        <f t="shared" si="7"/>
        <v>혐오 만세</v>
      </c>
      <c r="J64">
        <v>100</v>
      </c>
      <c r="K64">
        <v>77900</v>
      </c>
      <c r="L64">
        <v>779</v>
      </c>
      <c r="M64">
        <v>0</v>
      </c>
      <c r="N64">
        <v>800</v>
      </c>
      <c r="O64">
        <v>8</v>
      </c>
      <c r="P64">
        <v>14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-100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78700</v>
      </c>
      <c r="AH64">
        <v>801</v>
      </c>
      <c r="AI64">
        <v>-100</v>
      </c>
      <c r="AJ64">
        <v>1</v>
      </c>
      <c r="AK64">
        <v>70038</v>
      </c>
      <c r="AL64">
        <v>-100</v>
      </c>
      <c r="AM64">
        <v>10394.4</v>
      </c>
      <c r="AN64">
        <v>-2045.04</v>
      </c>
      <c r="AO64">
        <v>0</v>
      </c>
      <c r="AP64">
        <v>2280</v>
      </c>
      <c r="AQ64">
        <v>-684</v>
      </c>
      <c r="AR64">
        <v>0</v>
      </c>
      <c r="AS64">
        <v>8114.4</v>
      </c>
      <c r="AT64">
        <v>-1361.04</v>
      </c>
      <c r="AU64">
        <v>0</v>
      </c>
      <c r="AW64">
        <v>0</v>
      </c>
      <c r="AX64">
        <v>0</v>
      </c>
      <c r="AY64">
        <v>48374.64</v>
      </c>
      <c r="BC64" t="str">
        <f t="shared" si="8"/>
        <v>9791137608047</v>
      </c>
      <c r="BE64" t="str">
        <f t="shared" si="9"/>
        <v>BL 웹소설 &gt; 현대물</v>
      </c>
    </row>
    <row r="65" spans="1:57" x14ac:dyDescent="0.3">
      <c r="A65">
        <v>2313020794</v>
      </c>
      <c r="B65">
        <v>2313020844</v>
      </c>
      <c r="C65" t="str">
        <f>T("혐오 만세 43화")</f>
        <v>혐오 만세 43화</v>
      </c>
      <c r="D65" t="str">
        <f>T("43")</f>
        <v>43</v>
      </c>
      <c r="E65" t="str">
        <f t="shared" si="5"/>
        <v>아르곤18</v>
      </c>
      <c r="H65" t="str">
        <f t="shared" si="6"/>
        <v>앰퍼샌드B</v>
      </c>
      <c r="I65" t="str">
        <f t="shared" si="7"/>
        <v>혐오 만세</v>
      </c>
      <c r="J65">
        <v>100</v>
      </c>
      <c r="K65">
        <v>77300</v>
      </c>
      <c r="L65">
        <v>773</v>
      </c>
      <c r="M65">
        <v>0</v>
      </c>
      <c r="N65">
        <v>100</v>
      </c>
      <c r="O65">
        <v>1</v>
      </c>
      <c r="P65">
        <v>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-300</v>
      </c>
      <c r="X65">
        <v>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77400</v>
      </c>
      <c r="AH65">
        <v>795</v>
      </c>
      <c r="AI65">
        <v>-300</v>
      </c>
      <c r="AJ65">
        <v>3</v>
      </c>
      <c r="AK65">
        <v>69178</v>
      </c>
      <c r="AL65">
        <v>-300</v>
      </c>
      <c r="AM65">
        <v>9866.4</v>
      </c>
      <c r="AN65">
        <v>-1910.64</v>
      </c>
      <c r="AO65">
        <v>0</v>
      </c>
      <c r="AP65">
        <v>1992</v>
      </c>
      <c r="AQ65">
        <v>-597.6</v>
      </c>
      <c r="AR65">
        <v>0</v>
      </c>
      <c r="AS65">
        <v>7874.4</v>
      </c>
      <c r="AT65">
        <v>-1313.04</v>
      </c>
      <c r="AU65">
        <v>0</v>
      </c>
      <c r="AW65">
        <v>0</v>
      </c>
      <c r="AX65">
        <v>0</v>
      </c>
      <c r="AY65">
        <v>47651.68</v>
      </c>
      <c r="BC65" t="str">
        <f t="shared" si="8"/>
        <v>9791137608047</v>
      </c>
      <c r="BE65" t="str">
        <f t="shared" si="9"/>
        <v>BL 웹소설 &gt; 현대물</v>
      </c>
    </row>
    <row r="66" spans="1:57" x14ac:dyDescent="0.3">
      <c r="A66">
        <v>2313020794</v>
      </c>
      <c r="B66">
        <v>2313020845</v>
      </c>
      <c r="C66" t="str">
        <f>T("혐오 만세 44화")</f>
        <v>혐오 만세 44화</v>
      </c>
      <c r="D66" t="str">
        <f>T("44")</f>
        <v>44</v>
      </c>
      <c r="E66" t="str">
        <f t="shared" si="5"/>
        <v>아르곤18</v>
      </c>
      <c r="H66" t="str">
        <f t="shared" si="6"/>
        <v>앰퍼샌드B</v>
      </c>
      <c r="I66" t="str">
        <f t="shared" si="7"/>
        <v>혐오 만세</v>
      </c>
      <c r="J66">
        <v>100</v>
      </c>
      <c r="K66">
        <v>77200</v>
      </c>
      <c r="L66">
        <v>772</v>
      </c>
      <c r="M66">
        <v>0</v>
      </c>
      <c r="N66">
        <v>400</v>
      </c>
      <c r="O66">
        <v>4</v>
      </c>
      <c r="P66">
        <v>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-300</v>
      </c>
      <c r="X66">
        <v>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77600</v>
      </c>
      <c r="AH66">
        <v>793</v>
      </c>
      <c r="AI66">
        <v>-300</v>
      </c>
      <c r="AJ66">
        <v>3</v>
      </c>
      <c r="AK66">
        <v>69338</v>
      </c>
      <c r="AL66">
        <v>-300</v>
      </c>
      <c r="AM66">
        <v>9914.4</v>
      </c>
      <c r="AN66">
        <v>-1973.04</v>
      </c>
      <c r="AO66">
        <v>0</v>
      </c>
      <c r="AP66">
        <v>2040</v>
      </c>
      <c r="AQ66">
        <v>-612</v>
      </c>
      <c r="AR66">
        <v>0</v>
      </c>
      <c r="AS66">
        <v>7874.4</v>
      </c>
      <c r="AT66">
        <v>-1361.04</v>
      </c>
      <c r="AU66">
        <v>0</v>
      </c>
      <c r="AW66">
        <v>0</v>
      </c>
      <c r="AX66">
        <v>0</v>
      </c>
      <c r="AY66">
        <v>47699.040000000001</v>
      </c>
      <c r="BC66" t="str">
        <f t="shared" si="8"/>
        <v>9791137608047</v>
      </c>
      <c r="BE66" t="str">
        <f t="shared" si="9"/>
        <v>BL 웹소설 &gt; 현대물</v>
      </c>
    </row>
    <row r="67" spans="1:57" x14ac:dyDescent="0.3">
      <c r="A67">
        <v>2313020794</v>
      </c>
      <c r="B67">
        <v>2313020830</v>
      </c>
      <c r="C67" t="str">
        <f>T("혐오 만세 37화")</f>
        <v>혐오 만세 37화</v>
      </c>
      <c r="D67" t="str">
        <f>T("37")</f>
        <v>37</v>
      </c>
      <c r="E67" t="str">
        <f t="shared" si="5"/>
        <v>아르곤18</v>
      </c>
      <c r="H67" t="str">
        <f t="shared" si="6"/>
        <v>앰퍼샌드B</v>
      </c>
      <c r="I67" t="str">
        <f t="shared" si="7"/>
        <v>혐오 만세</v>
      </c>
      <c r="J67">
        <v>100</v>
      </c>
      <c r="K67">
        <v>76800</v>
      </c>
      <c r="L67">
        <v>768</v>
      </c>
      <c r="M67">
        <v>0</v>
      </c>
      <c r="N67">
        <v>100</v>
      </c>
      <c r="O67">
        <v>1</v>
      </c>
      <c r="P67">
        <v>25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-400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76900</v>
      </c>
      <c r="AH67">
        <v>794</v>
      </c>
      <c r="AI67">
        <v>-400</v>
      </c>
      <c r="AJ67">
        <v>4</v>
      </c>
      <c r="AK67">
        <v>69060</v>
      </c>
      <c r="AL67">
        <v>-400</v>
      </c>
      <c r="AM67">
        <v>9408</v>
      </c>
      <c r="AN67">
        <v>-1934.4</v>
      </c>
      <c r="AO67">
        <v>0</v>
      </c>
      <c r="AP67">
        <v>1860</v>
      </c>
      <c r="AQ67">
        <v>-558</v>
      </c>
      <c r="AR67">
        <v>0</v>
      </c>
      <c r="AS67">
        <v>7548</v>
      </c>
      <c r="AT67">
        <v>-1376.4</v>
      </c>
      <c r="AU67">
        <v>0</v>
      </c>
      <c r="AW67">
        <v>0</v>
      </c>
      <c r="AX67">
        <v>0</v>
      </c>
      <c r="AY67">
        <v>47199.98</v>
      </c>
      <c r="BC67" t="str">
        <f t="shared" si="8"/>
        <v>9791137608047</v>
      </c>
      <c r="BE67" t="str">
        <f t="shared" si="9"/>
        <v>BL 웹소설 &gt; 현대물</v>
      </c>
    </row>
    <row r="68" spans="1:57" x14ac:dyDescent="0.3">
      <c r="A68">
        <v>2313020794</v>
      </c>
      <c r="B68">
        <v>2313020846</v>
      </c>
      <c r="C68" t="str">
        <f>T("혐오 만세 45화")</f>
        <v>혐오 만세 45화</v>
      </c>
      <c r="D68" t="str">
        <f>T("45")</f>
        <v>45</v>
      </c>
      <c r="E68" t="str">
        <f t="shared" si="5"/>
        <v>아르곤18</v>
      </c>
      <c r="H68" t="str">
        <f t="shared" si="6"/>
        <v>앰퍼샌드B</v>
      </c>
      <c r="I68" t="str">
        <f t="shared" si="7"/>
        <v>혐오 만세</v>
      </c>
      <c r="J68">
        <v>100</v>
      </c>
      <c r="K68">
        <v>76600</v>
      </c>
      <c r="L68">
        <v>766</v>
      </c>
      <c r="M68">
        <v>0</v>
      </c>
      <c r="N68">
        <v>300</v>
      </c>
      <c r="O68">
        <v>3</v>
      </c>
      <c r="P68">
        <v>23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-300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76900</v>
      </c>
      <c r="AH68">
        <v>792</v>
      </c>
      <c r="AI68">
        <v>-300</v>
      </c>
      <c r="AJ68">
        <v>3</v>
      </c>
      <c r="AK68">
        <v>68618</v>
      </c>
      <c r="AL68">
        <v>-300</v>
      </c>
      <c r="AM68">
        <v>9938.4</v>
      </c>
      <c r="AN68">
        <v>-1975.44</v>
      </c>
      <c r="AO68">
        <v>0</v>
      </c>
      <c r="AP68">
        <v>2160</v>
      </c>
      <c r="AQ68">
        <v>-648</v>
      </c>
      <c r="AR68">
        <v>0</v>
      </c>
      <c r="AS68">
        <v>7778.4</v>
      </c>
      <c r="AT68">
        <v>-1327.44</v>
      </c>
      <c r="AU68">
        <v>0</v>
      </c>
      <c r="AW68">
        <v>0</v>
      </c>
      <c r="AX68">
        <v>0</v>
      </c>
      <c r="AY68">
        <v>47309.2</v>
      </c>
      <c r="BC68" t="str">
        <f t="shared" si="8"/>
        <v>9791137608047</v>
      </c>
      <c r="BE68" t="str">
        <f t="shared" si="9"/>
        <v>BL 웹소설 &gt; 현대물</v>
      </c>
    </row>
    <row r="69" spans="1:57" x14ac:dyDescent="0.3">
      <c r="A69">
        <v>2313020794</v>
      </c>
      <c r="B69">
        <v>2313020856</v>
      </c>
      <c r="C69" t="str">
        <f>T("혐오 만세 55화")</f>
        <v>혐오 만세 55화</v>
      </c>
      <c r="D69" t="str">
        <f>T("55")</f>
        <v>55</v>
      </c>
      <c r="E69" t="str">
        <f t="shared" si="5"/>
        <v>아르곤18</v>
      </c>
      <c r="H69" t="str">
        <f t="shared" si="6"/>
        <v>앰퍼샌드B</v>
      </c>
      <c r="I69" t="str">
        <f t="shared" si="7"/>
        <v>혐오 만세</v>
      </c>
      <c r="J69">
        <v>100</v>
      </c>
      <c r="K69">
        <v>76500</v>
      </c>
      <c r="L69">
        <v>765</v>
      </c>
      <c r="M69">
        <v>0</v>
      </c>
      <c r="N69">
        <v>300</v>
      </c>
      <c r="O69">
        <v>3</v>
      </c>
      <c r="P69">
        <v>18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-200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76800</v>
      </c>
      <c r="AH69">
        <v>786</v>
      </c>
      <c r="AI69">
        <v>-200</v>
      </c>
      <c r="AJ69">
        <v>2</v>
      </c>
      <c r="AK69">
        <v>68168</v>
      </c>
      <c r="AL69">
        <v>-200</v>
      </c>
      <c r="AM69">
        <v>10358.4</v>
      </c>
      <c r="AN69">
        <v>-2036.64</v>
      </c>
      <c r="AO69">
        <v>0</v>
      </c>
      <c r="AP69">
        <v>2496</v>
      </c>
      <c r="AQ69">
        <v>-748.8</v>
      </c>
      <c r="AR69">
        <v>0</v>
      </c>
      <c r="AS69">
        <v>7862.4</v>
      </c>
      <c r="AT69">
        <v>-1287.8399999999999</v>
      </c>
      <c r="AU69">
        <v>0</v>
      </c>
      <c r="AW69">
        <v>0</v>
      </c>
      <c r="AX69">
        <v>0</v>
      </c>
      <c r="AY69">
        <v>47174.48</v>
      </c>
      <c r="BC69" t="str">
        <f t="shared" si="8"/>
        <v>9791137608047</v>
      </c>
      <c r="BE69" t="str">
        <f t="shared" si="9"/>
        <v>BL 웹소설 &gt; 현대물</v>
      </c>
    </row>
    <row r="70" spans="1:57" x14ac:dyDescent="0.3">
      <c r="A70">
        <v>2313020794</v>
      </c>
      <c r="B70">
        <v>2313020862</v>
      </c>
      <c r="C70" t="str">
        <f>T("혐오 만세 61화")</f>
        <v>혐오 만세 61화</v>
      </c>
      <c r="D70" t="str">
        <f>T("61")</f>
        <v>61</v>
      </c>
      <c r="E70" t="str">
        <f t="shared" si="5"/>
        <v>아르곤18</v>
      </c>
      <c r="H70" t="str">
        <f t="shared" si="6"/>
        <v>앰퍼샌드B</v>
      </c>
      <c r="I70" t="str">
        <f t="shared" si="7"/>
        <v>혐오 만세</v>
      </c>
      <c r="J70">
        <v>100</v>
      </c>
      <c r="K70">
        <v>76400</v>
      </c>
      <c r="L70">
        <v>764</v>
      </c>
      <c r="M70">
        <v>0</v>
      </c>
      <c r="N70">
        <v>400</v>
      </c>
      <c r="O70">
        <v>4</v>
      </c>
      <c r="P70">
        <v>21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-100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76800</v>
      </c>
      <c r="AH70">
        <v>789</v>
      </c>
      <c r="AI70">
        <v>-100</v>
      </c>
      <c r="AJ70">
        <v>1</v>
      </c>
      <c r="AK70">
        <v>68338</v>
      </c>
      <c r="AL70">
        <v>-100</v>
      </c>
      <c r="AM70">
        <v>10154.4</v>
      </c>
      <c r="AN70">
        <v>-1973.04</v>
      </c>
      <c r="AO70">
        <v>0</v>
      </c>
      <c r="AP70">
        <v>2280</v>
      </c>
      <c r="AQ70">
        <v>-684</v>
      </c>
      <c r="AR70">
        <v>0</v>
      </c>
      <c r="AS70">
        <v>7874.4</v>
      </c>
      <c r="AT70">
        <v>-1289.04</v>
      </c>
      <c r="AU70">
        <v>0</v>
      </c>
      <c r="AW70">
        <v>0</v>
      </c>
      <c r="AX70">
        <v>0</v>
      </c>
      <c r="AY70">
        <v>47253.04</v>
      </c>
      <c r="BC70" t="str">
        <f t="shared" si="8"/>
        <v>9791137608047</v>
      </c>
      <c r="BE70" t="str">
        <f t="shared" si="9"/>
        <v>BL 웹소설 &gt; 현대물</v>
      </c>
    </row>
    <row r="71" spans="1:57" x14ac:dyDescent="0.3">
      <c r="A71">
        <v>2313020794</v>
      </c>
      <c r="B71">
        <v>2313020828</v>
      </c>
      <c r="C71" t="str">
        <f>T("혐오 만세 35화")</f>
        <v>혐오 만세 35화</v>
      </c>
      <c r="D71" t="str">
        <f>T("35")</f>
        <v>35</v>
      </c>
      <c r="E71" t="str">
        <f t="shared" si="5"/>
        <v>아르곤18</v>
      </c>
      <c r="H71" t="str">
        <f t="shared" si="6"/>
        <v>앰퍼샌드B</v>
      </c>
      <c r="I71" t="str">
        <f t="shared" si="7"/>
        <v>혐오 만세</v>
      </c>
      <c r="J71">
        <v>100</v>
      </c>
      <c r="K71">
        <v>75900</v>
      </c>
      <c r="L71">
        <v>759</v>
      </c>
      <c r="M71">
        <v>0</v>
      </c>
      <c r="N71">
        <v>500</v>
      </c>
      <c r="O71">
        <v>5</v>
      </c>
      <c r="P71">
        <v>27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-400</v>
      </c>
      <c r="X71">
        <v>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76400</v>
      </c>
      <c r="AH71">
        <v>791</v>
      </c>
      <c r="AI71">
        <v>-400</v>
      </c>
      <c r="AJ71">
        <v>4</v>
      </c>
      <c r="AK71">
        <v>68990</v>
      </c>
      <c r="AL71">
        <v>-400</v>
      </c>
      <c r="AM71">
        <v>8892</v>
      </c>
      <c r="AN71">
        <v>-1846.8</v>
      </c>
      <c r="AO71">
        <v>0</v>
      </c>
      <c r="AP71">
        <v>1800</v>
      </c>
      <c r="AQ71">
        <v>-540</v>
      </c>
      <c r="AR71">
        <v>0</v>
      </c>
      <c r="AS71">
        <v>7092</v>
      </c>
      <c r="AT71">
        <v>-1306.8</v>
      </c>
      <c r="AU71">
        <v>0</v>
      </c>
      <c r="AW71">
        <v>0</v>
      </c>
      <c r="AX71">
        <v>0</v>
      </c>
      <c r="AY71">
        <v>46950.7</v>
      </c>
      <c r="BC71" t="str">
        <f t="shared" si="8"/>
        <v>9791137608047</v>
      </c>
      <c r="BE71" t="str">
        <f t="shared" si="9"/>
        <v>BL 웹소설 &gt; 현대물</v>
      </c>
    </row>
    <row r="72" spans="1:57" x14ac:dyDescent="0.3">
      <c r="A72">
        <v>2313020794</v>
      </c>
      <c r="B72">
        <v>2313020818</v>
      </c>
      <c r="C72" t="str">
        <f>T("혐오 만세 25화")</f>
        <v>혐오 만세 25화</v>
      </c>
      <c r="D72" t="str">
        <f>T("25")</f>
        <v>25</v>
      </c>
      <c r="E72" t="str">
        <f t="shared" si="5"/>
        <v>아르곤18</v>
      </c>
      <c r="H72" t="str">
        <f t="shared" si="6"/>
        <v>앰퍼샌드B</v>
      </c>
      <c r="I72" t="str">
        <f t="shared" si="7"/>
        <v>혐오 만세</v>
      </c>
      <c r="J72">
        <v>100</v>
      </c>
      <c r="K72">
        <v>75500</v>
      </c>
      <c r="L72">
        <v>755</v>
      </c>
      <c r="M72">
        <v>0</v>
      </c>
      <c r="N72">
        <v>1300</v>
      </c>
      <c r="O72">
        <v>13</v>
      </c>
      <c r="P72">
        <v>59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-200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76800</v>
      </c>
      <c r="AH72">
        <v>827</v>
      </c>
      <c r="AI72">
        <v>-200</v>
      </c>
      <c r="AJ72">
        <v>2</v>
      </c>
      <c r="AK72">
        <v>69088</v>
      </c>
      <c r="AL72">
        <v>-200</v>
      </c>
      <c r="AM72">
        <v>9254.4</v>
      </c>
      <c r="AN72">
        <v>-1958.4</v>
      </c>
      <c r="AO72">
        <v>0</v>
      </c>
      <c r="AP72">
        <v>2040</v>
      </c>
      <c r="AQ72">
        <v>-612</v>
      </c>
      <c r="AR72">
        <v>0</v>
      </c>
      <c r="AS72">
        <v>7214.4</v>
      </c>
      <c r="AT72">
        <v>-1346.4</v>
      </c>
      <c r="AU72">
        <v>0</v>
      </c>
      <c r="AW72">
        <v>0</v>
      </c>
      <c r="AX72">
        <v>0</v>
      </c>
      <c r="AY72">
        <v>47066.79</v>
      </c>
      <c r="BC72" t="str">
        <f t="shared" si="8"/>
        <v>9791137608047</v>
      </c>
      <c r="BE72" t="str">
        <f t="shared" si="9"/>
        <v>BL 웹소설 &gt; 현대물</v>
      </c>
    </row>
    <row r="73" spans="1:57" x14ac:dyDescent="0.3">
      <c r="A73">
        <v>2313020794</v>
      </c>
      <c r="B73">
        <v>2313020829</v>
      </c>
      <c r="C73" t="str">
        <f>T("혐오 만세 36화")</f>
        <v>혐오 만세 36화</v>
      </c>
      <c r="D73" t="str">
        <f>T("36")</f>
        <v>36</v>
      </c>
      <c r="E73" t="str">
        <f t="shared" si="5"/>
        <v>아르곤18</v>
      </c>
      <c r="H73" t="str">
        <f t="shared" si="6"/>
        <v>앰퍼샌드B</v>
      </c>
      <c r="I73" t="str">
        <f t="shared" si="7"/>
        <v>혐오 만세</v>
      </c>
      <c r="J73">
        <v>100</v>
      </c>
      <c r="K73">
        <v>75300</v>
      </c>
      <c r="L73">
        <v>753</v>
      </c>
      <c r="M73">
        <v>0</v>
      </c>
      <c r="N73">
        <v>600</v>
      </c>
      <c r="O73">
        <v>6</v>
      </c>
      <c r="P73">
        <v>21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-400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75900</v>
      </c>
      <c r="AH73">
        <v>780</v>
      </c>
      <c r="AI73">
        <v>-400</v>
      </c>
      <c r="AJ73">
        <v>4</v>
      </c>
      <c r="AK73">
        <v>68314</v>
      </c>
      <c r="AL73">
        <v>-400</v>
      </c>
      <c r="AM73">
        <v>9103.2000000000007</v>
      </c>
      <c r="AN73">
        <v>-1902.96</v>
      </c>
      <c r="AO73">
        <v>0</v>
      </c>
      <c r="AP73">
        <v>1860</v>
      </c>
      <c r="AQ73">
        <v>-558</v>
      </c>
      <c r="AR73">
        <v>0</v>
      </c>
      <c r="AS73">
        <v>7243.2</v>
      </c>
      <c r="AT73">
        <v>-1344.96</v>
      </c>
      <c r="AU73">
        <v>0</v>
      </c>
      <c r="AW73">
        <v>0</v>
      </c>
      <c r="AX73">
        <v>0</v>
      </c>
      <c r="AY73">
        <v>46587.56</v>
      </c>
      <c r="BC73" t="str">
        <f t="shared" si="8"/>
        <v>9791137608047</v>
      </c>
      <c r="BE73" t="str">
        <f t="shared" si="9"/>
        <v>BL 웹소설 &gt; 현대물</v>
      </c>
    </row>
    <row r="74" spans="1:57" x14ac:dyDescent="0.3">
      <c r="A74">
        <v>2313020794</v>
      </c>
      <c r="B74">
        <v>2313020827</v>
      </c>
      <c r="C74" t="str">
        <f>T("혐오 만세 34화")</f>
        <v>혐오 만세 34화</v>
      </c>
      <c r="D74" t="str">
        <f>T("34")</f>
        <v>34</v>
      </c>
      <c r="E74" t="str">
        <f t="shared" si="5"/>
        <v>아르곤18</v>
      </c>
      <c r="H74" t="str">
        <f t="shared" si="6"/>
        <v>앰퍼샌드B</v>
      </c>
      <c r="I74" t="str">
        <f t="shared" si="7"/>
        <v>혐오 만세</v>
      </c>
      <c r="J74">
        <v>100</v>
      </c>
      <c r="K74">
        <v>75200</v>
      </c>
      <c r="L74">
        <v>752</v>
      </c>
      <c r="M74">
        <v>0</v>
      </c>
      <c r="N74">
        <v>500</v>
      </c>
      <c r="O74">
        <v>5</v>
      </c>
      <c r="P74">
        <v>24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-200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75700</v>
      </c>
      <c r="AH74">
        <v>781</v>
      </c>
      <c r="AI74">
        <v>-200</v>
      </c>
      <c r="AJ74">
        <v>2</v>
      </c>
      <c r="AK74">
        <v>67810</v>
      </c>
      <c r="AL74">
        <v>-200</v>
      </c>
      <c r="AM74">
        <v>9468</v>
      </c>
      <c r="AN74">
        <v>-1964.4</v>
      </c>
      <c r="AO74">
        <v>0</v>
      </c>
      <c r="AP74">
        <v>1860</v>
      </c>
      <c r="AQ74">
        <v>-558</v>
      </c>
      <c r="AR74">
        <v>0</v>
      </c>
      <c r="AS74">
        <v>7608</v>
      </c>
      <c r="AT74">
        <v>-1406.4</v>
      </c>
      <c r="AU74">
        <v>0</v>
      </c>
      <c r="AW74">
        <v>0</v>
      </c>
      <c r="AX74">
        <v>0</v>
      </c>
      <c r="AY74">
        <v>46601.98</v>
      </c>
      <c r="BC74" t="str">
        <f t="shared" si="8"/>
        <v>9791137608047</v>
      </c>
      <c r="BE74" t="str">
        <f t="shared" si="9"/>
        <v>BL 웹소설 &gt; 현대물</v>
      </c>
    </row>
    <row r="75" spans="1:57" x14ac:dyDescent="0.3">
      <c r="A75">
        <v>2313020794</v>
      </c>
      <c r="B75">
        <v>2313020849</v>
      </c>
      <c r="C75" t="str">
        <f>T("혐오 만세 48화")</f>
        <v>혐오 만세 48화</v>
      </c>
      <c r="D75" t="str">
        <f>T("48")</f>
        <v>48</v>
      </c>
      <c r="E75" t="str">
        <f t="shared" si="5"/>
        <v>아르곤18</v>
      </c>
      <c r="H75" t="str">
        <f t="shared" si="6"/>
        <v>앰퍼샌드B</v>
      </c>
      <c r="I75" t="str">
        <f t="shared" si="7"/>
        <v>혐오 만세</v>
      </c>
      <c r="J75">
        <v>100</v>
      </c>
      <c r="K75">
        <v>75200</v>
      </c>
      <c r="L75">
        <v>752</v>
      </c>
      <c r="M75">
        <v>0</v>
      </c>
      <c r="N75">
        <v>100</v>
      </c>
      <c r="O75">
        <v>1</v>
      </c>
      <c r="P75">
        <v>17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-300</v>
      </c>
      <c r="X75">
        <v>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75300</v>
      </c>
      <c r="AH75">
        <v>770</v>
      </c>
      <c r="AI75">
        <v>-300</v>
      </c>
      <c r="AJ75">
        <v>3</v>
      </c>
      <c r="AK75">
        <v>67348</v>
      </c>
      <c r="AL75">
        <v>-300</v>
      </c>
      <c r="AM75">
        <v>9542.4</v>
      </c>
      <c r="AN75">
        <v>-1935.84</v>
      </c>
      <c r="AO75">
        <v>0</v>
      </c>
      <c r="AP75">
        <v>2160</v>
      </c>
      <c r="AQ75">
        <v>-648</v>
      </c>
      <c r="AR75">
        <v>0</v>
      </c>
      <c r="AS75">
        <v>7382.4</v>
      </c>
      <c r="AT75">
        <v>-1287.8399999999999</v>
      </c>
      <c r="AU75">
        <v>0</v>
      </c>
      <c r="AW75">
        <v>0</v>
      </c>
      <c r="AX75">
        <v>0</v>
      </c>
      <c r="AY75">
        <v>46229.919999999998</v>
      </c>
      <c r="BC75" t="str">
        <f t="shared" si="8"/>
        <v>9791137608047</v>
      </c>
      <c r="BE75" t="str">
        <f t="shared" si="9"/>
        <v>BL 웹소설 &gt; 현대물</v>
      </c>
    </row>
    <row r="76" spans="1:57" x14ac:dyDescent="0.3">
      <c r="A76">
        <v>2313020091</v>
      </c>
      <c r="B76">
        <v>2313020093</v>
      </c>
      <c r="C76" t="str">
        <f>T("[e북]막상막하 3권 (완결)")</f>
        <v>[e북]막상막하 3권 (완결)</v>
      </c>
      <c r="D76" t="str">
        <f>T("3")</f>
        <v>3</v>
      </c>
      <c r="E76" t="str">
        <f>T("마뇽")</f>
        <v>마뇽</v>
      </c>
      <c r="H76" t="str">
        <f>T("도서출판 태랑")</f>
        <v>도서출판 태랑</v>
      </c>
      <c r="I76" t="str">
        <f>T("[e북]막상막하")</f>
        <v>[e북]막상막하</v>
      </c>
      <c r="J76">
        <v>3000</v>
      </c>
      <c r="K76">
        <v>75000</v>
      </c>
      <c r="L76">
        <v>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75000</v>
      </c>
      <c r="AH76">
        <v>25</v>
      </c>
      <c r="AI76">
        <v>0</v>
      </c>
      <c r="AJ76">
        <v>0</v>
      </c>
      <c r="AK76">
        <v>71208</v>
      </c>
      <c r="AL76">
        <v>0</v>
      </c>
      <c r="AM76">
        <v>4550.3999999999996</v>
      </c>
      <c r="AN76">
        <v>-645.12</v>
      </c>
      <c r="AO76">
        <v>0</v>
      </c>
      <c r="AP76">
        <v>842.4</v>
      </c>
      <c r="AQ76">
        <v>-252.72</v>
      </c>
      <c r="AR76">
        <v>0</v>
      </c>
      <c r="AS76">
        <v>3708</v>
      </c>
      <c r="AT76">
        <v>-392.4</v>
      </c>
      <c r="AU76">
        <v>0</v>
      </c>
      <c r="AW76">
        <v>0</v>
      </c>
      <c r="AX76">
        <v>0</v>
      </c>
      <c r="AY76">
        <v>52579.3</v>
      </c>
      <c r="BC76" t="str">
        <f>T("9791137606920")</f>
        <v>9791137606920</v>
      </c>
      <c r="BE76" t="str">
        <f>T("BL 소설 e북 &gt; 현대물")</f>
        <v>BL 소설 e북 &gt; 현대물</v>
      </c>
    </row>
    <row r="77" spans="1:57" x14ac:dyDescent="0.3">
      <c r="A77">
        <v>2313020794</v>
      </c>
      <c r="B77">
        <v>2313020817</v>
      </c>
      <c r="C77" t="str">
        <f>T("혐오 만세 24화")</f>
        <v>혐오 만세 24화</v>
      </c>
      <c r="D77" t="str">
        <f>T("24")</f>
        <v>24</v>
      </c>
      <c r="E77" t="str">
        <f t="shared" ref="E77:E90" si="10">T("아르곤18")</f>
        <v>아르곤18</v>
      </c>
      <c r="H77" t="str">
        <f t="shared" ref="H77:H90" si="11">T("앰퍼샌드B")</f>
        <v>앰퍼샌드B</v>
      </c>
      <c r="I77" t="str">
        <f t="shared" ref="I77:I90" si="12">T("혐오 만세")</f>
        <v>혐오 만세</v>
      </c>
      <c r="J77">
        <v>100</v>
      </c>
      <c r="K77">
        <v>75000</v>
      </c>
      <c r="L77">
        <v>750</v>
      </c>
      <c r="M77">
        <v>0</v>
      </c>
      <c r="N77">
        <v>1000</v>
      </c>
      <c r="O77">
        <v>10</v>
      </c>
      <c r="P77">
        <v>169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-200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76000</v>
      </c>
      <c r="AH77">
        <v>929</v>
      </c>
      <c r="AI77">
        <v>-200</v>
      </c>
      <c r="AJ77">
        <v>2</v>
      </c>
      <c r="AK77">
        <v>67638</v>
      </c>
      <c r="AL77">
        <v>-200</v>
      </c>
      <c r="AM77">
        <v>10034.4</v>
      </c>
      <c r="AN77">
        <v>-2180.4</v>
      </c>
      <c r="AO77">
        <v>0</v>
      </c>
      <c r="AP77">
        <v>2160</v>
      </c>
      <c r="AQ77">
        <v>-648</v>
      </c>
      <c r="AR77">
        <v>0</v>
      </c>
      <c r="AS77">
        <v>7874.4</v>
      </c>
      <c r="AT77">
        <v>-1532.4</v>
      </c>
      <c r="AU77">
        <v>0</v>
      </c>
      <c r="AW77">
        <v>0</v>
      </c>
      <c r="AX77">
        <v>0</v>
      </c>
      <c r="AY77">
        <v>46469.83</v>
      </c>
      <c r="BC77" t="str">
        <f t="shared" ref="BC77:BC90" si="13">T("9791137608047")</f>
        <v>9791137608047</v>
      </c>
      <c r="BE77" t="str">
        <f t="shared" ref="BE77:BE90" si="14">T("BL 웹소설 &gt; 현대물")</f>
        <v>BL 웹소설 &gt; 현대물</v>
      </c>
    </row>
    <row r="78" spans="1:57" x14ac:dyDescent="0.3">
      <c r="A78">
        <v>2313020794</v>
      </c>
      <c r="B78">
        <v>2313020816</v>
      </c>
      <c r="C78" t="str">
        <f>T("혐오 만세 23화")</f>
        <v>혐오 만세 23화</v>
      </c>
      <c r="D78" t="str">
        <f>T("23")</f>
        <v>23</v>
      </c>
      <c r="E78" t="str">
        <f t="shared" si="10"/>
        <v>아르곤18</v>
      </c>
      <c r="H78" t="str">
        <f t="shared" si="11"/>
        <v>앰퍼샌드B</v>
      </c>
      <c r="I78" t="str">
        <f t="shared" si="12"/>
        <v>혐오 만세</v>
      </c>
      <c r="J78">
        <v>100</v>
      </c>
      <c r="K78">
        <v>73200</v>
      </c>
      <c r="L78">
        <v>732</v>
      </c>
      <c r="M78">
        <v>0</v>
      </c>
      <c r="N78">
        <v>1800</v>
      </c>
      <c r="O78">
        <v>18</v>
      </c>
      <c r="P78">
        <v>183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-200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75000</v>
      </c>
      <c r="AH78">
        <v>933</v>
      </c>
      <c r="AI78">
        <v>-200</v>
      </c>
      <c r="AJ78">
        <v>2</v>
      </c>
      <c r="AK78">
        <v>66539</v>
      </c>
      <c r="AL78">
        <v>-200</v>
      </c>
      <c r="AM78">
        <v>10153.200000000001</v>
      </c>
      <c r="AN78">
        <v>-2144.2800000000002</v>
      </c>
      <c r="AO78">
        <v>0</v>
      </c>
      <c r="AP78">
        <v>2040</v>
      </c>
      <c r="AQ78">
        <v>-612</v>
      </c>
      <c r="AR78">
        <v>0</v>
      </c>
      <c r="AS78">
        <v>8113.2</v>
      </c>
      <c r="AT78">
        <v>-1532.28</v>
      </c>
      <c r="AU78">
        <v>0</v>
      </c>
      <c r="AW78">
        <v>0</v>
      </c>
      <c r="AX78">
        <v>0</v>
      </c>
      <c r="AY78">
        <v>45954.02</v>
      </c>
      <c r="BC78" t="str">
        <f t="shared" si="13"/>
        <v>9791137608047</v>
      </c>
      <c r="BE78" t="str">
        <f t="shared" si="14"/>
        <v>BL 웹소설 &gt; 현대물</v>
      </c>
    </row>
    <row r="79" spans="1:57" x14ac:dyDescent="0.3">
      <c r="A79">
        <v>2313020794</v>
      </c>
      <c r="B79">
        <v>2313020807</v>
      </c>
      <c r="C79" t="str">
        <f>T("혐오 만세 14화")</f>
        <v>혐오 만세 14화</v>
      </c>
      <c r="D79" t="str">
        <f>T("14")</f>
        <v>14</v>
      </c>
      <c r="E79" t="str">
        <f t="shared" si="10"/>
        <v>아르곤18</v>
      </c>
      <c r="H79" t="str">
        <f t="shared" si="11"/>
        <v>앰퍼샌드B</v>
      </c>
      <c r="I79" t="str">
        <f t="shared" si="12"/>
        <v>혐오 만세</v>
      </c>
      <c r="J79">
        <v>100</v>
      </c>
      <c r="K79">
        <v>73000</v>
      </c>
      <c r="L79">
        <v>730</v>
      </c>
      <c r="M79">
        <v>0</v>
      </c>
      <c r="N79">
        <v>1000</v>
      </c>
      <c r="O79">
        <v>10</v>
      </c>
      <c r="P79">
        <v>703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-200</v>
      </c>
      <c r="X79">
        <v>2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74000</v>
      </c>
      <c r="AH79">
        <v>1443</v>
      </c>
      <c r="AI79">
        <v>-200</v>
      </c>
      <c r="AJ79">
        <v>3</v>
      </c>
      <c r="AK79">
        <v>65636</v>
      </c>
      <c r="AL79">
        <v>-200</v>
      </c>
      <c r="AM79">
        <v>10036.799999999999</v>
      </c>
      <c r="AN79">
        <v>-2060.64</v>
      </c>
      <c r="AO79">
        <v>0</v>
      </c>
      <c r="AP79">
        <v>1920</v>
      </c>
      <c r="AQ79">
        <v>-576</v>
      </c>
      <c r="AR79">
        <v>0</v>
      </c>
      <c r="AS79">
        <v>8116.8</v>
      </c>
      <c r="AT79">
        <v>-1484.64</v>
      </c>
      <c r="AU79">
        <v>0</v>
      </c>
      <c r="AW79">
        <v>0</v>
      </c>
      <c r="AX79">
        <v>0</v>
      </c>
      <c r="AY79">
        <v>45279.62</v>
      </c>
      <c r="BC79" t="str">
        <f t="shared" si="13"/>
        <v>9791137608047</v>
      </c>
      <c r="BE79" t="str">
        <f t="shared" si="14"/>
        <v>BL 웹소설 &gt; 현대물</v>
      </c>
    </row>
    <row r="80" spans="1:57" x14ac:dyDescent="0.3">
      <c r="A80">
        <v>2313020794</v>
      </c>
      <c r="B80">
        <v>2313020808</v>
      </c>
      <c r="C80" t="str">
        <f>T("혐오 만세 15화")</f>
        <v>혐오 만세 15화</v>
      </c>
      <c r="D80" t="str">
        <f>T("15")</f>
        <v>15</v>
      </c>
      <c r="E80" t="str">
        <f t="shared" si="10"/>
        <v>아르곤18</v>
      </c>
      <c r="H80" t="str">
        <f t="shared" si="11"/>
        <v>앰퍼샌드B</v>
      </c>
      <c r="I80" t="str">
        <f t="shared" si="12"/>
        <v>혐오 만세</v>
      </c>
      <c r="J80">
        <v>100</v>
      </c>
      <c r="K80">
        <v>72900</v>
      </c>
      <c r="L80">
        <v>729</v>
      </c>
      <c r="M80">
        <v>0</v>
      </c>
      <c r="N80">
        <v>1100</v>
      </c>
      <c r="O80">
        <v>11</v>
      </c>
      <c r="P80">
        <v>721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-200</v>
      </c>
      <c r="X80">
        <v>2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74000</v>
      </c>
      <c r="AH80">
        <v>1461</v>
      </c>
      <c r="AI80">
        <v>-200</v>
      </c>
      <c r="AJ80">
        <v>3</v>
      </c>
      <c r="AK80">
        <v>65536</v>
      </c>
      <c r="AL80">
        <v>-200</v>
      </c>
      <c r="AM80">
        <v>10156.799999999999</v>
      </c>
      <c r="AN80">
        <v>-2120.64</v>
      </c>
      <c r="AO80">
        <v>0</v>
      </c>
      <c r="AP80">
        <v>1920</v>
      </c>
      <c r="AQ80">
        <v>-576</v>
      </c>
      <c r="AR80">
        <v>0</v>
      </c>
      <c r="AS80">
        <v>8236.7999999999993</v>
      </c>
      <c r="AT80">
        <v>-1544.64</v>
      </c>
      <c r="AU80">
        <v>0</v>
      </c>
      <c r="AW80">
        <v>0</v>
      </c>
      <c r="AX80">
        <v>0</v>
      </c>
      <c r="AY80">
        <v>45274.82</v>
      </c>
      <c r="BC80" t="str">
        <f t="shared" si="13"/>
        <v>9791137608047</v>
      </c>
      <c r="BE80" t="str">
        <f t="shared" si="14"/>
        <v>BL 웹소설 &gt; 현대물</v>
      </c>
    </row>
    <row r="81" spans="1:58" x14ac:dyDescent="0.3">
      <c r="A81">
        <v>2313020794</v>
      </c>
      <c r="B81">
        <v>2313020806</v>
      </c>
      <c r="C81" t="str">
        <f>T("혐오 만세 13화")</f>
        <v>혐오 만세 13화</v>
      </c>
      <c r="D81" t="str">
        <f>T("13")</f>
        <v>13</v>
      </c>
      <c r="E81" t="str">
        <f t="shared" si="10"/>
        <v>아르곤18</v>
      </c>
      <c r="H81" t="str">
        <f t="shared" si="11"/>
        <v>앰퍼샌드B</v>
      </c>
      <c r="I81" t="str">
        <f t="shared" si="12"/>
        <v>혐오 만세</v>
      </c>
      <c r="J81">
        <v>100</v>
      </c>
      <c r="K81">
        <v>71900</v>
      </c>
      <c r="L81">
        <v>719</v>
      </c>
      <c r="M81">
        <v>0</v>
      </c>
      <c r="N81">
        <v>1200</v>
      </c>
      <c r="O81">
        <v>12</v>
      </c>
      <c r="P81">
        <v>672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-200</v>
      </c>
      <c r="X81">
        <v>2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73100</v>
      </c>
      <c r="AH81">
        <v>1403</v>
      </c>
      <c r="AI81">
        <v>-200</v>
      </c>
      <c r="AJ81">
        <v>3</v>
      </c>
      <c r="AK81">
        <v>64696</v>
      </c>
      <c r="AL81">
        <v>-200</v>
      </c>
      <c r="AM81">
        <v>10085.209999999999</v>
      </c>
      <c r="AN81">
        <v>-2113.56</v>
      </c>
      <c r="AO81">
        <v>0</v>
      </c>
      <c r="AP81">
        <v>2040.41</v>
      </c>
      <c r="AQ81">
        <v>-612.12</v>
      </c>
      <c r="AR81">
        <v>0</v>
      </c>
      <c r="AS81">
        <v>8044.8</v>
      </c>
      <c r="AT81">
        <v>-1501.44</v>
      </c>
      <c r="AU81">
        <v>0</v>
      </c>
      <c r="AW81">
        <v>0</v>
      </c>
      <c r="AX81">
        <v>0</v>
      </c>
      <c r="AY81">
        <v>44702.27</v>
      </c>
      <c r="BC81" t="str">
        <f t="shared" si="13"/>
        <v>9791137608047</v>
      </c>
      <c r="BE81" t="str">
        <f t="shared" si="14"/>
        <v>BL 웹소설 &gt; 현대물</v>
      </c>
    </row>
    <row r="82" spans="1:58" x14ac:dyDescent="0.3">
      <c r="A82">
        <v>2313020794</v>
      </c>
      <c r="B82">
        <v>2313020810</v>
      </c>
      <c r="C82" t="str">
        <f>T("혐오 만세 17화")</f>
        <v>혐오 만세 17화</v>
      </c>
      <c r="D82" t="str">
        <f>T("17")</f>
        <v>17</v>
      </c>
      <c r="E82" t="str">
        <f t="shared" si="10"/>
        <v>아르곤18</v>
      </c>
      <c r="H82" t="str">
        <f t="shared" si="11"/>
        <v>앰퍼샌드B</v>
      </c>
      <c r="I82" t="str">
        <f t="shared" si="12"/>
        <v>혐오 만세</v>
      </c>
      <c r="J82">
        <v>100</v>
      </c>
      <c r="K82">
        <v>71700</v>
      </c>
      <c r="L82">
        <v>717</v>
      </c>
      <c r="M82">
        <v>0</v>
      </c>
      <c r="N82">
        <v>700</v>
      </c>
      <c r="O82">
        <v>7</v>
      </c>
      <c r="P82">
        <v>755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-200</v>
      </c>
      <c r="X82">
        <v>2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72400</v>
      </c>
      <c r="AH82">
        <v>1479</v>
      </c>
      <c r="AI82">
        <v>-200</v>
      </c>
      <c r="AJ82">
        <v>3</v>
      </c>
      <c r="AK82">
        <v>64136</v>
      </c>
      <c r="AL82">
        <v>-200</v>
      </c>
      <c r="AM82">
        <v>9916.7999999999993</v>
      </c>
      <c r="AN82">
        <v>-2072.64</v>
      </c>
      <c r="AO82">
        <v>0</v>
      </c>
      <c r="AP82">
        <v>1920</v>
      </c>
      <c r="AQ82">
        <v>-576</v>
      </c>
      <c r="AR82">
        <v>0</v>
      </c>
      <c r="AS82">
        <v>7996.8</v>
      </c>
      <c r="AT82">
        <v>-1496.64</v>
      </c>
      <c r="AU82">
        <v>0</v>
      </c>
      <c r="AW82">
        <v>0</v>
      </c>
      <c r="AX82">
        <v>0</v>
      </c>
      <c r="AY82">
        <v>44221.22</v>
      </c>
      <c r="BC82" t="str">
        <f t="shared" si="13"/>
        <v>9791137608047</v>
      </c>
      <c r="BE82" t="str">
        <f t="shared" si="14"/>
        <v>BL 웹소설 &gt; 현대물</v>
      </c>
    </row>
    <row r="83" spans="1:58" x14ac:dyDescent="0.3">
      <c r="A83">
        <v>2313020794</v>
      </c>
      <c r="B83">
        <v>2313020809</v>
      </c>
      <c r="C83" t="str">
        <f>T("혐오 만세 16화")</f>
        <v>혐오 만세 16화</v>
      </c>
      <c r="D83" t="str">
        <f>T("16")</f>
        <v>16</v>
      </c>
      <c r="E83" t="str">
        <f t="shared" si="10"/>
        <v>아르곤18</v>
      </c>
      <c r="H83" t="str">
        <f t="shared" si="11"/>
        <v>앰퍼샌드B</v>
      </c>
      <c r="I83" t="str">
        <f t="shared" si="12"/>
        <v>혐오 만세</v>
      </c>
      <c r="J83">
        <v>100</v>
      </c>
      <c r="K83">
        <v>71500</v>
      </c>
      <c r="L83">
        <v>715</v>
      </c>
      <c r="M83">
        <v>0</v>
      </c>
      <c r="N83">
        <v>600</v>
      </c>
      <c r="O83">
        <v>6</v>
      </c>
      <c r="P83">
        <v>729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-200</v>
      </c>
      <c r="X83">
        <v>2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72100</v>
      </c>
      <c r="AH83">
        <v>1450</v>
      </c>
      <c r="AI83">
        <v>-200</v>
      </c>
      <c r="AJ83">
        <v>3</v>
      </c>
      <c r="AK83">
        <v>63736</v>
      </c>
      <c r="AL83">
        <v>-200</v>
      </c>
      <c r="AM83">
        <v>10036.799999999999</v>
      </c>
      <c r="AN83">
        <v>-2084.64</v>
      </c>
      <c r="AO83">
        <v>0</v>
      </c>
      <c r="AP83">
        <v>2040</v>
      </c>
      <c r="AQ83">
        <v>-612</v>
      </c>
      <c r="AR83">
        <v>0</v>
      </c>
      <c r="AS83">
        <v>7996.8</v>
      </c>
      <c r="AT83">
        <v>-1472.64</v>
      </c>
      <c r="AU83">
        <v>0</v>
      </c>
      <c r="AW83">
        <v>0</v>
      </c>
      <c r="AX83">
        <v>0</v>
      </c>
      <c r="AY83">
        <v>44067.3</v>
      </c>
      <c r="BC83" t="str">
        <f t="shared" si="13"/>
        <v>9791137608047</v>
      </c>
      <c r="BE83" t="str">
        <f t="shared" si="14"/>
        <v>BL 웹소설 &gt; 현대물</v>
      </c>
    </row>
    <row r="84" spans="1:58" x14ac:dyDescent="0.3">
      <c r="A84">
        <v>2313020794</v>
      </c>
      <c r="B84">
        <v>2313020815</v>
      </c>
      <c r="C84" t="str">
        <f>T("혐오 만세 22화")</f>
        <v>혐오 만세 22화</v>
      </c>
      <c r="D84" t="str">
        <f>T("22")</f>
        <v>22</v>
      </c>
      <c r="E84" t="str">
        <f t="shared" si="10"/>
        <v>아르곤18</v>
      </c>
      <c r="H84" t="str">
        <f t="shared" si="11"/>
        <v>앰퍼샌드B</v>
      </c>
      <c r="I84" t="str">
        <f t="shared" si="12"/>
        <v>혐오 만세</v>
      </c>
      <c r="J84">
        <v>100</v>
      </c>
      <c r="K84">
        <v>71200</v>
      </c>
      <c r="L84">
        <v>712</v>
      </c>
      <c r="M84">
        <v>0</v>
      </c>
      <c r="N84">
        <v>5400</v>
      </c>
      <c r="O84">
        <v>54</v>
      </c>
      <c r="P84">
        <v>160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-200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76600</v>
      </c>
      <c r="AH84">
        <v>926</v>
      </c>
      <c r="AI84">
        <v>-200</v>
      </c>
      <c r="AJ84">
        <v>2</v>
      </c>
      <c r="AK84">
        <v>68619</v>
      </c>
      <c r="AL84">
        <v>-200</v>
      </c>
      <c r="AM84">
        <v>9577.2000000000007</v>
      </c>
      <c r="AN84">
        <v>-2062.6799999999998</v>
      </c>
      <c r="AO84">
        <v>0</v>
      </c>
      <c r="AP84">
        <v>1920</v>
      </c>
      <c r="AQ84">
        <v>-576</v>
      </c>
      <c r="AR84">
        <v>0</v>
      </c>
      <c r="AS84">
        <v>7657.2</v>
      </c>
      <c r="AT84">
        <v>-1486.68</v>
      </c>
      <c r="AU84">
        <v>0</v>
      </c>
      <c r="AW84">
        <v>0</v>
      </c>
      <c r="AX84">
        <v>0</v>
      </c>
      <c r="AY84">
        <v>46993.14</v>
      </c>
      <c r="BC84" t="str">
        <f t="shared" si="13"/>
        <v>9791137608047</v>
      </c>
      <c r="BE84" t="str">
        <f t="shared" si="14"/>
        <v>BL 웹소설 &gt; 현대물</v>
      </c>
    </row>
    <row r="85" spans="1:58" x14ac:dyDescent="0.3">
      <c r="A85">
        <v>2313020794</v>
      </c>
      <c r="B85">
        <v>2313020811</v>
      </c>
      <c r="C85" t="str">
        <f>T("혐오 만세 18화")</f>
        <v>혐오 만세 18화</v>
      </c>
      <c r="D85" t="str">
        <f>T("18")</f>
        <v>18</v>
      </c>
      <c r="E85" t="str">
        <f t="shared" si="10"/>
        <v>아르곤18</v>
      </c>
      <c r="H85" t="str">
        <f t="shared" si="11"/>
        <v>앰퍼샌드B</v>
      </c>
      <c r="I85" t="str">
        <f t="shared" si="12"/>
        <v>혐오 만세</v>
      </c>
      <c r="J85">
        <v>100</v>
      </c>
      <c r="K85">
        <v>69600</v>
      </c>
      <c r="L85">
        <v>696</v>
      </c>
      <c r="M85">
        <v>0</v>
      </c>
      <c r="N85">
        <v>1000</v>
      </c>
      <c r="O85">
        <v>10</v>
      </c>
      <c r="P85">
        <v>789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-200</v>
      </c>
      <c r="X85">
        <v>2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70600</v>
      </c>
      <c r="AH85">
        <v>1495</v>
      </c>
      <c r="AI85">
        <v>-200</v>
      </c>
      <c r="AJ85">
        <v>3</v>
      </c>
      <c r="AK85">
        <v>62808</v>
      </c>
      <c r="AL85">
        <v>-200</v>
      </c>
      <c r="AM85">
        <v>9350.4</v>
      </c>
      <c r="AN85">
        <v>-1992</v>
      </c>
      <c r="AO85">
        <v>0</v>
      </c>
      <c r="AP85">
        <v>2040</v>
      </c>
      <c r="AQ85">
        <v>-612</v>
      </c>
      <c r="AR85">
        <v>0</v>
      </c>
      <c r="AS85">
        <v>7310.4</v>
      </c>
      <c r="AT85">
        <v>-1380</v>
      </c>
      <c r="AU85">
        <v>0</v>
      </c>
      <c r="AW85">
        <v>0</v>
      </c>
      <c r="AX85">
        <v>0</v>
      </c>
      <c r="AY85">
        <v>43073.760000000002</v>
      </c>
      <c r="BC85" t="str">
        <f t="shared" si="13"/>
        <v>9791137608047</v>
      </c>
      <c r="BE85" t="str">
        <f t="shared" si="14"/>
        <v>BL 웹소설 &gt; 현대물</v>
      </c>
    </row>
    <row r="86" spans="1:58" x14ac:dyDescent="0.3">
      <c r="A86">
        <v>2313020794</v>
      </c>
      <c r="B86">
        <v>2313020812</v>
      </c>
      <c r="C86" t="str">
        <f>T("혐오 만세 19화")</f>
        <v>혐오 만세 19화</v>
      </c>
      <c r="D86" t="str">
        <f>T("19")</f>
        <v>19</v>
      </c>
      <c r="E86" t="str">
        <f t="shared" si="10"/>
        <v>아르곤18</v>
      </c>
      <c r="H86" t="str">
        <f t="shared" si="11"/>
        <v>앰퍼샌드B</v>
      </c>
      <c r="I86" t="str">
        <f t="shared" si="12"/>
        <v>혐오 만세</v>
      </c>
      <c r="J86">
        <v>100</v>
      </c>
      <c r="K86">
        <v>68300</v>
      </c>
      <c r="L86">
        <v>683</v>
      </c>
      <c r="M86">
        <v>0</v>
      </c>
      <c r="N86">
        <v>900</v>
      </c>
      <c r="O86">
        <v>9</v>
      </c>
      <c r="P86">
        <v>846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-200</v>
      </c>
      <c r="X86">
        <v>2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69200</v>
      </c>
      <c r="AH86">
        <v>1538</v>
      </c>
      <c r="AI86">
        <v>-200</v>
      </c>
      <c r="AJ86">
        <v>3</v>
      </c>
      <c r="AK86">
        <v>61808</v>
      </c>
      <c r="AL86">
        <v>-200</v>
      </c>
      <c r="AM86">
        <v>8870.4</v>
      </c>
      <c r="AN86">
        <v>-1872</v>
      </c>
      <c r="AO86">
        <v>0</v>
      </c>
      <c r="AP86">
        <v>1800</v>
      </c>
      <c r="AQ86">
        <v>-540</v>
      </c>
      <c r="AR86">
        <v>0</v>
      </c>
      <c r="AS86">
        <v>7070.4</v>
      </c>
      <c r="AT86">
        <v>-1332</v>
      </c>
      <c r="AU86">
        <v>0</v>
      </c>
      <c r="AW86">
        <v>0</v>
      </c>
      <c r="AX86">
        <v>0</v>
      </c>
      <c r="AY86">
        <v>42216.959999999999</v>
      </c>
      <c r="BC86" t="str">
        <f t="shared" si="13"/>
        <v>9791137608047</v>
      </c>
      <c r="BE86" t="str">
        <f t="shared" si="14"/>
        <v>BL 웹소설 &gt; 현대물</v>
      </c>
    </row>
    <row r="87" spans="1:58" x14ac:dyDescent="0.3">
      <c r="A87">
        <v>2313020794</v>
      </c>
      <c r="B87">
        <v>2313020805</v>
      </c>
      <c r="C87" t="str">
        <f>T("혐오 만세 12화")</f>
        <v>혐오 만세 12화</v>
      </c>
      <c r="D87" t="str">
        <f>T("12")</f>
        <v>12</v>
      </c>
      <c r="E87" t="str">
        <f t="shared" si="10"/>
        <v>아르곤18</v>
      </c>
      <c r="H87" t="str">
        <f t="shared" si="11"/>
        <v>앰퍼샌드B</v>
      </c>
      <c r="I87" t="str">
        <f t="shared" si="12"/>
        <v>혐오 만세</v>
      </c>
      <c r="J87">
        <v>100</v>
      </c>
      <c r="K87">
        <v>66400</v>
      </c>
      <c r="L87">
        <v>664</v>
      </c>
      <c r="M87">
        <v>0</v>
      </c>
      <c r="N87">
        <v>500</v>
      </c>
      <c r="O87">
        <v>5</v>
      </c>
      <c r="P87">
        <v>654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-200</v>
      </c>
      <c r="X87">
        <v>2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66900</v>
      </c>
      <c r="AH87">
        <v>1323</v>
      </c>
      <c r="AI87">
        <v>-200</v>
      </c>
      <c r="AJ87">
        <v>3</v>
      </c>
      <c r="AK87">
        <v>59096</v>
      </c>
      <c r="AL87">
        <v>-200</v>
      </c>
      <c r="AM87">
        <v>9365.2099999999991</v>
      </c>
      <c r="AN87">
        <v>-1981.56</v>
      </c>
      <c r="AO87">
        <v>0</v>
      </c>
      <c r="AP87">
        <v>1980.41</v>
      </c>
      <c r="AQ87">
        <v>-594.12</v>
      </c>
      <c r="AR87">
        <v>0</v>
      </c>
      <c r="AS87">
        <v>7384.8</v>
      </c>
      <c r="AT87">
        <v>-1387.44</v>
      </c>
      <c r="AU87">
        <v>0</v>
      </c>
      <c r="AW87">
        <v>0</v>
      </c>
      <c r="AX87">
        <v>0</v>
      </c>
      <c r="AY87">
        <v>40978.35</v>
      </c>
      <c r="BC87" t="str">
        <f t="shared" si="13"/>
        <v>9791137608047</v>
      </c>
      <c r="BE87" t="str">
        <f t="shared" si="14"/>
        <v>BL 웹소설 &gt; 현대물</v>
      </c>
    </row>
    <row r="88" spans="1:58" x14ac:dyDescent="0.3">
      <c r="A88">
        <v>2313020794</v>
      </c>
      <c r="B88">
        <v>2313020814</v>
      </c>
      <c r="C88" t="str">
        <f>T("혐오 만세 21화")</f>
        <v>혐오 만세 21화</v>
      </c>
      <c r="D88" t="str">
        <f>T("21")</f>
        <v>21</v>
      </c>
      <c r="E88" t="str">
        <f t="shared" si="10"/>
        <v>아르곤18</v>
      </c>
      <c r="H88" t="str">
        <f t="shared" si="11"/>
        <v>앰퍼샌드B</v>
      </c>
      <c r="I88" t="str">
        <f t="shared" si="12"/>
        <v>혐오 만세</v>
      </c>
      <c r="J88">
        <v>100</v>
      </c>
      <c r="K88">
        <v>66400</v>
      </c>
      <c r="L88">
        <v>664</v>
      </c>
      <c r="M88">
        <v>0</v>
      </c>
      <c r="N88">
        <v>8200</v>
      </c>
      <c r="O88">
        <v>82</v>
      </c>
      <c r="P88">
        <v>33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-200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74600</v>
      </c>
      <c r="AH88">
        <v>779</v>
      </c>
      <c r="AI88">
        <v>-200</v>
      </c>
      <c r="AJ88">
        <v>2</v>
      </c>
      <c r="AK88">
        <v>67389</v>
      </c>
      <c r="AL88">
        <v>-200</v>
      </c>
      <c r="AM88">
        <v>8653.2000000000007</v>
      </c>
      <c r="AN88">
        <v>-1874.28</v>
      </c>
      <c r="AO88">
        <v>0</v>
      </c>
      <c r="AP88">
        <v>1800</v>
      </c>
      <c r="AQ88">
        <v>-540</v>
      </c>
      <c r="AR88">
        <v>0</v>
      </c>
      <c r="AS88">
        <v>6853.2</v>
      </c>
      <c r="AT88">
        <v>-1334.28</v>
      </c>
      <c r="AU88">
        <v>0</v>
      </c>
      <c r="AW88">
        <v>0</v>
      </c>
      <c r="AX88">
        <v>0</v>
      </c>
      <c r="AY88">
        <v>45852.98</v>
      </c>
      <c r="BC88" t="str">
        <f t="shared" si="13"/>
        <v>9791137608047</v>
      </c>
      <c r="BE88" t="str">
        <f t="shared" si="14"/>
        <v>BL 웹소설 &gt; 현대물</v>
      </c>
    </row>
    <row r="89" spans="1:58" x14ac:dyDescent="0.3">
      <c r="A89">
        <v>2313020794</v>
      </c>
      <c r="B89">
        <v>2313020804</v>
      </c>
      <c r="C89" t="str">
        <f>T("혐오 만세 11화")</f>
        <v>혐오 만세 11화</v>
      </c>
      <c r="D89" t="str">
        <f>T("11")</f>
        <v>11</v>
      </c>
      <c r="E89" t="str">
        <f t="shared" si="10"/>
        <v>아르곤18</v>
      </c>
      <c r="H89" t="str">
        <f t="shared" si="11"/>
        <v>앰퍼샌드B</v>
      </c>
      <c r="I89" t="str">
        <f t="shared" si="12"/>
        <v>혐오 만세</v>
      </c>
      <c r="J89">
        <v>100</v>
      </c>
      <c r="K89">
        <v>66200</v>
      </c>
      <c r="L89">
        <v>662</v>
      </c>
      <c r="M89">
        <v>0</v>
      </c>
      <c r="N89">
        <v>100</v>
      </c>
      <c r="O89">
        <v>1</v>
      </c>
      <c r="P89">
        <v>681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-200</v>
      </c>
      <c r="X89">
        <v>2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66300</v>
      </c>
      <c r="AH89">
        <v>1344</v>
      </c>
      <c r="AI89">
        <v>-200</v>
      </c>
      <c r="AJ89">
        <v>3</v>
      </c>
      <c r="AK89">
        <v>58455</v>
      </c>
      <c r="AL89">
        <v>-200</v>
      </c>
      <c r="AM89">
        <v>9414.41</v>
      </c>
      <c r="AN89">
        <v>-2022.72</v>
      </c>
      <c r="AO89">
        <v>0</v>
      </c>
      <c r="AP89">
        <v>1920.41</v>
      </c>
      <c r="AQ89">
        <v>-576.12</v>
      </c>
      <c r="AR89">
        <v>0</v>
      </c>
      <c r="AS89">
        <v>7494</v>
      </c>
      <c r="AT89">
        <v>-1446.6</v>
      </c>
      <c r="AU89">
        <v>0</v>
      </c>
      <c r="AW89">
        <v>0</v>
      </c>
      <c r="AX89">
        <v>0</v>
      </c>
      <c r="AY89">
        <v>40636.33</v>
      </c>
      <c r="BC89" t="str">
        <f t="shared" si="13"/>
        <v>9791137608047</v>
      </c>
      <c r="BE89" t="str">
        <f t="shared" si="14"/>
        <v>BL 웹소설 &gt; 현대물</v>
      </c>
    </row>
    <row r="90" spans="1:58" x14ac:dyDescent="0.3">
      <c r="A90">
        <v>2313020794</v>
      </c>
      <c r="B90">
        <v>2313020813</v>
      </c>
      <c r="C90" t="str">
        <f>T("혐오 만세 20화")</f>
        <v>혐오 만세 20화</v>
      </c>
      <c r="D90" t="str">
        <f>T("20")</f>
        <v>20</v>
      </c>
      <c r="E90" t="str">
        <f t="shared" si="10"/>
        <v>아르곤18</v>
      </c>
      <c r="H90" t="str">
        <f t="shared" si="11"/>
        <v>앰퍼샌드B</v>
      </c>
      <c r="I90" t="str">
        <f t="shared" si="12"/>
        <v>혐오 만세</v>
      </c>
      <c r="J90">
        <v>100</v>
      </c>
      <c r="K90">
        <v>65400</v>
      </c>
      <c r="L90">
        <v>654</v>
      </c>
      <c r="M90">
        <v>0</v>
      </c>
      <c r="N90">
        <v>1300</v>
      </c>
      <c r="O90">
        <v>13</v>
      </c>
      <c r="P90">
        <v>1027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-200</v>
      </c>
      <c r="X90">
        <v>2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66700</v>
      </c>
      <c r="AH90">
        <v>1694</v>
      </c>
      <c r="AI90">
        <v>-200</v>
      </c>
      <c r="AJ90">
        <v>3</v>
      </c>
      <c r="AK90">
        <v>59608</v>
      </c>
      <c r="AL90">
        <v>-200</v>
      </c>
      <c r="AM90">
        <v>8510.4</v>
      </c>
      <c r="AN90">
        <v>-1836</v>
      </c>
      <c r="AO90">
        <v>0</v>
      </c>
      <c r="AP90">
        <v>1800</v>
      </c>
      <c r="AQ90">
        <v>-540</v>
      </c>
      <c r="AR90">
        <v>0</v>
      </c>
      <c r="AS90">
        <v>6710.4</v>
      </c>
      <c r="AT90">
        <v>-1296</v>
      </c>
      <c r="AU90">
        <v>0</v>
      </c>
      <c r="AW90">
        <v>0</v>
      </c>
      <c r="AX90">
        <v>0</v>
      </c>
      <c r="AY90">
        <v>40692.559999999998</v>
      </c>
      <c r="BC90" t="str">
        <f t="shared" si="13"/>
        <v>9791137608047</v>
      </c>
      <c r="BE90" t="str">
        <f t="shared" si="14"/>
        <v>BL 웹소설 &gt; 현대물</v>
      </c>
    </row>
    <row r="91" spans="1:58" x14ac:dyDescent="0.3">
      <c r="B91">
        <v>2313020868</v>
      </c>
      <c r="C91" t="str">
        <f>T("[e북]이중 잣대")</f>
        <v>[e북]이중 잣대</v>
      </c>
      <c r="E91" t="str">
        <f>T("고은영")</f>
        <v>고은영</v>
      </c>
      <c r="H91" t="str">
        <f>T("블레슈(Blesshuu)")</f>
        <v>블레슈(Blesshuu)</v>
      </c>
      <c r="J91">
        <v>1000</v>
      </c>
      <c r="K91">
        <v>63000</v>
      </c>
      <c r="L91">
        <v>63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63000</v>
      </c>
      <c r="AH91">
        <v>63</v>
      </c>
      <c r="AI91">
        <v>0</v>
      </c>
      <c r="AJ91">
        <v>0</v>
      </c>
      <c r="AK91">
        <v>62690</v>
      </c>
      <c r="AL91">
        <v>0</v>
      </c>
      <c r="AM91">
        <v>372</v>
      </c>
      <c r="AN91">
        <v>-111.6</v>
      </c>
      <c r="AO91">
        <v>0</v>
      </c>
      <c r="AP91">
        <v>372</v>
      </c>
      <c r="AQ91">
        <v>-111.6</v>
      </c>
      <c r="AR91">
        <v>0</v>
      </c>
      <c r="AT91">
        <v>0</v>
      </c>
      <c r="AU91">
        <v>0</v>
      </c>
      <c r="AW91">
        <v>0</v>
      </c>
      <c r="AX91">
        <v>0</v>
      </c>
      <c r="AY91">
        <v>44065.279999999999</v>
      </c>
      <c r="BC91" t="str">
        <f>T("9791137608085")</f>
        <v>9791137608085</v>
      </c>
      <c r="BE91" t="str">
        <f>T("로맨스 e북 &gt; 현대물")</f>
        <v>로맨스 e북 &gt; 현대물</v>
      </c>
      <c r="BF91" t="str">
        <f>T("로맨스 e북 &gt; 19+")</f>
        <v>로맨스 e북 &gt; 19+</v>
      </c>
    </row>
    <row r="92" spans="1:58" x14ac:dyDescent="0.3">
      <c r="A92">
        <v>2313020794</v>
      </c>
      <c r="B92">
        <v>2313020802</v>
      </c>
      <c r="C92" t="str">
        <f>T("혐오 만세 9화")</f>
        <v>혐오 만세 9화</v>
      </c>
      <c r="D92" t="str">
        <f>T("9")</f>
        <v>9</v>
      </c>
      <c r="E92" t="str">
        <f>T("아르곤18")</f>
        <v>아르곤18</v>
      </c>
      <c r="H92" t="str">
        <f>T("앰퍼샌드B")</f>
        <v>앰퍼샌드B</v>
      </c>
      <c r="I92" t="str">
        <f>T("혐오 만세")</f>
        <v>혐오 만세</v>
      </c>
      <c r="J92">
        <v>100</v>
      </c>
      <c r="K92">
        <v>62000</v>
      </c>
      <c r="L92">
        <v>620</v>
      </c>
      <c r="M92">
        <v>0</v>
      </c>
      <c r="N92">
        <v>600</v>
      </c>
      <c r="O92">
        <v>6</v>
      </c>
      <c r="P92">
        <v>712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-200</v>
      </c>
      <c r="X92">
        <v>2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62600</v>
      </c>
      <c r="AH92">
        <v>1338</v>
      </c>
      <c r="AI92">
        <v>-200</v>
      </c>
      <c r="AJ92">
        <v>3</v>
      </c>
      <c r="AK92">
        <v>54858</v>
      </c>
      <c r="AL92">
        <v>-200</v>
      </c>
      <c r="AM92">
        <v>9290.81</v>
      </c>
      <c r="AN92">
        <v>-2058.36</v>
      </c>
      <c r="AO92">
        <v>0</v>
      </c>
      <c r="AP92">
        <v>2040.41</v>
      </c>
      <c r="AQ92">
        <v>-612.12</v>
      </c>
      <c r="AR92">
        <v>0</v>
      </c>
      <c r="AS92">
        <v>7250.4</v>
      </c>
      <c r="AT92">
        <v>-1446.24</v>
      </c>
      <c r="AU92">
        <v>0</v>
      </c>
      <c r="AW92">
        <v>0</v>
      </c>
      <c r="AX92">
        <v>0</v>
      </c>
      <c r="AY92">
        <v>38390.269999999997</v>
      </c>
      <c r="BC92" t="str">
        <f>T("9791137608047")</f>
        <v>9791137608047</v>
      </c>
      <c r="BE92" t="str">
        <f>T("BL 웹소설 &gt; 현대물")</f>
        <v>BL 웹소설 &gt; 현대물</v>
      </c>
    </row>
    <row r="93" spans="1:58" x14ac:dyDescent="0.3">
      <c r="A93">
        <v>2313020794</v>
      </c>
      <c r="B93">
        <v>2313020803</v>
      </c>
      <c r="C93" t="str">
        <f>T("혐오 만세 10화")</f>
        <v>혐오 만세 10화</v>
      </c>
      <c r="D93" t="str">
        <f>T("10")</f>
        <v>10</v>
      </c>
      <c r="E93" t="str">
        <f>T("아르곤18")</f>
        <v>아르곤18</v>
      </c>
      <c r="H93" t="str">
        <f>T("앰퍼샌드B")</f>
        <v>앰퍼샌드B</v>
      </c>
      <c r="I93" t="str">
        <f>T("혐오 만세")</f>
        <v>혐오 만세</v>
      </c>
      <c r="J93">
        <v>100</v>
      </c>
      <c r="K93">
        <v>61500</v>
      </c>
      <c r="L93">
        <v>615</v>
      </c>
      <c r="M93">
        <v>0</v>
      </c>
      <c r="N93">
        <v>300</v>
      </c>
      <c r="O93">
        <v>3</v>
      </c>
      <c r="P93">
        <v>689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-200</v>
      </c>
      <c r="X93">
        <v>2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61800</v>
      </c>
      <c r="AH93">
        <v>1307</v>
      </c>
      <c r="AI93">
        <v>-200</v>
      </c>
      <c r="AJ93">
        <v>3</v>
      </c>
      <c r="AK93">
        <v>53948</v>
      </c>
      <c r="AL93">
        <v>-200</v>
      </c>
      <c r="AM93">
        <v>9422.81</v>
      </c>
      <c r="AN93">
        <v>-2047.56</v>
      </c>
      <c r="AO93">
        <v>0</v>
      </c>
      <c r="AP93">
        <v>2160.41</v>
      </c>
      <c r="AQ93">
        <v>-648.12</v>
      </c>
      <c r="AR93">
        <v>0</v>
      </c>
      <c r="AS93">
        <v>7262.4</v>
      </c>
      <c r="AT93">
        <v>-1399.44</v>
      </c>
      <c r="AU93">
        <v>0</v>
      </c>
      <c r="AW93">
        <v>0</v>
      </c>
      <c r="AX93">
        <v>0</v>
      </c>
      <c r="AY93">
        <v>37893.230000000003</v>
      </c>
      <c r="BC93" t="str">
        <f>T("9791137608047")</f>
        <v>9791137608047</v>
      </c>
      <c r="BE93" t="str">
        <f>T("BL 웹소설 &gt; 현대물")</f>
        <v>BL 웹소설 &gt; 현대물</v>
      </c>
    </row>
    <row r="94" spans="1:58" x14ac:dyDescent="0.3">
      <c r="A94">
        <v>2313020091</v>
      </c>
      <c r="B94">
        <v>2313020092</v>
      </c>
      <c r="C94" t="str">
        <f>T("[e북]막상막하 2권")</f>
        <v>[e북]막상막하 2권</v>
      </c>
      <c r="D94" t="str">
        <f>T("2")</f>
        <v>2</v>
      </c>
      <c r="E94" t="str">
        <f>T("마뇽")</f>
        <v>마뇽</v>
      </c>
      <c r="H94" t="str">
        <f>T("도서출판 태랑")</f>
        <v>도서출판 태랑</v>
      </c>
      <c r="I94" t="str">
        <f>T("[e북]막상막하")</f>
        <v>[e북]막상막하</v>
      </c>
      <c r="J94">
        <v>3000</v>
      </c>
      <c r="K94">
        <v>60000</v>
      </c>
      <c r="L94">
        <v>20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60000</v>
      </c>
      <c r="AH94">
        <v>20</v>
      </c>
      <c r="AI94">
        <v>0</v>
      </c>
      <c r="AJ94">
        <v>0</v>
      </c>
      <c r="AK94">
        <v>48300</v>
      </c>
      <c r="AL94">
        <v>0</v>
      </c>
      <c r="AM94">
        <v>14040</v>
      </c>
      <c r="AN94">
        <v>-2844</v>
      </c>
      <c r="AO94">
        <v>0</v>
      </c>
      <c r="AP94">
        <v>7200</v>
      </c>
      <c r="AQ94">
        <v>-2160</v>
      </c>
      <c r="AR94">
        <v>0</v>
      </c>
      <c r="AS94">
        <v>6840</v>
      </c>
      <c r="AT94">
        <v>-684</v>
      </c>
      <c r="AU94">
        <v>0</v>
      </c>
      <c r="AW94">
        <v>0</v>
      </c>
      <c r="AX94">
        <v>0</v>
      </c>
      <c r="AY94">
        <v>41647.199999999997</v>
      </c>
      <c r="BC94" t="str">
        <f>T("9791137606913")</f>
        <v>9791137606913</v>
      </c>
      <c r="BE94" t="str">
        <f>T("BL 소설 e북 &gt; 현대물")</f>
        <v>BL 소설 e북 &gt; 현대물</v>
      </c>
    </row>
    <row r="95" spans="1:58" x14ac:dyDescent="0.3">
      <c r="A95">
        <v>2313020091</v>
      </c>
      <c r="B95">
        <v>2313020091</v>
      </c>
      <c r="C95" t="str">
        <f>T("[e북]막상막하 1권")</f>
        <v>[e북]막상막하 1권</v>
      </c>
      <c r="D95" t="str">
        <f>T("1")</f>
        <v>1</v>
      </c>
      <c r="E95" t="str">
        <f>T("마뇽")</f>
        <v>마뇽</v>
      </c>
      <c r="H95" t="str">
        <f>T("도서출판 태랑")</f>
        <v>도서출판 태랑</v>
      </c>
      <c r="I95" t="str">
        <f>T("[e북]막상막하")</f>
        <v>[e북]막상막하</v>
      </c>
      <c r="J95">
        <v>3000</v>
      </c>
      <c r="K95">
        <v>57000</v>
      </c>
      <c r="L95">
        <v>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57000</v>
      </c>
      <c r="AH95">
        <v>19</v>
      </c>
      <c r="AI95">
        <v>0</v>
      </c>
      <c r="AJ95">
        <v>0</v>
      </c>
      <c r="AK95">
        <v>48000</v>
      </c>
      <c r="AL95">
        <v>0</v>
      </c>
      <c r="AM95">
        <v>10800</v>
      </c>
      <c r="AN95">
        <v>-1800</v>
      </c>
      <c r="AO95">
        <v>0</v>
      </c>
      <c r="AP95">
        <v>3600</v>
      </c>
      <c r="AQ95">
        <v>-1080</v>
      </c>
      <c r="AR95">
        <v>0</v>
      </c>
      <c r="AS95">
        <v>7200</v>
      </c>
      <c r="AT95">
        <v>-720</v>
      </c>
      <c r="AU95">
        <v>0</v>
      </c>
      <c r="AW95">
        <v>0</v>
      </c>
      <c r="AX95">
        <v>0</v>
      </c>
      <c r="AY95">
        <v>39900</v>
      </c>
      <c r="BC95" t="str">
        <f>T("9791137606906")</f>
        <v>9791137606906</v>
      </c>
      <c r="BE95" t="str">
        <f>T("BL 소설 e북 &gt; 현대물")</f>
        <v>BL 소설 e북 &gt; 현대물</v>
      </c>
    </row>
    <row r="96" spans="1:58" x14ac:dyDescent="0.3">
      <c r="A96">
        <v>2313020794</v>
      </c>
      <c r="B96">
        <v>2313020801</v>
      </c>
      <c r="C96" t="str">
        <f>T("혐오 만세 8화")</f>
        <v>혐오 만세 8화</v>
      </c>
      <c r="D96" t="str">
        <f>T("8")</f>
        <v>8</v>
      </c>
      <c r="E96" t="str">
        <f>T("아르곤18")</f>
        <v>아르곤18</v>
      </c>
      <c r="H96" t="str">
        <f>T("앰퍼샌드B")</f>
        <v>앰퍼샌드B</v>
      </c>
      <c r="I96" t="str">
        <f>T("혐오 만세")</f>
        <v>혐오 만세</v>
      </c>
      <c r="J96">
        <v>100</v>
      </c>
      <c r="K96">
        <v>56600</v>
      </c>
      <c r="L96">
        <v>566</v>
      </c>
      <c r="M96">
        <v>0</v>
      </c>
      <c r="N96">
        <v>1000</v>
      </c>
      <c r="O96">
        <v>10</v>
      </c>
      <c r="P96">
        <v>743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-100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57600</v>
      </c>
      <c r="AH96">
        <v>1319</v>
      </c>
      <c r="AI96">
        <v>-100</v>
      </c>
      <c r="AJ96">
        <v>2</v>
      </c>
      <c r="AK96">
        <v>50768</v>
      </c>
      <c r="AL96">
        <v>-100</v>
      </c>
      <c r="AM96">
        <v>8198.81</v>
      </c>
      <c r="AN96">
        <v>-1817.16</v>
      </c>
      <c r="AO96">
        <v>0</v>
      </c>
      <c r="AP96">
        <v>1980.41</v>
      </c>
      <c r="AQ96">
        <v>-594.12</v>
      </c>
      <c r="AR96">
        <v>0</v>
      </c>
      <c r="AS96">
        <v>6218.4</v>
      </c>
      <c r="AT96">
        <v>-1223.04</v>
      </c>
      <c r="AU96">
        <v>0</v>
      </c>
      <c r="AW96">
        <v>0</v>
      </c>
      <c r="AX96">
        <v>0</v>
      </c>
      <c r="AY96">
        <v>35475.71</v>
      </c>
      <c r="BC96" t="str">
        <f>T("9791137608047")</f>
        <v>9791137608047</v>
      </c>
      <c r="BE96" t="str">
        <f>T("BL 웹소설 &gt; 현대물")</f>
        <v>BL 웹소설 &gt; 현대물</v>
      </c>
    </row>
    <row r="97" spans="1:57" x14ac:dyDescent="0.3">
      <c r="A97">
        <v>2313016828</v>
      </c>
      <c r="B97">
        <v>2313020055</v>
      </c>
      <c r="C97" t="str">
        <f>T("[e북]천 개의 별 이야기(A Tale of Thousand Stars) (외전)")</f>
        <v>[e북]천 개의 별 이야기(A Tale of Thousand Stars) (외전)</v>
      </c>
      <c r="D97" t="str">
        <f>T("4")</f>
        <v>4</v>
      </c>
      <c r="E97" t="str">
        <f>T("Bacteria")</f>
        <v>Bacteria</v>
      </c>
      <c r="F97" t="str">
        <f>T("이범근")</f>
        <v>이범근</v>
      </c>
      <c r="H97" t="str">
        <f>T("도서출판 태랑")</f>
        <v>도서출판 태랑</v>
      </c>
      <c r="I97" t="str">
        <f>T("[e북]천 개의 별 이야기(A Tale of Thousand Stars)")</f>
        <v>[e북]천 개의 별 이야기(A Tale of Thousand Stars)</v>
      </c>
      <c r="J97">
        <v>1600</v>
      </c>
      <c r="K97">
        <v>52800</v>
      </c>
      <c r="L97">
        <v>33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52800</v>
      </c>
      <c r="AH97">
        <v>33</v>
      </c>
      <c r="AI97">
        <v>0</v>
      </c>
      <c r="AJ97">
        <v>0</v>
      </c>
      <c r="AK97">
        <v>45202</v>
      </c>
      <c r="AL97">
        <v>0</v>
      </c>
      <c r="AM97">
        <v>9117.6</v>
      </c>
      <c r="AN97">
        <v>-1679.76</v>
      </c>
      <c r="AO97">
        <v>0</v>
      </c>
      <c r="AP97">
        <v>1920</v>
      </c>
      <c r="AQ97">
        <v>-576</v>
      </c>
      <c r="AR97">
        <v>0</v>
      </c>
      <c r="AS97">
        <v>7197.6</v>
      </c>
      <c r="AT97">
        <v>-1103.76</v>
      </c>
      <c r="AU97">
        <v>0</v>
      </c>
      <c r="AW97">
        <v>0</v>
      </c>
      <c r="AX97">
        <v>0</v>
      </c>
      <c r="AY97">
        <v>36847.89</v>
      </c>
      <c r="BC97" t="str">
        <f>T("9791137606746")</f>
        <v>9791137606746</v>
      </c>
      <c r="BE97" t="str">
        <f>T("BL 소설 e북 &gt; 해외 소설")</f>
        <v>BL 소설 e북 &gt; 해외 소설</v>
      </c>
    </row>
    <row r="98" spans="1:57" x14ac:dyDescent="0.3">
      <c r="A98">
        <v>2313007027</v>
      </c>
      <c r="B98">
        <v>2313007033</v>
      </c>
      <c r="C98" t="str">
        <f>T("[e북]레이디 스칼렛 7권 (외전포함) (완결)")</f>
        <v>[e북]레이디 스칼렛 7권 (외전포함) (완결)</v>
      </c>
      <c r="D98" t="str">
        <f>T("7")</f>
        <v>7</v>
      </c>
      <c r="E98" t="str">
        <f>T("불고기자리")</f>
        <v>불고기자리</v>
      </c>
      <c r="H98" t="str">
        <f>T("블레슈(Blesshuu)")</f>
        <v>블레슈(Blesshuu)</v>
      </c>
      <c r="I98" t="str">
        <f>T("[e북]레이디 스칼렛")</f>
        <v>[e북]레이디 스칼렛</v>
      </c>
      <c r="J98">
        <v>4200</v>
      </c>
      <c r="K98">
        <v>47460</v>
      </c>
      <c r="L98">
        <v>12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47460</v>
      </c>
      <c r="AH98">
        <v>12</v>
      </c>
      <c r="AI98">
        <v>0</v>
      </c>
      <c r="AJ98">
        <v>0</v>
      </c>
      <c r="AK98">
        <v>39480</v>
      </c>
      <c r="AL98">
        <v>0</v>
      </c>
      <c r="AM98">
        <v>9576</v>
      </c>
      <c r="AN98">
        <v>-957.6</v>
      </c>
      <c r="AO98">
        <v>0</v>
      </c>
      <c r="AP98"/>
      <c r="AQ98">
        <v>0</v>
      </c>
      <c r="AR98">
        <v>0</v>
      </c>
      <c r="AS98">
        <v>9576</v>
      </c>
      <c r="AT98">
        <v>-957.6</v>
      </c>
      <c r="AU98">
        <v>0</v>
      </c>
      <c r="AW98">
        <v>0</v>
      </c>
      <c r="AX98">
        <v>0</v>
      </c>
      <c r="AY98">
        <v>33668.879999999997</v>
      </c>
      <c r="BC98" t="str">
        <f>T("9791159289026")</f>
        <v>9791159289026</v>
      </c>
      <c r="BE98" t="str">
        <f>T("로판 e북 &gt; 서양풍 로판")</f>
        <v>로판 e북 &gt; 서양풍 로판</v>
      </c>
    </row>
    <row r="99" spans="1:57" x14ac:dyDescent="0.3">
      <c r="A99">
        <v>2313017106</v>
      </c>
      <c r="B99">
        <v>2313017105</v>
      </c>
      <c r="C99" t="str">
        <f>T("[e북]개정판 | 야쿠자가 사랑을 한다면 2권 (완결)")</f>
        <v>[e북]개정판 | 야쿠자가 사랑을 한다면 2권 (완결)</v>
      </c>
      <c r="D99" t="str">
        <f>T("2")</f>
        <v>2</v>
      </c>
      <c r="E99" t="str">
        <f>T("모리미")</f>
        <v>모리미</v>
      </c>
      <c r="H99" t="str">
        <f>T("도서출판 태랑")</f>
        <v>도서출판 태랑</v>
      </c>
      <c r="I99" t="str">
        <f>T("[e북]개정판 | 야쿠자가 사랑을 한다면")</f>
        <v>[e북]개정판 | 야쿠자가 사랑을 한다면</v>
      </c>
      <c r="J99">
        <v>3200</v>
      </c>
      <c r="K99">
        <v>44800</v>
      </c>
      <c r="L99">
        <v>14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44800</v>
      </c>
      <c r="AH99">
        <v>14</v>
      </c>
      <c r="AI99">
        <v>0</v>
      </c>
      <c r="AJ99">
        <v>0</v>
      </c>
      <c r="AK99">
        <v>43210</v>
      </c>
      <c r="AL99">
        <v>0</v>
      </c>
      <c r="AM99">
        <v>1908</v>
      </c>
      <c r="AN99">
        <v>-190.8</v>
      </c>
      <c r="AO99">
        <v>0</v>
      </c>
      <c r="AP99"/>
      <c r="AQ99">
        <v>0</v>
      </c>
      <c r="AR99">
        <v>0</v>
      </c>
      <c r="AS99">
        <v>1908</v>
      </c>
      <c r="AT99">
        <v>-190.8</v>
      </c>
      <c r="AU99">
        <v>0</v>
      </c>
      <c r="AW99">
        <v>0</v>
      </c>
      <c r="AX99">
        <v>0</v>
      </c>
      <c r="AY99">
        <v>31449.040000000001</v>
      </c>
      <c r="BC99" t="str">
        <f>T("9791189627843")</f>
        <v>9791189627843</v>
      </c>
      <c r="BE99" t="str">
        <f>T("BL 소설 e북 &gt; 현대물")</f>
        <v>BL 소설 e북 &gt; 현대물</v>
      </c>
    </row>
    <row r="100" spans="1:57" x14ac:dyDescent="0.3">
      <c r="A100">
        <v>2313007027</v>
      </c>
      <c r="B100">
        <v>2313007028</v>
      </c>
      <c r="C100" t="str">
        <f>T("[e북]레이디 스칼렛 2권")</f>
        <v>[e북]레이디 스칼렛 2권</v>
      </c>
      <c r="D100" t="str">
        <f>T("2")</f>
        <v>2</v>
      </c>
      <c r="E100" t="str">
        <f>T("불고기자리")</f>
        <v>불고기자리</v>
      </c>
      <c r="H100" t="str">
        <f>T("블레슈(Blesshuu)")</f>
        <v>블레슈(Blesshuu)</v>
      </c>
      <c r="I100" t="str">
        <f>T("[e북]레이디 스칼렛")</f>
        <v>[e북]레이디 스칼렛</v>
      </c>
      <c r="J100">
        <v>3500</v>
      </c>
      <c r="K100">
        <v>42000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42000</v>
      </c>
      <c r="AH100">
        <v>13</v>
      </c>
      <c r="AI100">
        <v>0</v>
      </c>
      <c r="AJ100">
        <v>0</v>
      </c>
      <c r="AK100">
        <v>35350</v>
      </c>
      <c r="AL100">
        <v>0</v>
      </c>
      <c r="AM100">
        <v>7980</v>
      </c>
      <c r="AN100">
        <v>-798</v>
      </c>
      <c r="AO100">
        <v>0</v>
      </c>
      <c r="AP100"/>
      <c r="AQ100">
        <v>0</v>
      </c>
      <c r="AR100">
        <v>0</v>
      </c>
      <c r="AS100">
        <v>7980</v>
      </c>
      <c r="AT100">
        <v>-798</v>
      </c>
      <c r="AU100">
        <v>0</v>
      </c>
      <c r="AW100">
        <v>0</v>
      </c>
      <c r="AX100">
        <v>0</v>
      </c>
      <c r="AY100">
        <v>29772.400000000001</v>
      </c>
      <c r="BC100" t="str">
        <f>T("9791159288975")</f>
        <v>9791159288975</v>
      </c>
      <c r="BE100" t="str">
        <f>T("로판 e북 &gt; 서양풍 로판")</f>
        <v>로판 e북 &gt; 서양풍 로판</v>
      </c>
    </row>
    <row r="101" spans="1:57" x14ac:dyDescent="0.3">
      <c r="A101">
        <v>2313017106</v>
      </c>
      <c r="B101">
        <v>2313017106</v>
      </c>
      <c r="C101" t="str">
        <f>T("[e북]개정판 | 야쿠자가 사랑을 한다면 1권")</f>
        <v>[e북]개정판 | 야쿠자가 사랑을 한다면 1권</v>
      </c>
      <c r="D101" t="str">
        <f>T("1")</f>
        <v>1</v>
      </c>
      <c r="E101" t="str">
        <f>T("모리미")</f>
        <v>모리미</v>
      </c>
      <c r="H101" t="str">
        <f>T("도서출판 태랑")</f>
        <v>도서출판 태랑</v>
      </c>
      <c r="I101" t="str">
        <f>T("[e북]개정판 | 야쿠자가 사랑을 한다면")</f>
        <v>[e북]개정판 | 야쿠자가 사랑을 한다면</v>
      </c>
      <c r="J101">
        <v>3200</v>
      </c>
      <c r="K101">
        <v>41600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41600</v>
      </c>
      <c r="AH101">
        <v>13</v>
      </c>
      <c r="AI101">
        <v>0</v>
      </c>
      <c r="AJ101">
        <v>0</v>
      </c>
      <c r="AK101">
        <v>36810</v>
      </c>
      <c r="AL101">
        <v>0</v>
      </c>
      <c r="AM101">
        <v>5748</v>
      </c>
      <c r="AN101">
        <v>-1342.8</v>
      </c>
      <c r="AO101">
        <v>0</v>
      </c>
      <c r="AP101">
        <v>3840</v>
      </c>
      <c r="AQ101">
        <v>-1152</v>
      </c>
      <c r="AR101">
        <v>0</v>
      </c>
      <c r="AS101">
        <v>1908</v>
      </c>
      <c r="AT101">
        <v>-190.8</v>
      </c>
      <c r="AU101">
        <v>0</v>
      </c>
      <c r="AW101">
        <v>0</v>
      </c>
      <c r="AX101">
        <v>0</v>
      </c>
      <c r="AY101">
        <v>28850.639999999999</v>
      </c>
      <c r="BC101" t="str">
        <f>T("9791189627836")</f>
        <v>9791189627836</v>
      </c>
      <c r="BE101" t="str">
        <f>T("BL 소설 e북 &gt; 현대물")</f>
        <v>BL 소설 e북 &gt; 현대물</v>
      </c>
    </row>
    <row r="102" spans="1:57" x14ac:dyDescent="0.3">
      <c r="A102">
        <v>2313012817</v>
      </c>
      <c r="B102">
        <v>2313012818</v>
      </c>
      <c r="C102" t="str">
        <f>T("[e북]갓 오브 블랙필드 2권")</f>
        <v>[e북]갓 오브 블랙필드 2권</v>
      </c>
      <c r="D102" t="str">
        <f>T("2")</f>
        <v>2</v>
      </c>
      <c r="E102" t="str">
        <f>T("무장")</f>
        <v>무장</v>
      </c>
      <c r="H102" t="str">
        <f>T("스토리위즈")</f>
        <v>스토리위즈</v>
      </c>
      <c r="I102" t="str">
        <f>T("[e북]갓 오브 블랙필드")</f>
        <v>[e북]갓 오브 블랙필드</v>
      </c>
      <c r="J102">
        <v>3200</v>
      </c>
      <c r="K102">
        <v>40640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40640</v>
      </c>
      <c r="AH102">
        <v>13</v>
      </c>
      <c r="AI102">
        <v>0</v>
      </c>
      <c r="AJ102">
        <v>0</v>
      </c>
      <c r="AK102">
        <v>30552</v>
      </c>
      <c r="AL102">
        <v>0</v>
      </c>
      <c r="AM102">
        <v>12105.6</v>
      </c>
      <c r="AN102">
        <v>-2691.36</v>
      </c>
      <c r="AO102">
        <v>0</v>
      </c>
      <c r="AP102">
        <v>3564</v>
      </c>
      <c r="AQ102">
        <v>-1069.2</v>
      </c>
      <c r="AR102">
        <v>0</v>
      </c>
      <c r="AS102">
        <v>8541.6</v>
      </c>
      <c r="AT102">
        <v>-1622.16</v>
      </c>
      <c r="AU102">
        <v>0</v>
      </c>
      <c r="AW102">
        <v>0</v>
      </c>
      <c r="AX102">
        <v>0</v>
      </c>
      <c r="AY102">
        <v>27976.37</v>
      </c>
      <c r="BA102" t="str">
        <f>T("0000000000000")</f>
        <v>0000000000000</v>
      </c>
      <c r="BC102" t="str">
        <f>T("9791137602151")</f>
        <v>9791137602151</v>
      </c>
      <c r="BE102" t="str">
        <f>T("판타지 e북 &gt; 현대 판타지")</f>
        <v>판타지 e북 &gt; 현대 판타지</v>
      </c>
    </row>
    <row r="103" spans="1:57" x14ac:dyDescent="0.3">
      <c r="A103">
        <v>2313018628</v>
      </c>
      <c r="B103">
        <v>2313018628</v>
      </c>
      <c r="C103" t="str">
        <f>T("[e북]친절하기는 얼어 죽을 1권")</f>
        <v>[e북]친절하기는 얼어 죽을 1권</v>
      </c>
      <c r="D103" t="str">
        <f>T("1")</f>
        <v>1</v>
      </c>
      <c r="E103" t="str">
        <f>T("솜목화")</f>
        <v>솜목화</v>
      </c>
      <c r="H103" t="str">
        <f>T("블레슈(Blesshuu)")</f>
        <v>블레슈(Blesshuu)</v>
      </c>
      <c r="I103" t="str">
        <f>T("[e북]친절하기는 얼어 죽을")</f>
        <v>[e북]친절하기는 얼어 죽을</v>
      </c>
      <c r="J103">
        <v>2700</v>
      </c>
      <c r="K103">
        <v>40500</v>
      </c>
      <c r="L103">
        <v>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40500</v>
      </c>
      <c r="AH103">
        <v>15</v>
      </c>
      <c r="AI103">
        <v>0</v>
      </c>
      <c r="AJ103">
        <v>0</v>
      </c>
      <c r="AK103">
        <v>29210</v>
      </c>
      <c r="AL103">
        <v>0</v>
      </c>
      <c r="AM103">
        <v>13548</v>
      </c>
      <c r="AN103">
        <v>-2437.1999999999998</v>
      </c>
      <c r="AO103">
        <v>0</v>
      </c>
      <c r="AP103"/>
      <c r="AQ103">
        <v>0</v>
      </c>
      <c r="AR103">
        <v>0</v>
      </c>
      <c r="AS103">
        <v>13548</v>
      </c>
      <c r="AT103">
        <v>-2437.1999999999998</v>
      </c>
      <c r="AU103">
        <v>0</v>
      </c>
      <c r="AW103">
        <v>0</v>
      </c>
      <c r="AX103">
        <v>0</v>
      </c>
      <c r="AY103">
        <v>24192.48</v>
      </c>
      <c r="BC103" t="str">
        <f>T("9791137605442")</f>
        <v>9791137605442</v>
      </c>
      <c r="BE103" t="str">
        <f>T("로맨스 e북 &gt; 현대물")</f>
        <v>로맨스 e북 &gt; 현대물</v>
      </c>
    </row>
    <row r="104" spans="1:57" x14ac:dyDescent="0.3">
      <c r="A104">
        <v>2313007027</v>
      </c>
      <c r="B104">
        <v>2313007029</v>
      </c>
      <c r="C104" t="str">
        <f>T("[e북]레이디 스칼렛 3권")</f>
        <v>[e북]레이디 스칼렛 3권</v>
      </c>
      <c r="D104" t="str">
        <f>T("3")</f>
        <v>3</v>
      </c>
      <c r="E104" t="str">
        <f>T("불고기자리")</f>
        <v>불고기자리</v>
      </c>
      <c r="H104" t="str">
        <f>T("블레슈(Blesshuu)")</f>
        <v>블레슈(Blesshuu)</v>
      </c>
      <c r="I104" t="str">
        <f>T("[e북]레이디 스칼렛")</f>
        <v>[e북]레이디 스칼렛</v>
      </c>
      <c r="J104">
        <v>3500</v>
      </c>
      <c r="K104">
        <v>39200</v>
      </c>
      <c r="L104">
        <v>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39200</v>
      </c>
      <c r="AH104">
        <v>12</v>
      </c>
      <c r="AI104">
        <v>0</v>
      </c>
      <c r="AJ104">
        <v>0</v>
      </c>
      <c r="AK104">
        <v>36050</v>
      </c>
      <c r="AL104">
        <v>0</v>
      </c>
      <c r="AM104">
        <v>3780</v>
      </c>
      <c r="AN104">
        <v>-378</v>
      </c>
      <c r="AO104">
        <v>0</v>
      </c>
      <c r="AP104"/>
      <c r="AQ104">
        <v>0</v>
      </c>
      <c r="AR104">
        <v>0</v>
      </c>
      <c r="AS104">
        <v>3780</v>
      </c>
      <c r="AT104">
        <v>-378</v>
      </c>
      <c r="AU104">
        <v>0</v>
      </c>
      <c r="AW104">
        <v>0</v>
      </c>
      <c r="AX104">
        <v>0</v>
      </c>
      <c r="AY104">
        <v>27616.400000000001</v>
      </c>
      <c r="BC104" t="str">
        <f>T("9791159288982")</f>
        <v>9791159288982</v>
      </c>
      <c r="BE104" t="str">
        <f>T("로판 e북 &gt; 서양풍 로판")</f>
        <v>로판 e북 &gt; 서양풍 로판</v>
      </c>
    </row>
    <row r="105" spans="1:57" x14ac:dyDescent="0.3">
      <c r="A105">
        <v>2313009739</v>
      </c>
      <c r="B105">
        <v>2313009739</v>
      </c>
      <c r="C105" t="str">
        <f>T("[e북]컬러 러쉬 1권")</f>
        <v>[e북]컬러 러쉬 1권</v>
      </c>
      <c r="D105" t="str">
        <f>T("1")</f>
        <v>1</v>
      </c>
      <c r="E105" t="str">
        <f>T("세상")</f>
        <v>세상</v>
      </c>
      <c r="H105" t="str">
        <f>T("앰퍼샌드B")</f>
        <v>앰퍼샌드B</v>
      </c>
      <c r="I105" t="str">
        <f>T("[e북]컬러 러쉬")</f>
        <v>[e북]컬러 러쉬</v>
      </c>
      <c r="J105">
        <v>2800</v>
      </c>
      <c r="K105">
        <v>39200</v>
      </c>
      <c r="L105">
        <v>14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39200</v>
      </c>
      <c r="AH105">
        <v>14</v>
      </c>
      <c r="AI105">
        <v>0</v>
      </c>
      <c r="AJ105">
        <v>0</v>
      </c>
      <c r="AK105">
        <v>32270</v>
      </c>
      <c r="AL105">
        <v>0</v>
      </c>
      <c r="AM105">
        <v>8316</v>
      </c>
      <c r="AN105">
        <v>-1503.6</v>
      </c>
      <c r="AO105">
        <v>0</v>
      </c>
      <c r="AP105">
        <v>3360</v>
      </c>
      <c r="AQ105">
        <v>-1008</v>
      </c>
      <c r="AR105">
        <v>0</v>
      </c>
      <c r="AS105">
        <v>4956</v>
      </c>
      <c r="AT105">
        <v>-495.6</v>
      </c>
      <c r="AU105">
        <v>0</v>
      </c>
      <c r="AW105">
        <v>0</v>
      </c>
      <c r="AX105">
        <v>0</v>
      </c>
      <c r="AY105">
        <v>27357.68</v>
      </c>
      <c r="BA105" t="str">
        <f>T("0000000000000")</f>
        <v>0000000000000</v>
      </c>
      <c r="BC105" t="str">
        <f>T("9791166068171")</f>
        <v>9791166068171</v>
      </c>
      <c r="BE105" t="str">
        <f>T("BL 소설 e북 &gt; 현대물")</f>
        <v>BL 소설 e북 &gt; 현대물</v>
      </c>
    </row>
    <row r="106" spans="1:57" x14ac:dyDescent="0.3">
      <c r="A106">
        <v>2313017014</v>
      </c>
      <c r="B106">
        <v>2313017014</v>
      </c>
      <c r="C106" t="str">
        <f>T("[e북]개정판 | 야쿠자가 사랑을 한다면 2 1권")</f>
        <v>[e북]개정판 | 야쿠자가 사랑을 한다면 2 1권</v>
      </c>
      <c r="D106" t="str">
        <f>T("1")</f>
        <v>1</v>
      </c>
      <c r="E106" t="str">
        <f>T("모리미")</f>
        <v>모리미</v>
      </c>
      <c r="H106" t="str">
        <f>T("도서출판 태랑")</f>
        <v>도서출판 태랑</v>
      </c>
      <c r="I106" t="str">
        <f>T("[e북]개정판 | 야쿠자가 사랑을 한다면 2")</f>
        <v>[e북]개정판 | 야쿠자가 사랑을 한다면 2</v>
      </c>
      <c r="J106">
        <v>3000</v>
      </c>
      <c r="K106">
        <v>39000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39000</v>
      </c>
      <c r="AH106">
        <v>13</v>
      </c>
      <c r="AI106">
        <v>0</v>
      </c>
      <c r="AJ106">
        <v>0</v>
      </c>
      <c r="AK106">
        <v>37510</v>
      </c>
      <c r="AL106">
        <v>0</v>
      </c>
      <c r="AM106">
        <v>1788</v>
      </c>
      <c r="AN106">
        <v>-178.8</v>
      </c>
      <c r="AO106">
        <v>0</v>
      </c>
      <c r="AP106"/>
      <c r="AQ106">
        <v>0</v>
      </c>
      <c r="AR106">
        <v>0</v>
      </c>
      <c r="AS106">
        <v>1788</v>
      </c>
      <c r="AT106">
        <v>-178.8</v>
      </c>
      <c r="AU106">
        <v>0</v>
      </c>
      <c r="AW106">
        <v>0</v>
      </c>
      <c r="AX106">
        <v>0</v>
      </c>
      <c r="AY106">
        <v>27383.439999999999</v>
      </c>
      <c r="BC106" t="str">
        <f>T("9791164372102")</f>
        <v>9791164372102</v>
      </c>
      <c r="BE106" t="str">
        <f>T("BL 소설 e북 &gt; 현대물")</f>
        <v>BL 소설 e북 &gt; 현대물</v>
      </c>
    </row>
    <row r="107" spans="1:57" x14ac:dyDescent="0.3">
      <c r="A107">
        <v>2313011938</v>
      </c>
      <c r="B107">
        <v>2313011942</v>
      </c>
      <c r="C107" t="str">
        <f>T("[e북]최종 보스 : 빛을 향해 달리는 그림자 1부 5권")</f>
        <v>[e북]최종 보스 : 빛을 향해 달리는 그림자 1부 5권</v>
      </c>
      <c r="D107" t="str">
        <f>T("5")</f>
        <v>5</v>
      </c>
      <c r="E107" t="str">
        <f>T("무장")</f>
        <v>무장</v>
      </c>
      <c r="H107" t="str">
        <f>T("스토리위즈")</f>
        <v>스토리위즈</v>
      </c>
      <c r="I107" t="str">
        <f>T("[e북]최종 보스 : 빛을 향해 달리는 그림자")</f>
        <v>[e북]최종 보스 : 빛을 향해 달리는 그림자</v>
      </c>
      <c r="J107">
        <v>3200</v>
      </c>
      <c r="K107">
        <v>38400</v>
      </c>
      <c r="L107">
        <v>12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38400</v>
      </c>
      <c r="AH107">
        <v>12</v>
      </c>
      <c r="AI107">
        <v>0</v>
      </c>
      <c r="AJ107">
        <v>0</v>
      </c>
      <c r="AK107">
        <v>23440</v>
      </c>
      <c r="AL107">
        <v>0</v>
      </c>
      <c r="AM107">
        <v>17952</v>
      </c>
      <c r="AN107">
        <v>-4099.2</v>
      </c>
      <c r="AO107">
        <v>0</v>
      </c>
      <c r="AP107"/>
      <c r="AQ107">
        <v>0</v>
      </c>
      <c r="AR107">
        <v>0</v>
      </c>
      <c r="AS107">
        <v>17952</v>
      </c>
      <c r="AT107">
        <v>-4099.2</v>
      </c>
      <c r="AU107">
        <v>0</v>
      </c>
      <c r="AW107">
        <v>0</v>
      </c>
      <c r="AX107">
        <v>0</v>
      </c>
      <c r="AY107">
        <v>26104.959999999999</v>
      </c>
      <c r="BC107" t="str">
        <f>T("9791137601055")</f>
        <v>9791137601055</v>
      </c>
      <c r="BE107" t="str">
        <f>T("판타지 e북 &gt; 현대 판타지")</f>
        <v>판타지 e북 &gt; 현대 판타지</v>
      </c>
    </row>
    <row r="108" spans="1:57" x14ac:dyDescent="0.3">
      <c r="A108">
        <v>2313011938</v>
      </c>
      <c r="B108">
        <v>2313011943</v>
      </c>
      <c r="C108" t="str">
        <f>T("[e북]최종 보스 : 빛을 향해 달리는 그림자 1부 6권")</f>
        <v>[e북]최종 보스 : 빛을 향해 달리는 그림자 1부 6권</v>
      </c>
      <c r="D108" t="str">
        <f>T("6")</f>
        <v>6</v>
      </c>
      <c r="E108" t="str">
        <f>T("무장")</f>
        <v>무장</v>
      </c>
      <c r="H108" t="str">
        <f>T("스토리위즈")</f>
        <v>스토리위즈</v>
      </c>
      <c r="I108" t="str">
        <f>T("[e북]최종 보스 : 빛을 향해 달리는 그림자")</f>
        <v>[e북]최종 보스 : 빛을 향해 달리는 그림자</v>
      </c>
      <c r="J108">
        <v>3200</v>
      </c>
      <c r="K108">
        <v>38400</v>
      </c>
      <c r="L108">
        <v>12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38400</v>
      </c>
      <c r="AH108">
        <v>12</v>
      </c>
      <c r="AI108">
        <v>0</v>
      </c>
      <c r="AJ108">
        <v>0</v>
      </c>
      <c r="AK108">
        <v>22400</v>
      </c>
      <c r="AL108">
        <v>0</v>
      </c>
      <c r="AM108">
        <v>19200</v>
      </c>
      <c r="AN108">
        <v>-4992</v>
      </c>
      <c r="AO108">
        <v>0</v>
      </c>
      <c r="AP108"/>
      <c r="AQ108">
        <v>0</v>
      </c>
      <c r="AR108">
        <v>0</v>
      </c>
      <c r="AS108">
        <v>19200</v>
      </c>
      <c r="AT108">
        <v>-4992</v>
      </c>
      <c r="AU108">
        <v>0</v>
      </c>
      <c r="AW108">
        <v>0</v>
      </c>
      <c r="AX108">
        <v>0</v>
      </c>
      <c r="AY108">
        <v>25625.599999999999</v>
      </c>
      <c r="BC108" t="str">
        <f>T("9791137601062")</f>
        <v>9791137601062</v>
      </c>
      <c r="BE108" t="str">
        <f>T("판타지 e북 &gt; 현대 판타지")</f>
        <v>판타지 e북 &gt; 현대 판타지</v>
      </c>
    </row>
    <row r="109" spans="1:57" x14ac:dyDescent="0.3">
      <c r="A109">
        <v>2313011938</v>
      </c>
      <c r="B109">
        <v>2313011944</v>
      </c>
      <c r="C109" t="str">
        <f>T("[e북]최종 보스 : 빛을 향해 달리는 그림자 1부 7권")</f>
        <v>[e북]최종 보스 : 빛을 향해 달리는 그림자 1부 7권</v>
      </c>
      <c r="D109" t="str">
        <f>T("7")</f>
        <v>7</v>
      </c>
      <c r="E109" t="str">
        <f>T("무장")</f>
        <v>무장</v>
      </c>
      <c r="H109" t="str">
        <f>T("스토리위즈")</f>
        <v>스토리위즈</v>
      </c>
      <c r="I109" t="str">
        <f>T("[e북]최종 보스 : 빛을 향해 달리는 그림자")</f>
        <v>[e북]최종 보스 : 빛을 향해 달리는 그림자</v>
      </c>
      <c r="J109">
        <v>3200</v>
      </c>
      <c r="K109">
        <v>38400</v>
      </c>
      <c r="L109">
        <v>12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38400</v>
      </c>
      <c r="AH109">
        <v>12</v>
      </c>
      <c r="AI109">
        <v>0</v>
      </c>
      <c r="AJ109">
        <v>0</v>
      </c>
      <c r="AK109">
        <v>23100</v>
      </c>
      <c r="AL109">
        <v>0</v>
      </c>
      <c r="AM109">
        <v>18360</v>
      </c>
      <c r="AN109">
        <v>-4740</v>
      </c>
      <c r="AO109">
        <v>0</v>
      </c>
      <c r="AP109"/>
      <c r="AQ109">
        <v>0</v>
      </c>
      <c r="AR109">
        <v>0</v>
      </c>
      <c r="AS109">
        <v>18360</v>
      </c>
      <c r="AT109">
        <v>-4740</v>
      </c>
      <c r="AU109">
        <v>0</v>
      </c>
      <c r="AW109">
        <v>0</v>
      </c>
      <c r="AX109">
        <v>0</v>
      </c>
      <c r="AY109">
        <v>25704</v>
      </c>
      <c r="BC109" t="str">
        <f>T("9791137601079")</f>
        <v>9791137601079</v>
      </c>
      <c r="BE109" t="str">
        <f>T("판타지 e북 &gt; 현대 판타지")</f>
        <v>판타지 e북 &gt; 현대 판타지</v>
      </c>
    </row>
    <row r="110" spans="1:57" x14ac:dyDescent="0.3">
      <c r="A110">
        <v>2313011938</v>
      </c>
      <c r="B110">
        <v>2313011945</v>
      </c>
      <c r="C110" t="str">
        <f>T("[e북]최종 보스 : 빛을 향해 달리는 그림자 1부 8권")</f>
        <v>[e북]최종 보스 : 빛을 향해 달리는 그림자 1부 8권</v>
      </c>
      <c r="D110" t="str">
        <f>T("8")</f>
        <v>8</v>
      </c>
      <c r="E110" t="str">
        <f>T("무장")</f>
        <v>무장</v>
      </c>
      <c r="H110" t="str">
        <f>T("스토리위즈")</f>
        <v>스토리위즈</v>
      </c>
      <c r="I110" t="str">
        <f>T("[e북]최종 보스 : 빛을 향해 달리는 그림자")</f>
        <v>[e북]최종 보스 : 빛을 향해 달리는 그림자</v>
      </c>
      <c r="J110">
        <v>3200</v>
      </c>
      <c r="K110">
        <v>38400</v>
      </c>
      <c r="L110">
        <v>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38400</v>
      </c>
      <c r="AH110">
        <v>12</v>
      </c>
      <c r="AI110">
        <v>0</v>
      </c>
      <c r="AJ110">
        <v>0</v>
      </c>
      <c r="AK110">
        <v>25320</v>
      </c>
      <c r="AL110">
        <v>0</v>
      </c>
      <c r="AM110">
        <v>15696</v>
      </c>
      <c r="AN110">
        <v>-3873.6</v>
      </c>
      <c r="AO110">
        <v>0</v>
      </c>
      <c r="AP110"/>
      <c r="AQ110">
        <v>0</v>
      </c>
      <c r="AR110">
        <v>0</v>
      </c>
      <c r="AS110">
        <v>15696</v>
      </c>
      <c r="AT110">
        <v>-3873.6</v>
      </c>
      <c r="AU110">
        <v>0</v>
      </c>
      <c r="AW110">
        <v>0</v>
      </c>
      <c r="AX110">
        <v>0</v>
      </c>
      <c r="AY110">
        <v>25999.68</v>
      </c>
      <c r="BC110" t="str">
        <f>T("9791137601086")</f>
        <v>9791137601086</v>
      </c>
      <c r="BE110" t="str">
        <f>T("판타지 e북 &gt; 현대 판타지")</f>
        <v>판타지 e북 &gt; 현대 판타지</v>
      </c>
    </row>
    <row r="111" spans="1:57" x14ac:dyDescent="0.3">
      <c r="A111">
        <v>2313012817</v>
      </c>
      <c r="B111">
        <v>2313012819</v>
      </c>
      <c r="C111" t="str">
        <f>T("[e북]갓 오브 블랙필드 3권")</f>
        <v>[e북]갓 오브 블랙필드 3권</v>
      </c>
      <c r="D111" t="str">
        <f>T("3")</f>
        <v>3</v>
      </c>
      <c r="E111" t="str">
        <f>T("무장")</f>
        <v>무장</v>
      </c>
      <c r="H111" t="str">
        <f>T("스토리위즈")</f>
        <v>스토리위즈</v>
      </c>
      <c r="I111" t="str">
        <f>T("[e북]갓 오브 블랙필드")</f>
        <v>[e북]갓 오브 블랙필드</v>
      </c>
      <c r="J111">
        <v>3200</v>
      </c>
      <c r="K111">
        <v>37440</v>
      </c>
      <c r="L111">
        <v>12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37440</v>
      </c>
      <c r="AH111">
        <v>12</v>
      </c>
      <c r="AI111">
        <v>0</v>
      </c>
      <c r="AJ111">
        <v>0</v>
      </c>
      <c r="AK111">
        <v>26030</v>
      </c>
      <c r="AL111">
        <v>0</v>
      </c>
      <c r="AM111">
        <v>13692</v>
      </c>
      <c r="AN111">
        <v>-4107.6000000000004</v>
      </c>
      <c r="AO111">
        <v>0</v>
      </c>
      <c r="AP111">
        <v>3840</v>
      </c>
      <c r="AQ111">
        <v>-1152</v>
      </c>
      <c r="AR111">
        <v>0</v>
      </c>
      <c r="AS111">
        <v>9852</v>
      </c>
      <c r="AT111">
        <v>-2955.6</v>
      </c>
      <c r="AU111">
        <v>0</v>
      </c>
      <c r="AW111">
        <v>0</v>
      </c>
      <c r="AX111">
        <v>0</v>
      </c>
      <c r="AY111">
        <v>24930.080000000002</v>
      </c>
      <c r="BA111" t="str">
        <f>T("0000000000000")</f>
        <v>0000000000000</v>
      </c>
      <c r="BC111" t="str">
        <f>T("9791137602175")</f>
        <v>9791137602175</v>
      </c>
      <c r="BE111" t="str">
        <f>T("판타지 e북 &gt; 현대 판타지")</f>
        <v>판타지 e북 &gt; 현대 판타지</v>
      </c>
    </row>
    <row r="112" spans="1:57" x14ac:dyDescent="0.3">
      <c r="A112">
        <v>2313007027</v>
      </c>
      <c r="B112">
        <v>2313007031</v>
      </c>
      <c r="C112" t="str">
        <f>T("[e북]레이디 스칼렛 5권")</f>
        <v>[e북]레이디 스칼렛 5권</v>
      </c>
      <c r="D112" t="str">
        <f>T("5")</f>
        <v>5</v>
      </c>
      <c r="E112" t="str">
        <f>T("불고기자리")</f>
        <v>불고기자리</v>
      </c>
      <c r="H112" t="str">
        <f>T("블레슈(Blesshuu)")</f>
        <v>블레슈(Blesshuu)</v>
      </c>
      <c r="I112" t="str">
        <f>T("[e북]레이디 스칼렛")</f>
        <v>[e북]레이디 스칼렛</v>
      </c>
      <c r="J112">
        <v>3500</v>
      </c>
      <c r="K112">
        <v>36400</v>
      </c>
      <c r="L112">
        <v>11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36400</v>
      </c>
      <c r="AH112">
        <v>11</v>
      </c>
      <c r="AI112">
        <v>0</v>
      </c>
      <c r="AJ112">
        <v>0</v>
      </c>
      <c r="AK112">
        <v>29750</v>
      </c>
      <c r="AL112">
        <v>0</v>
      </c>
      <c r="AM112">
        <v>7980</v>
      </c>
      <c r="AN112">
        <v>-798</v>
      </c>
      <c r="AO112">
        <v>0</v>
      </c>
      <c r="AP112"/>
      <c r="AQ112">
        <v>0</v>
      </c>
      <c r="AR112">
        <v>0</v>
      </c>
      <c r="AS112">
        <v>7980</v>
      </c>
      <c r="AT112">
        <v>-798</v>
      </c>
      <c r="AU112">
        <v>0</v>
      </c>
      <c r="AW112">
        <v>0</v>
      </c>
      <c r="AX112">
        <v>0</v>
      </c>
      <c r="AY112">
        <v>25852.400000000001</v>
      </c>
      <c r="BC112" t="str">
        <f>T("9791159289002")</f>
        <v>9791159289002</v>
      </c>
      <c r="BE112" t="str">
        <f>T("로판 e북 &gt; 서양풍 로판")</f>
        <v>로판 e북 &gt; 서양풍 로판</v>
      </c>
    </row>
    <row r="113" spans="1:58" x14ac:dyDescent="0.3">
      <c r="A113">
        <v>2313007027</v>
      </c>
      <c r="B113">
        <v>2313007032</v>
      </c>
      <c r="C113" t="str">
        <f>T("[e북]레이디 스칼렛 6권")</f>
        <v>[e북]레이디 스칼렛 6권</v>
      </c>
      <c r="D113" t="str">
        <f>T("6")</f>
        <v>6</v>
      </c>
      <c r="E113" t="str">
        <f>T("불고기자리")</f>
        <v>불고기자리</v>
      </c>
      <c r="H113" t="str">
        <f>T("블레슈(Blesshuu)")</f>
        <v>블레슈(Blesshuu)</v>
      </c>
      <c r="I113" t="str">
        <f>T("[e북]레이디 스칼렛")</f>
        <v>[e북]레이디 스칼렛</v>
      </c>
      <c r="J113">
        <v>3500</v>
      </c>
      <c r="K113">
        <v>36400</v>
      </c>
      <c r="L113">
        <v>11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36400</v>
      </c>
      <c r="AH113">
        <v>11</v>
      </c>
      <c r="AI113">
        <v>0</v>
      </c>
      <c r="AJ113">
        <v>0</v>
      </c>
      <c r="AK113">
        <v>31560</v>
      </c>
      <c r="AL113">
        <v>0</v>
      </c>
      <c r="AM113">
        <v>5808</v>
      </c>
      <c r="AN113">
        <v>-580.79999999999995</v>
      </c>
      <c r="AO113">
        <v>0</v>
      </c>
      <c r="AP113"/>
      <c r="AQ113">
        <v>0</v>
      </c>
      <c r="AR113">
        <v>0</v>
      </c>
      <c r="AS113">
        <v>5808</v>
      </c>
      <c r="AT113">
        <v>-580.79999999999995</v>
      </c>
      <c r="AU113">
        <v>0</v>
      </c>
      <c r="AW113">
        <v>0</v>
      </c>
      <c r="AX113">
        <v>0</v>
      </c>
      <c r="AY113">
        <v>25751.040000000001</v>
      </c>
      <c r="BC113" t="str">
        <f>T("9791159289019")</f>
        <v>9791159289019</v>
      </c>
      <c r="BE113" t="str">
        <f>T("로판 e북 &gt; 서양풍 로판")</f>
        <v>로판 e북 &gt; 서양풍 로판</v>
      </c>
    </row>
    <row r="114" spans="1:58" x14ac:dyDescent="0.3">
      <c r="A114">
        <v>2313016857</v>
      </c>
      <c r="B114">
        <v>2313016857</v>
      </c>
      <c r="C114" t="str">
        <f>T("[e북]소투스 (SOTUS) 1권")</f>
        <v>[e북]소투스 (SOTUS) 1권</v>
      </c>
      <c r="D114" t="str">
        <f>T("1")</f>
        <v>1</v>
      </c>
      <c r="E114" t="str">
        <f>T("BitterSweet")</f>
        <v>BitterSweet</v>
      </c>
      <c r="H114" t="str">
        <f>T("도서출판 태랑")</f>
        <v>도서출판 태랑</v>
      </c>
      <c r="I114" t="str">
        <f>T("[e북]소투스 (SOTUS)")</f>
        <v>[e북]소투스 (SOTUS)</v>
      </c>
      <c r="J114">
        <v>3600</v>
      </c>
      <c r="K114">
        <v>36000</v>
      </c>
      <c r="L114">
        <v>10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36000</v>
      </c>
      <c r="AH114">
        <v>10</v>
      </c>
      <c r="AI114">
        <v>0</v>
      </c>
      <c r="AJ114">
        <v>0</v>
      </c>
      <c r="AK114">
        <v>33030</v>
      </c>
      <c r="AL114">
        <v>0</v>
      </c>
      <c r="AM114">
        <v>3564</v>
      </c>
      <c r="AN114">
        <v>-356.4</v>
      </c>
      <c r="AO114">
        <v>0</v>
      </c>
      <c r="AP114"/>
      <c r="AQ114">
        <v>0</v>
      </c>
      <c r="AR114">
        <v>0</v>
      </c>
      <c r="AS114">
        <v>3564</v>
      </c>
      <c r="AT114">
        <v>-356.4</v>
      </c>
      <c r="AU114">
        <v>0</v>
      </c>
      <c r="AW114">
        <v>0</v>
      </c>
      <c r="AX114">
        <v>0</v>
      </c>
      <c r="AY114">
        <v>25366.32</v>
      </c>
      <c r="BC114" t="str">
        <f>T("9791164374632")</f>
        <v>9791164374632</v>
      </c>
      <c r="BE114" t="str">
        <f>T("BL 소설 e북 &gt; 해외 소설")</f>
        <v>BL 소설 e북 &gt; 해외 소설</v>
      </c>
    </row>
    <row r="115" spans="1:58" x14ac:dyDescent="0.3">
      <c r="A115">
        <v>2313006989</v>
      </c>
      <c r="B115">
        <v>2313006995</v>
      </c>
      <c r="C115" t="str">
        <f>T("[e북]로드 오브 머니 7권")</f>
        <v>[e북]로드 오브 머니 7권</v>
      </c>
      <c r="D115" t="str">
        <f>T("7")</f>
        <v>7</v>
      </c>
      <c r="E115" t="str">
        <f>T("무장")</f>
        <v>무장</v>
      </c>
      <c r="H115" t="str">
        <f>T("스토리위즈")</f>
        <v>스토리위즈</v>
      </c>
      <c r="I115" t="str">
        <f>T("[e북]로드 오브 머니")</f>
        <v>[e북]로드 오브 머니</v>
      </c>
      <c r="J115">
        <v>3200</v>
      </c>
      <c r="K115">
        <v>35200</v>
      </c>
      <c r="L115">
        <v>11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35200</v>
      </c>
      <c r="AH115">
        <v>11</v>
      </c>
      <c r="AI115">
        <v>0</v>
      </c>
      <c r="AJ115">
        <v>0</v>
      </c>
      <c r="AK115">
        <v>24863</v>
      </c>
      <c r="AL115">
        <v>0</v>
      </c>
      <c r="AM115">
        <v>12404.4</v>
      </c>
      <c r="AN115">
        <v>-2185.3200000000002</v>
      </c>
      <c r="AO115">
        <v>0</v>
      </c>
      <c r="AP115"/>
      <c r="AQ115">
        <v>0</v>
      </c>
      <c r="AR115">
        <v>0</v>
      </c>
      <c r="AS115">
        <v>12404.4</v>
      </c>
      <c r="AT115">
        <v>-2185.3200000000002</v>
      </c>
      <c r="AU115">
        <v>0</v>
      </c>
      <c r="AW115">
        <v>0</v>
      </c>
      <c r="AX115">
        <v>0</v>
      </c>
      <c r="AY115">
        <v>24557.46</v>
      </c>
      <c r="BC115" t="str">
        <f>T("9791188630165")</f>
        <v>9791188630165</v>
      </c>
      <c r="BE115" t="str">
        <f>T("판타지 e북 &gt; 현대 판타지")</f>
        <v>판타지 e북 &gt; 현대 판타지</v>
      </c>
    </row>
    <row r="116" spans="1:58" x14ac:dyDescent="0.3">
      <c r="A116">
        <v>2313011938</v>
      </c>
      <c r="B116">
        <v>2313011939</v>
      </c>
      <c r="C116" t="str">
        <f>T("[e북]최종 보스 : 빛을 향해 달리는 그림자 1부 2권")</f>
        <v>[e북]최종 보스 : 빛을 향해 달리는 그림자 1부 2권</v>
      </c>
      <c r="D116" t="str">
        <f>T("2")</f>
        <v>2</v>
      </c>
      <c r="E116" t="str">
        <f>T("무장")</f>
        <v>무장</v>
      </c>
      <c r="H116" t="str">
        <f>T("스토리위즈")</f>
        <v>스토리위즈</v>
      </c>
      <c r="I116" t="str">
        <f>T("[e북]최종 보스 : 빛을 향해 달리는 그림자")</f>
        <v>[e북]최종 보스 : 빛을 향해 달리는 그림자</v>
      </c>
      <c r="J116">
        <v>3200</v>
      </c>
      <c r="K116">
        <v>35200</v>
      </c>
      <c r="L116">
        <v>11</v>
      </c>
      <c r="M116">
        <v>0</v>
      </c>
      <c r="N116">
        <v>900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36100</v>
      </c>
      <c r="AH116">
        <v>12</v>
      </c>
      <c r="AI116">
        <v>0</v>
      </c>
      <c r="AJ116">
        <v>0</v>
      </c>
      <c r="AK116">
        <v>30020</v>
      </c>
      <c r="AL116">
        <v>0</v>
      </c>
      <c r="AM116">
        <v>7296</v>
      </c>
      <c r="AN116">
        <v>-1497.6</v>
      </c>
      <c r="AO116">
        <v>0</v>
      </c>
      <c r="AP116"/>
      <c r="AQ116">
        <v>0</v>
      </c>
      <c r="AR116">
        <v>0</v>
      </c>
      <c r="AS116">
        <v>7296</v>
      </c>
      <c r="AT116">
        <v>-1497.6</v>
      </c>
      <c r="AU116">
        <v>0</v>
      </c>
      <c r="AW116">
        <v>0</v>
      </c>
      <c r="AX116">
        <v>0</v>
      </c>
      <c r="AY116">
        <v>25072.880000000001</v>
      </c>
      <c r="BC116" t="str">
        <f>T("9791137601024")</f>
        <v>9791137601024</v>
      </c>
      <c r="BE116" t="str">
        <f>T("판타지 e북 &gt; 현대 판타지")</f>
        <v>판타지 e북 &gt; 현대 판타지</v>
      </c>
    </row>
    <row r="117" spans="1:58" x14ac:dyDescent="0.3">
      <c r="A117">
        <v>2313011938</v>
      </c>
      <c r="B117">
        <v>2313011947</v>
      </c>
      <c r="C117" t="str">
        <f>T("[e북]최종 보스 : 빛을 향해 달리는 그림자 1부 10권")</f>
        <v>[e북]최종 보스 : 빛을 향해 달리는 그림자 1부 10권</v>
      </c>
      <c r="D117" t="str">
        <f>T("10")</f>
        <v>10</v>
      </c>
      <c r="E117" t="str">
        <f>T("무장")</f>
        <v>무장</v>
      </c>
      <c r="H117" t="str">
        <f>T("스토리위즈")</f>
        <v>스토리위즈</v>
      </c>
      <c r="I117" t="str">
        <f>T("[e북]최종 보스 : 빛을 향해 달리는 그림자")</f>
        <v>[e북]최종 보스 : 빛을 향해 달리는 그림자</v>
      </c>
      <c r="J117">
        <v>3200</v>
      </c>
      <c r="K117">
        <v>35200</v>
      </c>
      <c r="L117">
        <v>11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35200</v>
      </c>
      <c r="AH117">
        <v>11</v>
      </c>
      <c r="AI117">
        <v>0</v>
      </c>
      <c r="AJ117">
        <v>0</v>
      </c>
      <c r="AK117">
        <v>19200</v>
      </c>
      <c r="AL117">
        <v>0</v>
      </c>
      <c r="AM117">
        <v>19200</v>
      </c>
      <c r="AN117">
        <v>-4224</v>
      </c>
      <c r="AO117">
        <v>0</v>
      </c>
      <c r="AP117"/>
      <c r="AQ117">
        <v>0</v>
      </c>
      <c r="AR117">
        <v>0</v>
      </c>
      <c r="AS117">
        <v>19200</v>
      </c>
      <c r="AT117">
        <v>-4224</v>
      </c>
      <c r="AU117">
        <v>0</v>
      </c>
      <c r="AW117">
        <v>0</v>
      </c>
      <c r="AX117">
        <v>0</v>
      </c>
      <c r="AY117">
        <v>23923.200000000001</v>
      </c>
      <c r="BC117" t="str">
        <f>T("9791137601109")</f>
        <v>9791137601109</v>
      </c>
      <c r="BE117" t="str">
        <f>T("판타지 e북 &gt; 현대 판타지")</f>
        <v>판타지 e북 &gt; 현대 판타지</v>
      </c>
    </row>
    <row r="118" spans="1:58" x14ac:dyDescent="0.3">
      <c r="A118">
        <v>2313011938</v>
      </c>
      <c r="B118">
        <v>2313015163</v>
      </c>
      <c r="C118" t="str">
        <f>T("[e북]최종 보스 : 빛을 향해 달리는 그림자 2부 18권")</f>
        <v>[e북]최종 보스 : 빛을 향해 달리는 그림자 2부 18권</v>
      </c>
      <c r="D118" t="str">
        <f>T("18")</f>
        <v>18</v>
      </c>
      <c r="E118" t="str">
        <f>T("무장")</f>
        <v>무장</v>
      </c>
      <c r="H118" t="str">
        <f>T("스토리위즈")</f>
        <v>스토리위즈</v>
      </c>
      <c r="I118" t="str">
        <f>T("[e북]최종 보스 : 빛을 향해 달리는 그림자")</f>
        <v>[e북]최종 보스 : 빛을 향해 달리는 그림자</v>
      </c>
      <c r="J118">
        <v>3200</v>
      </c>
      <c r="K118">
        <v>35200</v>
      </c>
      <c r="L118">
        <v>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35200</v>
      </c>
      <c r="AH118">
        <v>11</v>
      </c>
      <c r="AI118">
        <v>0</v>
      </c>
      <c r="AJ118">
        <v>0</v>
      </c>
      <c r="AK118">
        <v>19380</v>
      </c>
      <c r="AL118">
        <v>0</v>
      </c>
      <c r="AM118">
        <v>18984</v>
      </c>
      <c r="AN118">
        <v>-3434.4</v>
      </c>
      <c r="AO118">
        <v>0</v>
      </c>
      <c r="AP118">
        <v>3840</v>
      </c>
      <c r="AQ118">
        <v>-1152</v>
      </c>
      <c r="AR118">
        <v>0</v>
      </c>
      <c r="AS118">
        <v>15144</v>
      </c>
      <c r="AT118">
        <v>-2282.4</v>
      </c>
      <c r="AU118">
        <v>0</v>
      </c>
      <c r="AW118">
        <v>0</v>
      </c>
      <c r="AX118">
        <v>0</v>
      </c>
      <c r="AY118">
        <v>24450.720000000001</v>
      </c>
      <c r="BC118" t="str">
        <f>T("9791137601178")</f>
        <v>9791137601178</v>
      </c>
      <c r="BE118" t="str">
        <f>T("판타지 e북 &gt; 현대 판타지")</f>
        <v>판타지 e북 &gt; 현대 판타지</v>
      </c>
    </row>
    <row r="119" spans="1:58" x14ac:dyDescent="0.3">
      <c r="B119">
        <v>2313017656</v>
      </c>
      <c r="C119" t="str">
        <f>T("[e북]2위의 역습")</f>
        <v>[e북]2위의 역습</v>
      </c>
      <c r="E119" t="str">
        <f>T("羽宸寰(Uchenhu), 林珮瑜(Lin Peiyu)")</f>
        <v>羽宸寰(Uchenhu), 林珮瑜(Lin Peiyu)</v>
      </c>
      <c r="H119" t="str">
        <f>T("도서출판 태랑")</f>
        <v>도서출판 태랑</v>
      </c>
      <c r="J119">
        <v>3200</v>
      </c>
      <c r="K119">
        <v>35200</v>
      </c>
      <c r="L119">
        <v>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35200</v>
      </c>
      <c r="AH119">
        <v>11</v>
      </c>
      <c r="AI119">
        <v>0</v>
      </c>
      <c r="AJ119">
        <v>0</v>
      </c>
      <c r="AK119">
        <v>25750</v>
      </c>
      <c r="AL119">
        <v>0</v>
      </c>
      <c r="AM119">
        <v>11340</v>
      </c>
      <c r="AN119">
        <v>-1902</v>
      </c>
      <c r="AO119">
        <v>0</v>
      </c>
      <c r="AP119"/>
      <c r="AQ119">
        <v>0</v>
      </c>
      <c r="AR119">
        <v>0</v>
      </c>
      <c r="AS119">
        <v>11340</v>
      </c>
      <c r="AT119">
        <v>-1902</v>
      </c>
      <c r="AU119">
        <v>0</v>
      </c>
      <c r="AW119">
        <v>0</v>
      </c>
      <c r="AX119">
        <v>0</v>
      </c>
      <c r="AY119">
        <v>24631.599999999999</v>
      </c>
      <c r="BC119" t="str">
        <f>T("9791164375134")</f>
        <v>9791164375134</v>
      </c>
      <c r="BE119" t="str">
        <f>T("BL 소설 e북 &gt; 현대물")</f>
        <v>BL 소설 e북 &gt; 현대물</v>
      </c>
    </row>
    <row r="120" spans="1:58" x14ac:dyDescent="0.3">
      <c r="B120">
        <v>2313020327</v>
      </c>
      <c r="C120" t="str">
        <f>T("[e북]연애가 필요한 순간")</f>
        <v>[e북]연애가 필요한 순간</v>
      </c>
      <c r="E120" t="str">
        <f>T("복희씨")</f>
        <v>복희씨</v>
      </c>
      <c r="H120" t="str">
        <f>T("블레슈(Blesshuu)")</f>
        <v>블레슈(Blesshuu)</v>
      </c>
      <c r="J120">
        <v>1300</v>
      </c>
      <c r="K120">
        <v>35100</v>
      </c>
      <c r="L120">
        <v>27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35100</v>
      </c>
      <c r="AH120">
        <v>27</v>
      </c>
      <c r="AI120">
        <v>0</v>
      </c>
      <c r="AJ120">
        <v>0</v>
      </c>
      <c r="AK120">
        <v>29050</v>
      </c>
      <c r="AL120">
        <v>0</v>
      </c>
      <c r="AM120">
        <v>7260</v>
      </c>
      <c r="AN120">
        <v>-726</v>
      </c>
      <c r="AO120">
        <v>0</v>
      </c>
      <c r="AP120"/>
      <c r="AQ120">
        <v>0</v>
      </c>
      <c r="AR120">
        <v>0</v>
      </c>
      <c r="AS120">
        <v>7260</v>
      </c>
      <c r="AT120">
        <v>-726</v>
      </c>
      <c r="AU120">
        <v>0</v>
      </c>
      <c r="AW120">
        <v>0</v>
      </c>
      <c r="AX120">
        <v>0</v>
      </c>
      <c r="AY120">
        <v>24908.799999999999</v>
      </c>
      <c r="BC120" t="str">
        <f>T("9791137607644")</f>
        <v>9791137607644</v>
      </c>
      <c r="BE120" t="str">
        <f>T("로맨스 e북 &gt; 현대물")</f>
        <v>로맨스 e북 &gt; 현대물</v>
      </c>
    </row>
    <row r="121" spans="1:58" x14ac:dyDescent="0.3">
      <c r="A121">
        <v>2313012817</v>
      </c>
      <c r="B121">
        <v>2313012820</v>
      </c>
      <c r="C121" t="str">
        <f>T("[e북]갓 오브 블랙필드 4권")</f>
        <v>[e북]갓 오브 블랙필드 4권</v>
      </c>
      <c r="D121" t="str">
        <f>T("4")</f>
        <v>4</v>
      </c>
      <c r="E121" t="str">
        <f>T("무장")</f>
        <v>무장</v>
      </c>
      <c r="H121" t="str">
        <f>T("스토리위즈")</f>
        <v>스토리위즈</v>
      </c>
      <c r="I121" t="str">
        <f>T("[e북]갓 오브 블랙필드")</f>
        <v>[e북]갓 오브 블랙필드</v>
      </c>
      <c r="J121">
        <v>3200</v>
      </c>
      <c r="K121">
        <v>34240</v>
      </c>
      <c r="L121">
        <v>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34240</v>
      </c>
      <c r="AH121">
        <v>11</v>
      </c>
      <c r="AI121">
        <v>0</v>
      </c>
      <c r="AJ121">
        <v>0</v>
      </c>
      <c r="AK121">
        <v>27840</v>
      </c>
      <c r="AL121">
        <v>0</v>
      </c>
      <c r="AM121">
        <v>7680</v>
      </c>
      <c r="AN121">
        <v>-2304</v>
      </c>
      <c r="AO121">
        <v>0</v>
      </c>
      <c r="AP121">
        <v>3840</v>
      </c>
      <c r="AQ121">
        <v>-1152</v>
      </c>
      <c r="AR121">
        <v>0</v>
      </c>
      <c r="AS121">
        <v>3840</v>
      </c>
      <c r="AT121">
        <v>-1152</v>
      </c>
      <c r="AU121">
        <v>0</v>
      </c>
      <c r="AW121">
        <v>0</v>
      </c>
      <c r="AX121">
        <v>0</v>
      </c>
      <c r="AY121">
        <v>23251.200000000001</v>
      </c>
      <c r="BA121" t="str">
        <f>T("0000000000000")</f>
        <v>0000000000000</v>
      </c>
      <c r="BC121" t="str">
        <f>T("9791137602182")</f>
        <v>9791137602182</v>
      </c>
      <c r="BE121" t="str">
        <f>T("판타지 e북 &gt; 현대 판타지")</f>
        <v>판타지 e북 &gt; 현대 판타지</v>
      </c>
    </row>
    <row r="122" spans="1:58" x14ac:dyDescent="0.3">
      <c r="A122">
        <v>2313012817</v>
      </c>
      <c r="B122">
        <v>2313012821</v>
      </c>
      <c r="C122" t="str">
        <f>T("[e북]갓 오브 블랙필드 5권")</f>
        <v>[e북]갓 오브 블랙필드 5권</v>
      </c>
      <c r="D122" t="str">
        <f>T("5")</f>
        <v>5</v>
      </c>
      <c r="E122" t="str">
        <f>T("무장")</f>
        <v>무장</v>
      </c>
      <c r="H122" t="str">
        <f>T("스토리위즈")</f>
        <v>스토리위즈</v>
      </c>
      <c r="I122" t="str">
        <f>T("[e북]갓 오브 블랙필드")</f>
        <v>[e북]갓 오브 블랙필드</v>
      </c>
      <c r="J122">
        <v>3200</v>
      </c>
      <c r="K122">
        <v>34240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34240</v>
      </c>
      <c r="AH122">
        <v>11</v>
      </c>
      <c r="AI122">
        <v>0</v>
      </c>
      <c r="AJ122">
        <v>0</v>
      </c>
      <c r="AK122">
        <v>28470</v>
      </c>
      <c r="AL122">
        <v>0</v>
      </c>
      <c r="AM122">
        <v>6924</v>
      </c>
      <c r="AN122">
        <v>-2077.1999999999998</v>
      </c>
      <c r="AO122">
        <v>0</v>
      </c>
      <c r="AP122">
        <v>3084</v>
      </c>
      <c r="AQ122">
        <v>-925.2</v>
      </c>
      <c r="AR122">
        <v>0</v>
      </c>
      <c r="AS122">
        <v>3840</v>
      </c>
      <c r="AT122">
        <v>-1152</v>
      </c>
      <c r="AU122">
        <v>0</v>
      </c>
      <c r="AW122">
        <v>0</v>
      </c>
      <c r="AX122">
        <v>0</v>
      </c>
      <c r="AY122">
        <v>23321.759999999998</v>
      </c>
      <c r="BA122" t="str">
        <f>T("0000000000000")</f>
        <v>0000000000000</v>
      </c>
      <c r="BC122" t="str">
        <f>T("9791137602199")</f>
        <v>9791137602199</v>
      </c>
      <c r="BE122" t="str">
        <f>T("판타지 e북 &gt; 현대 판타지")</f>
        <v>판타지 e북 &gt; 현대 판타지</v>
      </c>
    </row>
    <row r="123" spans="1:58" x14ac:dyDescent="0.3">
      <c r="A123">
        <v>2313012817</v>
      </c>
      <c r="B123">
        <v>2313012822</v>
      </c>
      <c r="C123" t="str">
        <f>T("[e북]갓 오브 블랙필드 6권")</f>
        <v>[e북]갓 오브 블랙필드 6권</v>
      </c>
      <c r="D123" t="str">
        <f>T("6")</f>
        <v>6</v>
      </c>
      <c r="E123" t="str">
        <f>T("무장")</f>
        <v>무장</v>
      </c>
      <c r="H123" t="str">
        <f>T("스토리위즈")</f>
        <v>스토리위즈</v>
      </c>
      <c r="I123" t="str">
        <f>T("[e북]갓 오브 블랙필드")</f>
        <v>[e북]갓 오브 블랙필드</v>
      </c>
      <c r="J123">
        <v>3200</v>
      </c>
      <c r="K123">
        <v>34240</v>
      </c>
      <c r="L123">
        <v>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34240</v>
      </c>
      <c r="AH123">
        <v>11</v>
      </c>
      <c r="AI123">
        <v>0</v>
      </c>
      <c r="AJ123">
        <v>0</v>
      </c>
      <c r="AK123">
        <v>27840</v>
      </c>
      <c r="AL123">
        <v>0</v>
      </c>
      <c r="AM123">
        <v>7680</v>
      </c>
      <c r="AN123">
        <v>-2304</v>
      </c>
      <c r="AO123">
        <v>0</v>
      </c>
      <c r="AP123">
        <v>3840</v>
      </c>
      <c r="AQ123">
        <v>-1152</v>
      </c>
      <c r="AR123">
        <v>0</v>
      </c>
      <c r="AS123">
        <v>3840</v>
      </c>
      <c r="AT123">
        <v>-1152</v>
      </c>
      <c r="AU123">
        <v>0</v>
      </c>
      <c r="AW123">
        <v>0</v>
      </c>
      <c r="AX123">
        <v>0</v>
      </c>
      <c r="AY123">
        <v>23251.200000000001</v>
      </c>
      <c r="BA123" t="str">
        <f>T("0000000000000")</f>
        <v>0000000000000</v>
      </c>
      <c r="BC123" t="str">
        <f>T("9791137602205")</f>
        <v>9791137602205</v>
      </c>
      <c r="BE123" t="str">
        <f>T("판타지 e북 &gt; 현대 판타지")</f>
        <v>판타지 e북 &gt; 현대 판타지</v>
      </c>
    </row>
    <row r="124" spans="1:58" x14ac:dyDescent="0.3">
      <c r="A124">
        <v>2313007027</v>
      </c>
      <c r="B124">
        <v>2313007030</v>
      </c>
      <c r="C124" t="str">
        <f>T("[e북]레이디 스칼렛 4권")</f>
        <v>[e북]레이디 스칼렛 4권</v>
      </c>
      <c r="D124" t="str">
        <f>T("4")</f>
        <v>4</v>
      </c>
      <c r="E124" t="str">
        <f>T("불고기자리")</f>
        <v>불고기자리</v>
      </c>
      <c r="H124" t="str">
        <f>T("블레슈(Blesshuu)")</f>
        <v>블레슈(Blesshuu)</v>
      </c>
      <c r="I124" t="str">
        <f>T("[e북]레이디 스칼렛")</f>
        <v>[e북]레이디 스칼렛</v>
      </c>
      <c r="J124">
        <v>3500</v>
      </c>
      <c r="K124">
        <v>33250</v>
      </c>
      <c r="L124">
        <v>10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33250</v>
      </c>
      <c r="AH124">
        <v>10</v>
      </c>
      <c r="AI124">
        <v>0</v>
      </c>
      <c r="AJ124">
        <v>0</v>
      </c>
      <c r="AK124">
        <v>29750</v>
      </c>
      <c r="AL124">
        <v>0</v>
      </c>
      <c r="AM124">
        <v>4200</v>
      </c>
      <c r="AN124">
        <v>-420</v>
      </c>
      <c r="AO124">
        <v>0</v>
      </c>
      <c r="AP124"/>
      <c r="AQ124">
        <v>0</v>
      </c>
      <c r="AR124">
        <v>0</v>
      </c>
      <c r="AS124">
        <v>4200</v>
      </c>
      <c r="AT124">
        <v>-420</v>
      </c>
      <c r="AU124">
        <v>0</v>
      </c>
      <c r="AW124">
        <v>0</v>
      </c>
      <c r="AX124">
        <v>0</v>
      </c>
      <c r="AY124">
        <v>23471</v>
      </c>
      <c r="BC124" t="str">
        <f>T("9791159288999")</f>
        <v>9791159288999</v>
      </c>
      <c r="BE124" t="str">
        <f>T("로판 e북 &gt; 서양풍 로판")</f>
        <v>로판 e북 &gt; 서양풍 로판</v>
      </c>
    </row>
    <row r="125" spans="1:58" x14ac:dyDescent="0.3">
      <c r="A125">
        <v>2313016859</v>
      </c>
      <c r="B125">
        <v>2313016859</v>
      </c>
      <c r="C125" t="str">
        <f>T("[e북]거짓말 1권")</f>
        <v>[e북]거짓말 1권</v>
      </c>
      <c r="D125" t="str">
        <f>T("1")</f>
        <v>1</v>
      </c>
      <c r="E125" t="str">
        <f>T("마뇽")</f>
        <v>마뇽</v>
      </c>
      <c r="H125" t="str">
        <f>T("도서출판 태랑")</f>
        <v>도서출판 태랑</v>
      </c>
      <c r="I125" t="str">
        <f>T("[e북]거짓말")</f>
        <v>[e북]거짓말</v>
      </c>
      <c r="J125">
        <v>3000</v>
      </c>
      <c r="K125">
        <v>33000</v>
      </c>
      <c r="L125">
        <v>11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33000</v>
      </c>
      <c r="AH125">
        <v>11</v>
      </c>
      <c r="AI125">
        <v>0</v>
      </c>
      <c r="AJ125">
        <v>0</v>
      </c>
      <c r="AK125">
        <v>27000</v>
      </c>
      <c r="AL125">
        <v>0</v>
      </c>
      <c r="AM125">
        <v>7200</v>
      </c>
      <c r="AN125">
        <v>-2160</v>
      </c>
      <c r="AO125">
        <v>0</v>
      </c>
      <c r="AP125">
        <v>7200</v>
      </c>
      <c r="AQ125">
        <v>-2160</v>
      </c>
      <c r="AR125">
        <v>0</v>
      </c>
      <c r="AT125">
        <v>0</v>
      </c>
      <c r="AU125">
        <v>0</v>
      </c>
      <c r="AW125">
        <v>0</v>
      </c>
      <c r="AX125">
        <v>0</v>
      </c>
      <c r="AY125">
        <v>22428</v>
      </c>
      <c r="BC125" t="str">
        <f>T("9791164374618")</f>
        <v>9791164374618</v>
      </c>
      <c r="BE125" t="str">
        <f>T("로맨스 e북 &gt; 역사/시대물")</f>
        <v>로맨스 e북 &gt; 역사/시대물</v>
      </c>
      <c r="BF125" t="str">
        <f>T("로맨스 e북 &gt; 19+")</f>
        <v>로맨스 e북 &gt; 19+</v>
      </c>
    </row>
    <row r="126" spans="1:58" x14ac:dyDescent="0.3">
      <c r="A126">
        <v>2313016828</v>
      </c>
      <c r="B126">
        <v>2313016828</v>
      </c>
      <c r="C126" t="str">
        <f>T("[e북]천 개의 별 이야기(A Tale of Thousand Stars) 1권")</f>
        <v>[e북]천 개의 별 이야기(A Tale of Thousand Stars) 1권</v>
      </c>
      <c r="D126" t="str">
        <f>T("1")</f>
        <v>1</v>
      </c>
      <c r="E126" t="str">
        <f>T("Bacteria")</f>
        <v>Bacteria</v>
      </c>
      <c r="F126" t="str">
        <f>T("이범근")</f>
        <v>이범근</v>
      </c>
      <c r="H126" t="str">
        <f>T("도서출판 태랑")</f>
        <v>도서출판 태랑</v>
      </c>
      <c r="I126" t="str">
        <f>T("[e북]천 개의 별 이야기(A Tale of Thousand Stars)")</f>
        <v>[e북]천 개의 별 이야기(A Tale of Thousand Stars)</v>
      </c>
      <c r="J126">
        <v>2700</v>
      </c>
      <c r="K126">
        <v>32400</v>
      </c>
      <c r="L126">
        <v>12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32400</v>
      </c>
      <c r="AH126">
        <v>12</v>
      </c>
      <c r="AI126">
        <v>0</v>
      </c>
      <c r="AJ126">
        <v>0</v>
      </c>
      <c r="AK126">
        <v>32210</v>
      </c>
      <c r="AL126">
        <v>0</v>
      </c>
      <c r="AM126">
        <v>228</v>
      </c>
      <c r="AN126">
        <v>-22.8</v>
      </c>
      <c r="AO126">
        <v>0</v>
      </c>
      <c r="AP126"/>
      <c r="AQ126">
        <v>0</v>
      </c>
      <c r="AR126">
        <v>0</v>
      </c>
      <c r="AS126">
        <v>228</v>
      </c>
      <c r="AT126">
        <v>-22.8</v>
      </c>
      <c r="AU126">
        <v>0</v>
      </c>
      <c r="AW126">
        <v>0</v>
      </c>
      <c r="AX126">
        <v>0</v>
      </c>
      <c r="AY126">
        <v>22690.639999999999</v>
      </c>
      <c r="BC126" t="str">
        <f>T("9791137607125")</f>
        <v>9791137607125</v>
      </c>
      <c r="BE126" t="str">
        <f>T("BL 소설 e북 &gt; 해외 소설")</f>
        <v>BL 소설 e북 &gt; 해외 소설</v>
      </c>
    </row>
    <row r="127" spans="1:58" x14ac:dyDescent="0.3">
      <c r="A127">
        <v>2313006989</v>
      </c>
      <c r="B127">
        <v>2313006993</v>
      </c>
      <c r="C127" t="str">
        <f>T("[e북]로드 오브 머니 5권")</f>
        <v>[e북]로드 오브 머니 5권</v>
      </c>
      <c r="D127" t="str">
        <f>T("5")</f>
        <v>5</v>
      </c>
      <c r="E127" t="str">
        <f t="shared" ref="E127:E138" si="15">T("무장")</f>
        <v>무장</v>
      </c>
      <c r="H127" t="str">
        <f t="shared" ref="H127:H138" si="16">T("스토리위즈")</f>
        <v>스토리위즈</v>
      </c>
      <c r="I127" t="str">
        <f>T("[e북]로드 오브 머니")</f>
        <v>[e북]로드 오브 머니</v>
      </c>
      <c r="J127">
        <v>3200</v>
      </c>
      <c r="K127">
        <v>32000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32000</v>
      </c>
      <c r="AH127">
        <v>10</v>
      </c>
      <c r="AI127">
        <v>0</v>
      </c>
      <c r="AJ127">
        <v>0</v>
      </c>
      <c r="AK127">
        <v>24863</v>
      </c>
      <c r="AL127">
        <v>0</v>
      </c>
      <c r="AM127">
        <v>8564.4</v>
      </c>
      <c r="AN127">
        <v>-1033.32</v>
      </c>
      <c r="AO127">
        <v>0</v>
      </c>
      <c r="AP127"/>
      <c r="AQ127">
        <v>0</v>
      </c>
      <c r="AR127">
        <v>0</v>
      </c>
      <c r="AS127">
        <v>8564.4</v>
      </c>
      <c r="AT127">
        <v>-1033.32</v>
      </c>
      <c r="AU127">
        <v>0</v>
      </c>
      <c r="AW127">
        <v>0</v>
      </c>
      <c r="AX127">
        <v>0</v>
      </c>
      <c r="AY127">
        <v>22675.86</v>
      </c>
      <c r="BC127" t="str">
        <f>T("9791188630141")</f>
        <v>9791188630141</v>
      </c>
      <c r="BE127" t="str">
        <f t="shared" ref="BE127:BE138" si="17">T("판타지 e북 &gt; 현대 판타지")</f>
        <v>판타지 e북 &gt; 현대 판타지</v>
      </c>
    </row>
    <row r="128" spans="1:58" x14ac:dyDescent="0.3">
      <c r="A128">
        <v>2313006989</v>
      </c>
      <c r="B128">
        <v>2313006994</v>
      </c>
      <c r="C128" t="str">
        <f>T("[e북]로드 오브 머니 6권")</f>
        <v>[e북]로드 오브 머니 6권</v>
      </c>
      <c r="D128" t="str">
        <f>T("6")</f>
        <v>6</v>
      </c>
      <c r="E128" t="str">
        <f t="shared" si="15"/>
        <v>무장</v>
      </c>
      <c r="H128" t="str">
        <f t="shared" si="16"/>
        <v>스토리위즈</v>
      </c>
      <c r="I128" t="str">
        <f>T("[e북]로드 오브 머니")</f>
        <v>[e북]로드 오브 머니</v>
      </c>
      <c r="J128">
        <v>3200</v>
      </c>
      <c r="K128">
        <v>32000</v>
      </c>
      <c r="L128">
        <v>10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32000</v>
      </c>
      <c r="AH128">
        <v>10</v>
      </c>
      <c r="AI128">
        <v>0</v>
      </c>
      <c r="AJ128">
        <v>0</v>
      </c>
      <c r="AK128">
        <v>24863</v>
      </c>
      <c r="AL128">
        <v>0</v>
      </c>
      <c r="AM128">
        <v>8564.4</v>
      </c>
      <c r="AN128">
        <v>-1033.32</v>
      </c>
      <c r="AO128">
        <v>0</v>
      </c>
      <c r="AP128"/>
      <c r="AQ128">
        <v>0</v>
      </c>
      <c r="AR128">
        <v>0</v>
      </c>
      <c r="AS128">
        <v>8564.4</v>
      </c>
      <c r="AT128">
        <v>-1033.32</v>
      </c>
      <c r="AU128">
        <v>0</v>
      </c>
      <c r="AW128">
        <v>0</v>
      </c>
      <c r="AX128">
        <v>0</v>
      </c>
      <c r="AY128">
        <v>22675.86</v>
      </c>
      <c r="BC128" t="str">
        <f>T("9791188630158")</f>
        <v>9791188630158</v>
      </c>
      <c r="BE128" t="str">
        <f t="shared" si="17"/>
        <v>판타지 e북 &gt; 현대 판타지</v>
      </c>
    </row>
    <row r="129" spans="1:57" x14ac:dyDescent="0.3">
      <c r="A129">
        <v>2313006989</v>
      </c>
      <c r="B129">
        <v>2313006996</v>
      </c>
      <c r="C129" t="str">
        <f>T("[e북]로드 오브 머니 8권")</f>
        <v>[e북]로드 오브 머니 8권</v>
      </c>
      <c r="D129" t="str">
        <f>T("8")</f>
        <v>8</v>
      </c>
      <c r="E129" t="str">
        <f t="shared" si="15"/>
        <v>무장</v>
      </c>
      <c r="H129" t="str">
        <f t="shared" si="16"/>
        <v>스토리위즈</v>
      </c>
      <c r="I129" t="str">
        <f>T("[e북]로드 오브 머니")</f>
        <v>[e북]로드 오브 머니</v>
      </c>
      <c r="J129">
        <v>3200</v>
      </c>
      <c r="K129">
        <v>32000</v>
      </c>
      <c r="L129">
        <v>10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32000</v>
      </c>
      <c r="AH129">
        <v>10</v>
      </c>
      <c r="AI129">
        <v>0</v>
      </c>
      <c r="AJ129">
        <v>0</v>
      </c>
      <c r="AK129">
        <v>21663</v>
      </c>
      <c r="AL129">
        <v>0</v>
      </c>
      <c r="AM129">
        <v>12404.4</v>
      </c>
      <c r="AN129">
        <v>-2185.3200000000002</v>
      </c>
      <c r="AO129">
        <v>0</v>
      </c>
      <c r="AP129"/>
      <c r="AQ129">
        <v>0</v>
      </c>
      <c r="AR129">
        <v>0</v>
      </c>
      <c r="AS129">
        <v>12404.4</v>
      </c>
      <c r="AT129">
        <v>-2185.3200000000002</v>
      </c>
      <c r="AU129">
        <v>0</v>
      </c>
      <c r="AW129">
        <v>0</v>
      </c>
      <c r="AX129">
        <v>0</v>
      </c>
      <c r="AY129">
        <v>22317.46</v>
      </c>
      <c r="BC129" t="str">
        <f>T("9791188630172")</f>
        <v>9791188630172</v>
      </c>
      <c r="BE129" t="str">
        <f t="shared" si="17"/>
        <v>판타지 e북 &gt; 현대 판타지</v>
      </c>
    </row>
    <row r="130" spans="1:57" x14ac:dyDescent="0.3">
      <c r="A130">
        <v>2313006989</v>
      </c>
      <c r="B130">
        <v>2313006997</v>
      </c>
      <c r="C130" t="str">
        <f>T("[e북]로드 오브 머니 9권")</f>
        <v>[e북]로드 오브 머니 9권</v>
      </c>
      <c r="D130" t="str">
        <f>T("9")</f>
        <v>9</v>
      </c>
      <c r="E130" t="str">
        <f t="shared" si="15"/>
        <v>무장</v>
      </c>
      <c r="H130" t="str">
        <f t="shared" si="16"/>
        <v>스토리위즈</v>
      </c>
      <c r="I130" t="str">
        <f>T("[e북]로드 오브 머니")</f>
        <v>[e북]로드 오브 머니</v>
      </c>
      <c r="J130">
        <v>3200</v>
      </c>
      <c r="K130">
        <v>32000</v>
      </c>
      <c r="L130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32000</v>
      </c>
      <c r="AH130">
        <v>10</v>
      </c>
      <c r="AI130">
        <v>0</v>
      </c>
      <c r="AJ130">
        <v>0</v>
      </c>
      <c r="AK130">
        <v>23163</v>
      </c>
      <c r="AL130">
        <v>0</v>
      </c>
      <c r="AM130">
        <v>10604.4</v>
      </c>
      <c r="AN130">
        <v>-2005.32</v>
      </c>
      <c r="AO130">
        <v>0</v>
      </c>
      <c r="AP130"/>
      <c r="AQ130">
        <v>0</v>
      </c>
      <c r="AR130">
        <v>0</v>
      </c>
      <c r="AS130">
        <v>10604.4</v>
      </c>
      <c r="AT130">
        <v>-2005.32</v>
      </c>
      <c r="AU130">
        <v>0</v>
      </c>
      <c r="AW130">
        <v>0</v>
      </c>
      <c r="AX130">
        <v>0</v>
      </c>
      <c r="AY130">
        <v>22233.46</v>
      </c>
      <c r="BC130" t="str">
        <f>T("9791188630189")</f>
        <v>9791188630189</v>
      </c>
      <c r="BE130" t="str">
        <f t="shared" si="17"/>
        <v>판타지 e북 &gt; 현대 판타지</v>
      </c>
    </row>
    <row r="131" spans="1:57" x14ac:dyDescent="0.3">
      <c r="A131">
        <v>2313006989</v>
      </c>
      <c r="B131">
        <v>2313007000</v>
      </c>
      <c r="C131" t="str">
        <f>T("[e북]로드 오브 머니 12권")</f>
        <v>[e북]로드 오브 머니 12권</v>
      </c>
      <c r="D131" t="str">
        <f>T("12")</f>
        <v>12</v>
      </c>
      <c r="E131" t="str">
        <f t="shared" si="15"/>
        <v>무장</v>
      </c>
      <c r="H131" t="str">
        <f t="shared" si="16"/>
        <v>스토리위즈</v>
      </c>
      <c r="I131" t="str">
        <f>T("[e북]로드 오브 머니")</f>
        <v>[e북]로드 오브 머니</v>
      </c>
      <c r="J131">
        <v>3200</v>
      </c>
      <c r="K131">
        <v>32000</v>
      </c>
      <c r="L131">
        <v>10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32000</v>
      </c>
      <c r="AH131">
        <v>10</v>
      </c>
      <c r="AI131">
        <v>0</v>
      </c>
      <c r="AJ131">
        <v>0</v>
      </c>
      <c r="AK131">
        <v>18673</v>
      </c>
      <c r="AL131">
        <v>0</v>
      </c>
      <c r="AM131">
        <v>15992.4</v>
      </c>
      <c r="AN131">
        <v>-2493.7199999999998</v>
      </c>
      <c r="AO131">
        <v>0</v>
      </c>
      <c r="AP131">
        <v>3588</v>
      </c>
      <c r="AQ131">
        <v>-1076.4000000000001</v>
      </c>
      <c r="AR131">
        <v>0</v>
      </c>
      <c r="AS131">
        <v>12404.4</v>
      </c>
      <c r="AT131">
        <v>-1417.32</v>
      </c>
      <c r="AU131">
        <v>0</v>
      </c>
      <c r="AW131">
        <v>0</v>
      </c>
      <c r="AX131">
        <v>0</v>
      </c>
      <c r="AY131">
        <v>22520.18</v>
      </c>
      <c r="BC131" t="str">
        <f>T("9791188630219")</f>
        <v>9791188630219</v>
      </c>
      <c r="BE131" t="str">
        <f t="shared" si="17"/>
        <v>판타지 e북 &gt; 현대 판타지</v>
      </c>
    </row>
    <row r="132" spans="1:57" x14ac:dyDescent="0.3">
      <c r="A132">
        <v>2313011938</v>
      </c>
      <c r="B132">
        <v>2313011940</v>
      </c>
      <c r="C132" t="str">
        <f>T("[e북]최종 보스 : 빛을 향해 달리는 그림자 1부 3권")</f>
        <v>[e북]최종 보스 : 빛을 향해 달리는 그림자 1부 3권</v>
      </c>
      <c r="D132" t="str">
        <f>T("3")</f>
        <v>3</v>
      </c>
      <c r="E132" t="str">
        <f t="shared" si="15"/>
        <v>무장</v>
      </c>
      <c r="H132" t="str">
        <f t="shared" si="16"/>
        <v>스토리위즈</v>
      </c>
      <c r="I132" t="str">
        <f t="shared" ref="I132:I138" si="18">T("[e북]최종 보스 : 빛을 향해 달리는 그림자")</f>
        <v>[e북]최종 보스 : 빛을 향해 달리는 그림자</v>
      </c>
      <c r="J132">
        <v>3200</v>
      </c>
      <c r="K132">
        <v>32000</v>
      </c>
      <c r="L132">
        <v>10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32000</v>
      </c>
      <c r="AH132">
        <v>10</v>
      </c>
      <c r="AI132">
        <v>0</v>
      </c>
      <c r="AJ132">
        <v>0</v>
      </c>
      <c r="AK132">
        <v>22400</v>
      </c>
      <c r="AL132">
        <v>0</v>
      </c>
      <c r="AM132">
        <v>11520</v>
      </c>
      <c r="AN132">
        <v>-2688</v>
      </c>
      <c r="AO132">
        <v>0</v>
      </c>
      <c r="AP132"/>
      <c r="AQ132">
        <v>0</v>
      </c>
      <c r="AR132">
        <v>0</v>
      </c>
      <c r="AS132">
        <v>11520</v>
      </c>
      <c r="AT132">
        <v>-2688</v>
      </c>
      <c r="AU132">
        <v>0</v>
      </c>
      <c r="AW132">
        <v>0</v>
      </c>
      <c r="AX132">
        <v>0</v>
      </c>
      <c r="AY132">
        <v>21862.400000000001</v>
      </c>
      <c r="BC132" t="str">
        <f>T("9791137601031")</f>
        <v>9791137601031</v>
      </c>
      <c r="BE132" t="str">
        <f t="shared" si="17"/>
        <v>판타지 e북 &gt; 현대 판타지</v>
      </c>
    </row>
    <row r="133" spans="1:57" x14ac:dyDescent="0.3">
      <c r="A133">
        <v>2313011938</v>
      </c>
      <c r="B133">
        <v>2313011941</v>
      </c>
      <c r="C133" t="str">
        <f>T("[e북]최종 보스 : 빛을 향해 달리는 그림자 1부 4권")</f>
        <v>[e북]최종 보스 : 빛을 향해 달리는 그림자 1부 4권</v>
      </c>
      <c r="D133" t="str">
        <f>T("4")</f>
        <v>4</v>
      </c>
      <c r="E133" t="str">
        <f t="shared" si="15"/>
        <v>무장</v>
      </c>
      <c r="H133" t="str">
        <f t="shared" si="16"/>
        <v>스토리위즈</v>
      </c>
      <c r="I133" t="str">
        <f t="shared" si="18"/>
        <v>[e북]최종 보스 : 빛을 향해 달리는 그림자</v>
      </c>
      <c r="J133">
        <v>3200</v>
      </c>
      <c r="K133">
        <v>32000</v>
      </c>
      <c r="L133">
        <v>10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32000</v>
      </c>
      <c r="AH133">
        <v>10</v>
      </c>
      <c r="AI133">
        <v>0</v>
      </c>
      <c r="AJ133">
        <v>0</v>
      </c>
      <c r="AK133">
        <v>22400</v>
      </c>
      <c r="AL133">
        <v>0</v>
      </c>
      <c r="AM133">
        <v>11520</v>
      </c>
      <c r="AN133">
        <v>-2688</v>
      </c>
      <c r="AO133">
        <v>0</v>
      </c>
      <c r="AP133"/>
      <c r="AQ133">
        <v>0</v>
      </c>
      <c r="AR133">
        <v>0</v>
      </c>
      <c r="AS133">
        <v>11520</v>
      </c>
      <c r="AT133">
        <v>-2688</v>
      </c>
      <c r="AU133">
        <v>0</v>
      </c>
      <c r="AW133">
        <v>0</v>
      </c>
      <c r="AX133">
        <v>0</v>
      </c>
      <c r="AY133">
        <v>21862.400000000001</v>
      </c>
      <c r="BC133" t="str">
        <f>T("9791137601048")</f>
        <v>9791137601048</v>
      </c>
      <c r="BE133" t="str">
        <f t="shared" si="17"/>
        <v>판타지 e북 &gt; 현대 판타지</v>
      </c>
    </row>
    <row r="134" spans="1:57" x14ac:dyDescent="0.3">
      <c r="A134">
        <v>2313011938</v>
      </c>
      <c r="B134">
        <v>2313011946</v>
      </c>
      <c r="C134" t="str">
        <f>T("[e북]최종 보스 : 빛을 향해 달리는 그림자 1부 9권")</f>
        <v>[e북]최종 보스 : 빛을 향해 달리는 그림자 1부 9권</v>
      </c>
      <c r="D134" t="str">
        <f>T("9")</f>
        <v>9</v>
      </c>
      <c r="E134" t="str">
        <f t="shared" si="15"/>
        <v>무장</v>
      </c>
      <c r="H134" t="str">
        <f t="shared" si="16"/>
        <v>스토리위즈</v>
      </c>
      <c r="I134" t="str">
        <f t="shared" si="18"/>
        <v>[e북]최종 보스 : 빛을 향해 달리는 그림자</v>
      </c>
      <c r="J134">
        <v>3200</v>
      </c>
      <c r="K134">
        <v>32000</v>
      </c>
      <c r="L134">
        <v>10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32000</v>
      </c>
      <c r="AH134">
        <v>10</v>
      </c>
      <c r="AI134">
        <v>0</v>
      </c>
      <c r="AJ134">
        <v>0</v>
      </c>
      <c r="AK134">
        <v>19200</v>
      </c>
      <c r="AL134">
        <v>0</v>
      </c>
      <c r="AM134">
        <v>15360</v>
      </c>
      <c r="AN134">
        <v>-3072</v>
      </c>
      <c r="AO134">
        <v>0</v>
      </c>
      <c r="AP134"/>
      <c r="AQ134">
        <v>0</v>
      </c>
      <c r="AR134">
        <v>0</v>
      </c>
      <c r="AS134">
        <v>15360</v>
      </c>
      <c r="AT134">
        <v>-3072</v>
      </c>
      <c r="AU134">
        <v>0</v>
      </c>
      <c r="AW134">
        <v>0</v>
      </c>
      <c r="AX134">
        <v>0</v>
      </c>
      <c r="AY134">
        <v>22041.599999999999</v>
      </c>
      <c r="BC134" t="str">
        <f>T("9791137601093")</f>
        <v>9791137601093</v>
      </c>
      <c r="BE134" t="str">
        <f t="shared" si="17"/>
        <v>판타지 e북 &gt; 현대 판타지</v>
      </c>
    </row>
    <row r="135" spans="1:57" x14ac:dyDescent="0.3">
      <c r="A135">
        <v>2313011938</v>
      </c>
      <c r="B135">
        <v>2313011948</v>
      </c>
      <c r="C135" t="str">
        <f>T("[e북]최종 보스 : 빛을 향해 달리는 그림자 1부 11권")</f>
        <v>[e북]최종 보스 : 빛을 향해 달리는 그림자 1부 11권</v>
      </c>
      <c r="D135" t="str">
        <f>T("11")</f>
        <v>11</v>
      </c>
      <c r="E135" t="str">
        <f t="shared" si="15"/>
        <v>무장</v>
      </c>
      <c r="H135" t="str">
        <f t="shared" si="16"/>
        <v>스토리위즈</v>
      </c>
      <c r="I135" t="str">
        <f t="shared" si="18"/>
        <v>[e북]최종 보스 : 빛을 향해 달리는 그림자</v>
      </c>
      <c r="J135">
        <v>3200</v>
      </c>
      <c r="K135">
        <v>32000</v>
      </c>
      <c r="L135">
        <v>10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-900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32000</v>
      </c>
      <c r="AH135">
        <v>10</v>
      </c>
      <c r="AI135">
        <v>-900</v>
      </c>
      <c r="AJ135">
        <v>1</v>
      </c>
      <c r="AK135">
        <v>19210</v>
      </c>
      <c r="AL135">
        <v>-900</v>
      </c>
      <c r="AM135">
        <v>15348</v>
      </c>
      <c r="AN135">
        <v>-3070.8</v>
      </c>
      <c r="AO135">
        <v>0</v>
      </c>
      <c r="AP135"/>
      <c r="AQ135">
        <v>0</v>
      </c>
      <c r="AR135">
        <v>0</v>
      </c>
      <c r="AS135">
        <v>15348</v>
      </c>
      <c r="AT135">
        <v>-3070.8</v>
      </c>
      <c r="AU135">
        <v>0</v>
      </c>
      <c r="AW135">
        <v>0</v>
      </c>
      <c r="AX135">
        <v>0</v>
      </c>
      <c r="AY135">
        <v>21411.040000000001</v>
      </c>
      <c r="BC135" t="str">
        <f>T("9791137601116")</f>
        <v>9791137601116</v>
      </c>
      <c r="BE135" t="str">
        <f t="shared" si="17"/>
        <v>판타지 e북 &gt; 현대 판타지</v>
      </c>
    </row>
    <row r="136" spans="1:57" x14ac:dyDescent="0.3">
      <c r="A136">
        <v>2313011938</v>
      </c>
      <c r="B136">
        <v>2313011949</v>
      </c>
      <c r="C136" t="str">
        <f>T("[e북]최종 보스 : 빛을 향해 달리는 그림자 1부 12권")</f>
        <v>[e북]최종 보스 : 빛을 향해 달리는 그림자 1부 12권</v>
      </c>
      <c r="D136" t="str">
        <f>T("12")</f>
        <v>12</v>
      </c>
      <c r="E136" t="str">
        <f t="shared" si="15"/>
        <v>무장</v>
      </c>
      <c r="H136" t="str">
        <f t="shared" si="16"/>
        <v>스토리위즈</v>
      </c>
      <c r="I136" t="str">
        <f t="shared" si="18"/>
        <v>[e북]최종 보스 : 빛을 향해 달리는 그림자</v>
      </c>
      <c r="J136">
        <v>3200</v>
      </c>
      <c r="K136">
        <v>32000</v>
      </c>
      <c r="L136">
        <v>10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-900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32000</v>
      </c>
      <c r="AH136">
        <v>10</v>
      </c>
      <c r="AI136">
        <v>-900</v>
      </c>
      <c r="AJ136">
        <v>1</v>
      </c>
      <c r="AK136">
        <v>16000</v>
      </c>
      <c r="AL136">
        <v>-900</v>
      </c>
      <c r="AM136">
        <v>19200</v>
      </c>
      <c r="AN136">
        <v>-3456</v>
      </c>
      <c r="AO136">
        <v>0</v>
      </c>
      <c r="AP136"/>
      <c r="AQ136">
        <v>0</v>
      </c>
      <c r="AR136">
        <v>0</v>
      </c>
      <c r="AS136">
        <v>19200</v>
      </c>
      <c r="AT136">
        <v>-3456</v>
      </c>
      <c r="AU136">
        <v>0</v>
      </c>
      <c r="AW136">
        <v>0</v>
      </c>
      <c r="AX136">
        <v>0</v>
      </c>
      <c r="AY136">
        <v>21590.799999999999</v>
      </c>
      <c r="BC136" t="str">
        <f>T("9791137601123")</f>
        <v>9791137601123</v>
      </c>
      <c r="BE136" t="str">
        <f t="shared" si="17"/>
        <v>판타지 e북 &gt; 현대 판타지</v>
      </c>
    </row>
    <row r="137" spans="1:57" x14ac:dyDescent="0.3">
      <c r="A137">
        <v>2313011938</v>
      </c>
      <c r="B137">
        <v>2313011950</v>
      </c>
      <c r="C137" t="str">
        <f>T("[e북]최종 보스 : 빛을 향해 달리는 그림자 1부 13권")</f>
        <v>[e북]최종 보스 : 빛을 향해 달리는 그림자 1부 13권</v>
      </c>
      <c r="D137" t="str">
        <f>T("13")</f>
        <v>13</v>
      </c>
      <c r="E137" t="str">
        <f t="shared" si="15"/>
        <v>무장</v>
      </c>
      <c r="H137" t="str">
        <f t="shared" si="16"/>
        <v>스토리위즈</v>
      </c>
      <c r="I137" t="str">
        <f t="shared" si="18"/>
        <v>[e북]최종 보스 : 빛을 향해 달리는 그림자</v>
      </c>
      <c r="J137">
        <v>3200</v>
      </c>
      <c r="K137">
        <v>32000</v>
      </c>
      <c r="L137">
        <v>10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-900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32000</v>
      </c>
      <c r="AH137">
        <v>10</v>
      </c>
      <c r="AI137">
        <v>-900</v>
      </c>
      <c r="AJ137">
        <v>1</v>
      </c>
      <c r="AK137">
        <v>16000</v>
      </c>
      <c r="AL137">
        <v>-900</v>
      </c>
      <c r="AM137">
        <v>19200</v>
      </c>
      <c r="AN137">
        <v>-3456</v>
      </c>
      <c r="AO137">
        <v>0</v>
      </c>
      <c r="AP137"/>
      <c r="AQ137">
        <v>0</v>
      </c>
      <c r="AR137">
        <v>0</v>
      </c>
      <c r="AS137">
        <v>19200</v>
      </c>
      <c r="AT137">
        <v>-3456</v>
      </c>
      <c r="AU137">
        <v>0</v>
      </c>
      <c r="AW137">
        <v>0</v>
      </c>
      <c r="AX137">
        <v>0</v>
      </c>
      <c r="AY137">
        <v>21590.799999999999</v>
      </c>
      <c r="BC137" t="str">
        <f>T("9791137601130")</f>
        <v>9791137601130</v>
      </c>
      <c r="BE137" t="str">
        <f t="shared" si="17"/>
        <v>판타지 e북 &gt; 현대 판타지</v>
      </c>
    </row>
    <row r="138" spans="1:57" x14ac:dyDescent="0.3">
      <c r="A138">
        <v>2313011938</v>
      </c>
      <c r="B138">
        <v>2313011951</v>
      </c>
      <c r="C138" t="str">
        <f>T("[e북]최종 보스 : 빛을 향해 달리는 그림자 1부 14권")</f>
        <v>[e북]최종 보스 : 빛을 향해 달리는 그림자 1부 14권</v>
      </c>
      <c r="D138" t="str">
        <f>T("14")</f>
        <v>14</v>
      </c>
      <c r="E138" t="str">
        <f t="shared" si="15"/>
        <v>무장</v>
      </c>
      <c r="H138" t="str">
        <f t="shared" si="16"/>
        <v>스토리위즈</v>
      </c>
      <c r="I138" t="str">
        <f t="shared" si="18"/>
        <v>[e북]최종 보스 : 빛을 향해 달리는 그림자</v>
      </c>
      <c r="J138">
        <v>3200</v>
      </c>
      <c r="K138">
        <v>32000</v>
      </c>
      <c r="L138">
        <v>10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-900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32000</v>
      </c>
      <c r="AH138">
        <v>10</v>
      </c>
      <c r="AI138">
        <v>-900</v>
      </c>
      <c r="AJ138">
        <v>1</v>
      </c>
      <c r="AK138">
        <v>21020</v>
      </c>
      <c r="AL138">
        <v>-900</v>
      </c>
      <c r="AM138">
        <v>13176</v>
      </c>
      <c r="AN138">
        <v>-2085.6</v>
      </c>
      <c r="AO138">
        <v>0</v>
      </c>
      <c r="AP138"/>
      <c r="AQ138">
        <v>0</v>
      </c>
      <c r="AR138">
        <v>0</v>
      </c>
      <c r="AS138">
        <v>13176</v>
      </c>
      <c r="AT138">
        <v>-2085.6</v>
      </c>
      <c r="AU138">
        <v>0</v>
      </c>
      <c r="AW138">
        <v>0</v>
      </c>
      <c r="AX138">
        <v>0</v>
      </c>
      <c r="AY138">
        <v>21847.279999999999</v>
      </c>
      <c r="BC138" t="str">
        <f>T("9791137601147")</f>
        <v>9791137601147</v>
      </c>
      <c r="BE138" t="str">
        <f t="shared" si="17"/>
        <v>판타지 e북 &gt; 현대 판타지</v>
      </c>
    </row>
    <row r="139" spans="1:57" x14ac:dyDescent="0.3">
      <c r="A139">
        <v>2313021118</v>
      </c>
      <c r="B139">
        <v>2313021118</v>
      </c>
      <c r="C139" t="str">
        <f>T("[e북]지금, 덮치러 갑니다 1권")</f>
        <v>[e북]지금, 덮치러 갑니다 1권</v>
      </c>
      <c r="D139" t="str">
        <f>T("1")</f>
        <v>1</v>
      </c>
      <c r="E139" t="str">
        <f>T("먼나무")</f>
        <v>먼나무</v>
      </c>
      <c r="H139" t="str">
        <f>T("블레슈(Blesshuu)")</f>
        <v>블레슈(Blesshuu)</v>
      </c>
      <c r="I139" t="str">
        <f>T("[e북]지금, 덮치러 갑니다")</f>
        <v>[e북]지금, 덮치러 갑니다</v>
      </c>
      <c r="J139">
        <v>3500</v>
      </c>
      <c r="K139">
        <v>31500</v>
      </c>
      <c r="L139">
        <v>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31500</v>
      </c>
      <c r="AH139">
        <v>9</v>
      </c>
      <c r="AI139">
        <v>0</v>
      </c>
      <c r="AJ139">
        <v>0</v>
      </c>
      <c r="AK139">
        <v>28000</v>
      </c>
      <c r="AL139">
        <v>0</v>
      </c>
      <c r="AM139">
        <v>4207</v>
      </c>
      <c r="AN139">
        <v>-1262.0999999999999</v>
      </c>
      <c r="AO139">
        <v>0</v>
      </c>
      <c r="AP139">
        <v>4207</v>
      </c>
      <c r="AQ139">
        <v>-1262.0999999999999</v>
      </c>
      <c r="AR139">
        <v>0</v>
      </c>
      <c r="AT139">
        <v>0</v>
      </c>
      <c r="AU139">
        <v>0</v>
      </c>
      <c r="AW139">
        <v>0</v>
      </c>
      <c r="AX139">
        <v>0</v>
      </c>
      <c r="AY139">
        <v>21661.43</v>
      </c>
      <c r="BC139" t="str">
        <f>T("9791137607194")</f>
        <v>9791137607194</v>
      </c>
      <c r="BE139" t="str">
        <f>T("로맨스 e북 &gt; 현대물")</f>
        <v>로맨스 e북 &gt; 현대물</v>
      </c>
    </row>
    <row r="140" spans="1:57" x14ac:dyDescent="0.3">
      <c r="A140">
        <v>2313012817</v>
      </c>
      <c r="B140">
        <v>2313012824</v>
      </c>
      <c r="C140" t="str">
        <f>T("[e북]갓 오브 블랙필드 8권")</f>
        <v>[e북]갓 오브 블랙필드 8권</v>
      </c>
      <c r="D140" t="str">
        <f>T("8")</f>
        <v>8</v>
      </c>
      <c r="E140" t="str">
        <f>T("무장")</f>
        <v>무장</v>
      </c>
      <c r="H140" t="str">
        <f>T("스토리위즈")</f>
        <v>스토리위즈</v>
      </c>
      <c r="I140" t="str">
        <f>T("[e북]갓 오브 블랙필드")</f>
        <v>[e북]갓 오브 블랙필드</v>
      </c>
      <c r="J140">
        <v>3200</v>
      </c>
      <c r="K140">
        <v>31040</v>
      </c>
      <c r="L140">
        <v>10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31040</v>
      </c>
      <c r="AH140">
        <v>10</v>
      </c>
      <c r="AI140">
        <v>0</v>
      </c>
      <c r="AJ140">
        <v>0</v>
      </c>
      <c r="AK140">
        <v>25670</v>
      </c>
      <c r="AL140">
        <v>0</v>
      </c>
      <c r="AM140">
        <v>6444</v>
      </c>
      <c r="AN140">
        <v>-1933.2</v>
      </c>
      <c r="AO140">
        <v>0</v>
      </c>
      <c r="AP140">
        <v>2604</v>
      </c>
      <c r="AQ140">
        <v>-781.2</v>
      </c>
      <c r="AR140">
        <v>0</v>
      </c>
      <c r="AS140">
        <v>3840</v>
      </c>
      <c r="AT140">
        <v>-1152</v>
      </c>
      <c r="AU140">
        <v>0</v>
      </c>
      <c r="AW140">
        <v>0</v>
      </c>
      <c r="AX140">
        <v>0</v>
      </c>
      <c r="AY140">
        <v>21126.560000000001</v>
      </c>
      <c r="BA140" t="str">
        <f>T("0000000000000")</f>
        <v>0000000000000</v>
      </c>
      <c r="BC140" t="str">
        <f>T("9791137602229")</f>
        <v>9791137602229</v>
      </c>
      <c r="BE140" t="str">
        <f>T("판타지 e북 &gt; 현대 판타지")</f>
        <v>판타지 e북 &gt; 현대 판타지</v>
      </c>
    </row>
    <row r="141" spans="1:57" x14ac:dyDescent="0.3">
      <c r="A141">
        <v>2313012817</v>
      </c>
      <c r="B141">
        <v>2313012825</v>
      </c>
      <c r="C141" t="str">
        <f>T("[e북]갓 오브 블랙필드 9권")</f>
        <v>[e북]갓 오브 블랙필드 9권</v>
      </c>
      <c r="D141" t="str">
        <f>T("9")</f>
        <v>9</v>
      </c>
      <c r="E141" t="str">
        <f>T("무장")</f>
        <v>무장</v>
      </c>
      <c r="H141" t="str">
        <f>T("스토리위즈")</f>
        <v>스토리위즈</v>
      </c>
      <c r="I141" t="str">
        <f>T("[e북]갓 오브 블랙필드")</f>
        <v>[e북]갓 오브 블랙필드</v>
      </c>
      <c r="J141">
        <v>3200</v>
      </c>
      <c r="K141">
        <v>31040</v>
      </c>
      <c r="L141">
        <v>10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31040</v>
      </c>
      <c r="AH141">
        <v>10</v>
      </c>
      <c r="AI141">
        <v>0</v>
      </c>
      <c r="AJ141">
        <v>0</v>
      </c>
      <c r="AK141">
        <v>27470</v>
      </c>
      <c r="AL141">
        <v>0</v>
      </c>
      <c r="AM141">
        <v>4284</v>
      </c>
      <c r="AN141">
        <v>-1285.2</v>
      </c>
      <c r="AO141">
        <v>0</v>
      </c>
      <c r="AP141">
        <v>444</v>
      </c>
      <c r="AQ141">
        <v>-133.19999999999999</v>
      </c>
      <c r="AR141">
        <v>0</v>
      </c>
      <c r="AS141">
        <v>3840</v>
      </c>
      <c r="AT141">
        <v>-1152</v>
      </c>
      <c r="AU141">
        <v>0</v>
      </c>
      <c r="AW141">
        <v>0</v>
      </c>
      <c r="AX141">
        <v>0</v>
      </c>
      <c r="AY141">
        <v>21328.16</v>
      </c>
      <c r="BA141" t="str">
        <f>T("0000000000000")</f>
        <v>0000000000000</v>
      </c>
      <c r="BC141" t="str">
        <f>T("9791137602236")</f>
        <v>9791137602236</v>
      </c>
      <c r="BE141" t="str">
        <f>T("판타지 e북 &gt; 현대 판타지")</f>
        <v>판타지 e북 &gt; 현대 판타지</v>
      </c>
    </row>
    <row r="142" spans="1:57" x14ac:dyDescent="0.3">
      <c r="A142">
        <v>2313012817</v>
      </c>
      <c r="B142">
        <v>2313012844</v>
      </c>
      <c r="C142" t="str">
        <f>T("[e북]갓 오브 블랙필드 2부 1권")</f>
        <v>[e북]갓 오브 블랙필드 2부 1권</v>
      </c>
      <c r="D142" t="str">
        <f>T("28")</f>
        <v>28</v>
      </c>
      <c r="E142" t="str">
        <f>T("무장")</f>
        <v>무장</v>
      </c>
      <c r="H142" t="str">
        <f>T("스토리위즈")</f>
        <v>스토리위즈</v>
      </c>
      <c r="I142" t="str">
        <f>T("[e북]갓 오브 블랙필드")</f>
        <v>[e북]갓 오브 블랙필드</v>
      </c>
      <c r="J142">
        <v>3200</v>
      </c>
      <c r="K142">
        <v>31040</v>
      </c>
      <c r="L142">
        <v>10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31040</v>
      </c>
      <c r="AH142">
        <v>10</v>
      </c>
      <c r="AI142">
        <v>0</v>
      </c>
      <c r="AJ142">
        <v>0</v>
      </c>
      <c r="AK142">
        <v>24640</v>
      </c>
      <c r="AL142">
        <v>0</v>
      </c>
      <c r="AM142">
        <v>7680</v>
      </c>
      <c r="AN142">
        <v>-2304</v>
      </c>
      <c r="AO142">
        <v>0</v>
      </c>
      <c r="AP142"/>
      <c r="AQ142">
        <v>0</v>
      </c>
      <c r="AR142">
        <v>0</v>
      </c>
      <c r="AS142">
        <v>7680</v>
      </c>
      <c r="AT142">
        <v>-2304</v>
      </c>
      <c r="AU142">
        <v>0</v>
      </c>
      <c r="AW142">
        <v>0</v>
      </c>
      <c r="AX142">
        <v>0</v>
      </c>
      <c r="AY142">
        <v>21011.200000000001</v>
      </c>
      <c r="BA142" t="str">
        <f>T("0000000000000")</f>
        <v>0000000000000</v>
      </c>
      <c r="BC142" t="str">
        <f>T("9791137602434")</f>
        <v>9791137602434</v>
      </c>
      <c r="BE142" t="str">
        <f>T("판타지 e북 &gt; 현대 판타지")</f>
        <v>판타지 e북 &gt; 현대 판타지</v>
      </c>
    </row>
    <row r="143" spans="1:57" x14ac:dyDescent="0.3">
      <c r="B143">
        <v>2313017647</v>
      </c>
      <c r="C143" t="str">
        <f>T("[e북]영원한 1위")</f>
        <v>[e북]영원한 1위</v>
      </c>
      <c r="E143" t="str">
        <f>T("羽宸寰(Uchenhu), 林珮瑜(Lin Peiyu)")</f>
        <v>羽宸寰(Uchenhu), 林珮瑜(Lin Peiyu)</v>
      </c>
      <c r="H143" t="str">
        <f>T("도서출판 태랑")</f>
        <v>도서출판 태랑</v>
      </c>
      <c r="J143">
        <v>3000</v>
      </c>
      <c r="K143">
        <v>30000</v>
      </c>
      <c r="L143">
        <v>10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30000</v>
      </c>
      <c r="AH143">
        <v>10</v>
      </c>
      <c r="AI143">
        <v>0</v>
      </c>
      <c r="AJ143">
        <v>0</v>
      </c>
      <c r="AK143">
        <v>24500</v>
      </c>
      <c r="AL143">
        <v>0</v>
      </c>
      <c r="AM143">
        <v>6600</v>
      </c>
      <c r="AN143">
        <v>-1380</v>
      </c>
      <c r="AO143">
        <v>0</v>
      </c>
      <c r="AP143"/>
      <c r="AQ143">
        <v>0</v>
      </c>
      <c r="AR143">
        <v>0</v>
      </c>
      <c r="AS143">
        <v>6600</v>
      </c>
      <c r="AT143">
        <v>-1380</v>
      </c>
      <c r="AU143">
        <v>0</v>
      </c>
      <c r="AW143">
        <v>0</v>
      </c>
      <c r="AX143">
        <v>0</v>
      </c>
      <c r="AY143">
        <v>20804</v>
      </c>
      <c r="BC143" t="str">
        <f>T("9791164375127")</f>
        <v>9791164375127</v>
      </c>
      <c r="BE143" t="str">
        <f>T("BL 소설 e북 &gt; 해외 소설")</f>
        <v>BL 소설 e북 &gt; 해외 소설</v>
      </c>
    </row>
    <row r="144" spans="1:57" x14ac:dyDescent="0.3">
      <c r="A144">
        <v>2313020794</v>
      </c>
      <c r="B144">
        <v>2313020800</v>
      </c>
      <c r="C144" t="str">
        <f>T("혐오 만세 7화")</f>
        <v>혐오 만세 7화</v>
      </c>
      <c r="D144" t="str">
        <f>T("7")</f>
        <v>7</v>
      </c>
      <c r="E144" t="str">
        <f>T("아르곤18")</f>
        <v>아르곤18</v>
      </c>
      <c r="H144" t="str">
        <f>T("앰퍼샌드B")</f>
        <v>앰퍼샌드B</v>
      </c>
      <c r="I144" t="str">
        <f>T("혐오 만세")</f>
        <v>혐오 만세</v>
      </c>
      <c r="J144">
        <v>100</v>
      </c>
      <c r="K144">
        <v>29200</v>
      </c>
      <c r="L144">
        <v>292</v>
      </c>
      <c r="M144">
        <v>0</v>
      </c>
      <c r="N144">
        <v>1900</v>
      </c>
      <c r="O144">
        <v>19</v>
      </c>
      <c r="P144">
        <v>1211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-100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31100</v>
      </c>
      <c r="AH144">
        <v>1522</v>
      </c>
      <c r="AI144">
        <v>-100</v>
      </c>
      <c r="AJ144">
        <v>2</v>
      </c>
      <c r="AK144">
        <v>26738</v>
      </c>
      <c r="AL144">
        <v>-100</v>
      </c>
      <c r="AM144">
        <v>5234.8100000000004</v>
      </c>
      <c r="AN144">
        <v>-1244.76</v>
      </c>
      <c r="AO144">
        <v>0</v>
      </c>
      <c r="AP144">
        <v>1320.41</v>
      </c>
      <c r="AQ144">
        <v>-396.12</v>
      </c>
      <c r="AR144">
        <v>0</v>
      </c>
      <c r="AS144">
        <v>3914.4</v>
      </c>
      <c r="AT144">
        <v>-848.64</v>
      </c>
      <c r="AU144">
        <v>0</v>
      </c>
      <c r="AW144">
        <v>0</v>
      </c>
      <c r="AX144">
        <v>0</v>
      </c>
      <c r="AY144">
        <v>18911.23</v>
      </c>
      <c r="BC144" t="str">
        <f>T("9791137608047")</f>
        <v>9791137608047</v>
      </c>
      <c r="BE144" t="str">
        <f>T("BL 웹소설 &gt; 현대물")</f>
        <v>BL 웹소설 &gt; 현대물</v>
      </c>
    </row>
    <row r="145" spans="1:57" x14ac:dyDescent="0.3">
      <c r="A145">
        <v>2313006989</v>
      </c>
      <c r="B145">
        <v>2313006991</v>
      </c>
      <c r="C145" t="str">
        <f>T("[e북]로드 오브 머니 3권")</f>
        <v>[e북]로드 오브 머니 3권</v>
      </c>
      <c r="D145" t="str">
        <f>T("3")</f>
        <v>3</v>
      </c>
      <c r="E145" t="str">
        <f t="shared" ref="E145:E155" si="19">T("무장")</f>
        <v>무장</v>
      </c>
      <c r="H145" t="str">
        <f t="shared" ref="H145:H155" si="20">T("스토리위즈")</f>
        <v>스토리위즈</v>
      </c>
      <c r="I145" t="str">
        <f t="shared" ref="I145:I150" si="21">T("[e북]로드 오브 머니")</f>
        <v>[e북]로드 오브 머니</v>
      </c>
      <c r="J145">
        <v>3200</v>
      </c>
      <c r="K145">
        <v>28800</v>
      </c>
      <c r="L145">
        <v>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28800</v>
      </c>
      <c r="AH145">
        <v>9</v>
      </c>
      <c r="AI145">
        <v>0</v>
      </c>
      <c r="AJ145">
        <v>0</v>
      </c>
      <c r="AK145">
        <v>21662</v>
      </c>
      <c r="AL145">
        <v>0</v>
      </c>
      <c r="AM145">
        <v>8565.6</v>
      </c>
      <c r="AN145">
        <v>-1033.68</v>
      </c>
      <c r="AO145">
        <v>0</v>
      </c>
      <c r="AP145"/>
      <c r="AQ145">
        <v>0</v>
      </c>
      <c r="AR145">
        <v>0</v>
      </c>
      <c r="AS145">
        <v>8565.6</v>
      </c>
      <c r="AT145">
        <v>-1033.68</v>
      </c>
      <c r="AU145">
        <v>0</v>
      </c>
      <c r="AW145">
        <v>0</v>
      </c>
      <c r="AX145">
        <v>0</v>
      </c>
      <c r="AY145">
        <v>20435.740000000002</v>
      </c>
      <c r="BC145" t="str">
        <f>T("9791188630127")</f>
        <v>9791188630127</v>
      </c>
      <c r="BE145" t="str">
        <f t="shared" ref="BE145:BE155" si="22">T("판타지 e북 &gt; 현대 판타지")</f>
        <v>판타지 e북 &gt; 현대 판타지</v>
      </c>
    </row>
    <row r="146" spans="1:57" x14ac:dyDescent="0.3">
      <c r="A146">
        <v>2313006989</v>
      </c>
      <c r="B146">
        <v>2313006992</v>
      </c>
      <c r="C146" t="str">
        <f>T("[e북]로드 오브 머니 4권")</f>
        <v>[e북]로드 오브 머니 4권</v>
      </c>
      <c r="D146" t="str">
        <f>T("4")</f>
        <v>4</v>
      </c>
      <c r="E146" t="str">
        <f t="shared" si="19"/>
        <v>무장</v>
      </c>
      <c r="H146" t="str">
        <f t="shared" si="20"/>
        <v>스토리위즈</v>
      </c>
      <c r="I146" t="str">
        <f t="shared" si="21"/>
        <v>[e북]로드 오브 머니</v>
      </c>
      <c r="J146">
        <v>3200</v>
      </c>
      <c r="K146">
        <v>28800</v>
      </c>
      <c r="L146">
        <v>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28800</v>
      </c>
      <c r="AH146">
        <v>9</v>
      </c>
      <c r="AI146">
        <v>0</v>
      </c>
      <c r="AJ146">
        <v>0</v>
      </c>
      <c r="AK146">
        <v>21763</v>
      </c>
      <c r="AL146">
        <v>0</v>
      </c>
      <c r="AM146">
        <v>8444.4</v>
      </c>
      <c r="AN146">
        <v>-1021.32</v>
      </c>
      <c r="AO146">
        <v>0</v>
      </c>
      <c r="AP146"/>
      <c r="AQ146">
        <v>0</v>
      </c>
      <c r="AR146">
        <v>0</v>
      </c>
      <c r="AS146">
        <v>8444.4</v>
      </c>
      <c r="AT146">
        <v>-1021.32</v>
      </c>
      <c r="AU146">
        <v>0</v>
      </c>
      <c r="AW146">
        <v>0</v>
      </c>
      <c r="AX146">
        <v>0</v>
      </c>
      <c r="AY146">
        <v>20430.259999999998</v>
      </c>
      <c r="BC146" t="str">
        <f>T("9791188630134")</f>
        <v>9791188630134</v>
      </c>
      <c r="BE146" t="str">
        <f t="shared" si="22"/>
        <v>판타지 e북 &gt; 현대 판타지</v>
      </c>
    </row>
    <row r="147" spans="1:57" x14ac:dyDescent="0.3">
      <c r="A147">
        <v>2313006989</v>
      </c>
      <c r="B147">
        <v>2313006998</v>
      </c>
      <c r="C147" t="str">
        <f>T("[e북]로드 오브 머니 10권")</f>
        <v>[e북]로드 오브 머니 10권</v>
      </c>
      <c r="D147" t="str">
        <f>T("10")</f>
        <v>10</v>
      </c>
      <c r="E147" t="str">
        <f t="shared" si="19"/>
        <v>무장</v>
      </c>
      <c r="H147" t="str">
        <f t="shared" si="20"/>
        <v>스토리위즈</v>
      </c>
      <c r="I147" t="str">
        <f t="shared" si="21"/>
        <v>[e북]로드 오브 머니</v>
      </c>
      <c r="J147">
        <v>3200</v>
      </c>
      <c r="K147">
        <v>28800</v>
      </c>
      <c r="L147">
        <v>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28800</v>
      </c>
      <c r="AH147">
        <v>9</v>
      </c>
      <c r="AI147">
        <v>0</v>
      </c>
      <c r="AJ147">
        <v>0</v>
      </c>
      <c r="AK147">
        <v>19863</v>
      </c>
      <c r="AL147">
        <v>0</v>
      </c>
      <c r="AM147">
        <v>10724.4</v>
      </c>
      <c r="AN147">
        <v>-1249.32</v>
      </c>
      <c r="AO147">
        <v>0</v>
      </c>
      <c r="AP147"/>
      <c r="AQ147">
        <v>0</v>
      </c>
      <c r="AR147">
        <v>0</v>
      </c>
      <c r="AS147">
        <v>10724.4</v>
      </c>
      <c r="AT147">
        <v>-1249.32</v>
      </c>
      <c r="AU147">
        <v>0</v>
      </c>
      <c r="AW147">
        <v>0</v>
      </c>
      <c r="AX147">
        <v>0</v>
      </c>
      <c r="AY147">
        <v>20536.66</v>
      </c>
      <c r="BC147" t="str">
        <f>T("9791188630196")</f>
        <v>9791188630196</v>
      </c>
      <c r="BE147" t="str">
        <f t="shared" si="22"/>
        <v>판타지 e북 &gt; 현대 판타지</v>
      </c>
    </row>
    <row r="148" spans="1:57" x14ac:dyDescent="0.3">
      <c r="A148">
        <v>2313006989</v>
      </c>
      <c r="B148">
        <v>2313006999</v>
      </c>
      <c r="C148" t="str">
        <f>T("[e북]로드 오브 머니 11권")</f>
        <v>[e북]로드 오브 머니 11권</v>
      </c>
      <c r="D148" t="str">
        <f>T("11")</f>
        <v>11</v>
      </c>
      <c r="E148" t="str">
        <f t="shared" si="19"/>
        <v>무장</v>
      </c>
      <c r="H148" t="str">
        <f t="shared" si="20"/>
        <v>스토리위즈</v>
      </c>
      <c r="I148" t="str">
        <f t="shared" si="21"/>
        <v>[e북]로드 오브 머니</v>
      </c>
      <c r="J148">
        <v>3200</v>
      </c>
      <c r="K148">
        <v>28800</v>
      </c>
      <c r="L148">
        <v>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28800</v>
      </c>
      <c r="AH148">
        <v>9</v>
      </c>
      <c r="AI148">
        <v>0</v>
      </c>
      <c r="AJ148">
        <v>0</v>
      </c>
      <c r="AK148">
        <v>18463</v>
      </c>
      <c r="AL148">
        <v>0</v>
      </c>
      <c r="AM148">
        <v>12404.4</v>
      </c>
      <c r="AN148">
        <v>-1417.32</v>
      </c>
      <c r="AO148">
        <v>0</v>
      </c>
      <c r="AP148"/>
      <c r="AQ148">
        <v>0</v>
      </c>
      <c r="AR148">
        <v>0</v>
      </c>
      <c r="AS148">
        <v>12404.4</v>
      </c>
      <c r="AT148">
        <v>-1417.32</v>
      </c>
      <c r="AU148">
        <v>0</v>
      </c>
      <c r="AW148">
        <v>0</v>
      </c>
      <c r="AX148">
        <v>0</v>
      </c>
      <c r="AY148">
        <v>20615.060000000001</v>
      </c>
      <c r="BC148" t="str">
        <f>T("9791188630202")</f>
        <v>9791188630202</v>
      </c>
      <c r="BE148" t="str">
        <f t="shared" si="22"/>
        <v>판타지 e북 &gt; 현대 판타지</v>
      </c>
    </row>
    <row r="149" spans="1:57" x14ac:dyDescent="0.3">
      <c r="A149">
        <v>2313006989</v>
      </c>
      <c r="B149">
        <v>2313007001</v>
      </c>
      <c r="C149" t="str">
        <f>T("[e북]로드 오브 머니 13권")</f>
        <v>[e북]로드 오브 머니 13권</v>
      </c>
      <c r="D149" t="str">
        <f>T("13")</f>
        <v>13</v>
      </c>
      <c r="E149" t="str">
        <f t="shared" si="19"/>
        <v>무장</v>
      </c>
      <c r="H149" t="str">
        <f t="shared" si="20"/>
        <v>스토리위즈</v>
      </c>
      <c r="I149" t="str">
        <f t="shared" si="21"/>
        <v>[e북]로드 오브 머니</v>
      </c>
      <c r="J149">
        <v>3200</v>
      </c>
      <c r="K149">
        <v>28800</v>
      </c>
      <c r="L149">
        <v>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28800</v>
      </c>
      <c r="AH149">
        <v>9</v>
      </c>
      <c r="AI149">
        <v>0</v>
      </c>
      <c r="AJ149">
        <v>0</v>
      </c>
      <c r="AK149">
        <v>18463</v>
      </c>
      <c r="AL149">
        <v>0</v>
      </c>
      <c r="AM149">
        <v>12404.4</v>
      </c>
      <c r="AN149">
        <v>-2185.3200000000002</v>
      </c>
      <c r="AO149">
        <v>0</v>
      </c>
      <c r="AP149">
        <v>3840</v>
      </c>
      <c r="AQ149">
        <v>-1152</v>
      </c>
      <c r="AR149">
        <v>0</v>
      </c>
      <c r="AS149">
        <v>8564.4</v>
      </c>
      <c r="AT149">
        <v>-1033.32</v>
      </c>
      <c r="AU149">
        <v>0</v>
      </c>
      <c r="AW149">
        <v>0</v>
      </c>
      <c r="AX149">
        <v>0</v>
      </c>
      <c r="AY149">
        <v>20077.46</v>
      </c>
      <c r="BC149" t="str">
        <f>T("9791188630226")</f>
        <v>9791188630226</v>
      </c>
      <c r="BE149" t="str">
        <f t="shared" si="22"/>
        <v>판타지 e북 &gt; 현대 판타지</v>
      </c>
    </row>
    <row r="150" spans="1:57" x14ac:dyDescent="0.3">
      <c r="A150">
        <v>2313006989</v>
      </c>
      <c r="B150">
        <v>2313007002</v>
      </c>
      <c r="C150" t="str">
        <f>T("[e북]로드 오브 머니 14권")</f>
        <v>[e북]로드 오브 머니 14권</v>
      </c>
      <c r="D150" t="str">
        <f>T("14")</f>
        <v>14</v>
      </c>
      <c r="E150" t="str">
        <f t="shared" si="19"/>
        <v>무장</v>
      </c>
      <c r="H150" t="str">
        <f t="shared" si="20"/>
        <v>스토리위즈</v>
      </c>
      <c r="I150" t="str">
        <f t="shared" si="21"/>
        <v>[e북]로드 오브 머니</v>
      </c>
      <c r="J150">
        <v>3200</v>
      </c>
      <c r="K150">
        <v>28800</v>
      </c>
      <c r="L150">
        <v>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28800</v>
      </c>
      <c r="AH150">
        <v>9</v>
      </c>
      <c r="AI150">
        <v>0</v>
      </c>
      <c r="AJ150">
        <v>0</v>
      </c>
      <c r="AK150">
        <v>18463</v>
      </c>
      <c r="AL150">
        <v>0</v>
      </c>
      <c r="AM150">
        <v>12404.4</v>
      </c>
      <c r="AN150">
        <v>-2185.3200000000002</v>
      </c>
      <c r="AO150">
        <v>0</v>
      </c>
      <c r="AP150">
        <v>3840</v>
      </c>
      <c r="AQ150">
        <v>-1152</v>
      </c>
      <c r="AR150">
        <v>0</v>
      </c>
      <c r="AS150">
        <v>8564.4</v>
      </c>
      <c r="AT150">
        <v>-1033.32</v>
      </c>
      <c r="AU150">
        <v>0</v>
      </c>
      <c r="AW150">
        <v>0</v>
      </c>
      <c r="AX150">
        <v>0</v>
      </c>
      <c r="AY150">
        <v>20077.46</v>
      </c>
      <c r="BC150" t="str">
        <f>T("9791188630233")</f>
        <v>9791188630233</v>
      </c>
      <c r="BE150" t="str">
        <f t="shared" si="22"/>
        <v>판타지 e북 &gt; 현대 판타지</v>
      </c>
    </row>
    <row r="151" spans="1:57" x14ac:dyDescent="0.3">
      <c r="A151">
        <v>2313011938</v>
      </c>
      <c r="B151">
        <v>2313011952</v>
      </c>
      <c r="C151" t="str">
        <f>T("[e북]최종 보스 : 빛을 향해 달리는 그림자 1부 15권")</f>
        <v>[e북]최종 보스 : 빛을 향해 달리는 그림자 1부 15권</v>
      </c>
      <c r="D151" t="str">
        <f>T("15")</f>
        <v>15</v>
      </c>
      <c r="E151" t="str">
        <f t="shared" si="19"/>
        <v>무장</v>
      </c>
      <c r="H151" t="str">
        <f t="shared" si="20"/>
        <v>스토리위즈</v>
      </c>
      <c r="I151" t="str">
        <f>T("[e북]최종 보스 : 빛을 향해 달리는 그림자")</f>
        <v>[e북]최종 보스 : 빛을 향해 달리는 그림자</v>
      </c>
      <c r="J151">
        <v>3200</v>
      </c>
      <c r="K151">
        <v>28800</v>
      </c>
      <c r="L151">
        <v>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-900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28800</v>
      </c>
      <c r="AH151">
        <v>9</v>
      </c>
      <c r="AI151">
        <v>-900</v>
      </c>
      <c r="AJ151">
        <v>1</v>
      </c>
      <c r="AK151">
        <v>19200</v>
      </c>
      <c r="AL151">
        <v>-900</v>
      </c>
      <c r="AM151">
        <v>11520</v>
      </c>
      <c r="AN151">
        <v>-1920</v>
      </c>
      <c r="AO151">
        <v>0</v>
      </c>
      <c r="AP151"/>
      <c r="AQ151">
        <v>0</v>
      </c>
      <c r="AR151">
        <v>0</v>
      </c>
      <c r="AS151">
        <v>11520</v>
      </c>
      <c r="AT151">
        <v>-1920</v>
      </c>
      <c r="AU151">
        <v>0</v>
      </c>
      <c r="AW151">
        <v>0</v>
      </c>
      <c r="AX151">
        <v>0</v>
      </c>
      <c r="AY151">
        <v>19530</v>
      </c>
      <c r="BC151" t="str">
        <f>T("9791137601154")</f>
        <v>9791137601154</v>
      </c>
      <c r="BE151" t="str">
        <f t="shared" si="22"/>
        <v>판타지 e북 &gt; 현대 판타지</v>
      </c>
    </row>
    <row r="152" spans="1:57" x14ac:dyDescent="0.3">
      <c r="A152">
        <v>2313011938</v>
      </c>
      <c r="B152">
        <v>2313011953</v>
      </c>
      <c r="C152" t="str">
        <f>T("[e북]최종 보스 : 빛을 향해 달리는 그림자 1부 16권")</f>
        <v>[e북]최종 보스 : 빛을 향해 달리는 그림자 1부 16권</v>
      </c>
      <c r="D152" t="str">
        <f>T("16")</f>
        <v>16</v>
      </c>
      <c r="E152" t="str">
        <f t="shared" si="19"/>
        <v>무장</v>
      </c>
      <c r="H152" t="str">
        <f t="shared" si="20"/>
        <v>스토리위즈</v>
      </c>
      <c r="I152" t="str">
        <f>T("[e북]최종 보스 : 빛을 향해 달리는 그림자")</f>
        <v>[e북]최종 보스 : 빛을 향해 달리는 그림자</v>
      </c>
      <c r="J152">
        <v>3200</v>
      </c>
      <c r="K152">
        <v>28800</v>
      </c>
      <c r="L152">
        <v>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-900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28800</v>
      </c>
      <c r="AH152">
        <v>9</v>
      </c>
      <c r="AI152">
        <v>-900</v>
      </c>
      <c r="AJ152">
        <v>1</v>
      </c>
      <c r="AK152">
        <v>24300</v>
      </c>
      <c r="AL152">
        <v>-900</v>
      </c>
      <c r="AM152">
        <v>5400</v>
      </c>
      <c r="AN152">
        <v>-540</v>
      </c>
      <c r="AO152">
        <v>0</v>
      </c>
      <c r="AP152"/>
      <c r="AQ152">
        <v>0</v>
      </c>
      <c r="AR152">
        <v>0</v>
      </c>
      <c r="AS152">
        <v>5400</v>
      </c>
      <c r="AT152">
        <v>-540</v>
      </c>
      <c r="AU152">
        <v>0</v>
      </c>
      <c r="AW152">
        <v>0</v>
      </c>
      <c r="AX152">
        <v>0</v>
      </c>
      <c r="AY152">
        <v>19782</v>
      </c>
      <c r="BC152" t="str">
        <f>T("9791137601161")</f>
        <v>9791137601161</v>
      </c>
      <c r="BE152" t="str">
        <f t="shared" si="22"/>
        <v>판타지 e북 &gt; 현대 판타지</v>
      </c>
    </row>
    <row r="153" spans="1:57" x14ac:dyDescent="0.3">
      <c r="A153">
        <v>2313011938</v>
      </c>
      <c r="B153">
        <v>2313011954</v>
      </c>
      <c r="C153" t="str">
        <f>T("[e북]최종 보스 : 빛을 향해 달리는 그림자 1부 17권 (완결)")</f>
        <v>[e북]최종 보스 : 빛을 향해 달리는 그림자 1부 17권 (완결)</v>
      </c>
      <c r="D153" t="str">
        <f>T("17")</f>
        <v>17</v>
      </c>
      <c r="E153" t="str">
        <f t="shared" si="19"/>
        <v>무장</v>
      </c>
      <c r="H153" t="str">
        <f t="shared" si="20"/>
        <v>스토리위즈</v>
      </c>
      <c r="I153" t="str">
        <f>T("[e북]최종 보스 : 빛을 향해 달리는 그림자")</f>
        <v>[e북]최종 보스 : 빛을 향해 달리는 그림자</v>
      </c>
      <c r="J153">
        <v>3200</v>
      </c>
      <c r="K153">
        <v>28800</v>
      </c>
      <c r="L153">
        <v>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28800</v>
      </c>
      <c r="AH153">
        <v>9</v>
      </c>
      <c r="AI153">
        <v>0</v>
      </c>
      <c r="AJ153">
        <v>0</v>
      </c>
      <c r="AK153">
        <v>19200</v>
      </c>
      <c r="AL153">
        <v>0</v>
      </c>
      <c r="AM153">
        <v>11520</v>
      </c>
      <c r="AN153">
        <v>-1152</v>
      </c>
      <c r="AO153">
        <v>0</v>
      </c>
      <c r="AP153"/>
      <c r="AQ153">
        <v>0</v>
      </c>
      <c r="AR153">
        <v>0</v>
      </c>
      <c r="AS153">
        <v>11520</v>
      </c>
      <c r="AT153">
        <v>-1152</v>
      </c>
      <c r="AU153">
        <v>0</v>
      </c>
      <c r="AW153">
        <v>0</v>
      </c>
      <c r="AX153">
        <v>0</v>
      </c>
      <c r="AY153">
        <v>20697.599999999999</v>
      </c>
      <c r="BC153" t="str">
        <f>T("9791137601178")</f>
        <v>9791137601178</v>
      </c>
      <c r="BE153" t="str">
        <f t="shared" si="22"/>
        <v>판타지 e북 &gt; 현대 판타지</v>
      </c>
    </row>
    <row r="154" spans="1:57" x14ac:dyDescent="0.3">
      <c r="A154">
        <v>2313011938</v>
      </c>
      <c r="B154">
        <v>2313015164</v>
      </c>
      <c r="C154" t="str">
        <f>T("[e북]최종 보스 : 빛을 향해 달리는 그림자 2부 19권")</f>
        <v>[e북]최종 보스 : 빛을 향해 달리는 그림자 2부 19권</v>
      </c>
      <c r="D154" t="str">
        <f>T("19")</f>
        <v>19</v>
      </c>
      <c r="E154" t="str">
        <f t="shared" si="19"/>
        <v>무장</v>
      </c>
      <c r="H154" t="str">
        <f t="shared" si="20"/>
        <v>스토리위즈</v>
      </c>
      <c r="I154" t="str">
        <f>T("[e북]최종 보스 : 빛을 향해 달리는 그림자")</f>
        <v>[e북]최종 보스 : 빛을 향해 달리는 그림자</v>
      </c>
      <c r="J154">
        <v>3200</v>
      </c>
      <c r="K154">
        <v>28800</v>
      </c>
      <c r="L154">
        <v>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28800</v>
      </c>
      <c r="AH154">
        <v>9</v>
      </c>
      <c r="AI154">
        <v>0</v>
      </c>
      <c r="AJ154">
        <v>0</v>
      </c>
      <c r="AK154">
        <v>19200</v>
      </c>
      <c r="AL154">
        <v>0</v>
      </c>
      <c r="AM154">
        <v>11520</v>
      </c>
      <c r="AN154">
        <v>-1152</v>
      </c>
      <c r="AO154">
        <v>0</v>
      </c>
      <c r="AP154"/>
      <c r="AQ154">
        <v>0</v>
      </c>
      <c r="AR154">
        <v>0</v>
      </c>
      <c r="AS154">
        <v>11520</v>
      </c>
      <c r="AT154">
        <v>-1152</v>
      </c>
      <c r="AU154">
        <v>0</v>
      </c>
      <c r="AW154">
        <v>0</v>
      </c>
      <c r="AX154">
        <v>0</v>
      </c>
      <c r="AY154">
        <v>20697.599999999999</v>
      </c>
      <c r="BC154" t="str">
        <f>T("9791137601178")</f>
        <v>9791137601178</v>
      </c>
      <c r="BE154" t="str">
        <f t="shared" si="22"/>
        <v>판타지 e북 &gt; 현대 판타지</v>
      </c>
    </row>
    <row r="155" spans="1:57" x14ac:dyDescent="0.3">
      <c r="A155">
        <v>2313011938</v>
      </c>
      <c r="B155">
        <v>2313015165</v>
      </c>
      <c r="C155" t="str">
        <f>T("[e북]최종 보스 : 빛을 향해 달리는 그림자 2부 20권")</f>
        <v>[e북]최종 보스 : 빛을 향해 달리는 그림자 2부 20권</v>
      </c>
      <c r="D155" t="str">
        <f>T("20")</f>
        <v>20</v>
      </c>
      <c r="E155" t="str">
        <f t="shared" si="19"/>
        <v>무장</v>
      </c>
      <c r="H155" t="str">
        <f t="shared" si="20"/>
        <v>스토리위즈</v>
      </c>
      <c r="I155" t="str">
        <f>T("[e북]최종 보스 : 빛을 향해 달리는 그림자")</f>
        <v>[e북]최종 보스 : 빛을 향해 달리는 그림자</v>
      </c>
      <c r="J155">
        <v>3200</v>
      </c>
      <c r="K155">
        <v>28800</v>
      </c>
      <c r="L155">
        <v>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28800</v>
      </c>
      <c r="AH155">
        <v>9</v>
      </c>
      <c r="AI155">
        <v>0</v>
      </c>
      <c r="AJ155">
        <v>0</v>
      </c>
      <c r="AK155">
        <v>19200</v>
      </c>
      <c r="AL155">
        <v>0</v>
      </c>
      <c r="AM155">
        <v>11520</v>
      </c>
      <c r="AN155">
        <v>-1152</v>
      </c>
      <c r="AO155">
        <v>0</v>
      </c>
      <c r="AP155"/>
      <c r="AQ155">
        <v>0</v>
      </c>
      <c r="AR155">
        <v>0</v>
      </c>
      <c r="AS155">
        <v>11520</v>
      </c>
      <c r="AT155">
        <v>-1152</v>
      </c>
      <c r="AU155">
        <v>0</v>
      </c>
      <c r="AW155">
        <v>0</v>
      </c>
      <c r="AX155">
        <v>0</v>
      </c>
      <c r="AY155">
        <v>20697.599999999999</v>
      </c>
      <c r="BC155" t="str">
        <f>T("9791137601178")</f>
        <v>9791137601178</v>
      </c>
      <c r="BE155" t="str">
        <f t="shared" si="22"/>
        <v>판타지 e북 &gt; 현대 판타지</v>
      </c>
    </row>
    <row r="156" spans="1:57" x14ac:dyDescent="0.3">
      <c r="A156">
        <v>2313020794</v>
      </c>
      <c r="B156">
        <v>2313020799</v>
      </c>
      <c r="C156" t="str">
        <f>T("혐오 만세 6화")</f>
        <v>혐오 만세 6화</v>
      </c>
      <c r="D156" t="str">
        <f>T("6")</f>
        <v>6</v>
      </c>
      <c r="E156" t="str">
        <f>T("아르곤18")</f>
        <v>아르곤18</v>
      </c>
      <c r="H156" t="str">
        <f>T("앰퍼샌드B")</f>
        <v>앰퍼샌드B</v>
      </c>
      <c r="I156" t="str">
        <f>T("혐오 만세")</f>
        <v>혐오 만세</v>
      </c>
      <c r="J156">
        <v>100</v>
      </c>
      <c r="K156">
        <v>28700</v>
      </c>
      <c r="L156">
        <v>287</v>
      </c>
      <c r="M156">
        <v>0</v>
      </c>
      <c r="N156">
        <v>1300</v>
      </c>
      <c r="O156">
        <v>13</v>
      </c>
      <c r="P156">
        <v>1305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-100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30000</v>
      </c>
      <c r="AH156">
        <v>1605</v>
      </c>
      <c r="AI156">
        <v>-100</v>
      </c>
      <c r="AJ156">
        <v>2</v>
      </c>
      <c r="AK156">
        <v>25488</v>
      </c>
      <c r="AL156">
        <v>-100</v>
      </c>
      <c r="AM156">
        <v>5414.81</v>
      </c>
      <c r="AN156">
        <v>-1322.76</v>
      </c>
      <c r="AO156">
        <v>0</v>
      </c>
      <c r="AP156">
        <v>1320.41</v>
      </c>
      <c r="AQ156">
        <v>-396.12</v>
      </c>
      <c r="AR156">
        <v>0</v>
      </c>
      <c r="AS156">
        <v>4094.4</v>
      </c>
      <c r="AT156">
        <v>-926.64</v>
      </c>
      <c r="AU156">
        <v>0</v>
      </c>
      <c r="AW156">
        <v>0</v>
      </c>
      <c r="AX156">
        <v>0</v>
      </c>
      <c r="AY156">
        <v>18242.43</v>
      </c>
      <c r="BC156" t="str">
        <f>T("9791137608047")</f>
        <v>9791137608047</v>
      </c>
      <c r="BE156" t="str">
        <f>T("BL 웹소설 &gt; 현대물")</f>
        <v>BL 웹소설 &gt; 현대물</v>
      </c>
    </row>
    <row r="157" spans="1:57" x14ac:dyDescent="0.3">
      <c r="A157">
        <v>2313020794</v>
      </c>
      <c r="B157">
        <v>2313020798</v>
      </c>
      <c r="C157" t="str">
        <f>T("혐오 만세 5화")</f>
        <v>혐오 만세 5화</v>
      </c>
      <c r="D157" t="str">
        <f>T("5")</f>
        <v>5</v>
      </c>
      <c r="E157" t="str">
        <f>T("아르곤18")</f>
        <v>아르곤18</v>
      </c>
      <c r="H157" t="str">
        <f>T("앰퍼샌드B")</f>
        <v>앰퍼샌드B</v>
      </c>
      <c r="I157" t="str">
        <f>T("혐오 만세")</f>
        <v>혐오 만세</v>
      </c>
      <c r="J157">
        <v>100</v>
      </c>
      <c r="K157">
        <v>28600</v>
      </c>
      <c r="L157">
        <v>286</v>
      </c>
      <c r="M157">
        <v>0</v>
      </c>
      <c r="N157">
        <v>8100</v>
      </c>
      <c r="O157">
        <v>81</v>
      </c>
      <c r="P157">
        <v>1632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-100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36700</v>
      </c>
      <c r="AH157">
        <v>1999</v>
      </c>
      <c r="AI157">
        <v>-100</v>
      </c>
      <c r="AJ157">
        <v>2</v>
      </c>
      <c r="AK157">
        <v>31848</v>
      </c>
      <c r="AL157">
        <v>-100</v>
      </c>
      <c r="AM157">
        <v>5822.81</v>
      </c>
      <c r="AN157">
        <v>-1399.56</v>
      </c>
      <c r="AO157">
        <v>0</v>
      </c>
      <c r="AP157">
        <v>1200.4100000000001</v>
      </c>
      <c r="AQ157">
        <v>-360.12</v>
      </c>
      <c r="AR157">
        <v>0</v>
      </c>
      <c r="AS157">
        <v>4622.3999999999996</v>
      </c>
      <c r="AT157">
        <v>-1039.44</v>
      </c>
      <c r="AU157">
        <v>0</v>
      </c>
      <c r="AW157">
        <v>0</v>
      </c>
      <c r="AX157">
        <v>0</v>
      </c>
      <c r="AY157">
        <v>22348.75</v>
      </c>
      <c r="BC157" t="str">
        <f>T("9791137608047")</f>
        <v>9791137608047</v>
      </c>
      <c r="BE157" t="str">
        <f>T("BL 웹소설 &gt; 현대물")</f>
        <v>BL 웹소설 &gt; 현대물</v>
      </c>
    </row>
    <row r="158" spans="1:57" x14ac:dyDescent="0.3">
      <c r="A158">
        <v>2313009739</v>
      </c>
      <c r="B158">
        <v>2313009740</v>
      </c>
      <c r="C158" t="str">
        <f>T("[e북]컬러 러쉬 2권")</f>
        <v>[e북]컬러 러쉬 2권</v>
      </c>
      <c r="D158" t="str">
        <f>T("2")</f>
        <v>2</v>
      </c>
      <c r="E158" t="str">
        <f>T("세상")</f>
        <v>세상</v>
      </c>
      <c r="H158" t="str">
        <f>T("앰퍼샌드B")</f>
        <v>앰퍼샌드B</v>
      </c>
      <c r="I158" t="str">
        <f>T("[e북]컬러 러쉬")</f>
        <v>[e북]컬러 러쉬</v>
      </c>
      <c r="J158">
        <v>2800</v>
      </c>
      <c r="K158">
        <v>28000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28000</v>
      </c>
      <c r="AH158">
        <v>10</v>
      </c>
      <c r="AI158">
        <v>0</v>
      </c>
      <c r="AJ158">
        <v>0</v>
      </c>
      <c r="AK158">
        <v>22350</v>
      </c>
      <c r="AL158">
        <v>0</v>
      </c>
      <c r="AM158">
        <v>6780</v>
      </c>
      <c r="AN158">
        <v>-690</v>
      </c>
      <c r="AO158">
        <v>0</v>
      </c>
      <c r="AP158"/>
      <c r="AQ158">
        <v>0</v>
      </c>
      <c r="AR158">
        <v>0</v>
      </c>
      <c r="AS158">
        <v>6780</v>
      </c>
      <c r="AT158">
        <v>-690</v>
      </c>
      <c r="AU158">
        <v>0</v>
      </c>
      <c r="AW158">
        <v>0</v>
      </c>
      <c r="AX158">
        <v>0</v>
      </c>
      <c r="AY158">
        <v>19908</v>
      </c>
      <c r="BA158" t="str">
        <f t="shared" ref="BA158:BA163" si="23">T("0000000000000")</f>
        <v>0000000000000</v>
      </c>
      <c r="BC158" t="str">
        <f>T("9791166068188")</f>
        <v>9791166068188</v>
      </c>
      <c r="BE158" t="str">
        <f>T("BL 소설 e북 &gt; 현대물")</f>
        <v>BL 소설 e북 &gt; 현대물</v>
      </c>
    </row>
    <row r="159" spans="1:57" x14ac:dyDescent="0.3">
      <c r="A159">
        <v>2313012817</v>
      </c>
      <c r="B159">
        <v>2313012826</v>
      </c>
      <c r="C159" t="str">
        <f>T("[e북]갓 오브 블랙필드 10권")</f>
        <v>[e북]갓 오브 블랙필드 10권</v>
      </c>
      <c r="D159" t="str">
        <f>T("10")</f>
        <v>10</v>
      </c>
      <c r="E159" t="str">
        <f>T("무장")</f>
        <v>무장</v>
      </c>
      <c r="H159" t="str">
        <f>T("스토리위즈")</f>
        <v>스토리위즈</v>
      </c>
      <c r="I159" t="str">
        <f>T("[e북]갓 오브 블랙필드")</f>
        <v>[e북]갓 오브 블랙필드</v>
      </c>
      <c r="J159">
        <v>3200</v>
      </c>
      <c r="K159">
        <v>27840</v>
      </c>
      <c r="L159">
        <v>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27840</v>
      </c>
      <c r="AH159">
        <v>9</v>
      </c>
      <c r="AI159">
        <v>0</v>
      </c>
      <c r="AJ159">
        <v>0</v>
      </c>
      <c r="AK159">
        <v>21440</v>
      </c>
      <c r="AL159">
        <v>0</v>
      </c>
      <c r="AM159">
        <v>7680</v>
      </c>
      <c r="AN159">
        <v>-2304</v>
      </c>
      <c r="AO159">
        <v>0</v>
      </c>
      <c r="AP159">
        <v>3840</v>
      </c>
      <c r="AQ159">
        <v>-1152</v>
      </c>
      <c r="AR159">
        <v>0</v>
      </c>
      <c r="AS159">
        <v>3840</v>
      </c>
      <c r="AT159">
        <v>-1152</v>
      </c>
      <c r="AU159">
        <v>0</v>
      </c>
      <c r="AW159">
        <v>0</v>
      </c>
      <c r="AX159">
        <v>0</v>
      </c>
      <c r="AY159">
        <v>18771.2</v>
      </c>
      <c r="BA159" t="str">
        <f t="shared" si="23"/>
        <v>0000000000000</v>
      </c>
      <c r="BC159" t="str">
        <f>T("9791137602243")</f>
        <v>9791137602243</v>
      </c>
      <c r="BE159" t="str">
        <f>T("판타지 e북 &gt; 현대 판타지")</f>
        <v>판타지 e북 &gt; 현대 판타지</v>
      </c>
    </row>
    <row r="160" spans="1:57" x14ac:dyDescent="0.3">
      <c r="A160">
        <v>2313012817</v>
      </c>
      <c r="B160">
        <v>2313012827</v>
      </c>
      <c r="C160" t="str">
        <f>T("[e북]갓 오브 블랙필드 11권")</f>
        <v>[e북]갓 오브 블랙필드 11권</v>
      </c>
      <c r="D160" t="str">
        <f>T("11")</f>
        <v>11</v>
      </c>
      <c r="E160" t="str">
        <f>T("무장")</f>
        <v>무장</v>
      </c>
      <c r="H160" t="str">
        <f>T("스토리위즈")</f>
        <v>스토리위즈</v>
      </c>
      <c r="I160" t="str">
        <f>T("[e북]갓 오브 블랙필드")</f>
        <v>[e북]갓 오브 블랙필드</v>
      </c>
      <c r="J160">
        <v>3200</v>
      </c>
      <c r="K160">
        <v>27840</v>
      </c>
      <c r="L160">
        <v>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27840</v>
      </c>
      <c r="AH160">
        <v>9</v>
      </c>
      <c r="AI160">
        <v>0</v>
      </c>
      <c r="AJ160">
        <v>0</v>
      </c>
      <c r="AK160">
        <v>21740</v>
      </c>
      <c r="AL160">
        <v>0</v>
      </c>
      <c r="AM160">
        <v>7320</v>
      </c>
      <c r="AN160">
        <v>-2196</v>
      </c>
      <c r="AO160">
        <v>0</v>
      </c>
      <c r="AP160"/>
      <c r="AQ160">
        <v>0</v>
      </c>
      <c r="AR160">
        <v>0</v>
      </c>
      <c r="AS160">
        <v>7320</v>
      </c>
      <c r="AT160">
        <v>-2196</v>
      </c>
      <c r="AU160">
        <v>0</v>
      </c>
      <c r="AW160">
        <v>0</v>
      </c>
      <c r="AX160">
        <v>0</v>
      </c>
      <c r="AY160">
        <v>18804.8</v>
      </c>
      <c r="BA160" t="str">
        <f t="shared" si="23"/>
        <v>0000000000000</v>
      </c>
      <c r="BC160" t="str">
        <f>T("9791137602267")</f>
        <v>9791137602267</v>
      </c>
      <c r="BE160" t="str">
        <f>T("판타지 e북 &gt; 현대 판타지")</f>
        <v>판타지 e북 &gt; 현대 판타지</v>
      </c>
    </row>
    <row r="161" spans="1:58" x14ac:dyDescent="0.3">
      <c r="A161">
        <v>2313012817</v>
      </c>
      <c r="B161">
        <v>2313012828</v>
      </c>
      <c r="C161" t="str">
        <f>T("[e북]갓 오브 블랙필드 12권")</f>
        <v>[e북]갓 오브 블랙필드 12권</v>
      </c>
      <c r="D161" t="str">
        <f>T("12")</f>
        <v>12</v>
      </c>
      <c r="E161" t="str">
        <f>T("무장")</f>
        <v>무장</v>
      </c>
      <c r="H161" t="str">
        <f>T("스토리위즈")</f>
        <v>스토리위즈</v>
      </c>
      <c r="I161" t="str">
        <f>T("[e북]갓 오브 블랙필드")</f>
        <v>[e북]갓 오브 블랙필드</v>
      </c>
      <c r="J161">
        <v>3200</v>
      </c>
      <c r="K161">
        <v>27840</v>
      </c>
      <c r="L161">
        <v>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27840</v>
      </c>
      <c r="AH161">
        <v>9</v>
      </c>
      <c r="AI161">
        <v>0</v>
      </c>
      <c r="AJ161">
        <v>0</v>
      </c>
      <c r="AK161">
        <v>23360</v>
      </c>
      <c r="AL161">
        <v>0</v>
      </c>
      <c r="AM161">
        <v>5376</v>
      </c>
      <c r="AN161">
        <v>-1612.8</v>
      </c>
      <c r="AO161">
        <v>0</v>
      </c>
      <c r="AP161"/>
      <c r="AQ161">
        <v>0</v>
      </c>
      <c r="AR161">
        <v>0</v>
      </c>
      <c r="AS161">
        <v>5376</v>
      </c>
      <c r="AT161">
        <v>-1612.8</v>
      </c>
      <c r="AU161">
        <v>0</v>
      </c>
      <c r="AW161">
        <v>0</v>
      </c>
      <c r="AX161">
        <v>0</v>
      </c>
      <c r="AY161">
        <v>18986.240000000002</v>
      </c>
      <c r="BA161" t="str">
        <f t="shared" si="23"/>
        <v>0000000000000</v>
      </c>
      <c r="BC161" t="str">
        <f>T("9791137602274")</f>
        <v>9791137602274</v>
      </c>
      <c r="BE161" t="str">
        <f>T("판타지 e북 &gt; 현대 판타지")</f>
        <v>판타지 e북 &gt; 현대 판타지</v>
      </c>
    </row>
    <row r="162" spans="1:58" x14ac:dyDescent="0.3">
      <c r="A162">
        <v>2313012817</v>
      </c>
      <c r="B162">
        <v>2313012834</v>
      </c>
      <c r="C162" t="str">
        <f>T("[e북]갓 오브 블랙필드 18권")</f>
        <v>[e북]갓 오브 블랙필드 18권</v>
      </c>
      <c r="D162" t="str">
        <f>T("18")</f>
        <v>18</v>
      </c>
      <c r="E162" t="str">
        <f>T("무장")</f>
        <v>무장</v>
      </c>
      <c r="H162" t="str">
        <f>T("스토리위즈")</f>
        <v>스토리위즈</v>
      </c>
      <c r="I162" t="str">
        <f>T("[e북]갓 오브 블랙필드")</f>
        <v>[e북]갓 오브 블랙필드</v>
      </c>
      <c r="J162">
        <v>3200</v>
      </c>
      <c r="K162">
        <v>27840</v>
      </c>
      <c r="L162">
        <v>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27840</v>
      </c>
      <c r="AH162">
        <v>9</v>
      </c>
      <c r="AI162">
        <v>0</v>
      </c>
      <c r="AJ162">
        <v>0</v>
      </c>
      <c r="AK162">
        <v>21760</v>
      </c>
      <c r="AL162">
        <v>0</v>
      </c>
      <c r="AM162">
        <v>7296</v>
      </c>
      <c r="AN162">
        <v>-2188.8000000000002</v>
      </c>
      <c r="AO162">
        <v>0</v>
      </c>
      <c r="AP162"/>
      <c r="AQ162">
        <v>0</v>
      </c>
      <c r="AR162">
        <v>0</v>
      </c>
      <c r="AS162">
        <v>7296</v>
      </c>
      <c r="AT162">
        <v>-2188.8000000000002</v>
      </c>
      <c r="AU162">
        <v>0</v>
      </c>
      <c r="AW162">
        <v>0</v>
      </c>
      <c r="AX162">
        <v>0</v>
      </c>
      <c r="AY162">
        <v>18807.04</v>
      </c>
      <c r="BA162" t="str">
        <f t="shared" si="23"/>
        <v>0000000000000</v>
      </c>
      <c r="BC162" t="str">
        <f>T("9791137602335")</f>
        <v>9791137602335</v>
      </c>
      <c r="BE162" t="str">
        <f>T("판타지 e북 &gt; 현대 판타지")</f>
        <v>판타지 e북 &gt; 현대 판타지</v>
      </c>
    </row>
    <row r="163" spans="1:58" x14ac:dyDescent="0.3">
      <c r="A163">
        <v>2313012817</v>
      </c>
      <c r="B163">
        <v>2313012848</v>
      </c>
      <c r="C163" t="str">
        <f>T("[e북]갓 오브 블랙필드 2부 5권 (완결)")</f>
        <v>[e북]갓 오브 블랙필드 2부 5권 (완결)</v>
      </c>
      <c r="D163" t="str">
        <f>T("32")</f>
        <v>32</v>
      </c>
      <c r="E163" t="str">
        <f>T("무장")</f>
        <v>무장</v>
      </c>
      <c r="H163" t="str">
        <f>T("스토리위즈")</f>
        <v>스토리위즈</v>
      </c>
      <c r="I163" t="str">
        <f>T("[e북]갓 오브 블랙필드")</f>
        <v>[e북]갓 오브 블랙필드</v>
      </c>
      <c r="J163">
        <v>3200</v>
      </c>
      <c r="K163">
        <v>27840</v>
      </c>
      <c r="L163">
        <v>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27840</v>
      </c>
      <c r="AH163">
        <v>9</v>
      </c>
      <c r="AI163">
        <v>0</v>
      </c>
      <c r="AJ163">
        <v>0</v>
      </c>
      <c r="AK163">
        <v>21440</v>
      </c>
      <c r="AL163">
        <v>0</v>
      </c>
      <c r="AM163">
        <v>7680</v>
      </c>
      <c r="AN163">
        <v>-2304</v>
      </c>
      <c r="AO163">
        <v>0</v>
      </c>
      <c r="AP163"/>
      <c r="AQ163">
        <v>0</v>
      </c>
      <c r="AR163">
        <v>0</v>
      </c>
      <c r="AS163">
        <v>7680</v>
      </c>
      <c r="AT163">
        <v>-2304</v>
      </c>
      <c r="AU163">
        <v>0</v>
      </c>
      <c r="AW163">
        <v>0</v>
      </c>
      <c r="AX163">
        <v>0</v>
      </c>
      <c r="AY163">
        <v>18771.2</v>
      </c>
      <c r="BA163" t="str">
        <f t="shared" si="23"/>
        <v>0000000000000</v>
      </c>
      <c r="BC163" t="str">
        <f>T("9791137602472")</f>
        <v>9791137602472</v>
      </c>
      <c r="BE163" t="str">
        <f>T("판타지 e북 &gt; 현대 판타지")</f>
        <v>판타지 e북 &gt; 현대 판타지</v>
      </c>
    </row>
    <row r="164" spans="1:58" x14ac:dyDescent="0.3">
      <c r="A164">
        <v>2313016828</v>
      </c>
      <c r="B164">
        <v>2313016827</v>
      </c>
      <c r="C164" t="str">
        <f>T("[e북]천 개의 별 이야기(A Tale of Thousand Stars) 2권")</f>
        <v>[e북]천 개의 별 이야기(A Tale of Thousand Stars) 2권</v>
      </c>
      <c r="D164" t="str">
        <f>T("2")</f>
        <v>2</v>
      </c>
      <c r="E164" t="str">
        <f>T("Bacteria")</f>
        <v>Bacteria</v>
      </c>
      <c r="F164" t="str">
        <f>T("이범근")</f>
        <v>이범근</v>
      </c>
      <c r="H164" t="str">
        <f>T("도서출판 태랑")</f>
        <v>도서출판 태랑</v>
      </c>
      <c r="I164" t="str">
        <f>T("[e북]천 개의 별 이야기(A Tale of Thousand Stars)")</f>
        <v>[e북]천 개의 별 이야기(A Tale of Thousand Stars)</v>
      </c>
      <c r="J164">
        <v>2700</v>
      </c>
      <c r="K164">
        <v>27000</v>
      </c>
      <c r="L164">
        <v>10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27000</v>
      </c>
      <c r="AH164">
        <v>10</v>
      </c>
      <c r="AI164">
        <v>0</v>
      </c>
      <c r="AJ164">
        <v>0</v>
      </c>
      <c r="AK164">
        <v>24300</v>
      </c>
      <c r="AL164">
        <v>0</v>
      </c>
      <c r="AM164">
        <v>3240</v>
      </c>
      <c r="AN164">
        <v>-324</v>
      </c>
      <c r="AO164">
        <v>0</v>
      </c>
      <c r="AP164"/>
      <c r="AQ164">
        <v>0</v>
      </c>
      <c r="AR164">
        <v>0</v>
      </c>
      <c r="AS164">
        <v>3240</v>
      </c>
      <c r="AT164">
        <v>-324</v>
      </c>
      <c r="AU164">
        <v>0</v>
      </c>
      <c r="AW164">
        <v>0</v>
      </c>
      <c r="AX164">
        <v>0</v>
      </c>
      <c r="AY164">
        <v>19051.2</v>
      </c>
      <c r="BC164" t="str">
        <f>T("9791137607132")</f>
        <v>9791137607132</v>
      </c>
      <c r="BE164" t="str">
        <f>T("BL 소설 e북 &gt; 해외 소설")</f>
        <v>BL 소설 e북 &gt; 해외 소설</v>
      </c>
    </row>
    <row r="165" spans="1:58" x14ac:dyDescent="0.3">
      <c r="A165">
        <v>2313017014</v>
      </c>
      <c r="B165">
        <v>2313017013</v>
      </c>
      <c r="C165" t="str">
        <f>T("[e북]개정판 | 야쿠자가 사랑을 한다면 2 2권 (완결)")</f>
        <v>[e북]개정판 | 야쿠자가 사랑을 한다면 2 2권 (완결)</v>
      </c>
      <c r="D165" t="str">
        <f>T("2")</f>
        <v>2</v>
      </c>
      <c r="E165" t="str">
        <f>T("모리미")</f>
        <v>모리미</v>
      </c>
      <c r="H165" t="str">
        <f>T("도서출판 태랑")</f>
        <v>도서출판 태랑</v>
      </c>
      <c r="I165" t="str">
        <f>T("[e북]개정판 | 야쿠자가 사랑을 한다면 2")</f>
        <v>[e북]개정판 | 야쿠자가 사랑을 한다면 2</v>
      </c>
      <c r="J165">
        <v>3000</v>
      </c>
      <c r="K165">
        <v>27000</v>
      </c>
      <c r="L165">
        <v>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27000</v>
      </c>
      <c r="AH165">
        <v>9</v>
      </c>
      <c r="AI165">
        <v>0</v>
      </c>
      <c r="AJ165">
        <v>0</v>
      </c>
      <c r="AK165">
        <v>25510</v>
      </c>
      <c r="AL165">
        <v>0</v>
      </c>
      <c r="AM165">
        <v>1788</v>
      </c>
      <c r="AN165">
        <v>-178.8</v>
      </c>
      <c r="AO165">
        <v>0</v>
      </c>
      <c r="AP165"/>
      <c r="AQ165">
        <v>0</v>
      </c>
      <c r="AR165">
        <v>0</v>
      </c>
      <c r="AS165">
        <v>1788</v>
      </c>
      <c r="AT165">
        <v>-178.8</v>
      </c>
      <c r="AU165">
        <v>0</v>
      </c>
      <c r="AW165">
        <v>0</v>
      </c>
      <c r="AX165">
        <v>0</v>
      </c>
      <c r="AY165">
        <v>18983.439999999999</v>
      </c>
      <c r="BC165" t="str">
        <f>T("9791164372119")</f>
        <v>9791164372119</v>
      </c>
      <c r="BE165" t="str">
        <f>T("BL 소설 e북 &gt; 현대물")</f>
        <v>BL 소설 e북 &gt; 현대물</v>
      </c>
    </row>
    <row r="166" spans="1:58" x14ac:dyDescent="0.3">
      <c r="B166">
        <v>2313018606</v>
      </c>
      <c r="C166" t="str">
        <f>T("[e북]망나니")</f>
        <v>[e북]망나니</v>
      </c>
      <c r="E166" t="str">
        <f>T("마뇽")</f>
        <v>마뇽</v>
      </c>
      <c r="H166" t="str">
        <f>T("도서출판 태랑")</f>
        <v>도서출판 태랑</v>
      </c>
      <c r="J166">
        <v>2600</v>
      </c>
      <c r="K166">
        <v>26000</v>
      </c>
      <c r="L166">
        <v>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26000</v>
      </c>
      <c r="AH166">
        <v>10</v>
      </c>
      <c r="AI166">
        <v>0</v>
      </c>
      <c r="AJ166">
        <v>0</v>
      </c>
      <c r="AK166">
        <v>19680</v>
      </c>
      <c r="AL166">
        <v>0</v>
      </c>
      <c r="AM166">
        <v>7584</v>
      </c>
      <c r="AN166">
        <v>-758.4</v>
      </c>
      <c r="AO166">
        <v>0</v>
      </c>
      <c r="AP166"/>
      <c r="AQ166">
        <v>0</v>
      </c>
      <c r="AR166">
        <v>0</v>
      </c>
      <c r="AS166">
        <v>7584</v>
      </c>
      <c r="AT166">
        <v>-758.4</v>
      </c>
      <c r="AU166">
        <v>0</v>
      </c>
      <c r="AW166">
        <v>0</v>
      </c>
      <c r="AX166">
        <v>0</v>
      </c>
      <c r="AY166">
        <v>18553.919999999998</v>
      </c>
      <c r="BC166" t="str">
        <f>T("9791137605398")</f>
        <v>9791137605398</v>
      </c>
      <c r="BE166" t="str">
        <f>T("로맨스 e북 &gt; 역사/시대물")</f>
        <v>로맨스 e북 &gt; 역사/시대물</v>
      </c>
      <c r="BF166" t="str">
        <f>T("로맨스 e북 &gt; 19+")</f>
        <v>로맨스 e북 &gt; 19+</v>
      </c>
    </row>
    <row r="167" spans="1:58" x14ac:dyDescent="0.3">
      <c r="A167">
        <v>2313006989</v>
      </c>
      <c r="B167">
        <v>2313006990</v>
      </c>
      <c r="C167" t="str">
        <f>T("[e북]로드 오브 머니 2권")</f>
        <v>[e북]로드 오브 머니 2권</v>
      </c>
      <c r="D167" t="str">
        <f>T("2")</f>
        <v>2</v>
      </c>
      <c r="E167" t="str">
        <f>T("무장")</f>
        <v>무장</v>
      </c>
      <c r="H167" t="str">
        <f>T("스토리위즈")</f>
        <v>스토리위즈</v>
      </c>
      <c r="I167" t="str">
        <f>T("[e북]로드 오브 머니")</f>
        <v>[e북]로드 오브 머니</v>
      </c>
      <c r="J167">
        <v>3200</v>
      </c>
      <c r="K167">
        <v>25600</v>
      </c>
      <c r="L167">
        <v>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25600</v>
      </c>
      <c r="AH167">
        <v>8</v>
      </c>
      <c r="AI167">
        <v>0</v>
      </c>
      <c r="AJ167">
        <v>0</v>
      </c>
      <c r="AK167">
        <v>18462</v>
      </c>
      <c r="AL167">
        <v>0</v>
      </c>
      <c r="AM167">
        <v>8565.6</v>
      </c>
      <c r="AN167">
        <v>-1033.68</v>
      </c>
      <c r="AO167">
        <v>0</v>
      </c>
      <c r="AP167"/>
      <c r="AQ167">
        <v>0</v>
      </c>
      <c r="AR167">
        <v>0</v>
      </c>
      <c r="AS167">
        <v>8565.6</v>
      </c>
      <c r="AT167">
        <v>-1033.68</v>
      </c>
      <c r="AU167">
        <v>0</v>
      </c>
      <c r="AW167">
        <v>0</v>
      </c>
      <c r="AX167">
        <v>0</v>
      </c>
      <c r="AY167">
        <v>18195.740000000002</v>
      </c>
      <c r="BC167" t="str">
        <f>T("9791188630110")</f>
        <v>9791188630110</v>
      </c>
      <c r="BE167" t="str">
        <f>T("판타지 e북 &gt; 현대 판타지")</f>
        <v>판타지 e북 &gt; 현대 판타지</v>
      </c>
    </row>
    <row r="168" spans="1:58" x14ac:dyDescent="0.3">
      <c r="A168">
        <v>2313008324</v>
      </c>
      <c r="B168">
        <v>2313008326</v>
      </c>
      <c r="C168" t="str">
        <f>T("[e북]간신이 나라를 살림 3권")</f>
        <v>[e북]간신이 나라를 살림 3권</v>
      </c>
      <c r="D168" t="str">
        <f>T("3")</f>
        <v>3</v>
      </c>
      <c r="E168" t="str">
        <f>T("루이세")</f>
        <v>루이세</v>
      </c>
      <c r="H168" t="str">
        <f>T("스토리위즈")</f>
        <v>스토리위즈</v>
      </c>
      <c r="I168" t="str">
        <f>T("[e북]간신이 나라를 살림")</f>
        <v>[e북]간신이 나라를 살림</v>
      </c>
      <c r="J168">
        <v>3200</v>
      </c>
      <c r="K168">
        <v>25600</v>
      </c>
      <c r="L168">
        <v>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121600</v>
      </c>
      <c r="T168">
        <v>76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-6400</v>
      </c>
      <c r="AD168">
        <v>4</v>
      </c>
      <c r="AE168">
        <v>0</v>
      </c>
      <c r="AF168">
        <v>0</v>
      </c>
      <c r="AG168">
        <v>147200</v>
      </c>
      <c r="AH168">
        <v>84</v>
      </c>
      <c r="AI168">
        <v>-6400</v>
      </c>
      <c r="AJ168">
        <v>4</v>
      </c>
      <c r="AK168">
        <v>135339</v>
      </c>
      <c r="AL168">
        <v>-6400</v>
      </c>
      <c r="AM168">
        <v>14233.2</v>
      </c>
      <c r="AN168">
        <v>-3587.4</v>
      </c>
      <c r="AO168">
        <v>0</v>
      </c>
      <c r="AP168">
        <v>1168.8</v>
      </c>
      <c r="AQ168">
        <v>-350.64</v>
      </c>
      <c r="AR168">
        <v>0</v>
      </c>
      <c r="AS168">
        <v>13064.4</v>
      </c>
      <c r="AT168">
        <v>-3236.76</v>
      </c>
      <c r="AU168">
        <v>0</v>
      </c>
      <c r="AW168">
        <v>0</v>
      </c>
      <c r="AX168">
        <v>0</v>
      </c>
      <c r="AY168">
        <v>97709.35</v>
      </c>
      <c r="BC168" t="str">
        <f>T("9791165310738")</f>
        <v>9791165310738</v>
      </c>
      <c r="BE168" t="str">
        <f>T("판타지 e북 &gt; 퓨전 판타지")</f>
        <v>판타지 e북 &gt; 퓨전 판타지</v>
      </c>
    </row>
    <row r="169" spans="1:58" x14ac:dyDescent="0.3">
      <c r="A169">
        <v>2313008324</v>
      </c>
      <c r="B169">
        <v>2313008327</v>
      </c>
      <c r="C169" t="str">
        <f>T("[e북]간신이 나라를 살림 4권")</f>
        <v>[e북]간신이 나라를 살림 4권</v>
      </c>
      <c r="D169" t="str">
        <f>T("4")</f>
        <v>4</v>
      </c>
      <c r="E169" t="str">
        <f>T("루이세")</f>
        <v>루이세</v>
      </c>
      <c r="H169" t="str">
        <f>T("스토리위즈")</f>
        <v>스토리위즈</v>
      </c>
      <c r="I169" t="str">
        <f>T("[e북]간신이 나라를 살림")</f>
        <v>[e북]간신이 나라를 살림</v>
      </c>
      <c r="J169">
        <v>3200</v>
      </c>
      <c r="K169">
        <v>25600</v>
      </c>
      <c r="L169">
        <v>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121600</v>
      </c>
      <c r="T169">
        <v>76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-6400</v>
      </c>
      <c r="AD169">
        <v>4</v>
      </c>
      <c r="AE169">
        <v>0</v>
      </c>
      <c r="AF169">
        <v>0</v>
      </c>
      <c r="AG169">
        <v>147200</v>
      </c>
      <c r="AH169">
        <v>84</v>
      </c>
      <c r="AI169">
        <v>-6400</v>
      </c>
      <c r="AJ169">
        <v>4</v>
      </c>
      <c r="AK169">
        <v>135339</v>
      </c>
      <c r="AL169">
        <v>-6400</v>
      </c>
      <c r="AM169">
        <v>14233.2</v>
      </c>
      <c r="AN169">
        <v>-3587.4</v>
      </c>
      <c r="AO169">
        <v>0</v>
      </c>
      <c r="AP169">
        <v>1168.8</v>
      </c>
      <c r="AQ169">
        <v>-350.64</v>
      </c>
      <c r="AR169">
        <v>0</v>
      </c>
      <c r="AS169">
        <v>13064.4</v>
      </c>
      <c r="AT169">
        <v>-3236.76</v>
      </c>
      <c r="AU169">
        <v>0</v>
      </c>
      <c r="AW169">
        <v>0</v>
      </c>
      <c r="AX169">
        <v>0</v>
      </c>
      <c r="AY169">
        <v>97709.35</v>
      </c>
      <c r="BC169" t="str">
        <f>T("9791165310745")</f>
        <v>9791165310745</v>
      </c>
      <c r="BE169" t="str">
        <f>T("판타지 e북 &gt; 퓨전 판타지")</f>
        <v>판타지 e북 &gt; 퓨전 판타지</v>
      </c>
    </row>
    <row r="170" spans="1:58" x14ac:dyDescent="0.3">
      <c r="A170">
        <v>2313009739</v>
      </c>
      <c r="B170">
        <v>2313009741</v>
      </c>
      <c r="C170" t="str">
        <f>T("[e북]컬러 러쉬 3권 (완결)")</f>
        <v>[e북]컬러 러쉬 3권 (완결)</v>
      </c>
      <c r="D170" t="str">
        <f>T("3")</f>
        <v>3</v>
      </c>
      <c r="E170" t="str">
        <f>T("세상")</f>
        <v>세상</v>
      </c>
      <c r="H170" t="str">
        <f>T("앰퍼샌드B")</f>
        <v>앰퍼샌드B</v>
      </c>
      <c r="I170" t="str">
        <f>T("[e북]컬러 러쉬")</f>
        <v>[e북]컬러 러쉬</v>
      </c>
      <c r="J170">
        <v>2800</v>
      </c>
      <c r="K170">
        <v>25200</v>
      </c>
      <c r="L170">
        <v>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25200</v>
      </c>
      <c r="AH170">
        <v>9</v>
      </c>
      <c r="AI170">
        <v>0</v>
      </c>
      <c r="AJ170">
        <v>0</v>
      </c>
      <c r="AK170">
        <v>19600</v>
      </c>
      <c r="AL170">
        <v>0</v>
      </c>
      <c r="AM170">
        <v>6720</v>
      </c>
      <c r="AN170">
        <v>-672</v>
      </c>
      <c r="AO170">
        <v>0</v>
      </c>
      <c r="AP170"/>
      <c r="AQ170">
        <v>0</v>
      </c>
      <c r="AR170">
        <v>0</v>
      </c>
      <c r="AS170">
        <v>6720</v>
      </c>
      <c r="AT170">
        <v>-672</v>
      </c>
      <c r="AU170">
        <v>0</v>
      </c>
      <c r="AW170">
        <v>0</v>
      </c>
      <c r="AX170">
        <v>0</v>
      </c>
      <c r="AY170">
        <v>17953.599999999999</v>
      </c>
      <c r="BA170" t="str">
        <f>T("0000000000000")</f>
        <v>0000000000000</v>
      </c>
      <c r="BC170" t="str">
        <f>T("9791166068195")</f>
        <v>9791166068195</v>
      </c>
      <c r="BE170" t="str">
        <f>T("BL 소설 e북 &gt; 현대물")</f>
        <v>BL 소설 e북 &gt; 현대물</v>
      </c>
    </row>
    <row r="171" spans="1:58" x14ac:dyDescent="0.3">
      <c r="A171">
        <v>2313016857</v>
      </c>
      <c r="B171">
        <v>2313016856</v>
      </c>
      <c r="C171" t="str">
        <f>T("[e북]소투스 (SOTUS) 2권 (완결)")</f>
        <v>[e북]소투스 (SOTUS) 2권 (완결)</v>
      </c>
      <c r="D171" t="str">
        <f>T("2")</f>
        <v>2</v>
      </c>
      <c r="E171" t="str">
        <f>T("BitterSweet")</f>
        <v>BitterSweet</v>
      </c>
      <c r="H171" t="str">
        <f>T("도서출판 태랑")</f>
        <v>도서출판 태랑</v>
      </c>
      <c r="I171" t="str">
        <f>T("[e북]소투스 (SOTUS)")</f>
        <v>[e북]소투스 (SOTUS)</v>
      </c>
      <c r="J171">
        <v>3600</v>
      </c>
      <c r="K171">
        <v>25200</v>
      </c>
      <c r="L171">
        <v>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25200</v>
      </c>
      <c r="AH171">
        <v>7</v>
      </c>
      <c r="AI171">
        <v>0</v>
      </c>
      <c r="AJ171">
        <v>0</v>
      </c>
      <c r="AK171">
        <v>25200</v>
      </c>
      <c r="AL171">
        <v>0</v>
      </c>
      <c r="AM171">
        <v>0</v>
      </c>
      <c r="AN171">
        <v>0</v>
      </c>
      <c r="AO171">
        <v>0</v>
      </c>
      <c r="AP171"/>
      <c r="AQ171">
        <v>0</v>
      </c>
      <c r="AR171">
        <v>0</v>
      </c>
      <c r="AT171">
        <v>0</v>
      </c>
      <c r="AU171">
        <v>0</v>
      </c>
      <c r="AW171">
        <v>0</v>
      </c>
      <c r="AX171">
        <v>0</v>
      </c>
      <c r="AY171">
        <v>17640</v>
      </c>
      <c r="BC171" t="str">
        <f>T("9791164374649")</f>
        <v>9791164374649</v>
      </c>
      <c r="BE171" t="str">
        <f>T("BL 소설 e북 &gt; 해외 소설")</f>
        <v>BL 소설 e북 &gt; 해외 소설</v>
      </c>
    </row>
    <row r="172" spans="1:58" x14ac:dyDescent="0.3">
      <c r="A172">
        <v>2313012817</v>
      </c>
      <c r="B172">
        <v>2313012823</v>
      </c>
      <c r="C172" t="str">
        <f>T("[e북]갓 오브 블랙필드 7권")</f>
        <v>[e북]갓 오브 블랙필드 7권</v>
      </c>
      <c r="D172" t="str">
        <f>T("7")</f>
        <v>7</v>
      </c>
      <c r="E172" t="str">
        <f t="shared" ref="E172:E181" si="24">T("무장")</f>
        <v>무장</v>
      </c>
      <c r="H172" t="str">
        <f t="shared" ref="H172:H181" si="25">T("스토리위즈")</f>
        <v>스토리위즈</v>
      </c>
      <c r="I172" t="str">
        <f t="shared" ref="I172:I181" si="26">T("[e북]갓 오브 블랙필드")</f>
        <v>[e북]갓 오브 블랙필드</v>
      </c>
      <c r="J172">
        <v>3200</v>
      </c>
      <c r="K172">
        <v>24640</v>
      </c>
      <c r="L172">
        <v>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24640</v>
      </c>
      <c r="AH172">
        <v>8</v>
      </c>
      <c r="AI172">
        <v>0</v>
      </c>
      <c r="AJ172">
        <v>0</v>
      </c>
      <c r="AK172">
        <v>18240</v>
      </c>
      <c r="AL172">
        <v>0</v>
      </c>
      <c r="AM172">
        <v>7680</v>
      </c>
      <c r="AN172">
        <v>-2304</v>
      </c>
      <c r="AO172">
        <v>0</v>
      </c>
      <c r="AP172">
        <v>3840</v>
      </c>
      <c r="AQ172">
        <v>-1152</v>
      </c>
      <c r="AR172">
        <v>0</v>
      </c>
      <c r="AS172">
        <v>3840</v>
      </c>
      <c r="AT172">
        <v>-1152</v>
      </c>
      <c r="AU172">
        <v>0</v>
      </c>
      <c r="AW172">
        <v>0</v>
      </c>
      <c r="AX172">
        <v>0</v>
      </c>
      <c r="AY172">
        <v>16531.2</v>
      </c>
      <c r="BA172" t="str">
        <f t="shared" ref="BA172:BA181" si="27">T("0000000000000")</f>
        <v>0000000000000</v>
      </c>
      <c r="BC172" t="str">
        <f>T("9791137602212")</f>
        <v>9791137602212</v>
      </c>
      <c r="BE172" t="str">
        <f t="shared" ref="BE172:BE181" si="28">T("판타지 e북 &gt; 현대 판타지")</f>
        <v>판타지 e북 &gt; 현대 판타지</v>
      </c>
    </row>
    <row r="173" spans="1:58" x14ac:dyDescent="0.3">
      <c r="A173">
        <v>2313012817</v>
      </c>
      <c r="B173">
        <v>2313012829</v>
      </c>
      <c r="C173" t="str">
        <f>T("[e북]갓 오브 블랙필드 13권")</f>
        <v>[e북]갓 오브 블랙필드 13권</v>
      </c>
      <c r="D173" t="str">
        <f>T("13")</f>
        <v>13</v>
      </c>
      <c r="E173" t="str">
        <f t="shared" si="24"/>
        <v>무장</v>
      </c>
      <c r="H173" t="str">
        <f t="shared" si="25"/>
        <v>스토리위즈</v>
      </c>
      <c r="I173" t="str">
        <f t="shared" si="26"/>
        <v>[e북]갓 오브 블랙필드</v>
      </c>
      <c r="J173">
        <v>3200</v>
      </c>
      <c r="K173">
        <v>24640</v>
      </c>
      <c r="L173">
        <v>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24640</v>
      </c>
      <c r="AH173">
        <v>8</v>
      </c>
      <c r="AI173">
        <v>0</v>
      </c>
      <c r="AJ173">
        <v>0</v>
      </c>
      <c r="AK173">
        <v>18820</v>
      </c>
      <c r="AL173">
        <v>0</v>
      </c>
      <c r="AM173">
        <v>6984</v>
      </c>
      <c r="AN173">
        <v>-2095.1999999999998</v>
      </c>
      <c r="AO173">
        <v>0</v>
      </c>
      <c r="AP173"/>
      <c r="AQ173">
        <v>0</v>
      </c>
      <c r="AR173">
        <v>0</v>
      </c>
      <c r="AS173">
        <v>6984</v>
      </c>
      <c r="AT173">
        <v>-2095.1999999999998</v>
      </c>
      <c r="AU173">
        <v>0</v>
      </c>
      <c r="AW173">
        <v>0</v>
      </c>
      <c r="AX173">
        <v>0</v>
      </c>
      <c r="AY173">
        <v>16596.16</v>
      </c>
      <c r="BA173" t="str">
        <f t="shared" si="27"/>
        <v>0000000000000</v>
      </c>
      <c r="BC173" t="str">
        <f>T("9791137602281")</f>
        <v>9791137602281</v>
      </c>
      <c r="BE173" t="str">
        <f t="shared" si="28"/>
        <v>판타지 e북 &gt; 현대 판타지</v>
      </c>
    </row>
    <row r="174" spans="1:58" x14ac:dyDescent="0.3">
      <c r="A174">
        <v>2313012817</v>
      </c>
      <c r="B174">
        <v>2313012830</v>
      </c>
      <c r="C174" t="str">
        <f>T("[e북]갓 오브 블랙필드 14권")</f>
        <v>[e북]갓 오브 블랙필드 14권</v>
      </c>
      <c r="D174" t="str">
        <f>T("14")</f>
        <v>14</v>
      </c>
      <c r="E174" t="str">
        <f t="shared" si="24"/>
        <v>무장</v>
      </c>
      <c r="H174" t="str">
        <f t="shared" si="25"/>
        <v>스토리위즈</v>
      </c>
      <c r="I174" t="str">
        <f t="shared" si="26"/>
        <v>[e북]갓 오브 블랙필드</v>
      </c>
      <c r="J174">
        <v>3200</v>
      </c>
      <c r="K174">
        <v>24640</v>
      </c>
      <c r="L174">
        <v>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24640</v>
      </c>
      <c r="AH174">
        <v>8</v>
      </c>
      <c r="AI174">
        <v>0</v>
      </c>
      <c r="AJ174">
        <v>0</v>
      </c>
      <c r="AK174">
        <v>21440</v>
      </c>
      <c r="AL174">
        <v>0</v>
      </c>
      <c r="AM174">
        <v>3840</v>
      </c>
      <c r="AN174">
        <v>-1152</v>
      </c>
      <c r="AO174">
        <v>0</v>
      </c>
      <c r="AP174"/>
      <c r="AQ174">
        <v>0</v>
      </c>
      <c r="AR174">
        <v>0</v>
      </c>
      <c r="AS174">
        <v>3840</v>
      </c>
      <c r="AT174">
        <v>-1152</v>
      </c>
      <c r="AU174">
        <v>0</v>
      </c>
      <c r="AW174">
        <v>0</v>
      </c>
      <c r="AX174">
        <v>0</v>
      </c>
      <c r="AY174">
        <v>16889.599999999999</v>
      </c>
      <c r="BA174" t="str">
        <f t="shared" si="27"/>
        <v>0000000000000</v>
      </c>
      <c r="BC174" t="str">
        <f>T("9791137602298")</f>
        <v>9791137602298</v>
      </c>
      <c r="BE174" t="str">
        <f t="shared" si="28"/>
        <v>판타지 e북 &gt; 현대 판타지</v>
      </c>
    </row>
    <row r="175" spans="1:58" x14ac:dyDescent="0.3">
      <c r="A175">
        <v>2313012817</v>
      </c>
      <c r="B175">
        <v>2313012831</v>
      </c>
      <c r="C175" t="str">
        <f>T("[e북]갓 오브 블랙필드 15권")</f>
        <v>[e북]갓 오브 블랙필드 15권</v>
      </c>
      <c r="D175" t="str">
        <f>T("15")</f>
        <v>15</v>
      </c>
      <c r="E175" t="str">
        <f t="shared" si="24"/>
        <v>무장</v>
      </c>
      <c r="H175" t="str">
        <f t="shared" si="25"/>
        <v>스토리위즈</v>
      </c>
      <c r="I175" t="str">
        <f t="shared" si="26"/>
        <v>[e북]갓 오브 블랙필드</v>
      </c>
      <c r="J175">
        <v>3200</v>
      </c>
      <c r="K175">
        <v>24640</v>
      </c>
      <c r="L175">
        <v>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24640</v>
      </c>
      <c r="AH175">
        <v>8</v>
      </c>
      <c r="AI175">
        <v>0</v>
      </c>
      <c r="AJ175">
        <v>0</v>
      </c>
      <c r="AK175">
        <v>21440</v>
      </c>
      <c r="AL175">
        <v>0</v>
      </c>
      <c r="AM175">
        <v>3840</v>
      </c>
      <c r="AN175">
        <v>-1152</v>
      </c>
      <c r="AO175">
        <v>0</v>
      </c>
      <c r="AP175"/>
      <c r="AQ175">
        <v>0</v>
      </c>
      <c r="AR175">
        <v>0</v>
      </c>
      <c r="AS175">
        <v>3840</v>
      </c>
      <c r="AT175">
        <v>-1152</v>
      </c>
      <c r="AU175">
        <v>0</v>
      </c>
      <c r="AW175">
        <v>0</v>
      </c>
      <c r="AX175">
        <v>0</v>
      </c>
      <c r="AY175">
        <v>16889.599999999999</v>
      </c>
      <c r="BA175" t="str">
        <f t="shared" si="27"/>
        <v>0000000000000</v>
      </c>
      <c r="BC175" t="str">
        <f>T("9791137602304")</f>
        <v>9791137602304</v>
      </c>
      <c r="BE175" t="str">
        <f t="shared" si="28"/>
        <v>판타지 e북 &gt; 현대 판타지</v>
      </c>
    </row>
    <row r="176" spans="1:58" x14ac:dyDescent="0.3">
      <c r="A176">
        <v>2313012817</v>
      </c>
      <c r="B176">
        <v>2313012832</v>
      </c>
      <c r="C176" t="str">
        <f>T("[e북]갓 오브 블랙필드 16권")</f>
        <v>[e북]갓 오브 블랙필드 16권</v>
      </c>
      <c r="D176" t="str">
        <f>T("16")</f>
        <v>16</v>
      </c>
      <c r="E176" t="str">
        <f t="shared" si="24"/>
        <v>무장</v>
      </c>
      <c r="H176" t="str">
        <f t="shared" si="25"/>
        <v>스토리위즈</v>
      </c>
      <c r="I176" t="str">
        <f t="shared" si="26"/>
        <v>[e북]갓 오브 블랙필드</v>
      </c>
      <c r="J176">
        <v>3200</v>
      </c>
      <c r="K176">
        <v>24640</v>
      </c>
      <c r="L176">
        <v>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24640</v>
      </c>
      <c r="AH176">
        <v>8</v>
      </c>
      <c r="AI176">
        <v>0</v>
      </c>
      <c r="AJ176">
        <v>0</v>
      </c>
      <c r="AK176">
        <v>21440</v>
      </c>
      <c r="AL176">
        <v>0</v>
      </c>
      <c r="AM176">
        <v>3840</v>
      </c>
      <c r="AN176">
        <v>-1152</v>
      </c>
      <c r="AO176">
        <v>0</v>
      </c>
      <c r="AP176"/>
      <c r="AQ176">
        <v>0</v>
      </c>
      <c r="AR176">
        <v>0</v>
      </c>
      <c r="AS176">
        <v>3840</v>
      </c>
      <c r="AT176">
        <v>-1152</v>
      </c>
      <c r="AU176">
        <v>0</v>
      </c>
      <c r="AW176">
        <v>0</v>
      </c>
      <c r="AX176">
        <v>0</v>
      </c>
      <c r="AY176">
        <v>16889.599999999999</v>
      </c>
      <c r="BA176" t="str">
        <f t="shared" si="27"/>
        <v>0000000000000</v>
      </c>
      <c r="BC176" t="str">
        <f>T("9791137602311")</f>
        <v>9791137602311</v>
      </c>
      <c r="BE176" t="str">
        <f t="shared" si="28"/>
        <v>판타지 e북 &gt; 현대 판타지</v>
      </c>
    </row>
    <row r="177" spans="1:58" x14ac:dyDescent="0.3">
      <c r="A177">
        <v>2313012817</v>
      </c>
      <c r="B177">
        <v>2313012833</v>
      </c>
      <c r="C177" t="str">
        <f>T("[e북]갓 오브 블랙필드 17권")</f>
        <v>[e북]갓 오브 블랙필드 17권</v>
      </c>
      <c r="D177" t="str">
        <f>T("17")</f>
        <v>17</v>
      </c>
      <c r="E177" t="str">
        <f t="shared" si="24"/>
        <v>무장</v>
      </c>
      <c r="H177" t="str">
        <f t="shared" si="25"/>
        <v>스토리위즈</v>
      </c>
      <c r="I177" t="str">
        <f t="shared" si="26"/>
        <v>[e북]갓 오브 블랙필드</v>
      </c>
      <c r="J177">
        <v>3200</v>
      </c>
      <c r="K177">
        <v>24640</v>
      </c>
      <c r="L177">
        <v>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24640</v>
      </c>
      <c r="AH177">
        <v>8</v>
      </c>
      <c r="AI177">
        <v>0</v>
      </c>
      <c r="AJ177">
        <v>0</v>
      </c>
      <c r="AK177">
        <v>21440</v>
      </c>
      <c r="AL177">
        <v>0</v>
      </c>
      <c r="AM177">
        <v>3840</v>
      </c>
      <c r="AN177">
        <v>-1152</v>
      </c>
      <c r="AO177">
        <v>0</v>
      </c>
      <c r="AP177"/>
      <c r="AQ177">
        <v>0</v>
      </c>
      <c r="AR177">
        <v>0</v>
      </c>
      <c r="AS177">
        <v>3840</v>
      </c>
      <c r="AT177">
        <v>-1152</v>
      </c>
      <c r="AU177">
        <v>0</v>
      </c>
      <c r="AW177">
        <v>0</v>
      </c>
      <c r="AX177">
        <v>0</v>
      </c>
      <c r="AY177">
        <v>16889.599999999999</v>
      </c>
      <c r="BA177" t="str">
        <f t="shared" si="27"/>
        <v>0000000000000</v>
      </c>
      <c r="BC177" t="str">
        <f>T("9791137602328")</f>
        <v>9791137602328</v>
      </c>
      <c r="BE177" t="str">
        <f t="shared" si="28"/>
        <v>판타지 e북 &gt; 현대 판타지</v>
      </c>
    </row>
    <row r="178" spans="1:58" x14ac:dyDescent="0.3">
      <c r="A178">
        <v>2313012817</v>
      </c>
      <c r="B178">
        <v>2313012835</v>
      </c>
      <c r="C178" t="str">
        <f>T("[e북]갓 오브 블랙필드 19권")</f>
        <v>[e북]갓 오브 블랙필드 19권</v>
      </c>
      <c r="D178" t="str">
        <f>T("19")</f>
        <v>19</v>
      </c>
      <c r="E178" t="str">
        <f t="shared" si="24"/>
        <v>무장</v>
      </c>
      <c r="H178" t="str">
        <f t="shared" si="25"/>
        <v>스토리위즈</v>
      </c>
      <c r="I178" t="str">
        <f t="shared" si="26"/>
        <v>[e북]갓 오브 블랙필드</v>
      </c>
      <c r="J178">
        <v>3200</v>
      </c>
      <c r="K178">
        <v>24640</v>
      </c>
      <c r="L178">
        <v>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24640</v>
      </c>
      <c r="AH178">
        <v>8</v>
      </c>
      <c r="AI178">
        <v>0</v>
      </c>
      <c r="AJ178">
        <v>0</v>
      </c>
      <c r="AK178">
        <v>18560</v>
      </c>
      <c r="AL178">
        <v>0</v>
      </c>
      <c r="AM178">
        <v>7296</v>
      </c>
      <c r="AN178">
        <v>-2188.8000000000002</v>
      </c>
      <c r="AO178">
        <v>0</v>
      </c>
      <c r="AP178"/>
      <c r="AQ178">
        <v>0</v>
      </c>
      <c r="AR178">
        <v>0</v>
      </c>
      <c r="AS178">
        <v>7296</v>
      </c>
      <c r="AT178">
        <v>-2188.8000000000002</v>
      </c>
      <c r="AU178">
        <v>0</v>
      </c>
      <c r="AW178">
        <v>0</v>
      </c>
      <c r="AX178">
        <v>0</v>
      </c>
      <c r="AY178">
        <v>16567.04</v>
      </c>
      <c r="BA178" t="str">
        <f t="shared" si="27"/>
        <v>0000000000000</v>
      </c>
      <c r="BC178" t="str">
        <f>T("9791137602342")</f>
        <v>9791137602342</v>
      </c>
      <c r="BE178" t="str">
        <f t="shared" si="28"/>
        <v>판타지 e북 &gt; 현대 판타지</v>
      </c>
    </row>
    <row r="179" spans="1:58" x14ac:dyDescent="0.3">
      <c r="A179">
        <v>2313012817</v>
      </c>
      <c r="B179">
        <v>2313012845</v>
      </c>
      <c r="C179" t="str">
        <f>T("[e북]갓 오브 블랙필드 2부 2권")</f>
        <v>[e북]갓 오브 블랙필드 2부 2권</v>
      </c>
      <c r="D179" t="str">
        <f>T("29")</f>
        <v>29</v>
      </c>
      <c r="E179" t="str">
        <f t="shared" si="24"/>
        <v>무장</v>
      </c>
      <c r="H179" t="str">
        <f t="shared" si="25"/>
        <v>스토리위즈</v>
      </c>
      <c r="I179" t="str">
        <f t="shared" si="26"/>
        <v>[e북]갓 오브 블랙필드</v>
      </c>
      <c r="J179">
        <v>3200</v>
      </c>
      <c r="K179">
        <v>24640</v>
      </c>
      <c r="L179">
        <v>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24640</v>
      </c>
      <c r="AH179">
        <v>8</v>
      </c>
      <c r="AI179">
        <v>0</v>
      </c>
      <c r="AJ179">
        <v>0</v>
      </c>
      <c r="AK179">
        <v>21440</v>
      </c>
      <c r="AL179">
        <v>0</v>
      </c>
      <c r="AM179">
        <v>3840</v>
      </c>
      <c r="AN179">
        <v>-1152</v>
      </c>
      <c r="AO179">
        <v>0</v>
      </c>
      <c r="AP179"/>
      <c r="AQ179">
        <v>0</v>
      </c>
      <c r="AR179">
        <v>0</v>
      </c>
      <c r="AS179">
        <v>3840</v>
      </c>
      <c r="AT179">
        <v>-1152</v>
      </c>
      <c r="AU179">
        <v>0</v>
      </c>
      <c r="AW179">
        <v>0</v>
      </c>
      <c r="AX179">
        <v>0</v>
      </c>
      <c r="AY179">
        <v>16889.599999999999</v>
      </c>
      <c r="BA179" t="str">
        <f t="shared" si="27"/>
        <v>0000000000000</v>
      </c>
      <c r="BC179" t="str">
        <f>T("9791137602441")</f>
        <v>9791137602441</v>
      </c>
      <c r="BE179" t="str">
        <f t="shared" si="28"/>
        <v>판타지 e북 &gt; 현대 판타지</v>
      </c>
    </row>
    <row r="180" spans="1:58" x14ac:dyDescent="0.3">
      <c r="A180">
        <v>2313012817</v>
      </c>
      <c r="B180">
        <v>2313012846</v>
      </c>
      <c r="C180" t="str">
        <f>T("[e북]갓 오브 블랙필드 2부 3권")</f>
        <v>[e북]갓 오브 블랙필드 2부 3권</v>
      </c>
      <c r="D180" t="str">
        <f>T("30")</f>
        <v>30</v>
      </c>
      <c r="E180" t="str">
        <f t="shared" si="24"/>
        <v>무장</v>
      </c>
      <c r="H180" t="str">
        <f t="shared" si="25"/>
        <v>스토리위즈</v>
      </c>
      <c r="I180" t="str">
        <f t="shared" si="26"/>
        <v>[e북]갓 오브 블랙필드</v>
      </c>
      <c r="J180">
        <v>3200</v>
      </c>
      <c r="K180">
        <v>24640</v>
      </c>
      <c r="L180">
        <v>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24640</v>
      </c>
      <c r="AH180">
        <v>8</v>
      </c>
      <c r="AI180">
        <v>0</v>
      </c>
      <c r="AJ180">
        <v>0</v>
      </c>
      <c r="AK180">
        <v>21440</v>
      </c>
      <c r="AL180">
        <v>0</v>
      </c>
      <c r="AM180">
        <v>3840</v>
      </c>
      <c r="AN180">
        <v>-1152</v>
      </c>
      <c r="AO180">
        <v>0</v>
      </c>
      <c r="AP180"/>
      <c r="AQ180">
        <v>0</v>
      </c>
      <c r="AR180">
        <v>0</v>
      </c>
      <c r="AS180">
        <v>3840</v>
      </c>
      <c r="AT180">
        <v>-1152</v>
      </c>
      <c r="AU180">
        <v>0</v>
      </c>
      <c r="AW180">
        <v>0</v>
      </c>
      <c r="AX180">
        <v>0</v>
      </c>
      <c r="AY180">
        <v>16889.599999999999</v>
      </c>
      <c r="BA180" t="str">
        <f t="shared" si="27"/>
        <v>0000000000000</v>
      </c>
      <c r="BC180" t="str">
        <f>T("9791137602458")</f>
        <v>9791137602458</v>
      </c>
      <c r="BE180" t="str">
        <f t="shared" si="28"/>
        <v>판타지 e북 &gt; 현대 판타지</v>
      </c>
    </row>
    <row r="181" spans="1:58" x14ac:dyDescent="0.3">
      <c r="A181">
        <v>2313012817</v>
      </c>
      <c r="B181">
        <v>2313012847</v>
      </c>
      <c r="C181" t="str">
        <f>T("[e북]갓 오브 블랙필드 2부 4권")</f>
        <v>[e북]갓 오브 블랙필드 2부 4권</v>
      </c>
      <c r="D181" t="str">
        <f>T("31")</f>
        <v>31</v>
      </c>
      <c r="E181" t="str">
        <f t="shared" si="24"/>
        <v>무장</v>
      </c>
      <c r="H181" t="str">
        <f t="shared" si="25"/>
        <v>스토리위즈</v>
      </c>
      <c r="I181" t="str">
        <f t="shared" si="26"/>
        <v>[e북]갓 오브 블랙필드</v>
      </c>
      <c r="J181">
        <v>3200</v>
      </c>
      <c r="K181">
        <v>24640</v>
      </c>
      <c r="L181">
        <v>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24640</v>
      </c>
      <c r="AH181">
        <v>8</v>
      </c>
      <c r="AI181">
        <v>0</v>
      </c>
      <c r="AJ181">
        <v>0</v>
      </c>
      <c r="AK181">
        <v>21440</v>
      </c>
      <c r="AL181">
        <v>0</v>
      </c>
      <c r="AM181">
        <v>3840</v>
      </c>
      <c r="AN181">
        <v>-1152</v>
      </c>
      <c r="AO181">
        <v>0</v>
      </c>
      <c r="AP181"/>
      <c r="AQ181">
        <v>0</v>
      </c>
      <c r="AR181">
        <v>0</v>
      </c>
      <c r="AS181">
        <v>3840</v>
      </c>
      <c r="AT181">
        <v>-1152</v>
      </c>
      <c r="AU181">
        <v>0</v>
      </c>
      <c r="AW181">
        <v>0</v>
      </c>
      <c r="AX181">
        <v>0</v>
      </c>
      <c r="AY181">
        <v>16889.599999999999</v>
      </c>
      <c r="BA181" t="str">
        <f t="shared" si="27"/>
        <v>0000000000000</v>
      </c>
      <c r="BC181" t="str">
        <f>T("9791137602465")</f>
        <v>9791137602465</v>
      </c>
      <c r="BE181" t="str">
        <f t="shared" si="28"/>
        <v>판타지 e북 &gt; 현대 판타지</v>
      </c>
    </row>
    <row r="182" spans="1:58" x14ac:dyDescent="0.3">
      <c r="A182">
        <v>2313021118</v>
      </c>
      <c r="B182">
        <v>2313021119</v>
      </c>
      <c r="C182" t="str">
        <f>T("[e북]지금, 덮치러 갑니다 2권 (완결)")</f>
        <v>[e북]지금, 덮치러 갑니다 2권 (완결)</v>
      </c>
      <c r="D182" t="str">
        <f>T("2")</f>
        <v>2</v>
      </c>
      <c r="E182" t="str">
        <f>T("먼나무")</f>
        <v>먼나무</v>
      </c>
      <c r="H182" t="str">
        <f>T("블레슈(Blesshuu)")</f>
        <v>블레슈(Blesshuu)</v>
      </c>
      <c r="I182" t="str">
        <f>T("[e북]지금, 덮치러 갑니다")</f>
        <v>[e북]지금, 덮치러 갑니다</v>
      </c>
      <c r="J182">
        <v>3500</v>
      </c>
      <c r="K182">
        <v>24500</v>
      </c>
      <c r="L182">
        <v>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24500</v>
      </c>
      <c r="AH182">
        <v>7</v>
      </c>
      <c r="AI182">
        <v>0</v>
      </c>
      <c r="AJ182">
        <v>0</v>
      </c>
      <c r="AK182">
        <v>21000</v>
      </c>
      <c r="AL182">
        <v>0</v>
      </c>
      <c r="AM182">
        <v>4207</v>
      </c>
      <c r="AN182">
        <v>-1262.0999999999999</v>
      </c>
      <c r="AO182">
        <v>0</v>
      </c>
      <c r="AP182">
        <v>4207</v>
      </c>
      <c r="AQ182">
        <v>-1262.0999999999999</v>
      </c>
      <c r="AR182">
        <v>0</v>
      </c>
      <c r="AT182">
        <v>0</v>
      </c>
      <c r="AU182">
        <v>0</v>
      </c>
      <c r="AW182">
        <v>0</v>
      </c>
      <c r="AX182">
        <v>0</v>
      </c>
      <c r="AY182">
        <v>16761.43</v>
      </c>
      <c r="BC182" t="str">
        <f>T("9791137607200")</f>
        <v>9791137607200</v>
      </c>
      <c r="BE182" t="str">
        <f>T("로맨스 e북 &gt; 현대물")</f>
        <v>로맨스 e북 &gt; 현대물</v>
      </c>
    </row>
    <row r="183" spans="1:58" x14ac:dyDescent="0.3">
      <c r="A183">
        <v>2313018628</v>
      </c>
      <c r="B183">
        <v>2313018629</v>
      </c>
      <c r="C183" t="str">
        <f>T("[e북]친절하기는 얼어 죽을 2권")</f>
        <v>[e북]친절하기는 얼어 죽을 2권</v>
      </c>
      <c r="D183" t="str">
        <f>T("2")</f>
        <v>2</v>
      </c>
      <c r="E183" t="str">
        <f>T("솜목화")</f>
        <v>솜목화</v>
      </c>
      <c r="H183" t="str">
        <f>T("블레슈(Blesshuu)")</f>
        <v>블레슈(Blesshuu)</v>
      </c>
      <c r="I183" t="str">
        <f>T("[e북]친절하기는 얼어 죽을")</f>
        <v>[e북]친절하기는 얼어 죽을</v>
      </c>
      <c r="J183">
        <v>2700</v>
      </c>
      <c r="K183">
        <v>24300</v>
      </c>
      <c r="L183">
        <v>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24300</v>
      </c>
      <c r="AH183">
        <v>9</v>
      </c>
      <c r="AI183">
        <v>0</v>
      </c>
      <c r="AJ183">
        <v>0</v>
      </c>
      <c r="AK183">
        <v>13770</v>
      </c>
      <c r="AL183">
        <v>0</v>
      </c>
      <c r="AM183">
        <v>12636</v>
      </c>
      <c r="AN183">
        <v>-3142.8</v>
      </c>
      <c r="AO183">
        <v>0</v>
      </c>
      <c r="AP183"/>
      <c r="AQ183">
        <v>0</v>
      </c>
      <c r="AR183">
        <v>0</v>
      </c>
      <c r="AS183">
        <v>12636</v>
      </c>
      <c r="AT183">
        <v>-3142.8</v>
      </c>
      <c r="AU183">
        <v>0</v>
      </c>
      <c r="AW183">
        <v>0</v>
      </c>
      <c r="AX183">
        <v>0</v>
      </c>
      <c r="AY183">
        <v>13957.92</v>
      </c>
      <c r="BC183" t="str">
        <f>T("9791137605459")</f>
        <v>9791137605459</v>
      </c>
      <c r="BE183" t="str">
        <f>T("로맨스 e북 &gt; 현대물")</f>
        <v>로맨스 e북 &gt; 현대물</v>
      </c>
    </row>
    <row r="184" spans="1:58" x14ac:dyDescent="0.3">
      <c r="B184">
        <v>2313018632</v>
      </c>
      <c r="C184" t="str">
        <f>T("[e북]오빠는 말이야")</f>
        <v>[e북]오빠는 말이야</v>
      </c>
      <c r="E184" t="str">
        <f>T("고은영")</f>
        <v>고은영</v>
      </c>
      <c r="H184" t="str">
        <f>T("블레슈(Blesshuu)")</f>
        <v>블레슈(Blesshuu)</v>
      </c>
      <c r="J184">
        <v>1500</v>
      </c>
      <c r="K184">
        <v>22500</v>
      </c>
      <c r="L184">
        <v>15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22500</v>
      </c>
      <c r="AH184">
        <v>15</v>
      </c>
      <c r="AI184">
        <v>0</v>
      </c>
      <c r="AJ184">
        <v>0</v>
      </c>
      <c r="AK184">
        <v>19800</v>
      </c>
      <c r="AL184">
        <v>0</v>
      </c>
      <c r="AM184">
        <v>3240</v>
      </c>
      <c r="AN184">
        <v>-972</v>
      </c>
      <c r="AO184">
        <v>0</v>
      </c>
      <c r="AP184">
        <v>1440</v>
      </c>
      <c r="AQ184">
        <v>-432</v>
      </c>
      <c r="AR184">
        <v>0</v>
      </c>
      <c r="AS184">
        <v>1800</v>
      </c>
      <c r="AT184">
        <v>-540</v>
      </c>
      <c r="AU184">
        <v>0</v>
      </c>
      <c r="AW184">
        <v>0</v>
      </c>
      <c r="AX184">
        <v>0</v>
      </c>
      <c r="AY184">
        <v>15447.6</v>
      </c>
      <c r="BC184" t="str">
        <f>T("9791137605886")</f>
        <v>9791137605886</v>
      </c>
      <c r="BE184" t="str">
        <f>T("로맨스 e북 &gt; 현대물")</f>
        <v>로맨스 e북 &gt; 현대물</v>
      </c>
    </row>
    <row r="185" spans="1:58" x14ac:dyDescent="0.3">
      <c r="A185">
        <v>2313006989</v>
      </c>
      <c r="B185">
        <v>2313007003</v>
      </c>
      <c r="C185" t="str">
        <f>T("[e북]로드 오브 머니 15권 (완결)")</f>
        <v>[e북]로드 오브 머니 15권 (완결)</v>
      </c>
      <c r="D185" t="str">
        <f>T("15")</f>
        <v>15</v>
      </c>
      <c r="E185" t="str">
        <f>T("무장")</f>
        <v>무장</v>
      </c>
      <c r="H185" t="str">
        <f t="shared" ref="H185:H190" si="29">T("스토리위즈")</f>
        <v>스토리위즈</v>
      </c>
      <c r="I185" t="str">
        <f>T("[e북]로드 오브 머니")</f>
        <v>[e북]로드 오브 머니</v>
      </c>
      <c r="J185">
        <v>3200</v>
      </c>
      <c r="K185">
        <v>22400</v>
      </c>
      <c r="L185">
        <v>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22400</v>
      </c>
      <c r="AH185">
        <v>7</v>
      </c>
      <c r="AI185">
        <v>0</v>
      </c>
      <c r="AJ185">
        <v>0</v>
      </c>
      <c r="AK185">
        <v>15263</v>
      </c>
      <c r="AL185">
        <v>0</v>
      </c>
      <c r="AM185">
        <v>8564.4</v>
      </c>
      <c r="AN185">
        <v>-1033.32</v>
      </c>
      <c r="AO185">
        <v>0</v>
      </c>
      <c r="AP185"/>
      <c r="AQ185">
        <v>0</v>
      </c>
      <c r="AR185">
        <v>0</v>
      </c>
      <c r="AS185">
        <v>8564.4</v>
      </c>
      <c r="AT185">
        <v>-1033.32</v>
      </c>
      <c r="AU185">
        <v>0</v>
      </c>
      <c r="AW185">
        <v>0</v>
      </c>
      <c r="AX185">
        <v>0</v>
      </c>
      <c r="AY185">
        <v>15955.86</v>
      </c>
      <c r="BC185" t="str">
        <f>T("9791188630240")</f>
        <v>9791188630240</v>
      </c>
      <c r="BE185" t="str">
        <f>T("판타지 e북 &gt; 현대 판타지")</f>
        <v>판타지 e북 &gt; 현대 판타지</v>
      </c>
    </row>
    <row r="186" spans="1:58" x14ac:dyDescent="0.3">
      <c r="A186">
        <v>2313008324</v>
      </c>
      <c r="B186">
        <v>2313008325</v>
      </c>
      <c r="C186" t="str">
        <f>T("[e북]간신이 나라를 살림 2권")</f>
        <v>[e북]간신이 나라를 살림 2권</v>
      </c>
      <c r="D186" t="str">
        <f>T("2")</f>
        <v>2</v>
      </c>
      <c r="E186" t="str">
        <f>T("루이세")</f>
        <v>루이세</v>
      </c>
      <c r="H186" t="str">
        <f t="shared" si="29"/>
        <v>스토리위즈</v>
      </c>
      <c r="I186" t="str">
        <f>T("[e북]간신이 나라를 살림")</f>
        <v>[e북]간신이 나라를 살림</v>
      </c>
      <c r="J186">
        <v>3200</v>
      </c>
      <c r="K186">
        <v>22400</v>
      </c>
      <c r="L186">
        <v>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121600</v>
      </c>
      <c r="T186">
        <v>76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-6400</v>
      </c>
      <c r="AD186">
        <v>4</v>
      </c>
      <c r="AE186">
        <v>0</v>
      </c>
      <c r="AF186">
        <v>0</v>
      </c>
      <c r="AG186">
        <v>144000</v>
      </c>
      <c r="AH186">
        <v>83</v>
      </c>
      <c r="AI186">
        <v>-6400</v>
      </c>
      <c r="AJ186">
        <v>4</v>
      </c>
      <c r="AK186">
        <v>132139</v>
      </c>
      <c r="AL186">
        <v>-6400</v>
      </c>
      <c r="AM186">
        <v>14233.2</v>
      </c>
      <c r="AN186">
        <v>-3587.4</v>
      </c>
      <c r="AO186">
        <v>0</v>
      </c>
      <c r="AP186">
        <v>1168.8</v>
      </c>
      <c r="AQ186">
        <v>-350.64</v>
      </c>
      <c r="AR186">
        <v>0</v>
      </c>
      <c r="AS186">
        <v>13064.4</v>
      </c>
      <c r="AT186">
        <v>-3236.76</v>
      </c>
      <c r="AU186">
        <v>0</v>
      </c>
      <c r="AW186">
        <v>0</v>
      </c>
      <c r="AX186">
        <v>0</v>
      </c>
      <c r="AY186">
        <v>95469.35</v>
      </c>
      <c r="BC186" t="str">
        <f>T("9791165310721")</f>
        <v>9791165310721</v>
      </c>
      <c r="BE186" t="str">
        <f>T("판타지 e북 &gt; 퓨전 판타지")</f>
        <v>판타지 e북 &gt; 퓨전 판타지</v>
      </c>
    </row>
    <row r="187" spans="1:58" x14ac:dyDescent="0.3">
      <c r="A187">
        <v>2313011938</v>
      </c>
      <c r="B187">
        <v>2313015166</v>
      </c>
      <c r="C187" t="str">
        <f>T("[e북]최종 보스 : 빛을 향해 달리는 그림자 2부 21권")</f>
        <v>[e북]최종 보스 : 빛을 향해 달리는 그림자 2부 21권</v>
      </c>
      <c r="D187" t="str">
        <f>T("21")</f>
        <v>21</v>
      </c>
      <c r="E187" t="str">
        <f>T("무장")</f>
        <v>무장</v>
      </c>
      <c r="H187" t="str">
        <f t="shared" si="29"/>
        <v>스토리위즈</v>
      </c>
      <c r="I187" t="str">
        <f>T("[e북]최종 보스 : 빛을 향해 달리는 그림자")</f>
        <v>[e북]최종 보스 : 빛을 향해 달리는 그림자</v>
      </c>
      <c r="J187">
        <v>3200</v>
      </c>
      <c r="K187">
        <v>22400</v>
      </c>
      <c r="L187">
        <v>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22400</v>
      </c>
      <c r="AH187">
        <v>7</v>
      </c>
      <c r="AI187">
        <v>0</v>
      </c>
      <c r="AJ187">
        <v>0</v>
      </c>
      <c r="AK187">
        <v>16000</v>
      </c>
      <c r="AL187">
        <v>0</v>
      </c>
      <c r="AM187">
        <v>7680</v>
      </c>
      <c r="AN187">
        <v>-768</v>
      </c>
      <c r="AO187">
        <v>0</v>
      </c>
      <c r="AP187"/>
      <c r="AQ187">
        <v>0</v>
      </c>
      <c r="AR187">
        <v>0</v>
      </c>
      <c r="AS187">
        <v>7680</v>
      </c>
      <c r="AT187">
        <v>-768</v>
      </c>
      <c r="AU187">
        <v>0</v>
      </c>
      <c r="AW187">
        <v>0</v>
      </c>
      <c r="AX187">
        <v>0</v>
      </c>
      <c r="AY187">
        <v>16038.4</v>
      </c>
      <c r="BC187" t="str">
        <f>T("9791137601178")</f>
        <v>9791137601178</v>
      </c>
      <c r="BE187" t="str">
        <f>T("판타지 e북 &gt; 현대 판타지")</f>
        <v>판타지 e북 &gt; 현대 판타지</v>
      </c>
    </row>
    <row r="188" spans="1:58" x14ac:dyDescent="0.3">
      <c r="A188">
        <v>2313011938</v>
      </c>
      <c r="B188">
        <v>2313015167</v>
      </c>
      <c r="C188" t="str">
        <f>T("[e북]최종 보스 : 빛을 향해 달리는 그림자 2부 22권")</f>
        <v>[e북]최종 보스 : 빛을 향해 달리는 그림자 2부 22권</v>
      </c>
      <c r="D188" t="str">
        <f>T("22")</f>
        <v>22</v>
      </c>
      <c r="E188" t="str">
        <f>T("무장")</f>
        <v>무장</v>
      </c>
      <c r="H188" t="str">
        <f t="shared" si="29"/>
        <v>스토리위즈</v>
      </c>
      <c r="I188" t="str">
        <f>T("[e북]최종 보스 : 빛을 향해 달리는 그림자")</f>
        <v>[e북]최종 보스 : 빛을 향해 달리는 그림자</v>
      </c>
      <c r="J188">
        <v>3200</v>
      </c>
      <c r="K188">
        <v>22400</v>
      </c>
      <c r="L188">
        <v>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22400</v>
      </c>
      <c r="AH188">
        <v>7</v>
      </c>
      <c r="AI188">
        <v>0</v>
      </c>
      <c r="AJ188">
        <v>0</v>
      </c>
      <c r="AK188">
        <v>18700</v>
      </c>
      <c r="AL188">
        <v>0</v>
      </c>
      <c r="AM188">
        <v>4440</v>
      </c>
      <c r="AN188">
        <v>-444</v>
      </c>
      <c r="AO188">
        <v>0</v>
      </c>
      <c r="AP188"/>
      <c r="AQ188">
        <v>0</v>
      </c>
      <c r="AR188">
        <v>0</v>
      </c>
      <c r="AS188">
        <v>4440</v>
      </c>
      <c r="AT188">
        <v>-444</v>
      </c>
      <c r="AU188">
        <v>0</v>
      </c>
      <c r="AW188">
        <v>0</v>
      </c>
      <c r="AX188">
        <v>0</v>
      </c>
      <c r="AY188">
        <v>15887.2</v>
      </c>
      <c r="BC188" t="str">
        <f>T("9791137601178")</f>
        <v>9791137601178</v>
      </c>
      <c r="BE188" t="str">
        <f>T("판타지 e북 &gt; 현대 판타지")</f>
        <v>판타지 e북 &gt; 현대 판타지</v>
      </c>
    </row>
    <row r="189" spans="1:58" x14ac:dyDescent="0.3">
      <c r="A189">
        <v>2313011938</v>
      </c>
      <c r="B189">
        <v>2313015169</v>
      </c>
      <c r="C189" t="str">
        <f>T("[e북]최종 보스 : 빛을 향해 달리는 그림자 2부 24권")</f>
        <v>[e북]최종 보스 : 빛을 향해 달리는 그림자 2부 24권</v>
      </c>
      <c r="D189" t="str">
        <f>T("24")</f>
        <v>24</v>
      </c>
      <c r="E189" t="str">
        <f>T("무장")</f>
        <v>무장</v>
      </c>
      <c r="H189" t="str">
        <f t="shared" si="29"/>
        <v>스토리위즈</v>
      </c>
      <c r="I189" t="str">
        <f>T("[e북]최종 보스 : 빛을 향해 달리는 그림자")</f>
        <v>[e북]최종 보스 : 빛을 향해 달리는 그림자</v>
      </c>
      <c r="J189">
        <v>3200</v>
      </c>
      <c r="K189">
        <v>22400</v>
      </c>
      <c r="L189">
        <v>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22400</v>
      </c>
      <c r="AH189">
        <v>7</v>
      </c>
      <c r="AI189">
        <v>0</v>
      </c>
      <c r="AJ189">
        <v>0</v>
      </c>
      <c r="AK189">
        <v>16000</v>
      </c>
      <c r="AL189">
        <v>0</v>
      </c>
      <c r="AM189">
        <v>7680</v>
      </c>
      <c r="AN189">
        <v>-768</v>
      </c>
      <c r="AO189">
        <v>0</v>
      </c>
      <c r="AP189"/>
      <c r="AQ189">
        <v>0</v>
      </c>
      <c r="AR189">
        <v>0</v>
      </c>
      <c r="AS189">
        <v>7680</v>
      </c>
      <c r="AT189">
        <v>-768</v>
      </c>
      <c r="AU189">
        <v>0</v>
      </c>
      <c r="AW189">
        <v>0</v>
      </c>
      <c r="AX189">
        <v>0</v>
      </c>
      <c r="AY189">
        <v>16038.4</v>
      </c>
      <c r="BC189" t="str">
        <f>T("9791137601178")</f>
        <v>9791137601178</v>
      </c>
      <c r="BE189" t="str">
        <f>T("판타지 e북 &gt; 현대 판타지")</f>
        <v>판타지 e북 &gt; 현대 판타지</v>
      </c>
    </row>
    <row r="190" spans="1:58" x14ac:dyDescent="0.3">
      <c r="A190">
        <v>2313011938</v>
      </c>
      <c r="B190">
        <v>2313015170</v>
      </c>
      <c r="C190" t="str">
        <f>T("[e북]최종 보스 : 빛을 향해 달리는 그림자 2부 25권")</f>
        <v>[e북]최종 보스 : 빛을 향해 달리는 그림자 2부 25권</v>
      </c>
      <c r="D190" t="str">
        <f>T("25")</f>
        <v>25</v>
      </c>
      <c r="E190" t="str">
        <f>T("무장")</f>
        <v>무장</v>
      </c>
      <c r="H190" t="str">
        <f t="shared" si="29"/>
        <v>스토리위즈</v>
      </c>
      <c r="I190" t="str">
        <f>T("[e북]최종 보스 : 빛을 향해 달리는 그림자")</f>
        <v>[e북]최종 보스 : 빛을 향해 달리는 그림자</v>
      </c>
      <c r="J190">
        <v>3200</v>
      </c>
      <c r="K190">
        <v>22400</v>
      </c>
      <c r="L190">
        <v>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22400</v>
      </c>
      <c r="AH190">
        <v>7</v>
      </c>
      <c r="AI190">
        <v>0</v>
      </c>
      <c r="AJ190">
        <v>0</v>
      </c>
      <c r="AK190">
        <v>16000</v>
      </c>
      <c r="AL190">
        <v>0</v>
      </c>
      <c r="AM190">
        <v>7680</v>
      </c>
      <c r="AN190">
        <v>-768</v>
      </c>
      <c r="AO190">
        <v>0</v>
      </c>
      <c r="AP190"/>
      <c r="AQ190">
        <v>0</v>
      </c>
      <c r="AR190">
        <v>0</v>
      </c>
      <c r="AS190">
        <v>7680</v>
      </c>
      <c r="AT190">
        <v>-768</v>
      </c>
      <c r="AU190">
        <v>0</v>
      </c>
      <c r="AW190">
        <v>0</v>
      </c>
      <c r="AX190">
        <v>0</v>
      </c>
      <c r="AY190">
        <v>16038.4</v>
      </c>
      <c r="BC190" t="str">
        <f>T("9791137601178")</f>
        <v>9791137601178</v>
      </c>
      <c r="BE190" t="str">
        <f>T("판타지 e북 &gt; 현대 판타지")</f>
        <v>판타지 e북 &gt; 현대 판타지</v>
      </c>
    </row>
    <row r="191" spans="1:58" x14ac:dyDescent="0.3">
      <c r="A191">
        <v>2313018097</v>
      </c>
      <c r="B191">
        <v>2313018097</v>
      </c>
      <c r="C191" t="str">
        <f>T("[e북]소투스 에스(SOTUS S) 1권")</f>
        <v>[e북]소투스 에스(SOTUS S) 1권</v>
      </c>
      <c r="D191" t="str">
        <f>T("1")</f>
        <v>1</v>
      </c>
      <c r="E191" t="str">
        <f>T("BitterSweet")</f>
        <v>BitterSweet</v>
      </c>
      <c r="F191" t="str">
        <f>T("이범근")</f>
        <v>이범근</v>
      </c>
      <c r="H191" t="str">
        <f>T("도서출판 태랑")</f>
        <v>도서출판 태랑</v>
      </c>
      <c r="I191" t="str">
        <f>T("[e북]소투스 에스(SOTUS S)")</f>
        <v>[e북]소투스 에스(SOTUS S)</v>
      </c>
      <c r="J191">
        <v>3700</v>
      </c>
      <c r="K191">
        <v>22200</v>
      </c>
      <c r="L191">
        <v>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22200</v>
      </c>
      <c r="AH191">
        <v>6</v>
      </c>
      <c r="AI191">
        <v>0</v>
      </c>
      <c r="AJ191">
        <v>0</v>
      </c>
      <c r="AK191">
        <v>22200</v>
      </c>
      <c r="AL191">
        <v>0</v>
      </c>
      <c r="AM191">
        <v>0</v>
      </c>
      <c r="AN191">
        <v>0</v>
      </c>
      <c r="AO191">
        <v>0</v>
      </c>
      <c r="AP191"/>
      <c r="AQ191">
        <v>0</v>
      </c>
      <c r="AR191">
        <v>0</v>
      </c>
      <c r="AT191">
        <v>0</v>
      </c>
      <c r="AU191">
        <v>0</v>
      </c>
      <c r="AW191">
        <v>0</v>
      </c>
      <c r="AX191">
        <v>0</v>
      </c>
      <c r="AY191">
        <v>15540</v>
      </c>
      <c r="BC191" t="str">
        <f>T("9791164375066")</f>
        <v>9791164375066</v>
      </c>
      <c r="BE191" t="str">
        <f>T("BL 소설 e북 &gt; 현대물")</f>
        <v>BL 소설 e북 &gt; 현대물</v>
      </c>
    </row>
    <row r="192" spans="1:58" x14ac:dyDescent="0.3">
      <c r="B192">
        <v>2313019793</v>
      </c>
      <c r="C192" t="str">
        <f>T("[e북]전남편의 놀잇감")</f>
        <v>[e북]전남편의 놀잇감</v>
      </c>
      <c r="E192" t="str">
        <f>T("마뇽")</f>
        <v>마뇽</v>
      </c>
      <c r="H192" t="str">
        <f>T("도서출판 태랑")</f>
        <v>도서출판 태랑</v>
      </c>
      <c r="J192">
        <v>2200</v>
      </c>
      <c r="K192">
        <v>22000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22000</v>
      </c>
      <c r="AH192">
        <v>10</v>
      </c>
      <c r="AI192">
        <v>0</v>
      </c>
      <c r="AJ192">
        <v>0</v>
      </c>
      <c r="AK192">
        <v>22000</v>
      </c>
      <c r="AL192">
        <v>0</v>
      </c>
      <c r="AM192">
        <v>0</v>
      </c>
      <c r="AN192">
        <v>0</v>
      </c>
      <c r="AO192">
        <v>0</v>
      </c>
      <c r="AP192"/>
      <c r="AQ192">
        <v>0</v>
      </c>
      <c r="AR192">
        <v>0</v>
      </c>
      <c r="AT192">
        <v>0</v>
      </c>
      <c r="AU192">
        <v>0</v>
      </c>
      <c r="AW192">
        <v>0</v>
      </c>
      <c r="AX192">
        <v>0</v>
      </c>
      <c r="AY192">
        <v>15400</v>
      </c>
      <c r="BC192" t="str">
        <f>T("9791137606753")</f>
        <v>9791137606753</v>
      </c>
      <c r="BE192" t="str">
        <f>T("로맨스 e북 &gt; 현대물")</f>
        <v>로맨스 e북 &gt; 현대물</v>
      </c>
      <c r="BF192" t="str">
        <f>T("로맨스 e북 &gt; 19+")</f>
        <v>로맨스 e북 &gt; 19+</v>
      </c>
    </row>
    <row r="193" spans="1:58" x14ac:dyDescent="0.3">
      <c r="A193">
        <v>2313016828</v>
      </c>
      <c r="B193">
        <v>2313016826</v>
      </c>
      <c r="C193" t="str">
        <f>T("[e북]천 개의 별 이야기(A Tale of Thousand Stars) 3권 (완결)")</f>
        <v>[e북]천 개의 별 이야기(A Tale of Thousand Stars) 3권 (완결)</v>
      </c>
      <c r="D193" t="str">
        <f>T("3")</f>
        <v>3</v>
      </c>
      <c r="E193" t="str">
        <f>T("Bacteria")</f>
        <v>Bacteria</v>
      </c>
      <c r="F193" t="str">
        <f>T("이범근")</f>
        <v>이범근</v>
      </c>
      <c r="H193" t="str">
        <f>T("도서출판 태랑")</f>
        <v>도서출판 태랑</v>
      </c>
      <c r="I193" t="str">
        <f>T("[e북]천 개의 별 이야기(A Tale of Thousand Stars)")</f>
        <v>[e북]천 개의 별 이야기(A Tale of Thousand Stars)</v>
      </c>
      <c r="J193">
        <v>2700</v>
      </c>
      <c r="K193">
        <v>21600</v>
      </c>
      <c r="L193">
        <v>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21600</v>
      </c>
      <c r="AH193">
        <v>8</v>
      </c>
      <c r="AI193">
        <v>0</v>
      </c>
      <c r="AJ193">
        <v>0</v>
      </c>
      <c r="AK193">
        <v>21600</v>
      </c>
      <c r="AL193">
        <v>0</v>
      </c>
      <c r="AM193">
        <v>0</v>
      </c>
      <c r="AN193">
        <v>0</v>
      </c>
      <c r="AO193">
        <v>0</v>
      </c>
      <c r="AP193"/>
      <c r="AQ193">
        <v>0</v>
      </c>
      <c r="AR193">
        <v>0</v>
      </c>
      <c r="AT193">
        <v>0</v>
      </c>
      <c r="AU193">
        <v>0</v>
      </c>
      <c r="AW193">
        <v>0</v>
      </c>
      <c r="AX193">
        <v>0</v>
      </c>
      <c r="AY193">
        <v>15120</v>
      </c>
      <c r="BC193" t="str">
        <f>T("9791137607149")</f>
        <v>9791137607149</v>
      </c>
      <c r="BE193" t="str">
        <f>T("BL 소설 e북 &gt; 해외 소설")</f>
        <v>BL 소설 e북 &gt; 해외 소설</v>
      </c>
    </row>
    <row r="194" spans="1:58" x14ac:dyDescent="0.3">
      <c r="A194">
        <v>2313018628</v>
      </c>
      <c r="B194">
        <v>2313018630</v>
      </c>
      <c r="C194" t="str">
        <f>T("[e북]친절하기는 얼어 죽을 3권")</f>
        <v>[e북]친절하기는 얼어 죽을 3권</v>
      </c>
      <c r="D194" t="str">
        <f>T("3")</f>
        <v>3</v>
      </c>
      <c r="E194" t="str">
        <f>T("솜목화")</f>
        <v>솜목화</v>
      </c>
      <c r="H194" t="str">
        <f>T("블레슈(Blesshuu)")</f>
        <v>블레슈(Blesshuu)</v>
      </c>
      <c r="I194" t="str">
        <f>T("[e북]친절하기는 얼어 죽을")</f>
        <v>[e북]친절하기는 얼어 죽을</v>
      </c>
      <c r="J194">
        <v>2700</v>
      </c>
      <c r="K194">
        <v>21600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21600</v>
      </c>
      <c r="AH194">
        <v>8</v>
      </c>
      <c r="AI194">
        <v>0</v>
      </c>
      <c r="AJ194">
        <v>0</v>
      </c>
      <c r="AK194">
        <v>11070</v>
      </c>
      <c r="AL194">
        <v>0</v>
      </c>
      <c r="AM194">
        <v>12636</v>
      </c>
      <c r="AN194">
        <v>-3142.8</v>
      </c>
      <c r="AO194">
        <v>0</v>
      </c>
      <c r="AP194"/>
      <c r="AQ194">
        <v>0</v>
      </c>
      <c r="AR194">
        <v>0</v>
      </c>
      <c r="AS194">
        <v>12636</v>
      </c>
      <c r="AT194">
        <v>-3142.8</v>
      </c>
      <c r="AU194">
        <v>0</v>
      </c>
      <c r="AW194">
        <v>0</v>
      </c>
      <c r="AX194">
        <v>0</v>
      </c>
      <c r="AY194">
        <v>12337.92</v>
      </c>
      <c r="BC194" t="str">
        <f>T("9791137605466")</f>
        <v>9791137605466</v>
      </c>
      <c r="BE194" t="str">
        <f>T("로맨스 e북 &gt; 현대물")</f>
        <v>로맨스 e북 &gt; 현대물</v>
      </c>
    </row>
    <row r="195" spans="1:58" x14ac:dyDescent="0.3">
      <c r="A195">
        <v>2313012817</v>
      </c>
      <c r="B195">
        <v>2313012836</v>
      </c>
      <c r="C195" t="str">
        <f>T("[e북]갓 오브 블랙필드 20권")</f>
        <v>[e북]갓 오브 블랙필드 20권</v>
      </c>
      <c r="D195" t="str">
        <f>T("20")</f>
        <v>20</v>
      </c>
      <c r="E195" t="str">
        <f>T("무장")</f>
        <v>무장</v>
      </c>
      <c r="H195" t="str">
        <f>T("스토리위즈")</f>
        <v>스토리위즈</v>
      </c>
      <c r="I195" t="str">
        <f>T("[e북]갓 오브 블랙필드")</f>
        <v>[e북]갓 오브 블랙필드</v>
      </c>
      <c r="J195">
        <v>3200</v>
      </c>
      <c r="K195">
        <v>21440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21440</v>
      </c>
      <c r="AH195">
        <v>7</v>
      </c>
      <c r="AI195">
        <v>0</v>
      </c>
      <c r="AJ195">
        <v>0</v>
      </c>
      <c r="AK195">
        <v>18560</v>
      </c>
      <c r="AL195">
        <v>0</v>
      </c>
      <c r="AM195">
        <v>3456</v>
      </c>
      <c r="AN195">
        <v>-345.6</v>
      </c>
      <c r="AO195">
        <v>0</v>
      </c>
      <c r="AP195"/>
      <c r="AQ195">
        <v>0</v>
      </c>
      <c r="AR195">
        <v>0</v>
      </c>
      <c r="AS195">
        <v>3456</v>
      </c>
      <c r="AT195">
        <v>-345.6</v>
      </c>
      <c r="AU195">
        <v>0</v>
      </c>
      <c r="AW195">
        <v>0</v>
      </c>
      <c r="AX195">
        <v>0</v>
      </c>
      <c r="AY195">
        <v>15169.28</v>
      </c>
      <c r="BA195" t="str">
        <f>T("0000000000000")</f>
        <v>0000000000000</v>
      </c>
      <c r="BC195" t="str">
        <f>T("9791137602359")</f>
        <v>9791137602359</v>
      </c>
      <c r="BE195" t="str">
        <f>T("판타지 e북 &gt; 현대 판타지")</f>
        <v>판타지 e북 &gt; 현대 판타지</v>
      </c>
    </row>
    <row r="196" spans="1:58" x14ac:dyDescent="0.3">
      <c r="A196">
        <v>2313012817</v>
      </c>
      <c r="B196">
        <v>2313012837</v>
      </c>
      <c r="C196" t="str">
        <f>T("[e북]갓 오브 블랙필드 21권")</f>
        <v>[e북]갓 오브 블랙필드 21권</v>
      </c>
      <c r="D196" t="str">
        <f>T("21")</f>
        <v>21</v>
      </c>
      <c r="E196" t="str">
        <f>T("무장")</f>
        <v>무장</v>
      </c>
      <c r="H196" t="str">
        <f>T("스토리위즈")</f>
        <v>스토리위즈</v>
      </c>
      <c r="I196" t="str">
        <f>T("[e북]갓 오브 블랙필드")</f>
        <v>[e북]갓 오브 블랙필드</v>
      </c>
      <c r="J196">
        <v>3200</v>
      </c>
      <c r="K196">
        <v>21440</v>
      </c>
      <c r="L196">
        <v>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21440</v>
      </c>
      <c r="AH196">
        <v>7</v>
      </c>
      <c r="AI196">
        <v>0</v>
      </c>
      <c r="AJ196">
        <v>0</v>
      </c>
      <c r="AK196">
        <v>18560</v>
      </c>
      <c r="AL196">
        <v>0</v>
      </c>
      <c r="AM196">
        <v>3456</v>
      </c>
      <c r="AN196">
        <v>-345.6</v>
      </c>
      <c r="AO196">
        <v>0</v>
      </c>
      <c r="AP196"/>
      <c r="AQ196">
        <v>0</v>
      </c>
      <c r="AR196">
        <v>0</v>
      </c>
      <c r="AS196">
        <v>3456</v>
      </c>
      <c r="AT196">
        <v>-345.6</v>
      </c>
      <c r="AU196">
        <v>0</v>
      </c>
      <c r="AW196">
        <v>0</v>
      </c>
      <c r="AX196">
        <v>0</v>
      </c>
      <c r="AY196">
        <v>15169.28</v>
      </c>
      <c r="BA196" t="str">
        <f>T("0000000000000")</f>
        <v>0000000000000</v>
      </c>
      <c r="BC196" t="str">
        <f>T("9791137602366")</f>
        <v>9791137602366</v>
      </c>
      <c r="BE196" t="str">
        <f>T("판타지 e북 &gt; 현대 판타지")</f>
        <v>판타지 e북 &gt; 현대 판타지</v>
      </c>
    </row>
    <row r="197" spans="1:58" x14ac:dyDescent="0.3">
      <c r="A197">
        <v>2313012817</v>
      </c>
      <c r="B197">
        <v>2313012838</v>
      </c>
      <c r="C197" t="str">
        <f>T("[e북]갓 오브 블랙필드 22권")</f>
        <v>[e북]갓 오브 블랙필드 22권</v>
      </c>
      <c r="D197" t="str">
        <f>T("22")</f>
        <v>22</v>
      </c>
      <c r="E197" t="str">
        <f>T("무장")</f>
        <v>무장</v>
      </c>
      <c r="H197" t="str">
        <f>T("스토리위즈")</f>
        <v>스토리위즈</v>
      </c>
      <c r="I197" t="str">
        <f>T("[e북]갓 오브 블랙필드")</f>
        <v>[e북]갓 오브 블랙필드</v>
      </c>
      <c r="J197">
        <v>3200</v>
      </c>
      <c r="K197">
        <v>21440</v>
      </c>
      <c r="L197">
        <v>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21440</v>
      </c>
      <c r="AH197">
        <v>7</v>
      </c>
      <c r="AI197">
        <v>0</v>
      </c>
      <c r="AJ197">
        <v>0</v>
      </c>
      <c r="AK197">
        <v>20403</v>
      </c>
      <c r="AL197">
        <v>0</v>
      </c>
      <c r="AM197">
        <v>1244.4000000000001</v>
      </c>
      <c r="AN197">
        <v>-124.44</v>
      </c>
      <c r="AO197">
        <v>0</v>
      </c>
      <c r="AP197"/>
      <c r="AQ197">
        <v>0</v>
      </c>
      <c r="AR197">
        <v>0</v>
      </c>
      <c r="AS197">
        <v>1244.4000000000001</v>
      </c>
      <c r="AT197">
        <v>-124.44</v>
      </c>
      <c r="AU197">
        <v>0</v>
      </c>
      <c r="AW197">
        <v>0</v>
      </c>
      <c r="AX197">
        <v>0</v>
      </c>
      <c r="AY197">
        <v>15066.07</v>
      </c>
      <c r="BA197" t="str">
        <f>T("0000000000000")</f>
        <v>0000000000000</v>
      </c>
      <c r="BC197" t="str">
        <f>T("9791137602373")</f>
        <v>9791137602373</v>
      </c>
      <c r="BE197" t="str">
        <f>T("판타지 e북 &gt; 현대 판타지")</f>
        <v>판타지 e북 &gt; 현대 판타지</v>
      </c>
    </row>
    <row r="198" spans="1:58" x14ac:dyDescent="0.3">
      <c r="A198">
        <v>2313012817</v>
      </c>
      <c r="B198">
        <v>2313012841</v>
      </c>
      <c r="C198" t="str">
        <f>T("[e북]갓 오브 블랙필드 외전 1권")</f>
        <v>[e북]갓 오브 블랙필드 외전 1권</v>
      </c>
      <c r="D198" t="str">
        <f>T("25")</f>
        <v>25</v>
      </c>
      <c r="E198" t="str">
        <f>T("무장")</f>
        <v>무장</v>
      </c>
      <c r="H198" t="str">
        <f>T("스토리위즈")</f>
        <v>스토리위즈</v>
      </c>
      <c r="I198" t="str">
        <f>T("[e북]갓 오브 블랙필드")</f>
        <v>[e북]갓 오브 블랙필드</v>
      </c>
      <c r="J198">
        <v>3200</v>
      </c>
      <c r="K198">
        <v>21440</v>
      </c>
      <c r="L198">
        <v>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21440</v>
      </c>
      <c r="AH198">
        <v>7</v>
      </c>
      <c r="AI198">
        <v>0</v>
      </c>
      <c r="AJ198">
        <v>0</v>
      </c>
      <c r="AK198">
        <v>21440</v>
      </c>
      <c r="AL198">
        <v>0</v>
      </c>
      <c r="AM198">
        <v>0</v>
      </c>
      <c r="AN198">
        <v>0</v>
      </c>
      <c r="AO198">
        <v>0</v>
      </c>
      <c r="AP198"/>
      <c r="AQ198">
        <v>0</v>
      </c>
      <c r="AR198">
        <v>0</v>
      </c>
      <c r="AT198">
        <v>0</v>
      </c>
      <c r="AU198">
        <v>0</v>
      </c>
      <c r="AW198">
        <v>0</v>
      </c>
      <c r="AX198">
        <v>0</v>
      </c>
      <c r="AY198">
        <v>15008</v>
      </c>
      <c r="BA198" t="str">
        <f>T("0000000000000")</f>
        <v>0000000000000</v>
      </c>
      <c r="BC198" t="str">
        <f>T("9791137602403")</f>
        <v>9791137602403</v>
      </c>
      <c r="BE198" t="str">
        <f>T("판타지 e북 &gt; 현대 판타지")</f>
        <v>판타지 e북 &gt; 현대 판타지</v>
      </c>
    </row>
    <row r="199" spans="1:58" x14ac:dyDescent="0.3">
      <c r="A199">
        <v>2313016859</v>
      </c>
      <c r="B199">
        <v>2313016858</v>
      </c>
      <c r="C199" t="str">
        <f>T("[e북]거짓말 2권 (완결)")</f>
        <v>[e북]거짓말 2권 (완결)</v>
      </c>
      <c r="D199" t="str">
        <f>T("2")</f>
        <v>2</v>
      </c>
      <c r="E199" t="str">
        <f>T("마뇽")</f>
        <v>마뇽</v>
      </c>
      <c r="H199" t="str">
        <f>T("도서출판 태랑")</f>
        <v>도서출판 태랑</v>
      </c>
      <c r="I199" t="str">
        <f>T("[e북]거짓말")</f>
        <v>[e북]거짓말</v>
      </c>
      <c r="J199">
        <v>3000</v>
      </c>
      <c r="K199">
        <v>21000</v>
      </c>
      <c r="L199">
        <v>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21000</v>
      </c>
      <c r="AH199">
        <v>7</v>
      </c>
      <c r="AI199">
        <v>0</v>
      </c>
      <c r="AJ199">
        <v>0</v>
      </c>
      <c r="AK199">
        <v>18000</v>
      </c>
      <c r="AL199">
        <v>0</v>
      </c>
      <c r="AM199">
        <v>3600</v>
      </c>
      <c r="AN199">
        <v>-1080</v>
      </c>
      <c r="AO199">
        <v>0</v>
      </c>
      <c r="AP199">
        <v>3600</v>
      </c>
      <c r="AQ199">
        <v>-1080</v>
      </c>
      <c r="AR199">
        <v>0</v>
      </c>
      <c r="AT199">
        <v>0</v>
      </c>
      <c r="AU199">
        <v>0</v>
      </c>
      <c r="AW199">
        <v>0</v>
      </c>
      <c r="AX199">
        <v>0</v>
      </c>
      <c r="AY199">
        <v>14364</v>
      </c>
      <c r="BC199" t="str">
        <f>T("9791164374625")</f>
        <v>9791164374625</v>
      </c>
      <c r="BE199" t="str">
        <f>T("로맨스 e북 &gt; 역사/시대물")</f>
        <v>로맨스 e북 &gt; 역사/시대물</v>
      </c>
      <c r="BF199" t="str">
        <f>T("로맨스 e북 &gt; 19+")</f>
        <v>로맨스 e북 &gt; 19+</v>
      </c>
    </row>
    <row r="200" spans="1:58" x14ac:dyDescent="0.3">
      <c r="A200">
        <v>2313019328</v>
      </c>
      <c r="B200">
        <v>2313019328</v>
      </c>
      <c r="C200" t="str">
        <f>T("[e북]악연의 고리 1권")</f>
        <v>[e북]악연의 고리 1권</v>
      </c>
      <c r="D200" t="str">
        <f>T("1")</f>
        <v>1</v>
      </c>
      <c r="E200" t="str">
        <f>T("설봄향")</f>
        <v>설봄향</v>
      </c>
      <c r="H200" t="str">
        <f>T("앰퍼샌드B")</f>
        <v>앰퍼샌드B</v>
      </c>
      <c r="I200" t="str">
        <f>T("[e북]악연의 고리")</f>
        <v>[e북]악연의 고리</v>
      </c>
      <c r="J200">
        <v>3000</v>
      </c>
      <c r="K200">
        <v>21000</v>
      </c>
      <c r="L200">
        <v>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21000</v>
      </c>
      <c r="AH200">
        <v>7</v>
      </c>
      <c r="AI200">
        <v>0</v>
      </c>
      <c r="AJ200">
        <v>0</v>
      </c>
      <c r="AK200">
        <v>21000</v>
      </c>
      <c r="AL200">
        <v>0</v>
      </c>
      <c r="AM200">
        <v>0</v>
      </c>
      <c r="AN200">
        <v>0</v>
      </c>
      <c r="AO200">
        <v>0</v>
      </c>
      <c r="AP200"/>
      <c r="AQ200">
        <v>0</v>
      </c>
      <c r="AR200">
        <v>0</v>
      </c>
      <c r="AT200">
        <v>0</v>
      </c>
      <c r="AU200">
        <v>0</v>
      </c>
      <c r="AW200">
        <v>0</v>
      </c>
      <c r="AX200">
        <v>0</v>
      </c>
      <c r="AY200">
        <v>14700</v>
      </c>
      <c r="BC200" t="str">
        <f>T("9791137606036")</f>
        <v>9791137606036</v>
      </c>
      <c r="BE200" t="str">
        <f>T("BL 소설 e북 &gt; 현대물")</f>
        <v>BL 소설 e북 &gt; 현대물</v>
      </c>
    </row>
    <row r="201" spans="1:58" x14ac:dyDescent="0.3">
      <c r="B201">
        <v>2313018605</v>
      </c>
      <c r="C201" t="str">
        <f>T("[e북]오빠, 더 깊이")</f>
        <v>[e북]오빠, 더 깊이</v>
      </c>
      <c r="E201" t="str">
        <f>T("누네니가")</f>
        <v>누네니가</v>
      </c>
      <c r="H201" t="str">
        <f>T("블레슈(Blesshuu)")</f>
        <v>블레슈(Blesshuu)</v>
      </c>
      <c r="J201">
        <v>1500</v>
      </c>
      <c r="K201">
        <v>19500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19500</v>
      </c>
      <c r="AH201">
        <v>13</v>
      </c>
      <c r="AI201">
        <v>0</v>
      </c>
      <c r="AJ201">
        <v>0</v>
      </c>
      <c r="AK201">
        <v>19500</v>
      </c>
      <c r="AL201">
        <v>0</v>
      </c>
      <c r="AM201">
        <v>0</v>
      </c>
      <c r="AN201">
        <v>0</v>
      </c>
      <c r="AO201">
        <v>0</v>
      </c>
      <c r="AP201"/>
      <c r="AQ201">
        <v>0</v>
      </c>
      <c r="AR201">
        <v>0</v>
      </c>
      <c r="AT201">
        <v>0</v>
      </c>
      <c r="AU201">
        <v>0</v>
      </c>
      <c r="AW201">
        <v>0</v>
      </c>
      <c r="AX201">
        <v>0</v>
      </c>
      <c r="AY201">
        <v>13650</v>
      </c>
      <c r="BA201" t="str">
        <f>T("0000000000000")</f>
        <v>0000000000000</v>
      </c>
      <c r="BC201" t="str">
        <f>T("9791137605381")</f>
        <v>9791137605381</v>
      </c>
      <c r="BE201" t="str">
        <f>T("로맨스 e북 &gt; 현대물")</f>
        <v>로맨스 e북 &gt; 현대물</v>
      </c>
      <c r="BF201" t="str">
        <f>T("로맨스 e북 &gt; 19+")</f>
        <v>로맨스 e북 &gt; 19+</v>
      </c>
    </row>
    <row r="202" spans="1:58" x14ac:dyDescent="0.3">
      <c r="A202">
        <v>2313008324</v>
      </c>
      <c r="B202">
        <v>2313008328</v>
      </c>
      <c r="C202" t="str">
        <f>T("[e북]간신이 나라를 살림 5권")</f>
        <v>[e북]간신이 나라를 살림 5권</v>
      </c>
      <c r="D202" t="str">
        <f>T("5")</f>
        <v>5</v>
      </c>
      <c r="E202" t="str">
        <f>T("루이세")</f>
        <v>루이세</v>
      </c>
      <c r="H202" t="str">
        <f>T("스토리위즈")</f>
        <v>스토리위즈</v>
      </c>
      <c r="I202" t="str">
        <f>T("[e북]간신이 나라를 살림")</f>
        <v>[e북]간신이 나라를 살림</v>
      </c>
      <c r="J202">
        <v>3200</v>
      </c>
      <c r="K202">
        <v>19200</v>
      </c>
      <c r="L202">
        <v>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121600</v>
      </c>
      <c r="T202">
        <v>76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-6400</v>
      </c>
      <c r="AD202">
        <v>4</v>
      </c>
      <c r="AE202">
        <v>0</v>
      </c>
      <c r="AF202">
        <v>0</v>
      </c>
      <c r="AG202">
        <v>140800</v>
      </c>
      <c r="AH202">
        <v>82</v>
      </c>
      <c r="AI202">
        <v>-6400</v>
      </c>
      <c r="AJ202">
        <v>4</v>
      </c>
      <c r="AK202">
        <v>132139</v>
      </c>
      <c r="AL202">
        <v>-6400</v>
      </c>
      <c r="AM202">
        <v>10393.200000000001</v>
      </c>
      <c r="AN202">
        <v>-2435.4</v>
      </c>
      <c r="AO202">
        <v>0</v>
      </c>
      <c r="AP202">
        <v>1168.8</v>
      </c>
      <c r="AQ202">
        <v>-350.64</v>
      </c>
      <c r="AR202">
        <v>0</v>
      </c>
      <c r="AS202">
        <v>9224.4</v>
      </c>
      <c r="AT202">
        <v>-2084.7600000000002</v>
      </c>
      <c r="AU202">
        <v>0</v>
      </c>
      <c r="AW202">
        <v>0</v>
      </c>
      <c r="AX202">
        <v>0</v>
      </c>
      <c r="AY202">
        <v>93587.75</v>
      </c>
      <c r="BC202" t="str">
        <f>T("9791165310752")</f>
        <v>9791165310752</v>
      </c>
      <c r="BE202" t="str">
        <f>T("판타지 e북 &gt; 퓨전 판타지")</f>
        <v>판타지 e북 &gt; 퓨전 판타지</v>
      </c>
    </row>
    <row r="203" spans="1:58" x14ac:dyDescent="0.3">
      <c r="A203">
        <v>2313011938</v>
      </c>
      <c r="B203">
        <v>2313015168</v>
      </c>
      <c r="C203" t="str">
        <f>T("[e북]최종 보스 : 빛을 향해 달리는 그림자 2부 23권")</f>
        <v>[e북]최종 보스 : 빛을 향해 달리는 그림자 2부 23권</v>
      </c>
      <c r="D203" t="str">
        <f>T("23")</f>
        <v>23</v>
      </c>
      <c r="E203" t="str">
        <f>T("무장")</f>
        <v>무장</v>
      </c>
      <c r="H203" t="str">
        <f>T("스토리위즈")</f>
        <v>스토리위즈</v>
      </c>
      <c r="I203" t="str">
        <f>T("[e북]최종 보스 : 빛을 향해 달리는 그림자")</f>
        <v>[e북]최종 보스 : 빛을 향해 달리는 그림자</v>
      </c>
      <c r="J203">
        <v>3200</v>
      </c>
      <c r="K203">
        <v>19200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19200</v>
      </c>
      <c r="AH203">
        <v>6</v>
      </c>
      <c r="AI203">
        <v>0</v>
      </c>
      <c r="AJ203">
        <v>0</v>
      </c>
      <c r="AK203">
        <v>12800</v>
      </c>
      <c r="AL203">
        <v>0</v>
      </c>
      <c r="AM203">
        <v>7680</v>
      </c>
      <c r="AN203">
        <v>-768</v>
      </c>
      <c r="AO203">
        <v>0</v>
      </c>
      <c r="AP203"/>
      <c r="AQ203">
        <v>0</v>
      </c>
      <c r="AR203">
        <v>0</v>
      </c>
      <c r="AS203">
        <v>7680</v>
      </c>
      <c r="AT203">
        <v>-768</v>
      </c>
      <c r="AU203">
        <v>0</v>
      </c>
      <c r="AW203">
        <v>0</v>
      </c>
      <c r="AX203">
        <v>0</v>
      </c>
      <c r="AY203">
        <v>13798.4</v>
      </c>
      <c r="BC203" t="str">
        <f>T("9791137601178")</f>
        <v>9791137601178</v>
      </c>
      <c r="BE203" t="str">
        <f>T("판타지 e북 &gt; 현대 판타지")</f>
        <v>판타지 e북 &gt; 현대 판타지</v>
      </c>
    </row>
    <row r="204" spans="1:58" x14ac:dyDescent="0.3">
      <c r="A204">
        <v>2313018097</v>
      </c>
      <c r="B204">
        <v>2313018098</v>
      </c>
      <c r="C204" t="str">
        <f>T("[e북]소투스 에스(SOTUS S) 2권 (완결)")</f>
        <v>[e북]소투스 에스(SOTUS S) 2권 (완결)</v>
      </c>
      <c r="D204" t="str">
        <f>T("2")</f>
        <v>2</v>
      </c>
      <c r="E204" t="str">
        <f>T("BitterSweet")</f>
        <v>BitterSweet</v>
      </c>
      <c r="F204" t="str">
        <f>T("이범근")</f>
        <v>이범근</v>
      </c>
      <c r="H204" t="str">
        <f>T("도서출판 태랑")</f>
        <v>도서출판 태랑</v>
      </c>
      <c r="I204" t="str">
        <f>T("[e북]소투스 에스(SOTUS S)")</f>
        <v>[e북]소투스 에스(SOTUS S)</v>
      </c>
      <c r="J204">
        <v>3700</v>
      </c>
      <c r="K204">
        <v>18500</v>
      </c>
      <c r="L204">
        <v>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18500</v>
      </c>
      <c r="AH204">
        <v>5</v>
      </c>
      <c r="AI204">
        <v>0</v>
      </c>
      <c r="AJ204">
        <v>0</v>
      </c>
      <c r="AK204">
        <v>18500</v>
      </c>
      <c r="AL204">
        <v>0</v>
      </c>
      <c r="AM204">
        <v>0</v>
      </c>
      <c r="AN204">
        <v>0</v>
      </c>
      <c r="AO204">
        <v>0</v>
      </c>
      <c r="AP204"/>
      <c r="AQ204">
        <v>0</v>
      </c>
      <c r="AR204">
        <v>0</v>
      </c>
      <c r="AT204">
        <v>0</v>
      </c>
      <c r="AU204">
        <v>0</v>
      </c>
      <c r="AW204">
        <v>0</v>
      </c>
      <c r="AX204">
        <v>0</v>
      </c>
      <c r="AY204">
        <v>12950</v>
      </c>
      <c r="BC204" t="str">
        <f>T("9791164375073")</f>
        <v>9791164375073</v>
      </c>
      <c r="BE204" t="str">
        <f>T("BL 소설 e북 &gt; 현대물")</f>
        <v>BL 소설 e북 &gt; 현대물</v>
      </c>
    </row>
    <row r="205" spans="1:58" x14ac:dyDescent="0.3">
      <c r="A205">
        <v>2313012817</v>
      </c>
      <c r="B205">
        <v>2313012839</v>
      </c>
      <c r="C205" t="str">
        <f>T("[e북]갓 오브 블랙필드 23권")</f>
        <v>[e북]갓 오브 블랙필드 23권</v>
      </c>
      <c r="D205" t="str">
        <f>T("23")</f>
        <v>23</v>
      </c>
      <c r="E205" t="str">
        <f>T("무장")</f>
        <v>무장</v>
      </c>
      <c r="H205" t="str">
        <f>T("스토리위즈")</f>
        <v>스토리위즈</v>
      </c>
      <c r="I205" t="str">
        <f>T("[e북]갓 오브 블랙필드")</f>
        <v>[e북]갓 오브 블랙필드</v>
      </c>
      <c r="J205">
        <v>3200</v>
      </c>
      <c r="K205">
        <v>18240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18240</v>
      </c>
      <c r="AH205">
        <v>6</v>
      </c>
      <c r="AI205">
        <v>0</v>
      </c>
      <c r="AJ205">
        <v>0</v>
      </c>
      <c r="AK205">
        <v>18240</v>
      </c>
      <c r="AL205">
        <v>0</v>
      </c>
      <c r="AM205">
        <v>0</v>
      </c>
      <c r="AN205">
        <v>0</v>
      </c>
      <c r="AO205">
        <v>0</v>
      </c>
      <c r="AP205"/>
      <c r="AQ205">
        <v>0</v>
      </c>
      <c r="AR205">
        <v>0</v>
      </c>
      <c r="AT205">
        <v>0</v>
      </c>
      <c r="AU205">
        <v>0</v>
      </c>
      <c r="AW205">
        <v>0</v>
      </c>
      <c r="AX205">
        <v>0</v>
      </c>
      <c r="AY205">
        <v>12768</v>
      </c>
      <c r="BA205" t="str">
        <f>T("0000000000000")</f>
        <v>0000000000000</v>
      </c>
      <c r="BC205" t="str">
        <f>T("9791137602380")</f>
        <v>9791137602380</v>
      </c>
      <c r="BE205" t="str">
        <f>T("판타지 e북 &gt; 현대 판타지")</f>
        <v>판타지 e북 &gt; 현대 판타지</v>
      </c>
    </row>
    <row r="206" spans="1:58" x14ac:dyDescent="0.3">
      <c r="A206">
        <v>2313012817</v>
      </c>
      <c r="B206">
        <v>2313012840</v>
      </c>
      <c r="C206" t="str">
        <f>T("[e북]갓 오브 블랙필드 24권")</f>
        <v>[e북]갓 오브 블랙필드 24권</v>
      </c>
      <c r="D206" t="str">
        <f>T("24")</f>
        <v>24</v>
      </c>
      <c r="E206" t="str">
        <f>T("무장")</f>
        <v>무장</v>
      </c>
      <c r="H206" t="str">
        <f>T("스토리위즈")</f>
        <v>스토리위즈</v>
      </c>
      <c r="I206" t="str">
        <f>T("[e북]갓 오브 블랙필드")</f>
        <v>[e북]갓 오브 블랙필드</v>
      </c>
      <c r="J206">
        <v>3200</v>
      </c>
      <c r="K206">
        <v>18240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18240</v>
      </c>
      <c r="AH206">
        <v>6</v>
      </c>
      <c r="AI206">
        <v>0</v>
      </c>
      <c r="AJ206">
        <v>0</v>
      </c>
      <c r="AK206">
        <v>18240</v>
      </c>
      <c r="AL206">
        <v>0</v>
      </c>
      <c r="AM206">
        <v>0</v>
      </c>
      <c r="AN206">
        <v>0</v>
      </c>
      <c r="AO206">
        <v>0</v>
      </c>
      <c r="AP206"/>
      <c r="AQ206">
        <v>0</v>
      </c>
      <c r="AR206">
        <v>0</v>
      </c>
      <c r="AT206">
        <v>0</v>
      </c>
      <c r="AU206">
        <v>0</v>
      </c>
      <c r="AW206">
        <v>0</v>
      </c>
      <c r="AX206">
        <v>0</v>
      </c>
      <c r="AY206">
        <v>12768</v>
      </c>
      <c r="BA206" t="str">
        <f>T("0000000000000")</f>
        <v>0000000000000</v>
      </c>
      <c r="BC206" t="str">
        <f>T("9791137602397")</f>
        <v>9791137602397</v>
      </c>
      <c r="BE206" t="str">
        <f>T("판타지 e북 &gt; 현대 판타지")</f>
        <v>판타지 e북 &gt; 현대 판타지</v>
      </c>
    </row>
    <row r="207" spans="1:58" x14ac:dyDescent="0.3">
      <c r="A207">
        <v>2313012817</v>
      </c>
      <c r="B207">
        <v>2313012843</v>
      </c>
      <c r="C207" t="str">
        <f>T("[e북]갓 오브 블랙필드 외전 3권")</f>
        <v>[e북]갓 오브 블랙필드 외전 3권</v>
      </c>
      <c r="D207" t="str">
        <f>T("27")</f>
        <v>27</v>
      </c>
      <c r="E207" t="str">
        <f>T("무장")</f>
        <v>무장</v>
      </c>
      <c r="H207" t="str">
        <f>T("스토리위즈")</f>
        <v>스토리위즈</v>
      </c>
      <c r="I207" t="str">
        <f>T("[e북]갓 오브 블랙필드")</f>
        <v>[e북]갓 오브 블랙필드</v>
      </c>
      <c r="J207">
        <v>3200</v>
      </c>
      <c r="K207">
        <v>18240</v>
      </c>
      <c r="L207">
        <v>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18240</v>
      </c>
      <c r="AH207">
        <v>6</v>
      </c>
      <c r="AI207">
        <v>0</v>
      </c>
      <c r="AJ207">
        <v>0</v>
      </c>
      <c r="AK207">
        <v>18240</v>
      </c>
      <c r="AL207">
        <v>0</v>
      </c>
      <c r="AM207">
        <v>0</v>
      </c>
      <c r="AN207">
        <v>0</v>
      </c>
      <c r="AO207">
        <v>0</v>
      </c>
      <c r="AP207"/>
      <c r="AQ207">
        <v>0</v>
      </c>
      <c r="AR207">
        <v>0</v>
      </c>
      <c r="AT207">
        <v>0</v>
      </c>
      <c r="AU207">
        <v>0</v>
      </c>
      <c r="AW207">
        <v>0</v>
      </c>
      <c r="AX207">
        <v>0</v>
      </c>
      <c r="AY207">
        <v>12768</v>
      </c>
      <c r="BA207" t="str">
        <f>T("0000000000000")</f>
        <v>0000000000000</v>
      </c>
      <c r="BC207" t="str">
        <f>T("9791137602427")</f>
        <v>9791137602427</v>
      </c>
      <c r="BE207" t="str">
        <f>T("판타지 e북 &gt; 현대 판타지")</f>
        <v>판타지 e북 &gt; 현대 판타지</v>
      </c>
    </row>
    <row r="208" spans="1:58" x14ac:dyDescent="0.3">
      <c r="A208">
        <v>2313020095</v>
      </c>
      <c r="B208">
        <v>2313020096</v>
      </c>
      <c r="C208" t="str">
        <f>T("[e북]결혼의 함정 2권 (완결)")</f>
        <v>[e북]결혼의 함정 2권 (완결)</v>
      </c>
      <c r="D208" t="str">
        <f>T("2")</f>
        <v>2</v>
      </c>
      <c r="E208" t="str">
        <f>T("블랙커피")</f>
        <v>블랙커피</v>
      </c>
      <c r="H208" t="str">
        <f>T("도서출판 태랑")</f>
        <v>도서출판 태랑</v>
      </c>
      <c r="I208" t="str">
        <f>T("[e북]결혼의 함정")</f>
        <v>[e북]결혼의 함정</v>
      </c>
      <c r="J208">
        <v>3000</v>
      </c>
      <c r="K208">
        <v>18000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18000</v>
      </c>
      <c r="AH208">
        <v>6</v>
      </c>
      <c r="AI208">
        <v>0</v>
      </c>
      <c r="AJ208">
        <v>0</v>
      </c>
      <c r="AK208">
        <v>15000</v>
      </c>
      <c r="AL208">
        <v>0</v>
      </c>
      <c r="AM208">
        <v>3600</v>
      </c>
      <c r="AN208">
        <v>-360</v>
      </c>
      <c r="AO208">
        <v>0</v>
      </c>
      <c r="AP208"/>
      <c r="AQ208">
        <v>0</v>
      </c>
      <c r="AR208">
        <v>0</v>
      </c>
      <c r="AS208">
        <v>3600</v>
      </c>
      <c r="AT208">
        <v>-360</v>
      </c>
      <c r="AU208">
        <v>0</v>
      </c>
      <c r="AW208">
        <v>0</v>
      </c>
      <c r="AX208">
        <v>0</v>
      </c>
      <c r="AY208">
        <v>12768</v>
      </c>
      <c r="BC208" t="str">
        <f>T("9791137605961")</f>
        <v>9791137605961</v>
      </c>
      <c r="BE208" t="str">
        <f>T("로맨스 e북 &gt; 현대물")</f>
        <v>로맨스 e북 &gt; 현대물</v>
      </c>
      <c r="BF208" t="str">
        <f>T("로맨스 e북 &gt; 19+")</f>
        <v>로맨스 e북 &gt; 19+</v>
      </c>
    </row>
    <row r="209" spans="1:58" x14ac:dyDescent="0.3">
      <c r="A209">
        <v>2313016949</v>
      </c>
      <c r="B209">
        <v>2313016948</v>
      </c>
      <c r="C209" t="str">
        <f>T("[e북]너는 내 숨결이니까 (외전증보판) 2권 (완결)")</f>
        <v>[e북]너는 내 숨결이니까 (외전증보판) 2권 (완결)</v>
      </c>
      <c r="D209" t="str">
        <f>T("2")</f>
        <v>2</v>
      </c>
      <c r="E209" t="str">
        <f>T("아슈크림")</f>
        <v>아슈크림</v>
      </c>
      <c r="H209" t="str">
        <f>T("도서출판 태랑")</f>
        <v>도서출판 태랑</v>
      </c>
      <c r="I209" t="str">
        <f>T("[e북]너는 내 숨결이니까 (외전증보판)")</f>
        <v>[e북]너는 내 숨결이니까 (외전증보판)</v>
      </c>
      <c r="J209">
        <v>3500</v>
      </c>
      <c r="K209">
        <v>17500</v>
      </c>
      <c r="L209">
        <v>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17500</v>
      </c>
      <c r="AH209">
        <v>5</v>
      </c>
      <c r="AI209">
        <v>0</v>
      </c>
      <c r="AJ209">
        <v>0</v>
      </c>
      <c r="AK209">
        <v>17500</v>
      </c>
      <c r="AL209">
        <v>0</v>
      </c>
      <c r="AM209">
        <v>0</v>
      </c>
      <c r="AN209">
        <v>0</v>
      </c>
      <c r="AO209">
        <v>0</v>
      </c>
      <c r="AP209"/>
      <c r="AQ209">
        <v>0</v>
      </c>
      <c r="AR209">
        <v>0</v>
      </c>
      <c r="AT209">
        <v>0</v>
      </c>
      <c r="AU209">
        <v>0</v>
      </c>
      <c r="AW209">
        <v>0</v>
      </c>
      <c r="AX209">
        <v>0</v>
      </c>
      <c r="AY209">
        <v>12250</v>
      </c>
      <c r="BC209" t="str">
        <f>T("9791164372638")</f>
        <v>9791164372638</v>
      </c>
      <c r="BE209" t="str">
        <f>T("로맨스 e북 &gt; 현대물")</f>
        <v>로맨스 e북 &gt; 현대물</v>
      </c>
      <c r="BF209" t="str">
        <f>T("로맨스 e북 &gt; 19+")</f>
        <v>로맨스 e북 &gt; 19+</v>
      </c>
    </row>
    <row r="210" spans="1:58" x14ac:dyDescent="0.3">
      <c r="A210">
        <v>2313016949</v>
      </c>
      <c r="B210">
        <v>2313016949</v>
      </c>
      <c r="C210" t="str">
        <f>T("[e북]너는 내 숨결이니까 (외전증보판) 1권")</f>
        <v>[e북]너는 내 숨결이니까 (외전증보판) 1권</v>
      </c>
      <c r="D210" t="str">
        <f>T("1")</f>
        <v>1</v>
      </c>
      <c r="E210" t="str">
        <f>T("아슈크림")</f>
        <v>아슈크림</v>
      </c>
      <c r="H210" t="str">
        <f>T("도서출판 태랑")</f>
        <v>도서출판 태랑</v>
      </c>
      <c r="I210" t="str">
        <f>T("[e북]너는 내 숨결이니까 (외전증보판)")</f>
        <v>[e북]너는 내 숨결이니까 (외전증보판)</v>
      </c>
      <c r="J210">
        <v>3500</v>
      </c>
      <c r="K210">
        <v>17500</v>
      </c>
      <c r="L210">
        <v>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17500</v>
      </c>
      <c r="AH210">
        <v>5</v>
      </c>
      <c r="AI210">
        <v>0</v>
      </c>
      <c r="AJ210">
        <v>0</v>
      </c>
      <c r="AK210">
        <v>17500</v>
      </c>
      <c r="AL210">
        <v>0</v>
      </c>
      <c r="AM210">
        <v>0</v>
      </c>
      <c r="AN210">
        <v>0</v>
      </c>
      <c r="AO210">
        <v>0</v>
      </c>
      <c r="AP210"/>
      <c r="AQ210">
        <v>0</v>
      </c>
      <c r="AR210">
        <v>0</v>
      </c>
      <c r="AT210">
        <v>0</v>
      </c>
      <c r="AU210">
        <v>0</v>
      </c>
      <c r="AW210">
        <v>0</v>
      </c>
      <c r="AX210">
        <v>0</v>
      </c>
      <c r="AY210">
        <v>12250</v>
      </c>
      <c r="BC210" t="str">
        <f>T("9791164372621")</f>
        <v>9791164372621</v>
      </c>
      <c r="BE210" t="str">
        <f>T("로맨스 e북 &gt; 현대물")</f>
        <v>로맨스 e북 &gt; 현대물</v>
      </c>
      <c r="BF210" t="str">
        <f>T("로맨스 e북 &gt; 19+")</f>
        <v>로맨스 e북 &gt; 19+</v>
      </c>
    </row>
    <row r="211" spans="1:58" x14ac:dyDescent="0.3">
      <c r="A211">
        <v>2313016847</v>
      </c>
      <c r="B211">
        <v>2313016846</v>
      </c>
      <c r="C211" t="str">
        <f>T("[e북]퇴마사(巫者) 2권 (완결)")</f>
        <v>[e북]퇴마사(巫者) 2권 (완결)</v>
      </c>
      <c r="D211" t="str">
        <f>T("2")</f>
        <v>2</v>
      </c>
      <c r="E211" t="str">
        <f>T("시무(蒔舞)")</f>
        <v>시무(蒔舞)</v>
      </c>
      <c r="H211" t="str">
        <f>T("도서출판 태랑")</f>
        <v>도서출판 태랑</v>
      </c>
      <c r="I211" t="str">
        <f>T("[e북]퇴마사(巫者)")</f>
        <v>[e북]퇴마사(巫者)</v>
      </c>
      <c r="J211">
        <v>3300</v>
      </c>
      <c r="K211">
        <v>16500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16500</v>
      </c>
      <c r="AH211">
        <v>5</v>
      </c>
      <c r="AI211">
        <v>0</v>
      </c>
      <c r="AJ211">
        <v>0</v>
      </c>
      <c r="AK211">
        <v>16500</v>
      </c>
      <c r="AL211">
        <v>0</v>
      </c>
      <c r="AM211">
        <v>0</v>
      </c>
      <c r="AN211">
        <v>0</v>
      </c>
      <c r="AO211">
        <v>0</v>
      </c>
      <c r="AP211"/>
      <c r="AQ211">
        <v>0</v>
      </c>
      <c r="AR211">
        <v>0</v>
      </c>
      <c r="AT211">
        <v>0</v>
      </c>
      <c r="AU211">
        <v>0</v>
      </c>
      <c r="AW211">
        <v>0</v>
      </c>
      <c r="AX211">
        <v>0</v>
      </c>
      <c r="AY211">
        <v>11550</v>
      </c>
      <c r="BC211" t="str">
        <f>T("9791164374786")</f>
        <v>9791164374786</v>
      </c>
      <c r="BE211" t="str">
        <f>T("BL 소설 e북 &gt; 해외 소설")</f>
        <v>BL 소설 e북 &gt; 해외 소설</v>
      </c>
    </row>
    <row r="212" spans="1:58" x14ac:dyDescent="0.3">
      <c r="A212">
        <v>2313018628</v>
      </c>
      <c r="B212">
        <v>2313018631</v>
      </c>
      <c r="C212" t="str">
        <f>T("[e북]친절하기는 얼어 죽을 4권 (완결)")</f>
        <v>[e북]친절하기는 얼어 죽을 4권 (완결)</v>
      </c>
      <c r="D212" t="str">
        <f>T("4")</f>
        <v>4</v>
      </c>
      <c r="E212" t="str">
        <f>T("솜목화")</f>
        <v>솜목화</v>
      </c>
      <c r="H212" t="str">
        <f>T("블레슈(Blesshuu)")</f>
        <v>블레슈(Blesshuu)</v>
      </c>
      <c r="I212" t="str">
        <f>T("[e북]친절하기는 얼어 죽을")</f>
        <v>[e북]친절하기는 얼어 죽을</v>
      </c>
      <c r="J212">
        <v>2700</v>
      </c>
      <c r="K212">
        <v>16200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16200</v>
      </c>
      <c r="AH212">
        <v>6</v>
      </c>
      <c r="AI212">
        <v>0</v>
      </c>
      <c r="AJ212">
        <v>0</v>
      </c>
      <c r="AK212">
        <v>10200</v>
      </c>
      <c r="AL212">
        <v>0</v>
      </c>
      <c r="AM212">
        <v>7200</v>
      </c>
      <c r="AN212">
        <v>-1368</v>
      </c>
      <c r="AO212">
        <v>0</v>
      </c>
      <c r="AP212"/>
      <c r="AQ212">
        <v>0</v>
      </c>
      <c r="AR212">
        <v>0</v>
      </c>
      <c r="AS212">
        <v>7200</v>
      </c>
      <c r="AT212">
        <v>-1368</v>
      </c>
      <c r="AU212">
        <v>0</v>
      </c>
      <c r="AW212">
        <v>0</v>
      </c>
      <c r="AX212">
        <v>0</v>
      </c>
      <c r="AY212">
        <v>9619.2000000000007</v>
      </c>
      <c r="BC212" t="str">
        <f>T("9791137605473")</f>
        <v>9791137605473</v>
      </c>
      <c r="BE212" t="str">
        <f>T("로맨스 e북 &gt; 현대물")</f>
        <v>로맨스 e북 &gt; 현대물</v>
      </c>
    </row>
    <row r="213" spans="1:58" x14ac:dyDescent="0.3">
      <c r="A213">
        <v>2313008324</v>
      </c>
      <c r="B213">
        <v>2313008329</v>
      </c>
      <c r="C213" t="str">
        <f>T("[e북]간신이 나라를 살림 6권")</f>
        <v>[e북]간신이 나라를 살림 6권</v>
      </c>
      <c r="D213" t="str">
        <f>T("6")</f>
        <v>6</v>
      </c>
      <c r="E213" t="str">
        <f>T("루이세")</f>
        <v>루이세</v>
      </c>
      <c r="H213" t="str">
        <f>T("스토리위즈")</f>
        <v>스토리위즈</v>
      </c>
      <c r="I213" t="str">
        <f>T("[e북]간신이 나라를 살림")</f>
        <v>[e북]간신이 나라를 살림</v>
      </c>
      <c r="J213">
        <v>3200</v>
      </c>
      <c r="K213">
        <v>16000</v>
      </c>
      <c r="L213">
        <v>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121600</v>
      </c>
      <c r="T213">
        <v>76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-6400</v>
      </c>
      <c r="AD213">
        <v>4</v>
      </c>
      <c r="AE213">
        <v>0</v>
      </c>
      <c r="AF213">
        <v>0</v>
      </c>
      <c r="AG213">
        <v>137600</v>
      </c>
      <c r="AH213">
        <v>81</v>
      </c>
      <c r="AI213">
        <v>-6400</v>
      </c>
      <c r="AJ213">
        <v>4</v>
      </c>
      <c r="AK213">
        <v>128939</v>
      </c>
      <c r="AL213">
        <v>-6400</v>
      </c>
      <c r="AM213">
        <v>10393.200000000001</v>
      </c>
      <c r="AN213">
        <v>-2435.4</v>
      </c>
      <c r="AO213">
        <v>0</v>
      </c>
      <c r="AP213">
        <v>1168.8</v>
      </c>
      <c r="AQ213">
        <v>-350.64</v>
      </c>
      <c r="AR213">
        <v>0</v>
      </c>
      <c r="AS213">
        <v>9224.4</v>
      </c>
      <c r="AT213">
        <v>-2084.7600000000002</v>
      </c>
      <c r="AU213">
        <v>0</v>
      </c>
      <c r="AW213">
        <v>0</v>
      </c>
      <c r="AX213">
        <v>0</v>
      </c>
      <c r="AY213">
        <v>91347.75</v>
      </c>
      <c r="BC213" t="str">
        <f>T("9791165310769")</f>
        <v>9791165310769</v>
      </c>
      <c r="BE213" t="str">
        <f>T("판타지 e북 &gt; 퓨전 판타지")</f>
        <v>판타지 e북 &gt; 퓨전 판타지</v>
      </c>
    </row>
    <row r="214" spans="1:58" x14ac:dyDescent="0.3">
      <c r="A214">
        <v>2313021131</v>
      </c>
      <c r="B214">
        <v>2313021132</v>
      </c>
      <c r="C214" t="str">
        <f>T("[e북]신입사원이 이렇게 일을 잘했다고? 2권")</f>
        <v>[e북]신입사원이 이렇게 일을 잘했다고? 2권</v>
      </c>
      <c r="D214" t="str">
        <f>T("2")</f>
        <v>2</v>
      </c>
      <c r="E214" t="str">
        <f>T("왕십리글쟁이")</f>
        <v>왕십리글쟁이</v>
      </c>
      <c r="H214" t="str">
        <f>T("스토리위즈")</f>
        <v>스토리위즈</v>
      </c>
      <c r="I214" t="str">
        <f>T("[e북]신입사원이 이렇게 일을 잘했다고?")</f>
        <v>[e북]신입사원이 이렇게 일을 잘했다고?</v>
      </c>
      <c r="J214">
        <v>3200</v>
      </c>
      <c r="K214">
        <v>16000</v>
      </c>
      <c r="L214">
        <v>5</v>
      </c>
      <c r="M214">
        <v>0</v>
      </c>
      <c r="N214">
        <v>264960</v>
      </c>
      <c r="O214">
        <v>304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280960</v>
      </c>
      <c r="AH214">
        <v>309</v>
      </c>
      <c r="AI214">
        <v>0</v>
      </c>
      <c r="AJ214">
        <v>0</v>
      </c>
      <c r="AK214">
        <v>222710</v>
      </c>
      <c r="AL214">
        <v>0</v>
      </c>
      <c r="AM214">
        <v>69901.8</v>
      </c>
      <c r="AN214">
        <v>-10599.9</v>
      </c>
      <c r="AO214">
        <v>0</v>
      </c>
      <c r="AP214">
        <v>3036.6</v>
      </c>
      <c r="AQ214">
        <v>-910.98</v>
      </c>
      <c r="AR214">
        <v>0</v>
      </c>
      <c r="AS214">
        <v>66865.2</v>
      </c>
      <c r="AT214">
        <v>-9688.92</v>
      </c>
      <c r="AU214">
        <v>0</v>
      </c>
      <c r="AW214">
        <v>0</v>
      </c>
      <c r="AX214">
        <v>0</v>
      </c>
      <c r="AY214">
        <v>170832.75</v>
      </c>
      <c r="BC214" t="str">
        <f>T("9791198080011")</f>
        <v>9791198080011</v>
      </c>
      <c r="BE214" t="str">
        <f>T("판타지 e북 &gt; 현대 판타지")</f>
        <v>판타지 e북 &gt; 현대 판타지</v>
      </c>
    </row>
    <row r="215" spans="1:58" x14ac:dyDescent="0.3">
      <c r="B215">
        <v>2313016838</v>
      </c>
      <c r="C215" t="str">
        <f>T("[e북]개정판 | 사냥 꿈")</f>
        <v>[e북]개정판 | 사냥 꿈</v>
      </c>
      <c r="E215" t="str">
        <f>T("블랙커피")</f>
        <v>블랙커피</v>
      </c>
      <c r="H215" t="str">
        <f>T("도서출판 태랑")</f>
        <v>도서출판 태랑</v>
      </c>
      <c r="J215">
        <v>3800</v>
      </c>
      <c r="K215">
        <v>15200</v>
      </c>
      <c r="L215">
        <v>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15200</v>
      </c>
      <c r="AH215">
        <v>4</v>
      </c>
      <c r="AI215">
        <v>0</v>
      </c>
      <c r="AJ215">
        <v>0</v>
      </c>
      <c r="AK215">
        <v>13300</v>
      </c>
      <c r="AL215">
        <v>0</v>
      </c>
      <c r="AM215">
        <v>2280</v>
      </c>
      <c r="AN215">
        <v>-228</v>
      </c>
      <c r="AO215">
        <v>0</v>
      </c>
      <c r="AP215"/>
      <c r="AQ215">
        <v>0</v>
      </c>
      <c r="AR215">
        <v>0</v>
      </c>
      <c r="AS215">
        <v>2280</v>
      </c>
      <c r="AT215">
        <v>-228</v>
      </c>
      <c r="AU215">
        <v>0</v>
      </c>
      <c r="AW215">
        <v>0</v>
      </c>
      <c r="AX215">
        <v>0</v>
      </c>
      <c r="AY215">
        <v>10746.4</v>
      </c>
      <c r="BC215" t="str">
        <f>T("9791164375028")</f>
        <v>9791164375028</v>
      </c>
      <c r="BE215" t="str">
        <f>T("BL 소설 e북 &gt; 현대물")</f>
        <v>BL 소설 e북 &gt; 현대물</v>
      </c>
    </row>
    <row r="216" spans="1:58" x14ac:dyDescent="0.3">
      <c r="A216">
        <v>2313012817</v>
      </c>
      <c r="B216">
        <v>2313012842</v>
      </c>
      <c r="C216" t="str">
        <f>T("[e북]갓 오브 블랙필드 외전 2권")</f>
        <v>[e북]갓 오브 블랙필드 외전 2권</v>
      </c>
      <c r="D216" t="str">
        <f>T("26")</f>
        <v>26</v>
      </c>
      <c r="E216" t="str">
        <f>T("무장")</f>
        <v>무장</v>
      </c>
      <c r="H216" t="str">
        <f>T("스토리위즈")</f>
        <v>스토리위즈</v>
      </c>
      <c r="I216" t="str">
        <f>T("[e북]갓 오브 블랙필드")</f>
        <v>[e북]갓 오브 블랙필드</v>
      </c>
      <c r="J216">
        <v>3200</v>
      </c>
      <c r="K216">
        <v>15040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15040</v>
      </c>
      <c r="AH216">
        <v>5</v>
      </c>
      <c r="AI216">
        <v>0</v>
      </c>
      <c r="AJ216">
        <v>0</v>
      </c>
      <c r="AK216">
        <v>15040</v>
      </c>
      <c r="AL216">
        <v>0</v>
      </c>
      <c r="AM216">
        <v>0</v>
      </c>
      <c r="AN216">
        <v>0</v>
      </c>
      <c r="AO216">
        <v>0</v>
      </c>
      <c r="AP216"/>
      <c r="AQ216">
        <v>0</v>
      </c>
      <c r="AR216">
        <v>0</v>
      </c>
      <c r="AT216">
        <v>0</v>
      </c>
      <c r="AU216">
        <v>0</v>
      </c>
      <c r="AW216">
        <v>0</v>
      </c>
      <c r="AX216">
        <v>0</v>
      </c>
      <c r="AY216">
        <v>10528</v>
      </c>
      <c r="BA216" t="str">
        <f>T("0000000000000")</f>
        <v>0000000000000</v>
      </c>
      <c r="BC216" t="str">
        <f>T("9791137602410")</f>
        <v>9791137602410</v>
      </c>
      <c r="BE216" t="str">
        <f>T("판타지 e북 &gt; 현대 판타지")</f>
        <v>판타지 e북 &gt; 현대 판타지</v>
      </c>
    </row>
    <row r="217" spans="1:58" x14ac:dyDescent="0.3">
      <c r="A217">
        <v>2313019328</v>
      </c>
      <c r="B217">
        <v>2313019330</v>
      </c>
      <c r="C217" t="str">
        <f>T("[e북]악연의 고리 3권 (완결)")</f>
        <v>[e북]악연의 고리 3권 (완결)</v>
      </c>
      <c r="D217" t="str">
        <f>T("3")</f>
        <v>3</v>
      </c>
      <c r="E217" t="str">
        <f>T("설봄향")</f>
        <v>설봄향</v>
      </c>
      <c r="H217" t="str">
        <f>T("앰퍼샌드B")</f>
        <v>앰퍼샌드B</v>
      </c>
      <c r="I217" t="str">
        <f>T("[e북]악연의 고리")</f>
        <v>[e북]악연의 고리</v>
      </c>
      <c r="J217">
        <v>3000</v>
      </c>
      <c r="K217">
        <v>15000</v>
      </c>
      <c r="L217">
        <v>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15000</v>
      </c>
      <c r="AH217">
        <v>5</v>
      </c>
      <c r="AI217">
        <v>0</v>
      </c>
      <c r="AJ217">
        <v>0</v>
      </c>
      <c r="AK217">
        <v>15000</v>
      </c>
      <c r="AL217">
        <v>0</v>
      </c>
      <c r="AM217">
        <v>0</v>
      </c>
      <c r="AN217">
        <v>0</v>
      </c>
      <c r="AO217">
        <v>0</v>
      </c>
      <c r="AP217"/>
      <c r="AQ217">
        <v>0</v>
      </c>
      <c r="AR217">
        <v>0</v>
      </c>
      <c r="AT217">
        <v>0</v>
      </c>
      <c r="AU217">
        <v>0</v>
      </c>
      <c r="AW217">
        <v>0</v>
      </c>
      <c r="AX217">
        <v>0</v>
      </c>
      <c r="AY217">
        <v>10500</v>
      </c>
      <c r="BC217" t="str">
        <f>T("9791137606050")</f>
        <v>9791137606050</v>
      </c>
      <c r="BE217" t="str">
        <f>T("BL 소설 e북 &gt; 현대물")</f>
        <v>BL 소설 e북 &gt; 현대물</v>
      </c>
    </row>
    <row r="218" spans="1:58" x14ac:dyDescent="0.3">
      <c r="A218">
        <v>2313016857</v>
      </c>
      <c r="B218">
        <v>2313016855</v>
      </c>
      <c r="C218" t="str">
        <f>T("[e북]소투스 (SOTUS) (외전)")</f>
        <v>[e북]소투스 (SOTUS) (외전)</v>
      </c>
      <c r="D218" t="str">
        <f>T("3")</f>
        <v>3</v>
      </c>
      <c r="E218" t="str">
        <f>T("BitterSweet")</f>
        <v>BitterSweet</v>
      </c>
      <c r="H218" t="str">
        <f>T("도서출판 태랑")</f>
        <v>도서출판 태랑</v>
      </c>
      <c r="I218" t="str">
        <f>T("[e북]소투스 (SOTUS)")</f>
        <v>[e북]소투스 (SOTUS)</v>
      </c>
      <c r="J218">
        <v>1800</v>
      </c>
      <c r="K218">
        <v>14400</v>
      </c>
      <c r="L218">
        <v>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14400</v>
      </c>
      <c r="AH218">
        <v>8</v>
      </c>
      <c r="AI218">
        <v>0</v>
      </c>
      <c r="AJ218">
        <v>0</v>
      </c>
      <c r="AK218">
        <v>14400</v>
      </c>
      <c r="AL218">
        <v>0</v>
      </c>
      <c r="AM218">
        <v>0</v>
      </c>
      <c r="AN218">
        <v>0</v>
      </c>
      <c r="AO218">
        <v>0</v>
      </c>
      <c r="AP218"/>
      <c r="AQ218">
        <v>0</v>
      </c>
      <c r="AR218">
        <v>0</v>
      </c>
      <c r="AT218">
        <v>0</v>
      </c>
      <c r="AU218">
        <v>0</v>
      </c>
      <c r="AW218">
        <v>0</v>
      </c>
      <c r="AX218">
        <v>0</v>
      </c>
      <c r="AY218">
        <v>10080</v>
      </c>
      <c r="BC218" t="str">
        <f>T("9791164374656")</f>
        <v>9791164374656</v>
      </c>
      <c r="BE218" t="str">
        <f>T("BL 소설 e북 &gt; 해외 소설")</f>
        <v>BL 소설 e북 &gt; 해외 소설</v>
      </c>
    </row>
    <row r="219" spans="1:58" x14ac:dyDescent="0.3">
      <c r="A219">
        <v>2313016895</v>
      </c>
      <c r="B219">
        <v>2313016895</v>
      </c>
      <c r="C219" t="str">
        <f>T("[e북]사랑도 없이 결혼 (외전증보판) 1권")</f>
        <v>[e북]사랑도 없이 결혼 (외전증보판) 1권</v>
      </c>
      <c r="D219" t="str">
        <f>T("1")</f>
        <v>1</v>
      </c>
      <c r="E219" t="str">
        <f>T("차홍주")</f>
        <v>차홍주</v>
      </c>
      <c r="H219" t="str">
        <f>T("도서출판 태랑")</f>
        <v>도서출판 태랑</v>
      </c>
      <c r="I219" t="str">
        <f>T("[e북]사랑도 없이 결혼 (외전증보판)")</f>
        <v>[e북]사랑도 없이 결혼 (외전증보판)</v>
      </c>
      <c r="J219">
        <v>3500</v>
      </c>
      <c r="K219">
        <v>14000</v>
      </c>
      <c r="L219">
        <v>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14000</v>
      </c>
      <c r="AH219">
        <v>4</v>
      </c>
      <c r="AI219">
        <v>0</v>
      </c>
      <c r="AJ219">
        <v>0</v>
      </c>
      <c r="AK219">
        <v>10500</v>
      </c>
      <c r="AL219">
        <v>0</v>
      </c>
      <c r="AM219">
        <v>4200</v>
      </c>
      <c r="AN219">
        <v>-420</v>
      </c>
      <c r="AO219">
        <v>0</v>
      </c>
      <c r="AP219"/>
      <c r="AQ219">
        <v>0</v>
      </c>
      <c r="AR219">
        <v>0</v>
      </c>
      <c r="AS219">
        <v>4200</v>
      </c>
      <c r="AT219">
        <v>-420</v>
      </c>
      <c r="AU219">
        <v>0</v>
      </c>
      <c r="AW219">
        <v>0</v>
      </c>
      <c r="AX219">
        <v>0</v>
      </c>
      <c r="AY219">
        <v>9996</v>
      </c>
      <c r="BC219" t="str">
        <f>T("9791164373444")</f>
        <v>9791164373444</v>
      </c>
      <c r="BE219" t="str">
        <f>T("로맨스 e북 &gt; 현대물")</f>
        <v>로맨스 e북 &gt; 현대물</v>
      </c>
      <c r="BF219" t="str">
        <f>T("로맨스 e북 &gt; 19+")</f>
        <v>로맨스 e북 &gt; 19+</v>
      </c>
    </row>
    <row r="220" spans="1:58" x14ac:dyDescent="0.3">
      <c r="A220">
        <v>2313002105</v>
      </c>
      <c r="B220">
        <v>2313002108</v>
      </c>
      <c r="C220" t="str">
        <f>T("[e북]여왕 아델 4권 (완결)")</f>
        <v>[e북]여왕 아델 4권 (완결)</v>
      </c>
      <c r="D220" t="str">
        <f>T("4")</f>
        <v>4</v>
      </c>
      <c r="E220" t="str">
        <f>T("이린비")</f>
        <v>이린비</v>
      </c>
      <c r="H220" t="str">
        <f>T("블레슈(Blesshuu)")</f>
        <v>블레슈(Blesshuu)</v>
      </c>
      <c r="I220" t="str">
        <f>T("[e북]여왕 아델")</f>
        <v>[e북]여왕 아델</v>
      </c>
      <c r="J220">
        <v>3500</v>
      </c>
      <c r="K220">
        <v>13650</v>
      </c>
      <c r="L220">
        <v>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13650</v>
      </c>
      <c r="AH220">
        <v>4</v>
      </c>
      <c r="AI220">
        <v>0</v>
      </c>
      <c r="AJ220">
        <v>0</v>
      </c>
      <c r="AK220">
        <v>13650</v>
      </c>
      <c r="AL220">
        <v>0</v>
      </c>
      <c r="AM220">
        <v>0</v>
      </c>
      <c r="AN220">
        <v>0</v>
      </c>
      <c r="AO220">
        <v>0</v>
      </c>
      <c r="AP220"/>
      <c r="AQ220">
        <v>0</v>
      </c>
      <c r="AR220">
        <v>0</v>
      </c>
      <c r="AT220">
        <v>0</v>
      </c>
      <c r="AU220">
        <v>0</v>
      </c>
      <c r="AW220">
        <v>0</v>
      </c>
      <c r="AX220">
        <v>0</v>
      </c>
      <c r="AY220">
        <v>9555</v>
      </c>
      <c r="BA220" t="str">
        <f>T("0000000000000")</f>
        <v>0000000000000</v>
      </c>
      <c r="BC220" t="str">
        <f>T("9791159286803")</f>
        <v>9791159286803</v>
      </c>
      <c r="BE220" t="str">
        <f>T("로판 e북 &gt; 서양풍 로판")</f>
        <v>로판 e북 &gt; 서양풍 로판</v>
      </c>
    </row>
    <row r="221" spans="1:58" x14ac:dyDescent="0.3">
      <c r="A221">
        <v>2313002105</v>
      </c>
      <c r="B221">
        <v>2313002109</v>
      </c>
      <c r="C221" t="str">
        <f>T("[e북]여왕 아델 (외전)")</f>
        <v>[e북]여왕 아델 (외전)</v>
      </c>
      <c r="D221" t="str">
        <f>T("5")</f>
        <v>5</v>
      </c>
      <c r="E221" t="str">
        <f>T("이린비")</f>
        <v>이린비</v>
      </c>
      <c r="H221" t="str">
        <f>T("블레슈(Blesshuu)")</f>
        <v>블레슈(Blesshuu)</v>
      </c>
      <c r="I221" t="str">
        <f>T("[e북]여왕 아델")</f>
        <v>[e북]여왕 아델</v>
      </c>
      <c r="J221">
        <v>3500</v>
      </c>
      <c r="K221">
        <v>13650</v>
      </c>
      <c r="L221">
        <v>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13650</v>
      </c>
      <c r="AH221">
        <v>4</v>
      </c>
      <c r="AI221">
        <v>0</v>
      </c>
      <c r="AJ221">
        <v>0</v>
      </c>
      <c r="AK221">
        <v>13650</v>
      </c>
      <c r="AL221">
        <v>0</v>
      </c>
      <c r="AM221">
        <v>0</v>
      </c>
      <c r="AN221">
        <v>0</v>
      </c>
      <c r="AO221">
        <v>0</v>
      </c>
      <c r="AP221"/>
      <c r="AQ221">
        <v>0</v>
      </c>
      <c r="AR221">
        <v>0</v>
      </c>
      <c r="AT221">
        <v>0</v>
      </c>
      <c r="AU221">
        <v>0</v>
      </c>
      <c r="AW221">
        <v>0</v>
      </c>
      <c r="AX221">
        <v>0</v>
      </c>
      <c r="AY221">
        <v>9555</v>
      </c>
      <c r="BA221" t="str">
        <f>T("0000000000000")</f>
        <v>0000000000000</v>
      </c>
      <c r="BC221" t="str">
        <f>T("9791159286810")</f>
        <v>9791159286810</v>
      </c>
      <c r="BE221" t="str">
        <f>T("로판 e북 &gt; 서양풍 로판")</f>
        <v>로판 e북 &gt; 서양풍 로판</v>
      </c>
    </row>
    <row r="222" spans="1:58" x14ac:dyDescent="0.3">
      <c r="A222">
        <v>2313016847</v>
      </c>
      <c r="B222">
        <v>2313016847</v>
      </c>
      <c r="C222" t="str">
        <f>T("[e북]퇴마사(巫者) 1권")</f>
        <v>[e북]퇴마사(巫者) 1권</v>
      </c>
      <c r="D222" t="str">
        <f>T("1")</f>
        <v>1</v>
      </c>
      <c r="E222" t="str">
        <f>T("시무(蒔舞)")</f>
        <v>시무(蒔舞)</v>
      </c>
      <c r="H222" t="str">
        <f>T("도서출판 태랑")</f>
        <v>도서출판 태랑</v>
      </c>
      <c r="I222" t="str">
        <f>T("[e북]퇴마사(巫者)")</f>
        <v>[e북]퇴마사(巫者)</v>
      </c>
      <c r="J222">
        <v>3300</v>
      </c>
      <c r="K222">
        <v>13200</v>
      </c>
      <c r="L222">
        <v>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13200</v>
      </c>
      <c r="AH222">
        <v>4</v>
      </c>
      <c r="AI222">
        <v>0</v>
      </c>
      <c r="AJ222">
        <v>0</v>
      </c>
      <c r="AK222">
        <v>9900</v>
      </c>
      <c r="AL222">
        <v>0</v>
      </c>
      <c r="AM222">
        <v>3960</v>
      </c>
      <c r="AN222">
        <v>-1188</v>
      </c>
      <c r="AO222">
        <v>0</v>
      </c>
      <c r="AP222">
        <v>3960</v>
      </c>
      <c r="AQ222">
        <v>-1188</v>
      </c>
      <c r="AR222">
        <v>0</v>
      </c>
      <c r="AT222">
        <v>0</v>
      </c>
      <c r="AU222">
        <v>0</v>
      </c>
      <c r="AW222">
        <v>0</v>
      </c>
      <c r="AX222">
        <v>0</v>
      </c>
      <c r="AY222">
        <v>8870.4</v>
      </c>
      <c r="BC222" t="str">
        <f>T("9791164374779")</f>
        <v>9791164374779</v>
      </c>
      <c r="BE222" t="str">
        <f>T("BL 소설 e북 &gt; 해외 소설")</f>
        <v>BL 소설 e북 &gt; 해외 소설</v>
      </c>
    </row>
    <row r="223" spans="1:58" x14ac:dyDescent="0.3">
      <c r="A223">
        <v>2313002073</v>
      </c>
      <c r="B223">
        <v>2313002075</v>
      </c>
      <c r="C223" t="str">
        <f>T("[e북]형사의 게임 3권")</f>
        <v>[e북]형사의 게임 3권</v>
      </c>
      <c r="D223" t="str">
        <f>T("3")</f>
        <v>3</v>
      </c>
      <c r="E223" t="str">
        <f t="shared" ref="E223:E232" si="30">T("무장")</f>
        <v>무장</v>
      </c>
      <c r="H223" t="str">
        <f t="shared" ref="H223:H236" si="31">T("스토리위즈")</f>
        <v>스토리위즈</v>
      </c>
      <c r="I223" t="str">
        <f t="shared" ref="I223:I232" si="32">T("[e북]형사의 게임")</f>
        <v>[e북]형사의 게임</v>
      </c>
      <c r="J223">
        <v>3200</v>
      </c>
      <c r="K223">
        <v>12800</v>
      </c>
      <c r="L223">
        <v>4</v>
      </c>
      <c r="M223">
        <v>0</v>
      </c>
      <c r="N223">
        <v>20700</v>
      </c>
      <c r="O223">
        <v>23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33500</v>
      </c>
      <c r="AH223">
        <v>27</v>
      </c>
      <c r="AI223">
        <v>0</v>
      </c>
      <c r="AJ223">
        <v>0</v>
      </c>
      <c r="AK223">
        <v>16803</v>
      </c>
      <c r="AL223">
        <v>0</v>
      </c>
      <c r="AM223">
        <v>20036.400000000001</v>
      </c>
      <c r="AN223">
        <v>-3994.68</v>
      </c>
      <c r="AO223">
        <v>0</v>
      </c>
      <c r="AP223"/>
      <c r="AQ223">
        <v>0</v>
      </c>
      <c r="AR223">
        <v>0</v>
      </c>
      <c r="AS223">
        <v>20036.400000000001</v>
      </c>
      <c r="AT223">
        <v>-3994.68</v>
      </c>
      <c r="AU223">
        <v>0</v>
      </c>
      <c r="AW223">
        <v>0</v>
      </c>
      <c r="AX223">
        <v>0</v>
      </c>
      <c r="AY223">
        <v>22991.31</v>
      </c>
      <c r="BC223" t="str">
        <f>T("9791195863051")</f>
        <v>9791195863051</v>
      </c>
      <c r="BE223" t="str">
        <f t="shared" ref="BE223:BE232" si="33">T("판타지 e북 &gt; 현대 판타지")</f>
        <v>판타지 e북 &gt; 현대 판타지</v>
      </c>
    </row>
    <row r="224" spans="1:58" x14ac:dyDescent="0.3">
      <c r="A224">
        <v>2313002073</v>
      </c>
      <c r="B224">
        <v>2313002076</v>
      </c>
      <c r="C224" t="str">
        <f>T("[e북]형사의 게임 4권")</f>
        <v>[e북]형사의 게임 4권</v>
      </c>
      <c r="D224" t="str">
        <f>T("4")</f>
        <v>4</v>
      </c>
      <c r="E224" t="str">
        <f t="shared" si="30"/>
        <v>무장</v>
      </c>
      <c r="H224" t="str">
        <f t="shared" si="31"/>
        <v>스토리위즈</v>
      </c>
      <c r="I224" t="str">
        <f t="shared" si="32"/>
        <v>[e북]형사의 게임</v>
      </c>
      <c r="J224">
        <v>3200</v>
      </c>
      <c r="K224">
        <v>12800</v>
      </c>
      <c r="L224">
        <v>4</v>
      </c>
      <c r="M224">
        <v>0</v>
      </c>
      <c r="N224">
        <v>19800</v>
      </c>
      <c r="O224">
        <v>22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32600</v>
      </c>
      <c r="AH224">
        <v>26</v>
      </c>
      <c r="AI224">
        <v>0</v>
      </c>
      <c r="AJ224">
        <v>0</v>
      </c>
      <c r="AK224">
        <v>15883</v>
      </c>
      <c r="AL224">
        <v>0</v>
      </c>
      <c r="AM224">
        <v>20060.400000000001</v>
      </c>
      <c r="AN224">
        <v>-3809.88</v>
      </c>
      <c r="AO224">
        <v>0</v>
      </c>
      <c r="AP224"/>
      <c r="AQ224">
        <v>0</v>
      </c>
      <c r="AR224">
        <v>0</v>
      </c>
      <c r="AS224">
        <v>20060.400000000001</v>
      </c>
      <c r="AT224">
        <v>-3809.88</v>
      </c>
      <c r="AU224">
        <v>0</v>
      </c>
      <c r="AW224">
        <v>0</v>
      </c>
      <c r="AX224">
        <v>0</v>
      </c>
      <c r="AY224">
        <v>22493.47</v>
      </c>
      <c r="BC224" t="str">
        <f>T("9791195863068")</f>
        <v>9791195863068</v>
      </c>
      <c r="BE224" t="str">
        <f t="shared" si="33"/>
        <v>판타지 e북 &gt; 현대 판타지</v>
      </c>
    </row>
    <row r="225" spans="1:58" x14ac:dyDescent="0.3">
      <c r="A225">
        <v>2313002073</v>
      </c>
      <c r="B225">
        <v>2313002077</v>
      </c>
      <c r="C225" t="str">
        <f>T("[e북]형사의 게임 5권")</f>
        <v>[e북]형사의 게임 5권</v>
      </c>
      <c r="D225" t="str">
        <f>T("5")</f>
        <v>5</v>
      </c>
      <c r="E225" t="str">
        <f t="shared" si="30"/>
        <v>무장</v>
      </c>
      <c r="H225" t="str">
        <f t="shared" si="31"/>
        <v>스토리위즈</v>
      </c>
      <c r="I225" t="str">
        <f t="shared" si="32"/>
        <v>[e북]형사의 게임</v>
      </c>
      <c r="J225">
        <v>3200</v>
      </c>
      <c r="K225">
        <v>12800</v>
      </c>
      <c r="L225">
        <v>4</v>
      </c>
      <c r="M225">
        <v>0</v>
      </c>
      <c r="N225">
        <v>17100</v>
      </c>
      <c r="O225">
        <v>19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29900</v>
      </c>
      <c r="AH225">
        <v>23</v>
      </c>
      <c r="AI225">
        <v>0</v>
      </c>
      <c r="AJ225">
        <v>0</v>
      </c>
      <c r="AK225">
        <v>16356</v>
      </c>
      <c r="AL225">
        <v>0</v>
      </c>
      <c r="AM225">
        <v>16252.8</v>
      </c>
      <c r="AN225">
        <v>-3213.12</v>
      </c>
      <c r="AO225">
        <v>0</v>
      </c>
      <c r="AP225"/>
      <c r="AQ225">
        <v>0</v>
      </c>
      <c r="AR225">
        <v>0</v>
      </c>
      <c r="AS225">
        <v>16252.8</v>
      </c>
      <c r="AT225">
        <v>-3213.12</v>
      </c>
      <c r="AU225">
        <v>0</v>
      </c>
      <c r="AW225">
        <v>0</v>
      </c>
      <c r="AX225">
        <v>0</v>
      </c>
      <c r="AY225">
        <v>20576.98</v>
      </c>
      <c r="BC225" t="str">
        <f>T("9791195863075")</f>
        <v>9791195863075</v>
      </c>
      <c r="BE225" t="str">
        <f t="shared" si="33"/>
        <v>판타지 e북 &gt; 현대 판타지</v>
      </c>
    </row>
    <row r="226" spans="1:58" x14ac:dyDescent="0.3">
      <c r="A226">
        <v>2313002073</v>
      </c>
      <c r="B226">
        <v>2313002078</v>
      </c>
      <c r="C226" t="str">
        <f>T("[e북]형사의 게임 6권")</f>
        <v>[e북]형사의 게임 6권</v>
      </c>
      <c r="D226" t="str">
        <f>T("6")</f>
        <v>6</v>
      </c>
      <c r="E226" t="str">
        <f t="shared" si="30"/>
        <v>무장</v>
      </c>
      <c r="H226" t="str">
        <f t="shared" si="31"/>
        <v>스토리위즈</v>
      </c>
      <c r="I226" t="str">
        <f t="shared" si="32"/>
        <v>[e북]형사의 게임</v>
      </c>
      <c r="J226">
        <v>3200</v>
      </c>
      <c r="K226">
        <v>12800</v>
      </c>
      <c r="L226">
        <v>4</v>
      </c>
      <c r="M226">
        <v>0</v>
      </c>
      <c r="N226">
        <v>22500</v>
      </c>
      <c r="O226">
        <v>25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-1800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35300</v>
      </c>
      <c r="AH226">
        <v>29</v>
      </c>
      <c r="AI226">
        <v>-1800</v>
      </c>
      <c r="AJ226">
        <v>2</v>
      </c>
      <c r="AK226">
        <v>17883</v>
      </c>
      <c r="AL226">
        <v>-1800</v>
      </c>
      <c r="AM226">
        <v>20900.400000000001</v>
      </c>
      <c r="AN226">
        <v>-4109.88</v>
      </c>
      <c r="AO226">
        <v>0</v>
      </c>
      <c r="AP226"/>
      <c r="AQ226">
        <v>0</v>
      </c>
      <c r="AR226">
        <v>0</v>
      </c>
      <c r="AS226">
        <v>20900.400000000001</v>
      </c>
      <c r="AT226">
        <v>-4109.88</v>
      </c>
      <c r="AU226">
        <v>0</v>
      </c>
      <c r="AW226">
        <v>0</v>
      </c>
      <c r="AX226">
        <v>0</v>
      </c>
      <c r="AY226">
        <v>23011.47</v>
      </c>
      <c r="BC226" t="str">
        <f>T("9791195863082")</f>
        <v>9791195863082</v>
      </c>
      <c r="BE226" t="str">
        <f t="shared" si="33"/>
        <v>판타지 e북 &gt; 현대 판타지</v>
      </c>
    </row>
    <row r="227" spans="1:58" x14ac:dyDescent="0.3">
      <c r="A227">
        <v>2313002073</v>
      </c>
      <c r="B227">
        <v>2313002079</v>
      </c>
      <c r="C227" t="str">
        <f>T("[e북]형사의 게임 7권")</f>
        <v>[e북]형사의 게임 7권</v>
      </c>
      <c r="D227" t="str">
        <f>T("7")</f>
        <v>7</v>
      </c>
      <c r="E227" t="str">
        <f t="shared" si="30"/>
        <v>무장</v>
      </c>
      <c r="H227" t="str">
        <f t="shared" si="31"/>
        <v>스토리위즈</v>
      </c>
      <c r="I227" t="str">
        <f t="shared" si="32"/>
        <v>[e북]형사의 게임</v>
      </c>
      <c r="J227">
        <v>3200</v>
      </c>
      <c r="K227">
        <v>12800</v>
      </c>
      <c r="L227">
        <v>4</v>
      </c>
      <c r="M227">
        <v>0</v>
      </c>
      <c r="N227">
        <v>22500</v>
      </c>
      <c r="O227">
        <v>25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-1800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35300</v>
      </c>
      <c r="AH227">
        <v>29</v>
      </c>
      <c r="AI227">
        <v>-1800</v>
      </c>
      <c r="AJ227">
        <v>2</v>
      </c>
      <c r="AK227">
        <v>18284</v>
      </c>
      <c r="AL227">
        <v>-1800</v>
      </c>
      <c r="AM227">
        <v>20419.2</v>
      </c>
      <c r="AN227">
        <v>-4061.52</v>
      </c>
      <c r="AO227">
        <v>0</v>
      </c>
      <c r="AP227"/>
      <c r="AQ227">
        <v>0</v>
      </c>
      <c r="AR227">
        <v>0</v>
      </c>
      <c r="AS227">
        <v>20419.2</v>
      </c>
      <c r="AT227">
        <v>-4061.52</v>
      </c>
      <c r="AU227">
        <v>0</v>
      </c>
      <c r="AW227">
        <v>0</v>
      </c>
      <c r="AX227">
        <v>0</v>
      </c>
      <c r="AY227">
        <v>22989.18</v>
      </c>
      <c r="BC227" t="str">
        <f>T("9791195863099")</f>
        <v>9791195863099</v>
      </c>
      <c r="BE227" t="str">
        <f t="shared" si="33"/>
        <v>판타지 e북 &gt; 현대 판타지</v>
      </c>
    </row>
    <row r="228" spans="1:58" x14ac:dyDescent="0.3">
      <c r="A228">
        <v>2313002073</v>
      </c>
      <c r="B228">
        <v>2313002080</v>
      </c>
      <c r="C228" t="str">
        <f>T("[e북]형사의 게임 8권")</f>
        <v>[e북]형사의 게임 8권</v>
      </c>
      <c r="D228" t="str">
        <f>T("8")</f>
        <v>8</v>
      </c>
      <c r="E228" t="str">
        <f t="shared" si="30"/>
        <v>무장</v>
      </c>
      <c r="H228" t="str">
        <f t="shared" si="31"/>
        <v>스토리위즈</v>
      </c>
      <c r="I228" t="str">
        <f t="shared" si="32"/>
        <v>[e북]형사의 게임</v>
      </c>
      <c r="J228">
        <v>3200</v>
      </c>
      <c r="K228">
        <v>12800</v>
      </c>
      <c r="L228">
        <v>4</v>
      </c>
      <c r="M228">
        <v>0</v>
      </c>
      <c r="N228">
        <v>21600</v>
      </c>
      <c r="O228">
        <v>24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-1800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34400</v>
      </c>
      <c r="AH228">
        <v>28</v>
      </c>
      <c r="AI228">
        <v>-1800</v>
      </c>
      <c r="AJ228">
        <v>2</v>
      </c>
      <c r="AK228">
        <v>18384</v>
      </c>
      <c r="AL228">
        <v>-1800</v>
      </c>
      <c r="AM228">
        <v>19219.2</v>
      </c>
      <c r="AN228">
        <v>-3725.52</v>
      </c>
      <c r="AO228">
        <v>0</v>
      </c>
      <c r="AP228"/>
      <c r="AQ228">
        <v>0</v>
      </c>
      <c r="AR228">
        <v>0</v>
      </c>
      <c r="AS228">
        <v>19219.2</v>
      </c>
      <c r="AT228">
        <v>-3725.52</v>
      </c>
      <c r="AU228">
        <v>0</v>
      </c>
      <c r="AW228">
        <v>0</v>
      </c>
      <c r="AX228">
        <v>0</v>
      </c>
      <c r="AY228">
        <v>22454.38</v>
      </c>
      <c r="BC228" t="str">
        <f>T("9791188630004")</f>
        <v>9791188630004</v>
      </c>
      <c r="BE228" t="str">
        <f t="shared" si="33"/>
        <v>판타지 e북 &gt; 현대 판타지</v>
      </c>
    </row>
    <row r="229" spans="1:58" x14ac:dyDescent="0.3">
      <c r="A229">
        <v>2313002073</v>
      </c>
      <c r="B229">
        <v>2313002081</v>
      </c>
      <c r="C229" t="str">
        <f>T("[e북]형사의 게임 9권")</f>
        <v>[e북]형사의 게임 9권</v>
      </c>
      <c r="D229" t="str">
        <f>T("9")</f>
        <v>9</v>
      </c>
      <c r="E229" t="str">
        <f t="shared" si="30"/>
        <v>무장</v>
      </c>
      <c r="H229" t="str">
        <f t="shared" si="31"/>
        <v>스토리위즈</v>
      </c>
      <c r="I229" t="str">
        <f t="shared" si="32"/>
        <v>[e북]형사의 게임</v>
      </c>
      <c r="J229">
        <v>3200</v>
      </c>
      <c r="K229">
        <v>12800</v>
      </c>
      <c r="L229">
        <v>4</v>
      </c>
      <c r="M229">
        <v>0</v>
      </c>
      <c r="N229">
        <v>22500</v>
      </c>
      <c r="O229">
        <v>25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-1800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35300</v>
      </c>
      <c r="AH229">
        <v>29</v>
      </c>
      <c r="AI229">
        <v>-1800</v>
      </c>
      <c r="AJ229">
        <v>2</v>
      </c>
      <c r="AK229">
        <v>19234</v>
      </c>
      <c r="AL229">
        <v>-1800</v>
      </c>
      <c r="AM229">
        <v>19279.2</v>
      </c>
      <c r="AN229">
        <v>-3731.52</v>
      </c>
      <c r="AO229">
        <v>0</v>
      </c>
      <c r="AP229"/>
      <c r="AQ229">
        <v>0</v>
      </c>
      <c r="AR229">
        <v>0</v>
      </c>
      <c r="AS229">
        <v>19279.2</v>
      </c>
      <c r="AT229">
        <v>-3731.52</v>
      </c>
      <c r="AU229">
        <v>0</v>
      </c>
      <c r="AW229">
        <v>0</v>
      </c>
      <c r="AX229">
        <v>0</v>
      </c>
      <c r="AY229">
        <v>23087.18</v>
      </c>
      <c r="BC229" t="str">
        <f>T("9791188630011")</f>
        <v>9791188630011</v>
      </c>
      <c r="BE229" t="str">
        <f t="shared" si="33"/>
        <v>판타지 e북 &gt; 현대 판타지</v>
      </c>
    </row>
    <row r="230" spans="1:58" x14ac:dyDescent="0.3">
      <c r="A230">
        <v>2313002073</v>
      </c>
      <c r="B230">
        <v>2313002082</v>
      </c>
      <c r="C230" t="str">
        <f>T("[e북]형사의 게임 10권")</f>
        <v>[e북]형사의 게임 10권</v>
      </c>
      <c r="D230" t="str">
        <f>T("10")</f>
        <v>10</v>
      </c>
      <c r="E230" t="str">
        <f t="shared" si="30"/>
        <v>무장</v>
      </c>
      <c r="H230" t="str">
        <f t="shared" si="31"/>
        <v>스토리위즈</v>
      </c>
      <c r="I230" t="str">
        <f t="shared" si="32"/>
        <v>[e북]형사의 게임</v>
      </c>
      <c r="J230">
        <v>3200</v>
      </c>
      <c r="K230">
        <v>12800</v>
      </c>
      <c r="L230">
        <v>4</v>
      </c>
      <c r="M230">
        <v>0</v>
      </c>
      <c r="N230">
        <v>22500</v>
      </c>
      <c r="O230">
        <v>25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-1800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35300</v>
      </c>
      <c r="AH230">
        <v>29</v>
      </c>
      <c r="AI230">
        <v>-1800</v>
      </c>
      <c r="AJ230">
        <v>2</v>
      </c>
      <c r="AK230">
        <v>20135</v>
      </c>
      <c r="AL230">
        <v>-1800</v>
      </c>
      <c r="AM230">
        <v>18198</v>
      </c>
      <c r="AN230">
        <v>-3623.4</v>
      </c>
      <c r="AO230">
        <v>0</v>
      </c>
      <c r="AP230"/>
      <c r="AQ230">
        <v>0</v>
      </c>
      <c r="AR230">
        <v>0</v>
      </c>
      <c r="AS230">
        <v>18198</v>
      </c>
      <c r="AT230">
        <v>-3623.4</v>
      </c>
      <c r="AU230">
        <v>0</v>
      </c>
      <c r="AW230">
        <v>0</v>
      </c>
      <c r="AX230">
        <v>0</v>
      </c>
      <c r="AY230">
        <v>23036.720000000001</v>
      </c>
      <c r="BC230" t="str">
        <f>T("9791188630028")</f>
        <v>9791188630028</v>
      </c>
      <c r="BE230" t="str">
        <f t="shared" si="33"/>
        <v>판타지 e북 &gt; 현대 판타지</v>
      </c>
    </row>
    <row r="231" spans="1:58" x14ac:dyDescent="0.3">
      <c r="A231">
        <v>2313002073</v>
      </c>
      <c r="B231">
        <v>2313002083</v>
      </c>
      <c r="C231" t="str">
        <f>T("[e북]형사의 게임 11권")</f>
        <v>[e북]형사의 게임 11권</v>
      </c>
      <c r="D231" t="str">
        <f>T("11")</f>
        <v>11</v>
      </c>
      <c r="E231" t="str">
        <f t="shared" si="30"/>
        <v>무장</v>
      </c>
      <c r="H231" t="str">
        <f t="shared" si="31"/>
        <v>스토리위즈</v>
      </c>
      <c r="I231" t="str">
        <f t="shared" si="32"/>
        <v>[e북]형사의 게임</v>
      </c>
      <c r="J231">
        <v>3200</v>
      </c>
      <c r="K231">
        <v>12800</v>
      </c>
      <c r="L231">
        <v>4</v>
      </c>
      <c r="M231">
        <v>0</v>
      </c>
      <c r="N231">
        <v>23400</v>
      </c>
      <c r="O231">
        <v>26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-1800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36200</v>
      </c>
      <c r="AH231">
        <v>30</v>
      </c>
      <c r="AI231">
        <v>-1800</v>
      </c>
      <c r="AJ231">
        <v>2</v>
      </c>
      <c r="AK231">
        <v>21385</v>
      </c>
      <c r="AL231">
        <v>-1800</v>
      </c>
      <c r="AM231">
        <v>17778</v>
      </c>
      <c r="AN231">
        <v>-3581.4</v>
      </c>
      <c r="AO231">
        <v>0</v>
      </c>
      <c r="AP231"/>
      <c r="AQ231">
        <v>0</v>
      </c>
      <c r="AR231">
        <v>0</v>
      </c>
      <c r="AS231">
        <v>17778</v>
      </c>
      <c r="AT231">
        <v>-3581.4</v>
      </c>
      <c r="AU231">
        <v>0</v>
      </c>
      <c r="AW231">
        <v>0</v>
      </c>
      <c r="AX231">
        <v>0</v>
      </c>
      <c r="AY231">
        <v>23647.119999999999</v>
      </c>
      <c r="BC231" t="str">
        <f>T("9791188630035")</f>
        <v>9791188630035</v>
      </c>
      <c r="BE231" t="str">
        <f t="shared" si="33"/>
        <v>판타지 e북 &gt; 현대 판타지</v>
      </c>
    </row>
    <row r="232" spans="1:58" x14ac:dyDescent="0.3">
      <c r="A232">
        <v>2313002073</v>
      </c>
      <c r="B232">
        <v>2313002084</v>
      </c>
      <c r="C232" t="str">
        <f>T("[e북]형사의 게임 12권 (완결)")</f>
        <v>[e북]형사의 게임 12권 (완결)</v>
      </c>
      <c r="D232" t="str">
        <f>T("12")</f>
        <v>12</v>
      </c>
      <c r="E232" t="str">
        <f t="shared" si="30"/>
        <v>무장</v>
      </c>
      <c r="H232" t="str">
        <f t="shared" si="31"/>
        <v>스토리위즈</v>
      </c>
      <c r="I232" t="str">
        <f t="shared" si="32"/>
        <v>[e북]형사의 게임</v>
      </c>
      <c r="J232">
        <v>3200</v>
      </c>
      <c r="K232">
        <v>12800</v>
      </c>
      <c r="L232">
        <v>4</v>
      </c>
      <c r="M232">
        <v>0</v>
      </c>
      <c r="N232">
        <v>22500</v>
      </c>
      <c r="O232">
        <v>25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-1800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35300</v>
      </c>
      <c r="AH232">
        <v>29</v>
      </c>
      <c r="AI232">
        <v>-1800</v>
      </c>
      <c r="AJ232">
        <v>2</v>
      </c>
      <c r="AK232">
        <v>22655</v>
      </c>
      <c r="AL232">
        <v>-1800</v>
      </c>
      <c r="AM232">
        <v>15174</v>
      </c>
      <c r="AN232">
        <v>-2337</v>
      </c>
      <c r="AO232">
        <v>0</v>
      </c>
      <c r="AP232"/>
      <c r="AQ232">
        <v>0</v>
      </c>
      <c r="AR232">
        <v>0</v>
      </c>
      <c r="AS232">
        <v>15174</v>
      </c>
      <c r="AT232">
        <v>-2337</v>
      </c>
      <c r="AU232">
        <v>0</v>
      </c>
      <c r="AW232">
        <v>0</v>
      </c>
      <c r="AX232">
        <v>0</v>
      </c>
      <c r="AY232">
        <v>23584.400000000001</v>
      </c>
      <c r="BC232" t="str">
        <f>T("9791188630042")</f>
        <v>9791188630042</v>
      </c>
      <c r="BE232" t="str">
        <f t="shared" si="33"/>
        <v>판타지 e북 &gt; 현대 판타지</v>
      </c>
    </row>
    <row r="233" spans="1:58" x14ac:dyDescent="0.3">
      <c r="A233">
        <v>2313008324</v>
      </c>
      <c r="B233">
        <v>2313008330</v>
      </c>
      <c r="C233" t="str">
        <f>T("[e북]간신이 나라를 살림 7권")</f>
        <v>[e북]간신이 나라를 살림 7권</v>
      </c>
      <c r="D233" t="str">
        <f>T("7")</f>
        <v>7</v>
      </c>
      <c r="E233" t="str">
        <f>T("루이세")</f>
        <v>루이세</v>
      </c>
      <c r="H233" t="str">
        <f t="shared" si="31"/>
        <v>스토리위즈</v>
      </c>
      <c r="I233" t="str">
        <f>T("[e북]간신이 나라를 살림")</f>
        <v>[e북]간신이 나라를 살림</v>
      </c>
      <c r="J233">
        <v>3200</v>
      </c>
      <c r="K233">
        <v>12800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121600</v>
      </c>
      <c r="T233">
        <v>76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-6400</v>
      </c>
      <c r="AD233">
        <v>4</v>
      </c>
      <c r="AE233">
        <v>0</v>
      </c>
      <c r="AF233">
        <v>0</v>
      </c>
      <c r="AG233">
        <v>134400</v>
      </c>
      <c r="AH233">
        <v>80</v>
      </c>
      <c r="AI233">
        <v>-6400</v>
      </c>
      <c r="AJ233">
        <v>4</v>
      </c>
      <c r="AK233">
        <v>125738</v>
      </c>
      <c r="AL233">
        <v>-6400</v>
      </c>
      <c r="AM233">
        <v>10394.4</v>
      </c>
      <c r="AN233">
        <v>-2435.52</v>
      </c>
      <c r="AO233">
        <v>0</v>
      </c>
      <c r="AP233">
        <v>1168.8</v>
      </c>
      <c r="AQ233">
        <v>-350.64</v>
      </c>
      <c r="AR233">
        <v>0</v>
      </c>
      <c r="AS233">
        <v>9225.6</v>
      </c>
      <c r="AT233">
        <v>-2084.88</v>
      </c>
      <c r="AU233">
        <v>0</v>
      </c>
      <c r="AW233">
        <v>0</v>
      </c>
      <c r="AX233">
        <v>0</v>
      </c>
      <c r="AY233">
        <v>89107.81</v>
      </c>
      <c r="BC233" t="str">
        <f>T("9791165310776")</f>
        <v>9791165310776</v>
      </c>
      <c r="BE233" t="str">
        <f>T("판타지 e북 &gt; 퓨전 판타지")</f>
        <v>판타지 e북 &gt; 퓨전 판타지</v>
      </c>
    </row>
    <row r="234" spans="1:58" x14ac:dyDescent="0.3">
      <c r="A234">
        <v>2313008324</v>
      </c>
      <c r="B234">
        <v>2313008331</v>
      </c>
      <c r="C234" t="str">
        <f>T("[e북]간신이 나라를 살림 8권")</f>
        <v>[e북]간신이 나라를 살림 8권</v>
      </c>
      <c r="D234" t="str">
        <f>T("8")</f>
        <v>8</v>
      </c>
      <c r="E234" t="str">
        <f>T("루이세")</f>
        <v>루이세</v>
      </c>
      <c r="H234" t="str">
        <f t="shared" si="31"/>
        <v>스토리위즈</v>
      </c>
      <c r="I234" t="str">
        <f>T("[e북]간신이 나라를 살림")</f>
        <v>[e북]간신이 나라를 살림</v>
      </c>
      <c r="J234">
        <v>3200</v>
      </c>
      <c r="K234">
        <v>12800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121600</v>
      </c>
      <c r="T234">
        <v>76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-6400</v>
      </c>
      <c r="AD234">
        <v>4</v>
      </c>
      <c r="AE234">
        <v>0</v>
      </c>
      <c r="AF234">
        <v>0</v>
      </c>
      <c r="AG234">
        <v>134400</v>
      </c>
      <c r="AH234">
        <v>80</v>
      </c>
      <c r="AI234">
        <v>-6400</v>
      </c>
      <c r="AJ234">
        <v>4</v>
      </c>
      <c r="AK234">
        <v>125737</v>
      </c>
      <c r="AL234">
        <v>-6400</v>
      </c>
      <c r="AM234">
        <v>10395.6</v>
      </c>
      <c r="AN234">
        <v>-2435.88</v>
      </c>
      <c r="AO234">
        <v>0</v>
      </c>
      <c r="AP234">
        <v>1168.8</v>
      </c>
      <c r="AQ234">
        <v>-350.64</v>
      </c>
      <c r="AR234">
        <v>0</v>
      </c>
      <c r="AS234">
        <v>9226.7999999999993</v>
      </c>
      <c r="AT234">
        <v>-2085.2399999999998</v>
      </c>
      <c r="AU234">
        <v>0</v>
      </c>
      <c r="AW234">
        <v>0</v>
      </c>
      <c r="AX234">
        <v>0</v>
      </c>
      <c r="AY234">
        <v>89107.7</v>
      </c>
      <c r="BC234" t="str">
        <f>T("9791165310783")</f>
        <v>9791165310783</v>
      </c>
      <c r="BE234" t="str">
        <f>T("판타지 e북 &gt; 퓨전 판타지")</f>
        <v>판타지 e북 &gt; 퓨전 판타지</v>
      </c>
    </row>
    <row r="235" spans="1:58" x14ac:dyDescent="0.3">
      <c r="A235">
        <v>2313008324</v>
      </c>
      <c r="B235">
        <v>2313008332</v>
      </c>
      <c r="C235" t="str">
        <f>T("[e북]간신이 나라를 살림 9권")</f>
        <v>[e북]간신이 나라를 살림 9권</v>
      </c>
      <c r="D235" t="str">
        <f>T("9")</f>
        <v>9</v>
      </c>
      <c r="E235" t="str">
        <f>T("루이세")</f>
        <v>루이세</v>
      </c>
      <c r="H235" t="str">
        <f t="shared" si="31"/>
        <v>스토리위즈</v>
      </c>
      <c r="I235" t="str">
        <f>T("[e북]간신이 나라를 살림")</f>
        <v>[e북]간신이 나라를 살림</v>
      </c>
      <c r="J235">
        <v>3200</v>
      </c>
      <c r="K235">
        <v>12800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121600</v>
      </c>
      <c r="T235">
        <v>76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-6400</v>
      </c>
      <c r="AD235">
        <v>4</v>
      </c>
      <c r="AE235">
        <v>0</v>
      </c>
      <c r="AF235">
        <v>0</v>
      </c>
      <c r="AG235">
        <v>134400</v>
      </c>
      <c r="AH235">
        <v>80</v>
      </c>
      <c r="AI235">
        <v>-6400</v>
      </c>
      <c r="AJ235">
        <v>4</v>
      </c>
      <c r="AK235">
        <v>125737</v>
      </c>
      <c r="AL235">
        <v>-6400</v>
      </c>
      <c r="AM235">
        <v>10395.6</v>
      </c>
      <c r="AN235">
        <v>-2435.88</v>
      </c>
      <c r="AO235">
        <v>0</v>
      </c>
      <c r="AP235">
        <v>1168.8</v>
      </c>
      <c r="AQ235">
        <v>-350.64</v>
      </c>
      <c r="AR235">
        <v>0</v>
      </c>
      <c r="AS235">
        <v>9226.7999999999993</v>
      </c>
      <c r="AT235">
        <v>-2085.2399999999998</v>
      </c>
      <c r="AU235">
        <v>0</v>
      </c>
      <c r="AW235">
        <v>0</v>
      </c>
      <c r="AX235">
        <v>0</v>
      </c>
      <c r="AY235">
        <v>89107.7</v>
      </c>
      <c r="BC235" t="str">
        <f>T("9791165310790")</f>
        <v>9791165310790</v>
      </c>
      <c r="BE235" t="str">
        <f>T("판타지 e북 &gt; 퓨전 판타지")</f>
        <v>판타지 e북 &gt; 퓨전 판타지</v>
      </c>
    </row>
    <row r="236" spans="1:58" x14ac:dyDescent="0.3">
      <c r="A236">
        <v>2313018620</v>
      </c>
      <c r="B236">
        <v>2313018621</v>
      </c>
      <c r="C236" t="str">
        <f>T("[e북]나 혼자 스킬융합 2권")</f>
        <v>[e북]나 혼자 스킬융합 2권</v>
      </c>
      <c r="D236" t="str">
        <f>T("2")</f>
        <v>2</v>
      </c>
      <c r="E236" t="str">
        <f>T("붕어빵")</f>
        <v>붕어빵</v>
      </c>
      <c r="H236" t="str">
        <f t="shared" si="31"/>
        <v>스토리위즈</v>
      </c>
      <c r="I236" t="str">
        <f>T("[e북]나 혼자 스킬융합")</f>
        <v>[e북]나 혼자 스킬융합</v>
      </c>
      <c r="J236">
        <v>3200</v>
      </c>
      <c r="K236">
        <v>12800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12800</v>
      </c>
      <c r="AH236">
        <v>4</v>
      </c>
      <c r="AI236">
        <v>0</v>
      </c>
      <c r="AJ236">
        <v>0</v>
      </c>
      <c r="AK236">
        <v>8900</v>
      </c>
      <c r="AL236">
        <v>0</v>
      </c>
      <c r="AM236">
        <v>4680</v>
      </c>
      <c r="AN236">
        <v>-468</v>
      </c>
      <c r="AO236">
        <v>0</v>
      </c>
      <c r="AP236"/>
      <c r="AQ236">
        <v>0</v>
      </c>
      <c r="AR236">
        <v>0</v>
      </c>
      <c r="AS236">
        <v>4680</v>
      </c>
      <c r="AT236">
        <v>-468</v>
      </c>
      <c r="AU236">
        <v>0</v>
      </c>
      <c r="AW236">
        <v>0</v>
      </c>
      <c r="AX236">
        <v>0</v>
      </c>
      <c r="AY236">
        <v>9178.4</v>
      </c>
      <c r="BC236" t="str">
        <f>T("9791137605497")</f>
        <v>9791137605497</v>
      </c>
      <c r="BE236" t="str">
        <f>T("판타지 e북 &gt; 현대 판타지")</f>
        <v>판타지 e북 &gt; 현대 판타지</v>
      </c>
    </row>
    <row r="237" spans="1:58" x14ac:dyDescent="0.3">
      <c r="A237">
        <v>2313017016</v>
      </c>
      <c r="B237">
        <v>2313017016</v>
      </c>
      <c r="C237" t="str">
        <f>T("[e북]트리거")</f>
        <v>[e북]트리거</v>
      </c>
      <c r="D237" t="str">
        <f>T("1")</f>
        <v>1</v>
      </c>
      <c r="E237" t="str">
        <f>T("블랙커피")</f>
        <v>블랙커피</v>
      </c>
      <c r="H237" t="str">
        <f>T("도서출판 태랑")</f>
        <v>도서출판 태랑</v>
      </c>
      <c r="I237" t="str">
        <f>T("[e북]트리거")</f>
        <v>[e북]트리거</v>
      </c>
      <c r="J237">
        <v>4000</v>
      </c>
      <c r="K237">
        <v>12000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12000</v>
      </c>
      <c r="AH237">
        <v>3</v>
      </c>
      <c r="AI237">
        <v>0</v>
      </c>
      <c r="AJ237">
        <v>0</v>
      </c>
      <c r="AK237">
        <v>12000</v>
      </c>
      <c r="AL237">
        <v>0</v>
      </c>
      <c r="AM237">
        <v>0</v>
      </c>
      <c r="AN237">
        <v>0</v>
      </c>
      <c r="AO237">
        <v>0</v>
      </c>
      <c r="AP237"/>
      <c r="AQ237">
        <v>0</v>
      </c>
      <c r="AR237">
        <v>0</v>
      </c>
      <c r="AT237">
        <v>0</v>
      </c>
      <c r="AU237">
        <v>0</v>
      </c>
      <c r="AW237">
        <v>0</v>
      </c>
      <c r="AX237">
        <v>0</v>
      </c>
      <c r="AY237">
        <v>8400</v>
      </c>
      <c r="BC237" t="str">
        <f>T("9791164371983")</f>
        <v>9791164371983</v>
      </c>
      <c r="BE237" t="str">
        <f>T("BL 소설 e북 &gt; 현대물")</f>
        <v>BL 소설 e북 &gt; 현대물</v>
      </c>
    </row>
    <row r="238" spans="1:58" x14ac:dyDescent="0.3">
      <c r="A238">
        <v>2313017148</v>
      </c>
      <c r="B238">
        <v>2313017147</v>
      </c>
      <c r="C238" t="str">
        <f>T("[e북]비서의 유혹 2권")</f>
        <v>[e북]비서의 유혹 2권</v>
      </c>
      <c r="D238" t="str">
        <f>T("2")</f>
        <v>2</v>
      </c>
      <c r="E238" t="str">
        <f>T("밈스")</f>
        <v>밈스</v>
      </c>
      <c r="H238" t="str">
        <f>T("도서출판 태랑")</f>
        <v>도서출판 태랑</v>
      </c>
      <c r="I238" t="str">
        <f>T("[e북]비서의 유혹")</f>
        <v>[e북]비서의 유혹</v>
      </c>
      <c r="J238">
        <v>3000</v>
      </c>
      <c r="K238">
        <v>12000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12000</v>
      </c>
      <c r="AH238">
        <v>4</v>
      </c>
      <c r="AI238">
        <v>0</v>
      </c>
      <c r="AJ238">
        <v>0</v>
      </c>
      <c r="AK238">
        <v>12000</v>
      </c>
      <c r="AL238">
        <v>0</v>
      </c>
      <c r="AM238">
        <v>0</v>
      </c>
      <c r="AN238">
        <v>0</v>
      </c>
      <c r="AO238">
        <v>0</v>
      </c>
      <c r="AP238"/>
      <c r="AQ238">
        <v>0</v>
      </c>
      <c r="AR238">
        <v>0</v>
      </c>
      <c r="AT238">
        <v>0</v>
      </c>
      <c r="AU238">
        <v>0</v>
      </c>
      <c r="AW238">
        <v>0</v>
      </c>
      <c r="AX238">
        <v>0</v>
      </c>
      <c r="AY238">
        <v>8400</v>
      </c>
      <c r="BC238" t="str">
        <f>T("9791189084455")</f>
        <v>9791189084455</v>
      </c>
      <c r="BE238" t="str">
        <f>T("로맨스 e북 &gt; 현대물")</f>
        <v>로맨스 e북 &gt; 현대물</v>
      </c>
      <c r="BF238" t="str">
        <f>T("로맨스 e북 &gt; 19+")</f>
        <v>로맨스 e북 &gt; 19+</v>
      </c>
    </row>
    <row r="239" spans="1:58" x14ac:dyDescent="0.3">
      <c r="A239">
        <v>2313019328</v>
      </c>
      <c r="B239">
        <v>2313019329</v>
      </c>
      <c r="C239" t="str">
        <f>T("[e북]악연의 고리 2권")</f>
        <v>[e북]악연의 고리 2권</v>
      </c>
      <c r="D239" t="str">
        <f>T("2")</f>
        <v>2</v>
      </c>
      <c r="E239" t="str">
        <f>T("설봄향")</f>
        <v>설봄향</v>
      </c>
      <c r="H239" t="str">
        <f>T("앰퍼샌드B")</f>
        <v>앰퍼샌드B</v>
      </c>
      <c r="I239" t="str">
        <f>T("[e북]악연의 고리")</f>
        <v>[e북]악연의 고리</v>
      </c>
      <c r="J239">
        <v>3000</v>
      </c>
      <c r="K239">
        <v>12000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12000</v>
      </c>
      <c r="AH239">
        <v>4</v>
      </c>
      <c r="AI239">
        <v>0</v>
      </c>
      <c r="AJ239">
        <v>0</v>
      </c>
      <c r="AK239">
        <v>12000</v>
      </c>
      <c r="AL239">
        <v>0</v>
      </c>
      <c r="AM239">
        <v>0</v>
      </c>
      <c r="AN239">
        <v>0</v>
      </c>
      <c r="AO239">
        <v>0</v>
      </c>
      <c r="AP239"/>
      <c r="AQ239">
        <v>0</v>
      </c>
      <c r="AR239">
        <v>0</v>
      </c>
      <c r="AT239">
        <v>0</v>
      </c>
      <c r="AU239">
        <v>0</v>
      </c>
      <c r="AW239">
        <v>0</v>
      </c>
      <c r="AX239">
        <v>0</v>
      </c>
      <c r="AY239">
        <v>8400</v>
      </c>
      <c r="BC239" t="str">
        <f>T("9791137606043")</f>
        <v>9791137606043</v>
      </c>
      <c r="BE239" t="str">
        <f>T("BL 소설 e북 &gt; 현대물")</f>
        <v>BL 소설 e북 &gt; 현대물</v>
      </c>
    </row>
    <row r="240" spans="1:58" x14ac:dyDescent="0.3">
      <c r="A240">
        <v>2313020095</v>
      </c>
      <c r="B240">
        <v>2313020095</v>
      </c>
      <c r="C240" t="str">
        <f>T("[e북]결혼의 함정 1권")</f>
        <v>[e북]결혼의 함정 1권</v>
      </c>
      <c r="D240" t="str">
        <f>T("1")</f>
        <v>1</v>
      </c>
      <c r="E240" t="str">
        <f>T("블랙커피")</f>
        <v>블랙커피</v>
      </c>
      <c r="H240" t="str">
        <f>T("도서출판 태랑")</f>
        <v>도서출판 태랑</v>
      </c>
      <c r="I240" t="str">
        <f>T("[e북]결혼의 함정")</f>
        <v>[e북]결혼의 함정</v>
      </c>
      <c r="J240">
        <v>3000</v>
      </c>
      <c r="K240">
        <v>12000</v>
      </c>
      <c r="L240">
        <v>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12000</v>
      </c>
      <c r="AH240">
        <v>4</v>
      </c>
      <c r="AI240">
        <v>0</v>
      </c>
      <c r="AJ240">
        <v>0</v>
      </c>
      <c r="AK240">
        <v>12000</v>
      </c>
      <c r="AL240">
        <v>0</v>
      </c>
      <c r="AM240">
        <v>0</v>
      </c>
      <c r="AN240">
        <v>0</v>
      </c>
      <c r="AO240">
        <v>0</v>
      </c>
      <c r="AP240"/>
      <c r="AQ240">
        <v>0</v>
      </c>
      <c r="AR240">
        <v>0</v>
      </c>
      <c r="AT240">
        <v>0</v>
      </c>
      <c r="AU240">
        <v>0</v>
      </c>
      <c r="AW240">
        <v>0</v>
      </c>
      <c r="AX240">
        <v>0</v>
      </c>
      <c r="AY240">
        <v>8400</v>
      </c>
      <c r="BC240" t="str">
        <f>T("9791137605954")</f>
        <v>9791137605954</v>
      </c>
      <c r="BE240" t="str">
        <f>T("로맨스 e북 &gt; 현대물")</f>
        <v>로맨스 e북 &gt; 현대물</v>
      </c>
      <c r="BF240" t="str">
        <f>T("로맨스 e북 &gt; 19+")</f>
        <v>로맨스 e북 &gt; 19+</v>
      </c>
    </row>
    <row r="241" spans="1:58" x14ac:dyDescent="0.3">
      <c r="A241">
        <v>2313017081</v>
      </c>
      <c r="B241">
        <v>2313017080</v>
      </c>
      <c r="C241" t="str">
        <f>T("[e북]골 때리는 사랑 2권 (완결)")</f>
        <v>[e북]골 때리는 사랑 2권 (완결)</v>
      </c>
      <c r="D241" t="str">
        <f>T("2")</f>
        <v>2</v>
      </c>
      <c r="E241" t="str">
        <f>T("모리미")</f>
        <v>모리미</v>
      </c>
      <c r="H241" t="str">
        <f>T("도서출판 태랑")</f>
        <v>도서출판 태랑</v>
      </c>
      <c r="I241" t="str">
        <f>T("[e북]골 때리는 사랑")</f>
        <v>[e북]골 때리는 사랑</v>
      </c>
      <c r="J241">
        <v>2800</v>
      </c>
      <c r="K241">
        <v>11200</v>
      </c>
      <c r="L241">
        <v>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11200</v>
      </c>
      <c r="AH241">
        <v>4</v>
      </c>
      <c r="AI241">
        <v>0</v>
      </c>
      <c r="AJ241">
        <v>0</v>
      </c>
      <c r="AK241">
        <v>11200</v>
      </c>
      <c r="AL241">
        <v>0</v>
      </c>
      <c r="AM241">
        <v>0</v>
      </c>
      <c r="AN241">
        <v>0</v>
      </c>
      <c r="AO241">
        <v>0</v>
      </c>
      <c r="AP241"/>
      <c r="AQ241">
        <v>0</v>
      </c>
      <c r="AR241">
        <v>0</v>
      </c>
      <c r="AT241">
        <v>0</v>
      </c>
      <c r="AU241">
        <v>0</v>
      </c>
      <c r="AW241">
        <v>0</v>
      </c>
      <c r="AX241">
        <v>0</v>
      </c>
      <c r="AY241">
        <v>7840</v>
      </c>
      <c r="BC241" t="str">
        <f>T("9791164370498")</f>
        <v>9791164370498</v>
      </c>
      <c r="BE241" t="str">
        <f>T("BL 소설 e북 &gt; 현대물")</f>
        <v>BL 소설 e북 &gt; 현대물</v>
      </c>
    </row>
    <row r="242" spans="1:58" x14ac:dyDescent="0.3">
      <c r="A242">
        <v>2313017081</v>
      </c>
      <c r="B242">
        <v>2313017081</v>
      </c>
      <c r="C242" t="str">
        <f>T("[e북]골 때리는 사랑 1권")</f>
        <v>[e북]골 때리는 사랑 1권</v>
      </c>
      <c r="D242" t="str">
        <f>T("1")</f>
        <v>1</v>
      </c>
      <c r="E242" t="str">
        <f>T("모리미")</f>
        <v>모리미</v>
      </c>
      <c r="H242" t="str">
        <f>T("도서출판 태랑")</f>
        <v>도서출판 태랑</v>
      </c>
      <c r="I242" t="str">
        <f>T("[e북]골 때리는 사랑")</f>
        <v>[e북]골 때리는 사랑</v>
      </c>
      <c r="J242">
        <v>2800</v>
      </c>
      <c r="K242">
        <v>11200</v>
      </c>
      <c r="L242">
        <v>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11200</v>
      </c>
      <c r="AH242">
        <v>4</v>
      </c>
      <c r="AI242">
        <v>0</v>
      </c>
      <c r="AJ242">
        <v>0</v>
      </c>
      <c r="AK242">
        <v>11200</v>
      </c>
      <c r="AL242">
        <v>0</v>
      </c>
      <c r="AM242">
        <v>0</v>
      </c>
      <c r="AN242">
        <v>0</v>
      </c>
      <c r="AO242">
        <v>0</v>
      </c>
      <c r="AP242"/>
      <c r="AQ242">
        <v>0</v>
      </c>
      <c r="AR242">
        <v>0</v>
      </c>
      <c r="AT242">
        <v>0</v>
      </c>
      <c r="AU242">
        <v>0</v>
      </c>
      <c r="AW242">
        <v>0</v>
      </c>
      <c r="AX242">
        <v>0</v>
      </c>
      <c r="AY242">
        <v>7840</v>
      </c>
      <c r="BC242" t="str">
        <f>T("9791164370481")</f>
        <v>9791164370481</v>
      </c>
      <c r="BE242" t="str">
        <f>T("BL 소설 e북 &gt; 현대물")</f>
        <v>BL 소설 e북 &gt; 현대물</v>
      </c>
    </row>
    <row r="243" spans="1:58" x14ac:dyDescent="0.3">
      <c r="A243">
        <v>2313009739</v>
      </c>
      <c r="B243">
        <v>2313011385</v>
      </c>
      <c r="C243" t="str">
        <f>T("[e북]컬러 러쉬 (외전)")</f>
        <v>[e북]컬러 러쉬 (외전)</v>
      </c>
      <c r="D243" t="str">
        <f>T("4")</f>
        <v>4</v>
      </c>
      <c r="E243" t="str">
        <f>T("세상")</f>
        <v>세상</v>
      </c>
      <c r="H243" t="str">
        <f>T("앰퍼샌드B")</f>
        <v>앰퍼샌드B</v>
      </c>
      <c r="I243" t="str">
        <f>T("[e북]컬러 러쉬")</f>
        <v>[e북]컬러 러쉬</v>
      </c>
      <c r="J243">
        <v>1000</v>
      </c>
      <c r="K243">
        <v>11000</v>
      </c>
      <c r="L243">
        <v>11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11000</v>
      </c>
      <c r="AH243">
        <v>11</v>
      </c>
      <c r="AI243">
        <v>0</v>
      </c>
      <c r="AJ243">
        <v>0</v>
      </c>
      <c r="AK243">
        <v>8000</v>
      </c>
      <c r="AL243">
        <v>0</v>
      </c>
      <c r="AM243">
        <v>3600</v>
      </c>
      <c r="AN243">
        <v>-360</v>
      </c>
      <c r="AO243">
        <v>0</v>
      </c>
      <c r="AP243"/>
      <c r="AQ243">
        <v>0</v>
      </c>
      <c r="AR243">
        <v>0</v>
      </c>
      <c r="AS243">
        <v>3600</v>
      </c>
      <c r="AT243">
        <v>-360</v>
      </c>
      <c r="AU243">
        <v>0</v>
      </c>
      <c r="AW243">
        <v>0</v>
      </c>
      <c r="AX243">
        <v>0</v>
      </c>
      <c r="AY243">
        <v>7868</v>
      </c>
      <c r="BA243" t="str">
        <f>T("0000000000000")</f>
        <v>0000000000000</v>
      </c>
      <c r="BC243" t="str">
        <f>T("9791137600355")</f>
        <v>9791137600355</v>
      </c>
      <c r="BE243" t="str">
        <f>T("BL 소설 e북 &gt; 현대물")</f>
        <v>BL 소설 e북 &gt; 현대물</v>
      </c>
    </row>
    <row r="244" spans="1:58" x14ac:dyDescent="0.3">
      <c r="A244">
        <v>2313002105</v>
      </c>
      <c r="B244">
        <v>2313002106</v>
      </c>
      <c r="C244" t="str">
        <f>T("[e북]여왕 아델 2권")</f>
        <v>[e북]여왕 아델 2권</v>
      </c>
      <c r="D244" t="str">
        <f>T("2")</f>
        <v>2</v>
      </c>
      <c r="E244" t="str">
        <f>T("이린비")</f>
        <v>이린비</v>
      </c>
      <c r="H244" t="str">
        <f>T("블레슈(Blesshuu)")</f>
        <v>블레슈(Blesshuu)</v>
      </c>
      <c r="I244" t="str">
        <f>T("[e북]여왕 아델")</f>
        <v>[e북]여왕 아델</v>
      </c>
      <c r="J244">
        <v>3500</v>
      </c>
      <c r="K244">
        <v>10500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10500</v>
      </c>
      <c r="AH244">
        <v>3</v>
      </c>
      <c r="AI244">
        <v>0</v>
      </c>
      <c r="AJ244">
        <v>0</v>
      </c>
      <c r="AK244">
        <v>10500</v>
      </c>
      <c r="AL244">
        <v>0</v>
      </c>
      <c r="AM244">
        <v>0</v>
      </c>
      <c r="AN244">
        <v>0</v>
      </c>
      <c r="AO244">
        <v>0</v>
      </c>
      <c r="AP244"/>
      <c r="AQ244">
        <v>0</v>
      </c>
      <c r="AR244">
        <v>0</v>
      </c>
      <c r="AT244">
        <v>0</v>
      </c>
      <c r="AU244">
        <v>0</v>
      </c>
      <c r="AW244">
        <v>0</v>
      </c>
      <c r="AX244">
        <v>0</v>
      </c>
      <c r="AY244">
        <v>7350</v>
      </c>
      <c r="BA244" t="str">
        <f>T("0000000000000")</f>
        <v>0000000000000</v>
      </c>
      <c r="BC244" t="str">
        <f>T("9791159286780")</f>
        <v>9791159286780</v>
      </c>
      <c r="BE244" t="str">
        <f>T("로판 e북 &gt; 서양풍 로판")</f>
        <v>로판 e북 &gt; 서양풍 로판</v>
      </c>
    </row>
    <row r="245" spans="1:58" x14ac:dyDescent="0.3">
      <c r="A245">
        <v>2313002105</v>
      </c>
      <c r="B245">
        <v>2313002107</v>
      </c>
      <c r="C245" t="str">
        <f>T("[e북]여왕 아델 3권")</f>
        <v>[e북]여왕 아델 3권</v>
      </c>
      <c r="D245" t="str">
        <f>T("3")</f>
        <v>3</v>
      </c>
      <c r="E245" t="str">
        <f>T("이린비")</f>
        <v>이린비</v>
      </c>
      <c r="H245" t="str">
        <f>T("블레슈(Blesshuu)")</f>
        <v>블레슈(Blesshuu)</v>
      </c>
      <c r="I245" t="str">
        <f>T("[e북]여왕 아델")</f>
        <v>[e북]여왕 아델</v>
      </c>
      <c r="J245">
        <v>3500</v>
      </c>
      <c r="K245">
        <v>10500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10500</v>
      </c>
      <c r="AH245">
        <v>3</v>
      </c>
      <c r="AI245">
        <v>0</v>
      </c>
      <c r="AJ245">
        <v>0</v>
      </c>
      <c r="AK245">
        <v>10500</v>
      </c>
      <c r="AL245">
        <v>0</v>
      </c>
      <c r="AM245">
        <v>0</v>
      </c>
      <c r="AN245">
        <v>0</v>
      </c>
      <c r="AO245">
        <v>0</v>
      </c>
      <c r="AP245"/>
      <c r="AQ245">
        <v>0</v>
      </c>
      <c r="AR245">
        <v>0</v>
      </c>
      <c r="AT245">
        <v>0</v>
      </c>
      <c r="AU245">
        <v>0</v>
      </c>
      <c r="AW245">
        <v>0</v>
      </c>
      <c r="AX245">
        <v>0</v>
      </c>
      <c r="AY245">
        <v>7350</v>
      </c>
      <c r="BA245" t="str">
        <f>T("0000000000000")</f>
        <v>0000000000000</v>
      </c>
      <c r="BC245" t="str">
        <f>T("9791159286797")</f>
        <v>9791159286797</v>
      </c>
      <c r="BE245" t="str">
        <f>T("로판 e북 &gt; 서양풍 로판")</f>
        <v>로판 e북 &gt; 서양풍 로판</v>
      </c>
    </row>
    <row r="246" spans="1:58" x14ac:dyDescent="0.3">
      <c r="A246">
        <v>2313016886</v>
      </c>
      <c r="B246">
        <v>2313016885</v>
      </c>
      <c r="C246" t="str">
        <f>T("[e북]두 형사 (개정증보 삽화본) 2권 (완결)")</f>
        <v>[e북]두 형사 (개정증보 삽화본) 2권 (완결)</v>
      </c>
      <c r="D246" t="str">
        <f>T("2")</f>
        <v>2</v>
      </c>
      <c r="E246" t="str">
        <f>T("블랙커피")</f>
        <v>블랙커피</v>
      </c>
      <c r="H246" t="str">
        <f>T("도서출판 태랑")</f>
        <v>도서출판 태랑</v>
      </c>
      <c r="I246" t="str">
        <f>T("[e북]두 형사 (개정증보 삽화본)")</f>
        <v>[e북]두 형사 (개정증보 삽화본)</v>
      </c>
      <c r="J246">
        <v>3500</v>
      </c>
      <c r="K246">
        <v>10500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10500</v>
      </c>
      <c r="AH246">
        <v>3</v>
      </c>
      <c r="AI246">
        <v>0</v>
      </c>
      <c r="AJ246">
        <v>0</v>
      </c>
      <c r="AK246">
        <v>7000</v>
      </c>
      <c r="AL246">
        <v>0</v>
      </c>
      <c r="AM246">
        <v>4200</v>
      </c>
      <c r="AN246">
        <v>-420</v>
      </c>
      <c r="AO246">
        <v>0</v>
      </c>
      <c r="AP246"/>
      <c r="AQ246">
        <v>0</v>
      </c>
      <c r="AR246">
        <v>0</v>
      </c>
      <c r="AS246">
        <v>4200</v>
      </c>
      <c r="AT246">
        <v>-420</v>
      </c>
      <c r="AU246">
        <v>0</v>
      </c>
      <c r="AW246">
        <v>0</v>
      </c>
      <c r="AX246">
        <v>0</v>
      </c>
      <c r="AY246">
        <v>7546</v>
      </c>
      <c r="BC246" t="str">
        <f>T("9791164374076")</f>
        <v>9791164374076</v>
      </c>
      <c r="BE246" t="str">
        <f>T("로맨스 e북 &gt; 현대물")</f>
        <v>로맨스 e북 &gt; 현대물</v>
      </c>
      <c r="BF246" t="str">
        <f>T("로맨스 e북 &gt; 19+")</f>
        <v>로맨스 e북 &gt; 19+</v>
      </c>
    </row>
    <row r="247" spans="1:58" x14ac:dyDescent="0.3">
      <c r="A247">
        <v>2313016886</v>
      </c>
      <c r="B247">
        <v>2313016886</v>
      </c>
      <c r="C247" t="str">
        <f>T("[e북]두 형사 (개정증보 삽화본) 1권")</f>
        <v>[e북]두 형사 (개정증보 삽화본) 1권</v>
      </c>
      <c r="D247" t="str">
        <f>T("1")</f>
        <v>1</v>
      </c>
      <c r="E247" t="str">
        <f>T("블랙커피")</f>
        <v>블랙커피</v>
      </c>
      <c r="H247" t="str">
        <f>T("도서출판 태랑")</f>
        <v>도서출판 태랑</v>
      </c>
      <c r="I247" t="str">
        <f>T("[e북]두 형사 (개정증보 삽화본)")</f>
        <v>[e북]두 형사 (개정증보 삽화본)</v>
      </c>
      <c r="J247">
        <v>3500</v>
      </c>
      <c r="K247">
        <v>10500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10500</v>
      </c>
      <c r="AH247">
        <v>3</v>
      </c>
      <c r="AI247">
        <v>0</v>
      </c>
      <c r="AJ247">
        <v>0</v>
      </c>
      <c r="AK247">
        <v>7500</v>
      </c>
      <c r="AL247">
        <v>0</v>
      </c>
      <c r="AM247">
        <v>3600</v>
      </c>
      <c r="AN247">
        <v>-360</v>
      </c>
      <c r="AO247">
        <v>0</v>
      </c>
      <c r="AP247"/>
      <c r="AQ247">
        <v>0</v>
      </c>
      <c r="AR247">
        <v>0</v>
      </c>
      <c r="AS247">
        <v>3600</v>
      </c>
      <c r="AT247">
        <v>-360</v>
      </c>
      <c r="AU247">
        <v>0</v>
      </c>
      <c r="AW247">
        <v>0</v>
      </c>
      <c r="AX247">
        <v>0</v>
      </c>
      <c r="AY247">
        <v>7518</v>
      </c>
      <c r="BC247" t="str">
        <f>T("9791164374069")</f>
        <v>9791164374069</v>
      </c>
      <c r="BE247" t="str">
        <f>T("로맨스 e북 &gt; 현대물")</f>
        <v>로맨스 e북 &gt; 현대물</v>
      </c>
      <c r="BF247" t="str">
        <f>T("로맨스 e북 &gt; 19+")</f>
        <v>로맨스 e북 &gt; 19+</v>
      </c>
    </row>
    <row r="248" spans="1:58" x14ac:dyDescent="0.3">
      <c r="A248">
        <v>2313016895</v>
      </c>
      <c r="B248">
        <v>2313016894</v>
      </c>
      <c r="C248" t="str">
        <f>T("[e북]사랑도 없이 결혼 (외전증보판) 2권 (완결)")</f>
        <v>[e북]사랑도 없이 결혼 (외전증보판) 2권 (완결)</v>
      </c>
      <c r="D248" t="str">
        <f>T("2")</f>
        <v>2</v>
      </c>
      <c r="E248" t="str">
        <f>T("차홍주")</f>
        <v>차홍주</v>
      </c>
      <c r="H248" t="str">
        <f>T("도서출판 태랑")</f>
        <v>도서출판 태랑</v>
      </c>
      <c r="I248" t="str">
        <f>T("[e북]사랑도 없이 결혼 (외전증보판)")</f>
        <v>[e북]사랑도 없이 결혼 (외전증보판)</v>
      </c>
      <c r="J248">
        <v>3500</v>
      </c>
      <c r="K248">
        <v>10500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10500</v>
      </c>
      <c r="AH248">
        <v>3</v>
      </c>
      <c r="AI248">
        <v>0</v>
      </c>
      <c r="AJ248">
        <v>0</v>
      </c>
      <c r="AK248">
        <v>9240</v>
      </c>
      <c r="AL248">
        <v>0</v>
      </c>
      <c r="AM248">
        <v>1512</v>
      </c>
      <c r="AN248">
        <v>-151.19999999999999</v>
      </c>
      <c r="AO248">
        <v>0</v>
      </c>
      <c r="AP248"/>
      <c r="AQ248">
        <v>0</v>
      </c>
      <c r="AR248">
        <v>0</v>
      </c>
      <c r="AS248">
        <v>1512</v>
      </c>
      <c r="AT248">
        <v>-151.19999999999999</v>
      </c>
      <c r="AU248">
        <v>0</v>
      </c>
      <c r="AW248">
        <v>0</v>
      </c>
      <c r="AX248">
        <v>0</v>
      </c>
      <c r="AY248">
        <v>7420.56</v>
      </c>
      <c r="BC248" t="str">
        <f>T("9791164373451")</f>
        <v>9791164373451</v>
      </c>
      <c r="BE248" t="str">
        <f>T("로맨스 e북 &gt; 현대물")</f>
        <v>로맨스 e북 &gt; 현대물</v>
      </c>
      <c r="BF248" t="str">
        <f>T("로맨스 e북 &gt; 19+")</f>
        <v>로맨스 e북 &gt; 19+</v>
      </c>
    </row>
    <row r="249" spans="1:58" x14ac:dyDescent="0.3">
      <c r="A249">
        <v>2313017117</v>
      </c>
      <c r="B249">
        <v>2313017117</v>
      </c>
      <c r="C249" t="str">
        <f>T("[e북]봄나물 (Rookie) 1권")</f>
        <v>[e북]봄나물 (Rookie) 1권</v>
      </c>
      <c r="D249" t="str">
        <f>T("1")</f>
        <v>1</v>
      </c>
      <c r="E249" t="str">
        <f>T("발상")</f>
        <v>발상</v>
      </c>
      <c r="H249" t="str">
        <f>T("도서출판 태랑")</f>
        <v>도서출판 태랑</v>
      </c>
      <c r="I249" t="str">
        <f>T("[e북]봄나물(Rookie)")</f>
        <v>[e북]봄나물(Rookie)</v>
      </c>
      <c r="J249">
        <v>3500</v>
      </c>
      <c r="K249">
        <v>10500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10500</v>
      </c>
      <c r="AH249">
        <v>3</v>
      </c>
      <c r="AI249">
        <v>0</v>
      </c>
      <c r="AJ249">
        <v>0</v>
      </c>
      <c r="AK249">
        <v>10500</v>
      </c>
      <c r="AL249">
        <v>0</v>
      </c>
      <c r="AM249">
        <v>0</v>
      </c>
      <c r="AN249">
        <v>0</v>
      </c>
      <c r="AO249">
        <v>0</v>
      </c>
      <c r="AP249"/>
      <c r="AQ249">
        <v>0</v>
      </c>
      <c r="AR249">
        <v>0</v>
      </c>
      <c r="AT249">
        <v>0</v>
      </c>
      <c r="AU249">
        <v>0</v>
      </c>
      <c r="AW249">
        <v>0</v>
      </c>
      <c r="AX249">
        <v>0</v>
      </c>
      <c r="AY249">
        <v>7350</v>
      </c>
      <c r="BC249" t="str">
        <f>T("9791189627508")</f>
        <v>9791189627508</v>
      </c>
      <c r="BE249" t="str">
        <f>T("BL 소설 e북 &gt; 현대물")</f>
        <v>BL 소설 e북 &gt; 현대물</v>
      </c>
    </row>
    <row r="250" spans="1:58" x14ac:dyDescent="0.3">
      <c r="A250">
        <v>2313002073</v>
      </c>
      <c r="B250">
        <v>2313002074</v>
      </c>
      <c r="C250" t="str">
        <f>T("[e북]형사의 게임 2권")</f>
        <v>[e북]형사의 게임 2권</v>
      </c>
      <c r="D250" t="str">
        <f>T("2")</f>
        <v>2</v>
      </c>
      <c r="E250" t="str">
        <f>T("무장")</f>
        <v>무장</v>
      </c>
      <c r="H250" t="str">
        <f t="shared" ref="H250:H267" si="34">T("스토리위즈")</f>
        <v>스토리위즈</v>
      </c>
      <c r="I250" t="str">
        <f>T("[e북]형사의 게임")</f>
        <v>[e북]형사의 게임</v>
      </c>
      <c r="J250">
        <v>3200</v>
      </c>
      <c r="K250">
        <v>9600</v>
      </c>
      <c r="L250">
        <v>3</v>
      </c>
      <c r="M250">
        <v>0</v>
      </c>
      <c r="N250">
        <v>22500</v>
      </c>
      <c r="O250">
        <v>25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32100</v>
      </c>
      <c r="AH250">
        <v>28</v>
      </c>
      <c r="AI250">
        <v>0</v>
      </c>
      <c r="AJ250">
        <v>0</v>
      </c>
      <c r="AK250">
        <v>15683</v>
      </c>
      <c r="AL250">
        <v>0</v>
      </c>
      <c r="AM250">
        <v>19700.400000000001</v>
      </c>
      <c r="AN250">
        <v>-3869.88</v>
      </c>
      <c r="AO250">
        <v>0</v>
      </c>
      <c r="AP250"/>
      <c r="AQ250">
        <v>0</v>
      </c>
      <c r="AR250">
        <v>0</v>
      </c>
      <c r="AS250">
        <v>19700.400000000001</v>
      </c>
      <c r="AT250">
        <v>-3869.88</v>
      </c>
      <c r="AU250">
        <v>0</v>
      </c>
      <c r="AW250">
        <v>0</v>
      </c>
      <c r="AX250">
        <v>0</v>
      </c>
      <c r="AY250">
        <v>22059.47</v>
      </c>
      <c r="BC250" t="str">
        <f>T("9791195863044")</f>
        <v>9791195863044</v>
      </c>
      <c r="BE250" t="str">
        <f>T("판타지 e북 &gt; 현대 판타지")</f>
        <v>판타지 e북 &gt; 현대 판타지</v>
      </c>
    </row>
    <row r="251" spans="1:58" x14ac:dyDescent="0.3">
      <c r="A251">
        <v>2313007134</v>
      </c>
      <c r="B251">
        <v>2313007135</v>
      </c>
      <c r="C251" t="str">
        <f>T("[e북]성군이십니다 2권")</f>
        <v>[e북]성군이십니다 2권</v>
      </c>
      <c r="D251" t="str">
        <f>T("2")</f>
        <v>2</v>
      </c>
      <c r="E251" t="str">
        <f>T("이준영")</f>
        <v>이준영</v>
      </c>
      <c r="H251" t="str">
        <f t="shared" si="34"/>
        <v>스토리위즈</v>
      </c>
      <c r="I251" t="str">
        <f>T("[e북]성군이십니다")</f>
        <v>[e북]성군이십니다</v>
      </c>
      <c r="J251">
        <v>3200</v>
      </c>
      <c r="K251">
        <v>9600</v>
      </c>
      <c r="L251">
        <v>3</v>
      </c>
      <c r="M251">
        <v>0</v>
      </c>
      <c r="N251">
        <v>44550</v>
      </c>
      <c r="O251">
        <v>63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54150</v>
      </c>
      <c r="AH251">
        <v>66</v>
      </c>
      <c r="AI251">
        <v>0</v>
      </c>
      <c r="AJ251">
        <v>0</v>
      </c>
      <c r="AK251">
        <v>48540</v>
      </c>
      <c r="AL251">
        <v>0</v>
      </c>
      <c r="AM251">
        <v>6732</v>
      </c>
      <c r="AN251">
        <v>-1407.6</v>
      </c>
      <c r="AO251">
        <v>0</v>
      </c>
      <c r="AP251">
        <v>756</v>
      </c>
      <c r="AQ251">
        <v>-226.8</v>
      </c>
      <c r="AR251">
        <v>0</v>
      </c>
      <c r="AS251">
        <v>5976</v>
      </c>
      <c r="AT251">
        <v>-1180.8</v>
      </c>
      <c r="AU251">
        <v>0</v>
      </c>
      <c r="AW251">
        <v>0</v>
      </c>
      <c r="AX251">
        <v>0</v>
      </c>
      <c r="AY251">
        <v>37705.08</v>
      </c>
      <c r="BA251" t="str">
        <f>T("0000000000000")</f>
        <v>0000000000000</v>
      </c>
      <c r="BC251" t="str">
        <f>T("9791159284526")</f>
        <v>9791159284526</v>
      </c>
      <c r="BE251" t="str">
        <f>T("판타지 e북 &gt; 퓨전 판타지")</f>
        <v>판타지 e북 &gt; 퓨전 판타지</v>
      </c>
    </row>
    <row r="252" spans="1:58" x14ac:dyDescent="0.3">
      <c r="A252">
        <v>2313007134</v>
      </c>
      <c r="B252">
        <v>2313007136</v>
      </c>
      <c r="C252" t="str">
        <f>T("[e북]성군이십니다 3권")</f>
        <v>[e북]성군이십니다 3권</v>
      </c>
      <c r="D252" t="str">
        <f>T("3")</f>
        <v>3</v>
      </c>
      <c r="E252" t="str">
        <f>T("이준영")</f>
        <v>이준영</v>
      </c>
      <c r="H252" t="str">
        <f t="shared" si="34"/>
        <v>스토리위즈</v>
      </c>
      <c r="I252" t="str">
        <f>T("[e북]성군이십니다")</f>
        <v>[e북]성군이십니다</v>
      </c>
      <c r="J252">
        <v>3200</v>
      </c>
      <c r="K252">
        <v>9600</v>
      </c>
      <c r="L252">
        <v>3</v>
      </c>
      <c r="M252">
        <v>0</v>
      </c>
      <c r="N252">
        <v>40050</v>
      </c>
      <c r="O252">
        <v>58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49650</v>
      </c>
      <c r="AH252">
        <v>61</v>
      </c>
      <c r="AI252">
        <v>0</v>
      </c>
      <c r="AJ252">
        <v>0</v>
      </c>
      <c r="AK252">
        <v>44940</v>
      </c>
      <c r="AL252">
        <v>0</v>
      </c>
      <c r="AM252">
        <v>5652</v>
      </c>
      <c r="AN252">
        <v>-1299.5999999999999</v>
      </c>
      <c r="AO252">
        <v>0</v>
      </c>
      <c r="AP252">
        <v>756</v>
      </c>
      <c r="AQ252">
        <v>-226.8</v>
      </c>
      <c r="AR252">
        <v>0</v>
      </c>
      <c r="AS252">
        <v>4896</v>
      </c>
      <c r="AT252">
        <v>-1072.8</v>
      </c>
      <c r="AU252">
        <v>0</v>
      </c>
      <c r="AW252">
        <v>0</v>
      </c>
      <c r="AX252">
        <v>0</v>
      </c>
      <c r="AY252">
        <v>34504.68</v>
      </c>
      <c r="BA252" t="str">
        <f>T("0000000000000")</f>
        <v>0000000000000</v>
      </c>
      <c r="BC252" t="str">
        <f>T("9791159284533")</f>
        <v>9791159284533</v>
      </c>
      <c r="BE252" t="str">
        <f>T("판타지 e북 &gt; 퓨전 판타지")</f>
        <v>판타지 e북 &gt; 퓨전 판타지</v>
      </c>
    </row>
    <row r="253" spans="1:58" x14ac:dyDescent="0.3">
      <c r="A253">
        <v>2313007134</v>
      </c>
      <c r="B253">
        <v>2313007141</v>
      </c>
      <c r="C253" t="str">
        <f>T("[e북]성군이십니다 8권")</f>
        <v>[e북]성군이십니다 8권</v>
      </c>
      <c r="D253" t="str">
        <f>T("8")</f>
        <v>8</v>
      </c>
      <c r="E253" t="str">
        <f>T("이준영")</f>
        <v>이준영</v>
      </c>
      <c r="H253" t="str">
        <f t="shared" si="34"/>
        <v>스토리위즈</v>
      </c>
      <c r="I253" t="str">
        <f>T("[e북]성군이십니다")</f>
        <v>[e북]성군이십니다</v>
      </c>
      <c r="J253">
        <v>3200</v>
      </c>
      <c r="K253">
        <v>9600</v>
      </c>
      <c r="L253">
        <v>3</v>
      </c>
      <c r="M253">
        <v>0</v>
      </c>
      <c r="N253">
        <v>32850</v>
      </c>
      <c r="O253">
        <v>50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42450</v>
      </c>
      <c r="AH253">
        <v>53</v>
      </c>
      <c r="AI253">
        <v>0</v>
      </c>
      <c r="AJ253">
        <v>0</v>
      </c>
      <c r="AK253">
        <v>38641</v>
      </c>
      <c r="AL253">
        <v>0</v>
      </c>
      <c r="AM253">
        <v>4570.8</v>
      </c>
      <c r="AN253">
        <v>-759.48</v>
      </c>
      <c r="AO253">
        <v>0</v>
      </c>
      <c r="AP253">
        <v>756</v>
      </c>
      <c r="AQ253">
        <v>-226.8</v>
      </c>
      <c r="AR253">
        <v>0</v>
      </c>
      <c r="AS253">
        <v>3814.8</v>
      </c>
      <c r="AT253">
        <v>-532.67999999999995</v>
      </c>
      <c r="AU253">
        <v>0</v>
      </c>
      <c r="AW253">
        <v>0</v>
      </c>
      <c r="AX253">
        <v>0</v>
      </c>
      <c r="AY253">
        <v>29716.62</v>
      </c>
      <c r="BA253" t="str">
        <f>T("0000000000000")</f>
        <v>0000000000000</v>
      </c>
      <c r="BC253" t="str">
        <f>T("9791159284595")</f>
        <v>9791159284595</v>
      </c>
      <c r="BE253" t="str">
        <f>T("판타지 e북 &gt; 퓨전 판타지")</f>
        <v>판타지 e북 &gt; 퓨전 판타지</v>
      </c>
    </row>
    <row r="254" spans="1:58" x14ac:dyDescent="0.3">
      <c r="A254">
        <v>2313007134</v>
      </c>
      <c r="B254">
        <v>2313007142</v>
      </c>
      <c r="C254" t="str">
        <f>T("[e북]성군이십니다 9권 (완결)")</f>
        <v>[e북]성군이십니다 9권 (완결)</v>
      </c>
      <c r="D254" t="str">
        <f>T("9")</f>
        <v>9</v>
      </c>
      <c r="E254" t="str">
        <f>T("이준영")</f>
        <v>이준영</v>
      </c>
      <c r="H254" t="str">
        <f t="shared" si="34"/>
        <v>스토리위즈</v>
      </c>
      <c r="I254" t="str">
        <f>T("[e북]성군이십니다")</f>
        <v>[e북]성군이십니다</v>
      </c>
      <c r="J254">
        <v>3200</v>
      </c>
      <c r="K254">
        <v>9600</v>
      </c>
      <c r="L254">
        <v>3</v>
      </c>
      <c r="M254">
        <v>0</v>
      </c>
      <c r="N254">
        <v>31050</v>
      </c>
      <c r="O254">
        <v>48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40650</v>
      </c>
      <c r="AH254">
        <v>51</v>
      </c>
      <c r="AI254">
        <v>0</v>
      </c>
      <c r="AJ254">
        <v>0</v>
      </c>
      <c r="AK254">
        <v>37741</v>
      </c>
      <c r="AL254">
        <v>0</v>
      </c>
      <c r="AM254">
        <v>3490.8</v>
      </c>
      <c r="AN254">
        <v>-651.48</v>
      </c>
      <c r="AO254">
        <v>0</v>
      </c>
      <c r="AP254">
        <v>756</v>
      </c>
      <c r="AQ254">
        <v>-226.8</v>
      </c>
      <c r="AR254">
        <v>0</v>
      </c>
      <c r="AS254">
        <v>2734.8</v>
      </c>
      <c r="AT254">
        <v>-424.68</v>
      </c>
      <c r="AU254">
        <v>0</v>
      </c>
      <c r="AW254">
        <v>0</v>
      </c>
      <c r="AX254">
        <v>0</v>
      </c>
      <c r="AY254">
        <v>28406.22</v>
      </c>
      <c r="BA254" t="str">
        <f>T("0000000000000")</f>
        <v>0000000000000</v>
      </c>
      <c r="BC254" t="str">
        <f>T("9791159284601")</f>
        <v>9791159284601</v>
      </c>
      <c r="BE254" t="str">
        <f>T("판타지 e북 &gt; 퓨전 판타지")</f>
        <v>판타지 e북 &gt; 퓨전 판타지</v>
      </c>
    </row>
    <row r="255" spans="1:58" x14ac:dyDescent="0.3">
      <c r="A255">
        <v>2313008324</v>
      </c>
      <c r="B255">
        <v>2313008333</v>
      </c>
      <c r="C255" t="str">
        <f>T("[e북]간신이 나라를 살림 10권 (완결)")</f>
        <v>[e북]간신이 나라를 살림 10권 (완결)</v>
      </c>
      <c r="D255" t="str">
        <f>T("10")</f>
        <v>10</v>
      </c>
      <c r="E255" t="str">
        <f>T("루이세")</f>
        <v>루이세</v>
      </c>
      <c r="H255" t="str">
        <f t="shared" si="34"/>
        <v>스토리위즈</v>
      </c>
      <c r="I255" t="str">
        <f>T("[e북]간신이 나라를 살림")</f>
        <v>[e북]간신이 나라를 살림</v>
      </c>
      <c r="J255">
        <v>3200</v>
      </c>
      <c r="K255">
        <v>9600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121600</v>
      </c>
      <c r="T255">
        <v>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-6400</v>
      </c>
      <c r="AD255">
        <v>4</v>
      </c>
      <c r="AE255">
        <v>0</v>
      </c>
      <c r="AF255">
        <v>0</v>
      </c>
      <c r="AG255">
        <v>131200</v>
      </c>
      <c r="AH255">
        <v>79</v>
      </c>
      <c r="AI255">
        <v>-6400</v>
      </c>
      <c r="AJ255">
        <v>4</v>
      </c>
      <c r="AK255">
        <v>122537</v>
      </c>
      <c r="AL255">
        <v>-6400</v>
      </c>
      <c r="AM255">
        <v>10395.6</v>
      </c>
      <c r="AN255">
        <v>-2435.88</v>
      </c>
      <c r="AO255">
        <v>0</v>
      </c>
      <c r="AP255">
        <v>1168.8</v>
      </c>
      <c r="AQ255">
        <v>-350.64</v>
      </c>
      <c r="AR255">
        <v>0</v>
      </c>
      <c r="AS255">
        <v>9226.7999999999993</v>
      </c>
      <c r="AT255">
        <v>-2085.2399999999998</v>
      </c>
      <c r="AU255">
        <v>0</v>
      </c>
      <c r="AW255">
        <v>0</v>
      </c>
      <c r="AX255">
        <v>0</v>
      </c>
      <c r="AY255">
        <v>86867.7</v>
      </c>
      <c r="BC255" t="str">
        <f>T("9791165310806")</f>
        <v>9791165310806</v>
      </c>
      <c r="BE255" t="str">
        <f>T("판타지 e북 &gt; 퓨전 판타지")</f>
        <v>판타지 e북 &gt; 퓨전 판타지</v>
      </c>
    </row>
    <row r="256" spans="1:58" x14ac:dyDescent="0.3">
      <c r="A256">
        <v>2313020329</v>
      </c>
      <c r="B256">
        <v>2313020330</v>
      </c>
      <c r="C256" t="str">
        <f>T("[e북]디버프 마스터 2권")</f>
        <v>[e북]디버프 마스터 2권</v>
      </c>
      <c r="D256" t="str">
        <f>T("2")</f>
        <v>2</v>
      </c>
      <c r="E256" t="str">
        <f>T("담화공")</f>
        <v>담화공</v>
      </c>
      <c r="H256" t="str">
        <f t="shared" si="34"/>
        <v>스토리위즈</v>
      </c>
      <c r="I256" t="str">
        <f>T("[e북]디버프 마스터")</f>
        <v>[e북]디버프 마스터</v>
      </c>
      <c r="J256">
        <v>3200</v>
      </c>
      <c r="K256">
        <v>9600</v>
      </c>
      <c r="L256">
        <v>3</v>
      </c>
      <c r="M256">
        <v>0</v>
      </c>
      <c r="N256">
        <v>44820</v>
      </c>
      <c r="O256">
        <v>57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54420</v>
      </c>
      <c r="AH256">
        <v>60</v>
      </c>
      <c r="AI256">
        <v>0</v>
      </c>
      <c r="AJ256">
        <v>0</v>
      </c>
      <c r="AK256">
        <v>41887</v>
      </c>
      <c r="AL256">
        <v>0</v>
      </c>
      <c r="AM256">
        <v>15039.6</v>
      </c>
      <c r="AN256">
        <v>-3754.44</v>
      </c>
      <c r="AO256">
        <v>0</v>
      </c>
      <c r="AP256">
        <v>840</v>
      </c>
      <c r="AQ256">
        <v>-252</v>
      </c>
      <c r="AR256">
        <v>0</v>
      </c>
      <c r="AS256">
        <v>14199.6</v>
      </c>
      <c r="AT256">
        <v>-3502.44</v>
      </c>
      <c r="AU256">
        <v>0</v>
      </c>
      <c r="AW256">
        <v>0</v>
      </c>
      <c r="AX256">
        <v>0</v>
      </c>
      <c r="AY256">
        <v>37220.519999999997</v>
      </c>
      <c r="BC256" t="str">
        <f>T("9791137606180")</f>
        <v>9791137606180</v>
      </c>
      <c r="BE256" t="str">
        <f>T("판타지 e북 &gt; 게임 판타지")</f>
        <v>판타지 e북 &gt; 게임 판타지</v>
      </c>
    </row>
    <row r="257" spans="1:58" x14ac:dyDescent="0.3">
      <c r="A257">
        <v>2313020329</v>
      </c>
      <c r="B257">
        <v>2313020331</v>
      </c>
      <c r="C257" t="str">
        <f>T("[e북]디버프 마스터 3권")</f>
        <v>[e북]디버프 마스터 3권</v>
      </c>
      <c r="D257" t="str">
        <f>T("3")</f>
        <v>3</v>
      </c>
      <c r="E257" t="str">
        <f>T("담화공")</f>
        <v>담화공</v>
      </c>
      <c r="H257" t="str">
        <f t="shared" si="34"/>
        <v>스토리위즈</v>
      </c>
      <c r="I257" t="str">
        <f>T("[e북]디버프 마스터")</f>
        <v>[e북]디버프 마스터</v>
      </c>
      <c r="J257">
        <v>3200</v>
      </c>
      <c r="K257">
        <v>9600</v>
      </c>
      <c r="L257">
        <v>3</v>
      </c>
      <c r="M257">
        <v>0</v>
      </c>
      <c r="N257">
        <v>41220</v>
      </c>
      <c r="O257">
        <v>53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50820</v>
      </c>
      <c r="AH257">
        <v>56</v>
      </c>
      <c r="AI257">
        <v>0</v>
      </c>
      <c r="AJ257">
        <v>0</v>
      </c>
      <c r="AK257">
        <v>35900</v>
      </c>
      <c r="AL257">
        <v>0</v>
      </c>
      <c r="AM257">
        <v>17904</v>
      </c>
      <c r="AN257">
        <v>-4124.88</v>
      </c>
      <c r="AO257">
        <v>0</v>
      </c>
      <c r="AP257">
        <v>672</v>
      </c>
      <c r="AQ257">
        <v>-201.6</v>
      </c>
      <c r="AR257">
        <v>0</v>
      </c>
      <c r="AS257">
        <v>17232</v>
      </c>
      <c r="AT257">
        <v>-3923.28</v>
      </c>
      <c r="AU257">
        <v>0</v>
      </c>
      <c r="AW257">
        <v>0</v>
      </c>
      <c r="AX257">
        <v>0</v>
      </c>
      <c r="AY257">
        <v>34775.39</v>
      </c>
      <c r="BC257" t="str">
        <f>T("9791137606197")</f>
        <v>9791137606197</v>
      </c>
      <c r="BE257" t="str">
        <f>T("판타지 e북 &gt; 게임 판타지")</f>
        <v>판타지 e북 &gt; 게임 판타지</v>
      </c>
    </row>
    <row r="258" spans="1:58" x14ac:dyDescent="0.3">
      <c r="A258">
        <v>2313020329</v>
      </c>
      <c r="B258">
        <v>2313020332</v>
      </c>
      <c r="C258" t="str">
        <f>T("[e북]디버프 마스터 4권")</f>
        <v>[e북]디버프 마스터 4권</v>
      </c>
      <c r="D258" t="str">
        <f>T("4")</f>
        <v>4</v>
      </c>
      <c r="E258" t="str">
        <f>T("담화공")</f>
        <v>담화공</v>
      </c>
      <c r="H258" t="str">
        <f t="shared" si="34"/>
        <v>스토리위즈</v>
      </c>
      <c r="I258" t="str">
        <f>T("[e북]디버프 마스터")</f>
        <v>[e북]디버프 마스터</v>
      </c>
      <c r="J258">
        <v>3200</v>
      </c>
      <c r="K258">
        <v>9600</v>
      </c>
      <c r="L258">
        <v>3</v>
      </c>
      <c r="M258">
        <v>0</v>
      </c>
      <c r="N258">
        <v>34920</v>
      </c>
      <c r="O258">
        <v>46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44520</v>
      </c>
      <c r="AH258">
        <v>49</v>
      </c>
      <c r="AI258">
        <v>0</v>
      </c>
      <c r="AJ258">
        <v>0</v>
      </c>
      <c r="AK258">
        <v>31867</v>
      </c>
      <c r="AL258">
        <v>0</v>
      </c>
      <c r="AM258">
        <v>15183.6</v>
      </c>
      <c r="AN258">
        <v>-3504.84</v>
      </c>
      <c r="AO258">
        <v>0</v>
      </c>
      <c r="AP258"/>
      <c r="AQ258">
        <v>0</v>
      </c>
      <c r="AR258">
        <v>0</v>
      </c>
      <c r="AS258">
        <v>15183.6</v>
      </c>
      <c r="AT258">
        <v>-3504.84</v>
      </c>
      <c r="AU258">
        <v>0</v>
      </c>
      <c r="AW258">
        <v>0</v>
      </c>
      <c r="AX258">
        <v>0</v>
      </c>
      <c r="AY258">
        <v>30482.04</v>
      </c>
      <c r="BC258" t="str">
        <f>T("9791137606203")</f>
        <v>9791137606203</v>
      </c>
      <c r="BE258" t="str">
        <f>T("판타지 e북 &gt; 게임 판타지")</f>
        <v>판타지 e북 &gt; 게임 판타지</v>
      </c>
    </row>
    <row r="259" spans="1:58" x14ac:dyDescent="0.3">
      <c r="A259">
        <v>2313020329</v>
      </c>
      <c r="B259">
        <v>2313020333</v>
      </c>
      <c r="C259" t="str">
        <f>T("[e북]디버프 마스터 5권")</f>
        <v>[e북]디버프 마스터 5권</v>
      </c>
      <c r="D259" t="str">
        <f>T("5")</f>
        <v>5</v>
      </c>
      <c r="E259" t="str">
        <f>T("담화공")</f>
        <v>담화공</v>
      </c>
      <c r="H259" t="str">
        <f t="shared" si="34"/>
        <v>스토리위즈</v>
      </c>
      <c r="I259" t="str">
        <f>T("[e북]디버프 마스터")</f>
        <v>[e북]디버프 마스터</v>
      </c>
      <c r="J259">
        <v>3200</v>
      </c>
      <c r="K259">
        <v>9600</v>
      </c>
      <c r="L259">
        <v>3</v>
      </c>
      <c r="M259">
        <v>0</v>
      </c>
      <c r="N259">
        <v>34020</v>
      </c>
      <c r="O259">
        <v>45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43620</v>
      </c>
      <c r="AH259">
        <v>48</v>
      </c>
      <c r="AI259">
        <v>0</v>
      </c>
      <c r="AJ259">
        <v>0</v>
      </c>
      <c r="AK259">
        <v>33667</v>
      </c>
      <c r="AL259">
        <v>0</v>
      </c>
      <c r="AM259">
        <v>11943.6</v>
      </c>
      <c r="AN259">
        <v>-2748.84</v>
      </c>
      <c r="AO259">
        <v>0</v>
      </c>
      <c r="AP259"/>
      <c r="AQ259">
        <v>0</v>
      </c>
      <c r="AR259">
        <v>0</v>
      </c>
      <c r="AS259">
        <v>11943.6</v>
      </c>
      <c r="AT259">
        <v>-2748.84</v>
      </c>
      <c r="AU259">
        <v>0</v>
      </c>
      <c r="AW259">
        <v>0</v>
      </c>
      <c r="AX259">
        <v>0</v>
      </c>
      <c r="AY259">
        <v>30003.24</v>
      </c>
      <c r="BC259" t="str">
        <f>T("9791137606210")</f>
        <v>9791137606210</v>
      </c>
      <c r="BE259" t="str">
        <f>T("판타지 e북 &gt; 게임 판타지")</f>
        <v>판타지 e북 &gt; 게임 판타지</v>
      </c>
    </row>
    <row r="260" spans="1:58" x14ac:dyDescent="0.3">
      <c r="A260">
        <v>2313020329</v>
      </c>
      <c r="B260">
        <v>2313020334</v>
      </c>
      <c r="C260" t="str">
        <f>T("[e북]디버프 마스터 6권")</f>
        <v>[e북]디버프 마스터 6권</v>
      </c>
      <c r="D260" t="str">
        <f>T("6")</f>
        <v>6</v>
      </c>
      <c r="E260" t="str">
        <f>T("담화공")</f>
        <v>담화공</v>
      </c>
      <c r="H260" t="str">
        <f t="shared" si="34"/>
        <v>스토리위즈</v>
      </c>
      <c r="I260" t="str">
        <f>T("[e북]디버프 마스터")</f>
        <v>[e북]디버프 마스터</v>
      </c>
      <c r="J260">
        <v>3200</v>
      </c>
      <c r="K260">
        <v>9600</v>
      </c>
      <c r="L260">
        <v>3</v>
      </c>
      <c r="M260">
        <v>0</v>
      </c>
      <c r="N260">
        <v>32220</v>
      </c>
      <c r="O260">
        <v>43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41820</v>
      </c>
      <c r="AH260">
        <v>46</v>
      </c>
      <c r="AI260">
        <v>0</v>
      </c>
      <c r="AJ260">
        <v>0</v>
      </c>
      <c r="AK260">
        <v>30077</v>
      </c>
      <c r="AL260">
        <v>0</v>
      </c>
      <c r="AM260">
        <v>14091.6</v>
      </c>
      <c r="AN260">
        <v>-3393.24</v>
      </c>
      <c r="AO260">
        <v>0</v>
      </c>
      <c r="AP260"/>
      <c r="AQ260">
        <v>0</v>
      </c>
      <c r="AR260">
        <v>0</v>
      </c>
      <c r="AS260">
        <v>14091.6</v>
      </c>
      <c r="AT260">
        <v>-3393.24</v>
      </c>
      <c r="AU260">
        <v>0</v>
      </c>
      <c r="AW260">
        <v>0</v>
      </c>
      <c r="AX260">
        <v>0</v>
      </c>
      <c r="AY260">
        <v>28542.76</v>
      </c>
      <c r="BC260" t="str">
        <f>T("9791137606227")</f>
        <v>9791137606227</v>
      </c>
      <c r="BE260" t="str">
        <f>T("판타지 e북 &gt; 게임 판타지")</f>
        <v>판타지 e북 &gt; 게임 판타지</v>
      </c>
    </row>
    <row r="261" spans="1:58" x14ac:dyDescent="0.3">
      <c r="A261">
        <v>2313021131</v>
      </c>
      <c r="B261">
        <v>2313021133</v>
      </c>
      <c r="C261" t="str">
        <f>T("[e북]신입사원이 이렇게 일을 잘했다고? 3권")</f>
        <v>[e북]신입사원이 이렇게 일을 잘했다고? 3권</v>
      </c>
      <c r="D261" t="str">
        <f>T("3")</f>
        <v>3</v>
      </c>
      <c r="E261" t="str">
        <f>T("왕십리글쟁이")</f>
        <v>왕십리글쟁이</v>
      </c>
      <c r="H261" t="str">
        <f t="shared" si="34"/>
        <v>스토리위즈</v>
      </c>
      <c r="I261" t="str">
        <f>T("[e북]신입사원이 이렇게 일을 잘했다고?")</f>
        <v>[e북]신입사원이 이렇게 일을 잘했다고?</v>
      </c>
      <c r="J261">
        <v>3200</v>
      </c>
      <c r="K261">
        <v>9600</v>
      </c>
      <c r="L261">
        <v>3</v>
      </c>
      <c r="M261">
        <v>0</v>
      </c>
      <c r="N261">
        <v>221760</v>
      </c>
      <c r="O261">
        <v>256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231360</v>
      </c>
      <c r="AH261">
        <v>259</v>
      </c>
      <c r="AI261">
        <v>0</v>
      </c>
      <c r="AJ261">
        <v>0</v>
      </c>
      <c r="AK261">
        <v>185190</v>
      </c>
      <c r="AL261">
        <v>0</v>
      </c>
      <c r="AM261">
        <v>55404</v>
      </c>
      <c r="AN261">
        <v>-7853.76</v>
      </c>
      <c r="AO261">
        <v>0</v>
      </c>
      <c r="AP261">
        <v>1954.8</v>
      </c>
      <c r="AQ261">
        <v>-586.44000000000005</v>
      </c>
      <c r="AR261">
        <v>0</v>
      </c>
      <c r="AS261">
        <v>53449.2</v>
      </c>
      <c r="AT261">
        <v>-7267.32</v>
      </c>
      <c r="AU261">
        <v>0</v>
      </c>
      <c r="AW261">
        <v>0</v>
      </c>
      <c r="AX261">
        <v>0</v>
      </c>
      <c r="AY261">
        <v>140629.75</v>
      </c>
      <c r="BC261" t="str">
        <f>T("9791198080028")</f>
        <v>9791198080028</v>
      </c>
      <c r="BE261" t="str">
        <f>T("판타지 e북 &gt; 현대 판타지")</f>
        <v>판타지 e북 &gt; 현대 판타지</v>
      </c>
    </row>
    <row r="262" spans="1:58" x14ac:dyDescent="0.3">
      <c r="A262">
        <v>2313012805</v>
      </c>
      <c r="B262">
        <v>2313012806</v>
      </c>
      <c r="C262" t="str">
        <f>T("[e북]그라운드의 지배자 2권")</f>
        <v>[e북]그라운드의 지배자 2권</v>
      </c>
      <c r="D262" t="str">
        <f>T("2")</f>
        <v>2</v>
      </c>
      <c r="E262" t="str">
        <f t="shared" ref="E262:E267" si="35">T("무장")</f>
        <v>무장</v>
      </c>
      <c r="H262" t="str">
        <f t="shared" si="34"/>
        <v>스토리위즈</v>
      </c>
      <c r="I262" t="str">
        <f t="shared" ref="I262:I267" si="36">T("[e북]그라운드의 지배자")</f>
        <v>[e북]그라운드의 지배자</v>
      </c>
      <c r="J262">
        <v>3200</v>
      </c>
      <c r="K262">
        <v>9280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9280</v>
      </c>
      <c r="AH262">
        <v>3</v>
      </c>
      <c r="AI262">
        <v>0</v>
      </c>
      <c r="AJ262">
        <v>0</v>
      </c>
      <c r="AK262">
        <v>7418</v>
      </c>
      <c r="AL262">
        <v>0</v>
      </c>
      <c r="AM262">
        <v>2234.4</v>
      </c>
      <c r="AN262">
        <v>-223.44</v>
      </c>
      <c r="AO262">
        <v>0</v>
      </c>
      <c r="AP262"/>
      <c r="AQ262">
        <v>0</v>
      </c>
      <c r="AR262">
        <v>0</v>
      </c>
      <c r="AS262">
        <v>2234.4</v>
      </c>
      <c r="AT262">
        <v>-223.44</v>
      </c>
      <c r="AU262">
        <v>0</v>
      </c>
      <c r="AW262">
        <v>0</v>
      </c>
      <c r="AX262">
        <v>0</v>
      </c>
      <c r="AY262">
        <v>6600.27</v>
      </c>
      <c r="BA262" t="str">
        <f>T("9788928064939")</f>
        <v>9788928064939</v>
      </c>
      <c r="BC262" t="str">
        <f>T("9791137602496")</f>
        <v>9791137602496</v>
      </c>
      <c r="BE262" t="str">
        <f t="shared" ref="BE262:BE267" si="37">T("판타지 e북 &gt; 스포츠물")</f>
        <v>판타지 e북 &gt; 스포츠물</v>
      </c>
    </row>
    <row r="263" spans="1:58" x14ac:dyDescent="0.3">
      <c r="A263">
        <v>2313012805</v>
      </c>
      <c r="B263">
        <v>2313012807</v>
      </c>
      <c r="C263" t="str">
        <f>T("[e북]그라운드의 지배자 3권")</f>
        <v>[e북]그라운드의 지배자 3권</v>
      </c>
      <c r="D263" t="str">
        <f>T("3")</f>
        <v>3</v>
      </c>
      <c r="E263" t="str">
        <f t="shared" si="35"/>
        <v>무장</v>
      </c>
      <c r="H263" t="str">
        <f t="shared" si="34"/>
        <v>스토리위즈</v>
      </c>
      <c r="I263" t="str">
        <f t="shared" si="36"/>
        <v>[e북]그라운드의 지배자</v>
      </c>
      <c r="J263">
        <v>3200</v>
      </c>
      <c r="K263">
        <v>9280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9280</v>
      </c>
      <c r="AH263">
        <v>3</v>
      </c>
      <c r="AI263">
        <v>0</v>
      </c>
      <c r="AJ263">
        <v>0</v>
      </c>
      <c r="AK263">
        <v>7419</v>
      </c>
      <c r="AL263">
        <v>0</v>
      </c>
      <c r="AM263">
        <v>2233.1999999999998</v>
      </c>
      <c r="AN263">
        <v>-223.32</v>
      </c>
      <c r="AO263">
        <v>0</v>
      </c>
      <c r="AP263"/>
      <c r="AQ263">
        <v>0</v>
      </c>
      <c r="AR263">
        <v>0</v>
      </c>
      <c r="AS263">
        <v>2233.1999999999998</v>
      </c>
      <c r="AT263">
        <v>-223.32</v>
      </c>
      <c r="AU263">
        <v>0</v>
      </c>
      <c r="AW263">
        <v>0</v>
      </c>
      <c r="AX263">
        <v>0</v>
      </c>
      <c r="AY263">
        <v>6600.22</v>
      </c>
      <c r="BA263" t="str">
        <f>T("9788928065288")</f>
        <v>9788928065288</v>
      </c>
      <c r="BC263" t="str">
        <f>T("9791137602502")</f>
        <v>9791137602502</v>
      </c>
      <c r="BE263" t="str">
        <f t="shared" si="37"/>
        <v>판타지 e북 &gt; 스포츠물</v>
      </c>
    </row>
    <row r="264" spans="1:58" x14ac:dyDescent="0.3">
      <c r="A264">
        <v>2313012805</v>
      </c>
      <c r="B264">
        <v>2313012808</v>
      </c>
      <c r="C264" t="str">
        <f>T("[e북]그라운드의 지배자 4권")</f>
        <v>[e북]그라운드의 지배자 4권</v>
      </c>
      <c r="D264" t="str">
        <f>T("4")</f>
        <v>4</v>
      </c>
      <c r="E264" t="str">
        <f t="shared" si="35"/>
        <v>무장</v>
      </c>
      <c r="H264" t="str">
        <f t="shared" si="34"/>
        <v>스토리위즈</v>
      </c>
      <c r="I264" t="str">
        <f t="shared" si="36"/>
        <v>[e북]그라운드의 지배자</v>
      </c>
      <c r="J264">
        <v>3200</v>
      </c>
      <c r="K264">
        <v>9280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9280</v>
      </c>
      <c r="AH264">
        <v>3</v>
      </c>
      <c r="AI264">
        <v>0</v>
      </c>
      <c r="AJ264">
        <v>0</v>
      </c>
      <c r="AK264">
        <v>7419</v>
      </c>
      <c r="AL264">
        <v>0</v>
      </c>
      <c r="AM264">
        <v>2233.1999999999998</v>
      </c>
      <c r="AN264">
        <v>-223.32</v>
      </c>
      <c r="AO264">
        <v>0</v>
      </c>
      <c r="AP264"/>
      <c r="AQ264">
        <v>0</v>
      </c>
      <c r="AR264">
        <v>0</v>
      </c>
      <c r="AS264">
        <v>2233.1999999999998</v>
      </c>
      <c r="AT264">
        <v>-223.32</v>
      </c>
      <c r="AU264">
        <v>0</v>
      </c>
      <c r="AW264">
        <v>0</v>
      </c>
      <c r="AX264">
        <v>0</v>
      </c>
      <c r="AY264">
        <v>6600.22</v>
      </c>
      <c r="BA264" t="str">
        <f>T("9788928065714")</f>
        <v>9788928065714</v>
      </c>
      <c r="BC264" t="str">
        <f>T("9791137602519")</f>
        <v>9791137602519</v>
      </c>
      <c r="BE264" t="str">
        <f t="shared" si="37"/>
        <v>판타지 e북 &gt; 스포츠물</v>
      </c>
    </row>
    <row r="265" spans="1:58" x14ac:dyDescent="0.3">
      <c r="A265">
        <v>2313012805</v>
      </c>
      <c r="B265">
        <v>2313012809</v>
      </c>
      <c r="C265" t="str">
        <f>T("[e북]그라운드의 지배자 5권")</f>
        <v>[e북]그라운드의 지배자 5권</v>
      </c>
      <c r="D265" t="str">
        <f>T("5")</f>
        <v>5</v>
      </c>
      <c r="E265" t="str">
        <f t="shared" si="35"/>
        <v>무장</v>
      </c>
      <c r="H265" t="str">
        <f t="shared" si="34"/>
        <v>스토리위즈</v>
      </c>
      <c r="I265" t="str">
        <f t="shared" si="36"/>
        <v>[e북]그라운드의 지배자</v>
      </c>
      <c r="J265">
        <v>3200</v>
      </c>
      <c r="K265">
        <v>9280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9280</v>
      </c>
      <c r="AH265">
        <v>3</v>
      </c>
      <c r="AI265">
        <v>0</v>
      </c>
      <c r="AJ265">
        <v>0</v>
      </c>
      <c r="AK265">
        <v>7419</v>
      </c>
      <c r="AL265">
        <v>0</v>
      </c>
      <c r="AM265">
        <v>2233.1999999999998</v>
      </c>
      <c r="AN265">
        <v>-223.32</v>
      </c>
      <c r="AO265">
        <v>0</v>
      </c>
      <c r="AP265"/>
      <c r="AQ265">
        <v>0</v>
      </c>
      <c r="AR265">
        <v>0</v>
      </c>
      <c r="AS265">
        <v>2233.1999999999998</v>
      </c>
      <c r="AT265">
        <v>-223.32</v>
      </c>
      <c r="AU265">
        <v>0</v>
      </c>
      <c r="AW265">
        <v>0</v>
      </c>
      <c r="AX265">
        <v>0</v>
      </c>
      <c r="AY265">
        <v>6600.22</v>
      </c>
      <c r="BA265" t="str">
        <f>T("9788928066131")</f>
        <v>9788928066131</v>
      </c>
      <c r="BC265" t="str">
        <f>T("9791137602526")</f>
        <v>9791137602526</v>
      </c>
      <c r="BE265" t="str">
        <f t="shared" si="37"/>
        <v>판타지 e북 &gt; 스포츠물</v>
      </c>
    </row>
    <row r="266" spans="1:58" x14ac:dyDescent="0.3">
      <c r="A266">
        <v>2313012805</v>
      </c>
      <c r="B266">
        <v>2313012810</v>
      </c>
      <c r="C266" t="str">
        <f>T("[e북]그라운드의 지배자 6권")</f>
        <v>[e북]그라운드의 지배자 6권</v>
      </c>
      <c r="D266" t="str">
        <f>T("6")</f>
        <v>6</v>
      </c>
      <c r="E266" t="str">
        <f t="shared" si="35"/>
        <v>무장</v>
      </c>
      <c r="H266" t="str">
        <f t="shared" si="34"/>
        <v>스토리위즈</v>
      </c>
      <c r="I266" t="str">
        <f t="shared" si="36"/>
        <v>[e북]그라운드의 지배자</v>
      </c>
      <c r="J266">
        <v>3200</v>
      </c>
      <c r="K266">
        <v>9280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9280</v>
      </c>
      <c r="AH266">
        <v>3</v>
      </c>
      <c r="AI266">
        <v>0</v>
      </c>
      <c r="AJ266">
        <v>0</v>
      </c>
      <c r="AK266">
        <v>7419</v>
      </c>
      <c r="AL266">
        <v>0</v>
      </c>
      <c r="AM266">
        <v>2233.1999999999998</v>
      </c>
      <c r="AN266">
        <v>-223.32</v>
      </c>
      <c r="AO266">
        <v>0</v>
      </c>
      <c r="AP266"/>
      <c r="AQ266">
        <v>0</v>
      </c>
      <c r="AR266">
        <v>0</v>
      </c>
      <c r="AS266">
        <v>2233.1999999999998</v>
      </c>
      <c r="AT266">
        <v>-223.32</v>
      </c>
      <c r="AU266">
        <v>0</v>
      </c>
      <c r="AW266">
        <v>0</v>
      </c>
      <c r="AX266">
        <v>0</v>
      </c>
      <c r="AY266">
        <v>6600.22</v>
      </c>
      <c r="BA266" t="str">
        <f>T("9788928066674")</f>
        <v>9788928066674</v>
      </c>
      <c r="BC266" t="str">
        <f>T("9791137602533")</f>
        <v>9791137602533</v>
      </c>
      <c r="BE266" t="str">
        <f t="shared" si="37"/>
        <v>판타지 e북 &gt; 스포츠물</v>
      </c>
    </row>
    <row r="267" spans="1:58" x14ac:dyDescent="0.3">
      <c r="A267">
        <v>2313012805</v>
      </c>
      <c r="B267">
        <v>2313012811</v>
      </c>
      <c r="C267" t="str">
        <f>T("[e북]그라운드의 지배자 7권")</f>
        <v>[e북]그라운드의 지배자 7권</v>
      </c>
      <c r="D267" t="str">
        <f>T("7")</f>
        <v>7</v>
      </c>
      <c r="E267" t="str">
        <f t="shared" si="35"/>
        <v>무장</v>
      </c>
      <c r="H267" t="str">
        <f t="shared" si="34"/>
        <v>스토리위즈</v>
      </c>
      <c r="I267" t="str">
        <f t="shared" si="36"/>
        <v>[e북]그라운드의 지배자</v>
      </c>
      <c r="J267">
        <v>3200</v>
      </c>
      <c r="K267">
        <v>9280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9280</v>
      </c>
      <c r="AH267">
        <v>3</v>
      </c>
      <c r="AI267">
        <v>0</v>
      </c>
      <c r="AJ267">
        <v>0</v>
      </c>
      <c r="AK267">
        <v>7419</v>
      </c>
      <c r="AL267">
        <v>0</v>
      </c>
      <c r="AM267">
        <v>2233.1999999999998</v>
      </c>
      <c r="AN267">
        <v>-223.32</v>
      </c>
      <c r="AO267">
        <v>0</v>
      </c>
      <c r="AP267"/>
      <c r="AQ267">
        <v>0</v>
      </c>
      <c r="AR267">
        <v>0</v>
      </c>
      <c r="AS267">
        <v>2233.1999999999998</v>
      </c>
      <c r="AT267">
        <v>-223.32</v>
      </c>
      <c r="AU267">
        <v>0</v>
      </c>
      <c r="AW267">
        <v>0</v>
      </c>
      <c r="AX267">
        <v>0</v>
      </c>
      <c r="AY267">
        <v>6600.22</v>
      </c>
      <c r="BA267" t="str">
        <f>T("9788928066810")</f>
        <v>9788928066810</v>
      </c>
      <c r="BC267" t="str">
        <f>T("9791137602540")</f>
        <v>9791137602540</v>
      </c>
      <c r="BE267" t="str">
        <f t="shared" si="37"/>
        <v>판타지 e북 &gt; 스포츠물</v>
      </c>
    </row>
    <row r="268" spans="1:58" x14ac:dyDescent="0.3">
      <c r="A268">
        <v>2313016841</v>
      </c>
      <c r="B268">
        <v>2313016841</v>
      </c>
      <c r="C268" t="str">
        <f>T("[e북]꽃잎, 흩날리는 1권")</f>
        <v>[e북]꽃잎, 흩날리는 1권</v>
      </c>
      <c r="D268" t="str">
        <f>T("1")</f>
        <v>1</v>
      </c>
      <c r="E268" t="str">
        <f>T("마용출")</f>
        <v>마용출</v>
      </c>
      <c r="H268" t="str">
        <f>T("도서출판 태랑")</f>
        <v>도서출판 태랑</v>
      </c>
      <c r="I268" t="str">
        <f>T("[e북]꽃잎, 흩날리는")</f>
        <v>[e북]꽃잎, 흩날리는</v>
      </c>
      <c r="J268">
        <v>3000</v>
      </c>
      <c r="K268">
        <v>9000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9000</v>
      </c>
      <c r="AH268">
        <v>3</v>
      </c>
      <c r="AI268">
        <v>0</v>
      </c>
      <c r="AJ268">
        <v>0</v>
      </c>
      <c r="AK268">
        <v>9000</v>
      </c>
      <c r="AL268">
        <v>0</v>
      </c>
      <c r="AM268">
        <v>0</v>
      </c>
      <c r="AN268">
        <v>0</v>
      </c>
      <c r="AO268">
        <v>0</v>
      </c>
      <c r="AP268"/>
      <c r="AQ268">
        <v>0</v>
      </c>
      <c r="AR268">
        <v>0</v>
      </c>
      <c r="AT268">
        <v>0</v>
      </c>
      <c r="AU268">
        <v>0</v>
      </c>
      <c r="AW268">
        <v>0</v>
      </c>
      <c r="AX268">
        <v>0</v>
      </c>
      <c r="AY268">
        <v>6300</v>
      </c>
      <c r="BC268" t="str">
        <f>T("9791164374816")</f>
        <v>9791164374816</v>
      </c>
      <c r="BE268" t="str">
        <f>T("BL 소설 e북 &gt; 역사/시대물")</f>
        <v>BL 소설 e북 &gt; 역사/시대물</v>
      </c>
    </row>
    <row r="269" spans="1:58" x14ac:dyDescent="0.3">
      <c r="A269">
        <v>2313016851</v>
      </c>
      <c r="B269">
        <v>2313016849</v>
      </c>
      <c r="C269" t="str">
        <f>T("[e북]어쩌다 계약 아내 (외전증보판) 3권 (완결)")</f>
        <v>[e북]어쩌다 계약 아내 (외전증보판) 3권 (완결)</v>
      </c>
      <c r="D269" t="str">
        <f>T("3")</f>
        <v>3</v>
      </c>
      <c r="E269" t="str">
        <f>T("아슈크림")</f>
        <v>아슈크림</v>
      </c>
      <c r="H269" t="str">
        <f>T("도서출판 태랑")</f>
        <v>도서출판 태랑</v>
      </c>
      <c r="I269" t="str">
        <f>T("[e북]어쩌다 계약 아내 (외전증보판)")</f>
        <v>[e북]어쩌다 계약 아내 (외전증보판)</v>
      </c>
      <c r="J269">
        <v>2800</v>
      </c>
      <c r="K269">
        <v>8400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8400</v>
      </c>
      <c r="AH269">
        <v>3</v>
      </c>
      <c r="AI269">
        <v>0</v>
      </c>
      <c r="AJ269">
        <v>0</v>
      </c>
      <c r="AK269">
        <v>5600</v>
      </c>
      <c r="AL269">
        <v>0</v>
      </c>
      <c r="AM269">
        <v>3360</v>
      </c>
      <c r="AN269">
        <v>-1008</v>
      </c>
      <c r="AO269">
        <v>0</v>
      </c>
      <c r="AP269">
        <v>3360</v>
      </c>
      <c r="AQ269">
        <v>-1008</v>
      </c>
      <c r="AR269">
        <v>0</v>
      </c>
      <c r="AT269">
        <v>0</v>
      </c>
      <c r="AU269">
        <v>0</v>
      </c>
      <c r="AW269">
        <v>0</v>
      </c>
      <c r="AX269">
        <v>0</v>
      </c>
      <c r="AY269">
        <v>5566.4</v>
      </c>
      <c r="BC269" t="str">
        <f>T("9791164374557")</f>
        <v>9791164374557</v>
      </c>
      <c r="BE269" t="str">
        <f>T("로맨스 e북 &gt; 현대물")</f>
        <v>로맨스 e북 &gt; 현대물</v>
      </c>
    </row>
    <row r="270" spans="1:58" x14ac:dyDescent="0.3">
      <c r="A270">
        <v>2313020794</v>
      </c>
      <c r="B270">
        <v>2313020797</v>
      </c>
      <c r="C270" t="str">
        <f>T("혐오 만세 4화")</f>
        <v>혐오 만세 4화</v>
      </c>
      <c r="D270" t="str">
        <f>T("4")</f>
        <v>4</v>
      </c>
      <c r="E270" t="str">
        <f>T("아르곤18")</f>
        <v>아르곤18</v>
      </c>
      <c r="H270" t="str">
        <f>T("앰퍼샌드B")</f>
        <v>앰퍼샌드B</v>
      </c>
      <c r="I270" t="str">
        <f>T("혐오 만세")</f>
        <v>혐오 만세</v>
      </c>
      <c r="J270">
        <v>100</v>
      </c>
      <c r="K270">
        <v>8400</v>
      </c>
      <c r="L270">
        <v>84</v>
      </c>
      <c r="M270">
        <v>0</v>
      </c>
      <c r="N270">
        <v>1800</v>
      </c>
      <c r="O270">
        <v>18</v>
      </c>
      <c r="P270">
        <v>751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-100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10200</v>
      </c>
      <c r="AH270">
        <v>853</v>
      </c>
      <c r="AI270">
        <v>-100</v>
      </c>
      <c r="AJ270">
        <v>2</v>
      </c>
      <c r="AK270">
        <v>9327</v>
      </c>
      <c r="AL270">
        <v>-100</v>
      </c>
      <c r="AM270">
        <v>1047.5999999999999</v>
      </c>
      <c r="AN270">
        <v>-252.36</v>
      </c>
      <c r="AO270">
        <v>0</v>
      </c>
      <c r="AP270">
        <v>360</v>
      </c>
      <c r="AQ270">
        <v>-108</v>
      </c>
      <c r="AR270">
        <v>0</v>
      </c>
      <c r="AS270">
        <v>687.6</v>
      </c>
      <c r="AT270">
        <v>-144.36000000000001</v>
      </c>
      <c r="AU270">
        <v>0</v>
      </c>
      <c r="AW270">
        <v>0</v>
      </c>
      <c r="AX270">
        <v>0</v>
      </c>
      <c r="AY270">
        <v>6301.74</v>
      </c>
      <c r="BC270" t="str">
        <f>T("9791137608047")</f>
        <v>9791137608047</v>
      </c>
      <c r="BE270" t="str">
        <f>T("BL 웹소설 &gt; 현대물")</f>
        <v>BL 웹소설 &gt; 현대물</v>
      </c>
    </row>
    <row r="271" spans="1:58" x14ac:dyDescent="0.3">
      <c r="A271">
        <v>2313019326</v>
      </c>
      <c r="B271">
        <v>2313019327</v>
      </c>
      <c r="C271" t="str">
        <f>T("[e북]다정할수록 불순한 2권 (완결)")</f>
        <v>[e북]다정할수록 불순한 2권 (완결)</v>
      </c>
      <c r="D271" t="str">
        <f>T("2")</f>
        <v>2</v>
      </c>
      <c r="E271" t="str">
        <f>T("은지유")</f>
        <v>은지유</v>
      </c>
      <c r="H271" t="str">
        <f>T("블레슈(Blesshuu)")</f>
        <v>블레슈(Blesshuu)</v>
      </c>
      <c r="I271" t="str">
        <f>T("[e북]다정할수록 불순한")</f>
        <v>[e북]다정할수록 불순한</v>
      </c>
      <c r="J271">
        <v>4100</v>
      </c>
      <c r="K271">
        <v>8200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8200</v>
      </c>
      <c r="AH271">
        <v>2</v>
      </c>
      <c r="AI271">
        <v>0</v>
      </c>
      <c r="AJ271">
        <v>0</v>
      </c>
      <c r="AK271">
        <v>4100</v>
      </c>
      <c r="AL271">
        <v>0</v>
      </c>
      <c r="AM271">
        <v>4920</v>
      </c>
      <c r="AN271">
        <v>-492</v>
      </c>
      <c r="AO271">
        <v>0</v>
      </c>
      <c r="AP271"/>
      <c r="AQ271">
        <v>0</v>
      </c>
      <c r="AR271">
        <v>0</v>
      </c>
      <c r="AS271">
        <v>4920</v>
      </c>
      <c r="AT271">
        <v>-492</v>
      </c>
      <c r="AU271">
        <v>0</v>
      </c>
      <c r="AW271">
        <v>0</v>
      </c>
      <c r="AX271">
        <v>0</v>
      </c>
      <c r="AY271">
        <v>5969.6</v>
      </c>
      <c r="BC271" t="str">
        <f>T("9791137604582")</f>
        <v>9791137604582</v>
      </c>
      <c r="BE271" t="str">
        <f>T("로맨스 e북 &gt; 현대물")</f>
        <v>로맨스 e북 &gt; 현대물</v>
      </c>
    </row>
    <row r="272" spans="1:58" x14ac:dyDescent="0.3">
      <c r="A272">
        <v>2313016862</v>
      </c>
      <c r="B272">
        <v>2313016861</v>
      </c>
      <c r="C272" t="str">
        <f>T("[e북]베리타(verità) (외전증보판) 2권 (완결)")</f>
        <v>[e북]베리타(verità) (외전증보판) 2권 (완결)</v>
      </c>
      <c r="D272" t="str">
        <f>T("2")</f>
        <v>2</v>
      </c>
      <c r="E272" t="str">
        <f>T("블랙커피")</f>
        <v>블랙커피</v>
      </c>
      <c r="H272" t="str">
        <f>T("도서출판 태랑")</f>
        <v>도서출판 태랑</v>
      </c>
      <c r="I272" t="str">
        <f>T("[e북]베리타(verità) (외전증보판)")</f>
        <v>[e북]베리타(verità) (외전증보판)</v>
      </c>
      <c r="J272">
        <v>2600</v>
      </c>
      <c r="K272">
        <v>7800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7800</v>
      </c>
      <c r="AH272">
        <v>3</v>
      </c>
      <c r="AI272">
        <v>0</v>
      </c>
      <c r="AJ272">
        <v>0</v>
      </c>
      <c r="AK272">
        <v>5200</v>
      </c>
      <c r="AL272">
        <v>0</v>
      </c>
      <c r="AM272">
        <v>3120</v>
      </c>
      <c r="AN272">
        <v>-936</v>
      </c>
      <c r="AO272">
        <v>0</v>
      </c>
      <c r="AP272"/>
      <c r="AQ272">
        <v>0</v>
      </c>
      <c r="AR272">
        <v>0</v>
      </c>
      <c r="AS272">
        <v>3120</v>
      </c>
      <c r="AT272">
        <v>-936</v>
      </c>
      <c r="AU272">
        <v>0</v>
      </c>
      <c r="AW272">
        <v>0</v>
      </c>
      <c r="AX272">
        <v>0</v>
      </c>
      <c r="AY272">
        <v>5168.8</v>
      </c>
      <c r="BC272" t="str">
        <f>T("9791164374311")</f>
        <v>9791164374311</v>
      </c>
      <c r="BE272" t="str">
        <f>T("로맨스 e북 &gt; 현대물")</f>
        <v>로맨스 e북 &gt; 현대물</v>
      </c>
      <c r="BF272" t="str">
        <f>T("로맨스 e북 &gt; 19+")</f>
        <v>로맨스 e북 &gt; 19+</v>
      </c>
    </row>
    <row r="273" spans="1:58" x14ac:dyDescent="0.3">
      <c r="A273">
        <v>2313016862</v>
      </c>
      <c r="B273">
        <v>2313016862</v>
      </c>
      <c r="C273" t="str">
        <f>T("[e북]베리타(verità) (외전증보판) 1권")</f>
        <v>[e북]베리타(verità) (외전증보판) 1권</v>
      </c>
      <c r="D273" t="str">
        <f>T("1")</f>
        <v>1</v>
      </c>
      <c r="E273" t="str">
        <f>T("블랙커피")</f>
        <v>블랙커피</v>
      </c>
      <c r="H273" t="str">
        <f>T("도서출판 태랑")</f>
        <v>도서출판 태랑</v>
      </c>
      <c r="I273" t="str">
        <f>T("[e북]베리타(verità) (외전증보판)")</f>
        <v>[e북]베리타(verità) (외전증보판)</v>
      </c>
      <c r="J273">
        <v>2600</v>
      </c>
      <c r="K273">
        <v>7800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7800</v>
      </c>
      <c r="AH273">
        <v>3</v>
      </c>
      <c r="AI273">
        <v>0</v>
      </c>
      <c r="AJ273">
        <v>0</v>
      </c>
      <c r="AK273">
        <v>5200</v>
      </c>
      <c r="AL273">
        <v>0</v>
      </c>
      <c r="AM273">
        <v>3120</v>
      </c>
      <c r="AN273">
        <v>-936</v>
      </c>
      <c r="AO273">
        <v>0</v>
      </c>
      <c r="AP273"/>
      <c r="AQ273">
        <v>0</v>
      </c>
      <c r="AR273">
        <v>0</v>
      </c>
      <c r="AS273">
        <v>3120</v>
      </c>
      <c r="AT273">
        <v>-936</v>
      </c>
      <c r="AU273">
        <v>0</v>
      </c>
      <c r="AW273">
        <v>0</v>
      </c>
      <c r="AX273">
        <v>0</v>
      </c>
      <c r="AY273">
        <v>5168.8</v>
      </c>
      <c r="BC273" t="str">
        <f>T("9791164374304")</f>
        <v>9791164374304</v>
      </c>
      <c r="BE273" t="str">
        <f>T("로맨스 e북 &gt; 현대물")</f>
        <v>로맨스 e북 &gt; 현대물</v>
      </c>
      <c r="BF273" t="str">
        <f>T("로맨스 e북 &gt; 19+")</f>
        <v>로맨스 e북 &gt; 19+</v>
      </c>
    </row>
    <row r="274" spans="1:58" x14ac:dyDescent="0.3">
      <c r="A274">
        <v>2313020091</v>
      </c>
      <c r="B274">
        <v>2313020094</v>
      </c>
      <c r="C274" t="str">
        <f>T("[e북]막상막하 (외전)")</f>
        <v>[e북]막상막하 (외전)</v>
      </c>
      <c r="D274" t="str">
        <f>T("4")</f>
        <v>4</v>
      </c>
      <c r="E274" t="str">
        <f>T("마뇽")</f>
        <v>마뇽</v>
      </c>
      <c r="H274" t="str">
        <f>T("도서출판 태랑")</f>
        <v>도서출판 태랑</v>
      </c>
      <c r="I274" t="str">
        <f>T("[e북]막상막하")</f>
        <v>[e북]막상막하</v>
      </c>
      <c r="J274">
        <v>300</v>
      </c>
      <c r="K274">
        <v>7500</v>
      </c>
      <c r="L274">
        <v>25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7500</v>
      </c>
      <c r="AH274">
        <v>25</v>
      </c>
      <c r="AI274">
        <v>0</v>
      </c>
      <c r="AJ274">
        <v>0</v>
      </c>
      <c r="AK274">
        <v>6900</v>
      </c>
      <c r="AL274">
        <v>0</v>
      </c>
      <c r="AM274">
        <v>720</v>
      </c>
      <c r="AN274">
        <v>-144</v>
      </c>
      <c r="AO274">
        <v>0</v>
      </c>
      <c r="AP274">
        <v>360</v>
      </c>
      <c r="AQ274">
        <v>-108</v>
      </c>
      <c r="AR274">
        <v>0</v>
      </c>
      <c r="AS274">
        <v>360</v>
      </c>
      <c r="AT274">
        <v>-36</v>
      </c>
      <c r="AU274">
        <v>0</v>
      </c>
      <c r="AW274">
        <v>0</v>
      </c>
      <c r="AX274">
        <v>0</v>
      </c>
      <c r="AY274">
        <v>5233.2</v>
      </c>
      <c r="BC274" t="str">
        <f>T("9791137606937")</f>
        <v>9791137606937</v>
      </c>
      <c r="BE274" t="str">
        <f>T("BL 소설 e북 &gt; 현대물")</f>
        <v>BL 소설 e북 &gt; 현대물</v>
      </c>
    </row>
    <row r="275" spans="1:58" x14ac:dyDescent="0.3">
      <c r="A275">
        <v>2313020108</v>
      </c>
      <c r="B275">
        <v>2313020134</v>
      </c>
      <c r="C275" t="str">
        <f>T("아빠는 마교대장 27화")</f>
        <v>아빠는 마교대장 27화</v>
      </c>
      <c r="D275" t="str">
        <f>T("27")</f>
        <v>27</v>
      </c>
      <c r="E275" t="str">
        <f>T("구땡")</f>
        <v>구땡</v>
      </c>
      <c r="H275" t="str">
        <f>T("스토리위즈")</f>
        <v>스토리위즈</v>
      </c>
      <c r="I275" t="str">
        <f>T("아빠는 마교대장")</f>
        <v>아빠는 마교대장</v>
      </c>
      <c r="J275">
        <v>100</v>
      </c>
      <c r="K275">
        <v>7400</v>
      </c>
      <c r="L275">
        <v>74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7400</v>
      </c>
      <c r="AH275">
        <v>74</v>
      </c>
      <c r="AI275">
        <v>0</v>
      </c>
      <c r="AJ275">
        <v>0</v>
      </c>
      <c r="AK275">
        <v>6800</v>
      </c>
      <c r="AL275">
        <v>0</v>
      </c>
      <c r="AM275">
        <v>720</v>
      </c>
      <c r="AN275">
        <v>-192</v>
      </c>
      <c r="AO275">
        <v>0</v>
      </c>
      <c r="AP275"/>
      <c r="AQ275">
        <v>0</v>
      </c>
      <c r="AR275">
        <v>0</v>
      </c>
      <c r="AS275">
        <v>720</v>
      </c>
      <c r="AT275">
        <v>-192</v>
      </c>
      <c r="AU275">
        <v>0</v>
      </c>
      <c r="AW275">
        <v>0</v>
      </c>
      <c r="AX275">
        <v>0</v>
      </c>
      <c r="AY275">
        <v>5129.6000000000004</v>
      </c>
      <c r="BC275" t="str">
        <f>T("9791137602076")</f>
        <v>9791137602076</v>
      </c>
      <c r="BE275" t="str">
        <f>T("판타지 웹소설 &gt; 무협 소설")</f>
        <v>판타지 웹소설 &gt; 무협 소설</v>
      </c>
    </row>
    <row r="276" spans="1:58" x14ac:dyDescent="0.3">
      <c r="A276">
        <v>2313016834</v>
      </c>
      <c r="B276">
        <v>2313016830</v>
      </c>
      <c r="C276" t="str">
        <f>T("[e북]우리야, 이리온 (외전증보판) 5권 (완결)")</f>
        <v>[e북]우리야, 이리온 (외전증보판) 5권 (완결)</v>
      </c>
      <c r="D276" t="str">
        <f>T("5")</f>
        <v>5</v>
      </c>
      <c r="E276" t="str">
        <f>T("김온별")</f>
        <v>김온별</v>
      </c>
      <c r="H276" t="str">
        <f t="shared" ref="H276:H281" si="38">T("도서출판 태랑")</f>
        <v>도서출판 태랑</v>
      </c>
      <c r="I276" t="str">
        <f>T("[e북]우리야, 이리온 (외전증보판)")</f>
        <v>[e북]우리야, 이리온 (외전증보판)</v>
      </c>
      <c r="J276">
        <v>3600</v>
      </c>
      <c r="K276">
        <v>7200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7200</v>
      </c>
      <c r="AH276">
        <v>2</v>
      </c>
      <c r="AI276">
        <v>0</v>
      </c>
      <c r="AJ276">
        <v>0</v>
      </c>
      <c r="AK276">
        <v>7200</v>
      </c>
      <c r="AL276">
        <v>0</v>
      </c>
      <c r="AM276">
        <v>0</v>
      </c>
      <c r="AN276">
        <v>0</v>
      </c>
      <c r="AO276">
        <v>0</v>
      </c>
      <c r="AP276"/>
      <c r="AQ276">
        <v>0</v>
      </c>
      <c r="AR276">
        <v>0</v>
      </c>
      <c r="AT276">
        <v>0</v>
      </c>
      <c r="AU276">
        <v>0</v>
      </c>
      <c r="AW276">
        <v>0</v>
      </c>
      <c r="AX276">
        <v>0</v>
      </c>
      <c r="AY276">
        <v>5040</v>
      </c>
      <c r="BC276" t="str">
        <f>T("9791164374977")</f>
        <v>9791164374977</v>
      </c>
      <c r="BE276" t="str">
        <f>T("로맨스 e북 &gt; 현대물")</f>
        <v>로맨스 e북 &gt; 현대물</v>
      </c>
      <c r="BF276" t="str">
        <f>T("로맨스 e북 &gt; 19+")</f>
        <v>로맨스 e북 &gt; 19+</v>
      </c>
    </row>
    <row r="277" spans="1:58" x14ac:dyDescent="0.3">
      <c r="A277">
        <v>2313016834</v>
      </c>
      <c r="B277">
        <v>2313016831</v>
      </c>
      <c r="C277" t="str">
        <f>T("[e북]우리야, 이리온 (외전증보판) 4권")</f>
        <v>[e북]우리야, 이리온 (외전증보판) 4권</v>
      </c>
      <c r="D277" t="str">
        <f>T("4")</f>
        <v>4</v>
      </c>
      <c r="E277" t="str">
        <f>T("김온별")</f>
        <v>김온별</v>
      </c>
      <c r="H277" t="str">
        <f t="shared" si="38"/>
        <v>도서출판 태랑</v>
      </c>
      <c r="I277" t="str">
        <f>T("[e북]우리야, 이리온 (외전증보판)")</f>
        <v>[e북]우리야, 이리온 (외전증보판)</v>
      </c>
      <c r="J277">
        <v>3600</v>
      </c>
      <c r="K277">
        <v>7200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7200</v>
      </c>
      <c r="AH277">
        <v>2</v>
      </c>
      <c r="AI277">
        <v>0</v>
      </c>
      <c r="AJ277">
        <v>0</v>
      </c>
      <c r="AK277">
        <v>7200</v>
      </c>
      <c r="AL277">
        <v>0</v>
      </c>
      <c r="AM277">
        <v>0</v>
      </c>
      <c r="AN277">
        <v>0</v>
      </c>
      <c r="AO277">
        <v>0</v>
      </c>
      <c r="AP277"/>
      <c r="AQ277">
        <v>0</v>
      </c>
      <c r="AR277">
        <v>0</v>
      </c>
      <c r="AT277">
        <v>0</v>
      </c>
      <c r="AU277">
        <v>0</v>
      </c>
      <c r="AW277">
        <v>0</v>
      </c>
      <c r="AX277">
        <v>0</v>
      </c>
      <c r="AY277">
        <v>5040</v>
      </c>
      <c r="BC277" t="str">
        <f>T("9791164374960")</f>
        <v>9791164374960</v>
      </c>
      <c r="BE277" t="str">
        <f>T("로맨스 e북 &gt; 현대물")</f>
        <v>로맨스 e북 &gt; 현대물</v>
      </c>
      <c r="BF277" t="str">
        <f>T("로맨스 e북 &gt; 19+")</f>
        <v>로맨스 e북 &gt; 19+</v>
      </c>
    </row>
    <row r="278" spans="1:58" x14ac:dyDescent="0.3">
      <c r="A278">
        <v>2313016834</v>
      </c>
      <c r="B278">
        <v>2313016832</v>
      </c>
      <c r="C278" t="str">
        <f>T("[e북]우리야, 이리온 (외전증보판) 3권")</f>
        <v>[e북]우리야, 이리온 (외전증보판) 3권</v>
      </c>
      <c r="D278" t="str">
        <f>T("3")</f>
        <v>3</v>
      </c>
      <c r="E278" t="str">
        <f>T("김온별")</f>
        <v>김온별</v>
      </c>
      <c r="H278" t="str">
        <f t="shared" si="38"/>
        <v>도서출판 태랑</v>
      </c>
      <c r="I278" t="str">
        <f>T("[e북]우리야, 이리온 (외전증보판)")</f>
        <v>[e북]우리야, 이리온 (외전증보판)</v>
      </c>
      <c r="J278">
        <v>3600</v>
      </c>
      <c r="K278">
        <v>7200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7200</v>
      </c>
      <c r="AH278">
        <v>2</v>
      </c>
      <c r="AI278">
        <v>0</v>
      </c>
      <c r="AJ278">
        <v>0</v>
      </c>
      <c r="AK278">
        <v>7200</v>
      </c>
      <c r="AL278">
        <v>0</v>
      </c>
      <c r="AM278">
        <v>0</v>
      </c>
      <c r="AN278">
        <v>0</v>
      </c>
      <c r="AO278">
        <v>0</v>
      </c>
      <c r="AP278"/>
      <c r="AQ278">
        <v>0</v>
      </c>
      <c r="AR278">
        <v>0</v>
      </c>
      <c r="AT278">
        <v>0</v>
      </c>
      <c r="AU278">
        <v>0</v>
      </c>
      <c r="AW278">
        <v>0</v>
      </c>
      <c r="AX278">
        <v>0</v>
      </c>
      <c r="AY278">
        <v>5040</v>
      </c>
      <c r="BC278" t="str">
        <f>T("9791164374953")</f>
        <v>9791164374953</v>
      </c>
      <c r="BE278" t="str">
        <f>T("로맨스 e북 &gt; 현대물")</f>
        <v>로맨스 e북 &gt; 현대물</v>
      </c>
      <c r="BF278" t="str">
        <f>T("로맨스 e북 &gt; 19+")</f>
        <v>로맨스 e북 &gt; 19+</v>
      </c>
    </row>
    <row r="279" spans="1:58" x14ac:dyDescent="0.3">
      <c r="A279">
        <v>2313016973</v>
      </c>
      <c r="B279">
        <v>2313016972</v>
      </c>
      <c r="C279" t="str">
        <f>T("[e북]온 디 에어 (On the air) 2권 (완결)")</f>
        <v>[e북]온 디 에어 (On the air) 2권 (완결)</v>
      </c>
      <c r="D279" t="str">
        <f>T("2")</f>
        <v>2</v>
      </c>
      <c r="E279" t="str">
        <f>T("DION(디온)")</f>
        <v>DION(디온)</v>
      </c>
      <c r="H279" t="str">
        <f t="shared" si="38"/>
        <v>도서출판 태랑</v>
      </c>
      <c r="I279" t="str">
        <f>T("[e북]온 디 에어 (On the air)")</f>
        <v>[e북]온 디 에어 (On the air)</v>
      </c>
      <c r="J279">
        <v>3600</v>
      </c>
      <c r="K279">
        <v>7200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7200</v>
      </c>
      <c r="AH279">
        <v>2</v>
      </c>
      <c r="AI279">
        <v>0</v>
      </c>
      <c r="AJ279">
        <v>0</v>
      </c>
      <c r="AK279">
        <v>7200</v>
      </c>
      <c r="AL279">
        <v>0</v>
      </c>
      <c r="AM279">
        <v>0</v>
      </c>
      <c r="AN279">
        <v>0</v>
      </c>
      <c r="AO279">
        <v>0</v>
      </c>
      <c r="AP279"/>
      <c r="AQ279">
        <v>0</v>
      </c>
      <c r="AR279">
        <v>0</v>
      </c>
      <c r="AT279">
        <v>0</v>
      </c>
      <c r="AU279">
        <v>0</v>
      </c>
      <c r="AW279">
        <v>0</v>
      </c>
      <c r="AX279">
        <v>0</v>
      </c>
      <c r="AY279">
        <v>5040</v>
      </c>
      <c r="BC279" t="str">
        <f>T("9791164372843")</f>
        <v>9791164372843</v>
      </c>
      <c r="BE279" t="str">
        <f>T("BL 소설 e북 &gt; 현대물")</f>
        <v>BL 소설 e북 &gt; 현대물</v>
      </c>
    </row>
    <row r="280" spans="1:58" x14ac:dyDescent="0.3">
      <c r="A280">
        <v>2313016973</v>
      </c>
      <c r="B280">
        <v>2313016973</v>
      </c>
      <c r="C280" t="str">
        <f>T("[e북]온 디 에어 (On the air) 1권")</f>
        <v>[e북]온 디 에어 (On the air) 1권</v>
      </c>
      <c r="D280" t="str">
        <f>T("1")</f>
        <v>1</v>
      </c>
      <c r="E280" t="str">
        <f>T("DION(디온)")</f>
        <v>DION(디온)</v>
      </c>
      <c r="H280" t="str">
        <f t="shared" si="38"/>
        <v>도서출판 태랑</v>
      </c>
      <c r="I280" t="str">
        <f>T("[e북]온 디 에어 (On the air)")</f>
        <v>[e북]온 디 에어 (On the air)</v>
      </c>
      <c r="J280">
        <v>3600</v>
      </c>
      <c r="K280">
        <v>7200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7200</v>
      </c>
      <c r="AH280">
        <v>2</v>
      </c>
      <c r="AI280">
        <v>0</v>
      </c>
      <c r="AJ280">
        <v>0</v>
      </c>
      <c r="AK280">
        <v>7200</v>
      </c>
      <c r="AL280">
        <v>0</v>
      </c>
      <c r="AM280">
        <v>0</v>
      </c>
      <c r="AN280">
        <v>0</v>
      </c>
      <c r="AO280">
        <v>0</v>
      </c>
      <c r="AP280"/>
      <c r="AQ280">
        <v>0</v>
      </c>
      <c r="AR280">
        <v>0</v>
      </c>
      <c r="AT280">
        <v>0</v>
      </c>
      <c r="AU280">
        <v>0</v>
      </c>
      <c r="AW280">
        <v>0</v>
      </c>
      <c r="AX280">
        <v>0</v>
      </c>
      <c r="AY280">
        <v>5040</v>
      </c>
      <c r="BC280" t="str">
        <f>T("9791164372836")</f>
        <v>9791164372836</v>
      </c>
      <c r="BE280" t="str">
        <f>T("BL 소설 e북 &gt; 현대물")</f>
        <v>BL 소설 e북 &gt; 현대물</v>
      </c>
    </row>
    <row r="281" spans="1:58" x14ac:dyDescent="0.3">
      <c r="A281">
        <v>2313017106</v>
      </c>
      <c r="B281">
        <v>2313017084</v>
      </c>
      <c r="C281" t="str">
        <f>T("[e북]개정판 | 야쿠자가 사랑을 한다면 (외전)")</f>
        <v>[e북]개정판 | 야쿠자가 사랑을 한다면 (외전)</v>
      </c>
      <c r="D281" t="str">
        <f>T("3")</f>
        <v>3</v>
      </c>
      <c r="E281" t="str">
        <f>T("모리미")</f>
        <v>모리미</v>
      </c>
      <c r="H281" t="str">
        <f t="shared" si="38"/>
        <v>도서출판 태랑</v>
      </c>
      <c r="I281" t="str">
        <f>T("[e북]개정판 | 야쿠자가 사랑을 한다면")</f>
        <v>[e북]개정판 | 야쿠자가 사랑을 한다면</v>
      </c>
      <c r="J281">
        <v>400</v>
      </c>
      <c r="K281">
        <v>7200</v>
      </c>
      <c r="L281">
        <v>18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7200</v>
      </c>
      <c r="AH281">
        <v>18</v>
      </c>
      <c r="AI281">
        <v>0</v>
      </c>
      <c r="AJ281">
        <v>0</v>
      </c>
      <c r="AK281">
        <v>6602</v>
      </c>
      <c r="AL281">
        <v>0</v>
      </c>
      <c r="AM281">
        <v>717.6</v>
      </c>
      <c r="AN281">
        <v>-167.76</v>
      </c>
      <c r="AO281">
        <v>0</v>
      </c>
      <c r="AP281"/>
      <c r="AQ281">
        <v>0</v>
      </c>
      <c r="AR281">
        <v>0</v>
      </c>
      <c r="AS281">
        <v>717.6</v>
      </c>
      <c r="AT281">
        <v>-167.76</v>
      </c>
      <c r="AU281">
        <v>0</v>
      </c>
      <c r="AW281">
        <v>0</v>
      </c>
      <c r="AX281">
        <v>0</v>
      </c>
      <c r="AY281">
        <v>5006.29</v>
      </c>
      <c r="BC281" t="str">
        <f>T("9791164370085")</f>
        <v>9791164370085</v>
      </c>
      <c r="BE281" t="str">
        <f>T("BL 소설 e북 &gt; 현대물")</f>
        <v>BL 소설 e북 &gt; 현대물</v>
      </c>
    </row>
    <row r="282" spans="1:58" x14ac:dyDescent="0.3">
      <c r="A282">
        <v>2313020108</v>
      </c>
      <c r="B282">
        <v>2313020135</v>
      </c>
      <c r="C282" t="str">
        <f>T("아빠는 마교대장 28화")</f>
        <v>아빠는 마교대장 28화</v>
      </c>
      <c r="D282" t="str">
        <f>T("28")</f>
        <v>28</v>
      </c>
      <c r="E282" t="str">
        <f>T("구땡")</f>
        <v>구땡</v>
      </c>
      <c r="H282" t="str">
        <f>T("스토리위즈")</f>
        <v>스토리위즈</v>
      </c>
      <c r="I282" t="str">
        <f>T("아빠는 마교대장")</f>
        <v>아빠는 마교대장</v>
      </c>
      <c r="J282">
        <v>100</v>
      </c>
      <c r="K282">
        <v>7100</v>
      </c>
      <c r="L282">
        <v>71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7100</v>
      </c>
      <c r="AH282">
        <v>71</v>
      </c>
      <c r="AI282">
        <v>0</v>
      </c>
      <c r="AJ282">
        <v>0</v>
      </c>
      <c r="AK282">
        <v>6510</v>
      </c>
      <c r="AL282">
        <v>0</v>
      </c>
      <c r="AM282">
        <v>708</v>
      </c>
      <c r="AN282">
        <v>-166.8</v>
      </c>
      <c r="AO282">
        <v>0</v>
      </c>
      <c r="AP282"/>
      <c r="AQ282">
        <v>0</v>
      </c>
      <c r="AR282">
        <v>0</v>
      </c>
      <c r="AS282">
        <v>708</v>
      </c>
      <c r="AT282">
        <v>-166.8</v>
      </c>
      <c r="AU282">
        <v>0</v>
      </c>
      <c r="AW282">
        <v>0</v>
      </c>
      <c r="AX282">
        <v>0</v>
      </c>
      <c r="AY282">
        <v>4935.84</v>
      </c>
      <c r="BC282" t="str">
        <f>T("9791137602076")</f>
        <v>9791137602076</v>
      </c>
      <c r="BE282" t="str">
        <f>T("판타지 웹소설 &gt; 무협 소설")</f>
        <v>판타지 웹소설 &gt; 무협 소설</v>
      </c>
    </row>
    <row r="283" spans="1:58" x14ac:dyDescent="0.3">
      <c r="A283">
        <v>2313002105</v>
      </c>
      <c r="B283">
        <v>2313002105</v>
      </c>
      <c r="C283" t="str">
        <f>T("[e북]여왕 아델 1권")</f>
        <v>[e북]여왕 아델 1권</v>
      </c>
      <c r="D283" t="str">
        <f>T("1")</f>
        <v>1</v>
      </c>
      <c r="E283" t="str">
        <f>T("이린비")</f>
        <v>이린비</v>
      </c>
      <c r="H283" t="str">
        <f t="shared" ref="H283:H289" si="39">T("블레슈(Blesshuu)")</f>
        <v>블레슈(Blesshuu)</v>
      </c>
      <c r="I283" t="str">
        <f>T("[e북]여왕 아델")</f>
        <v>[e북]여왕 아델</v>
      </c>
      <c r="J283">
        <v>3500</v>
      </c>
      <c r="K283">
        <v>7000</v>
      </c>
      <c r="L283">
        <v>2</v>
      </c>
      <c r="M283">
        <v>0</v>
      </c>
      <c r="N283">
        <v>0</v>
      </c>
      <c r="O283">
        <v>0</v>
      </c>
      <c r="P283">
        <v>60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7000</v>
      </c>
      <c r="AH283">
        <v>62</v>
      </c>
      <c r="AI283">
        <v>0</v>
      </c>
      <c r="AJ283">
        <v>0</v>
      </c>
      <c r="AK283">
        <v>7000</v>
      </c>
      <c r="AL283">
        <v>0</v>
      </c>
      <c r="AM283">
        <v>0</v>
      </c>
      <c r="AN283">
        <v>0</v>
      </c>
      <c r="AO283">
        <v>0</v>
      </c>
      <c r="AP283"/>
      <c r="AQ283">
        <v>0</v>
      </c>
      <c r="AR283">
        <v>0</v>
      </c>
      <c r="AT283">
        <v>0</v>
      </c>
      <c r="AU283">
        <v>0</v>
      </c>
      <c r="AW283">
        <v>0</v>
      </c>
      <c r="AX283">
        <v>0</v>
      </c>
      <c r="AY283">
        <v>4900</v>
      </c>
      <c r="BA283" t="str">
        <f>T("0000000000000")</f>
        <v>0000000000000</v>
      </c>
      <c r="BC283" t="str">
        <f>T("9791159286773")</f>
        <v>9791159286773</v>
      </c>
      <c r="BE283" t="str">
        <f t="shared" ref="BE283:BE289" si="40">T("로판 e북 &gt; 서양풍 로판")</f>
        <v>로판 e북 &gt; 서양풍 로판</v>
      </c>
    </row>
    <row r="284" spans="1:58" x14ac:dyDescent="0.3">
      <c r="A284">
        <v>2313015987</v>
      </c>
      <c r="B284">
        <v>2313015987</v>
      </c>
      <c r="C284" t="str">
        <f>T("[e북]돌아온 막내 영애님을 조심하세요 1권")</f>
        <v>[e북]돌아온 막내 영애님을 조심하세요 1권</v>
      </c>
      <c r="D284" t="str">
        <f>T("1")</f>
        <v>1</v>
      </c>
      <c r="E284" t="str">
        <f t="shared" ref="E284:E289" si="41">T("윈델")</f>
        <v>윈델</v>
      </c>
      <c r="H284" t="str">
        <f t="shared" si="39"/>
        <v>블레슈(Blesshuu)</v>
      </c>
      <c r="I284" t="str">
        <f t="shared" ref="I284:I289" si="42">T("[e북]돌아온 막내 영애님을 조심하세요")</f>
        <v>[e북]돌아온 막내 영애님을 조심하세요</v>
      </c>
      <c r="J284">
        <v>3500</v>
      </c>
      <c r="K284">
        <v>7000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7000</v>
      </c>
      <c r="AH284">
        <v>2</v>
      </c>
      <c r="AI284">
        <v>0</v>
      </c>
      <c r="AJ284">
        <v>0</v>
      </c>
      <c r="AK284">
        <v>7000</v>
      </c>
      <c r="AL284">
        <v>0</v>
      </c>
      <c r="AM284">
        <v>0</v>
      </c>
      <c r="AN284">
        <v>0</v>
      </c>
      <c r="AO284">
        <v>0</v>
      </c>
      <c r="AP284"/>
      <c r="AQ284">
        <v>0</v>
      </c>
      <c r="AR284">
        <v>0</v>
      </c>
      <c r="AT284">
        <v>0</v>
      </c>
      <c r="AU284">
        <v>0</v>
      </c>
      <c r="AW284">
        <v>0</v>
      </c>
      <c r="AX284">
        <v>0</v>
      </c>
      <c r="AY284">
        <v>4900</v>
      </c>
      <c r="BC284" t="str">
        <f>T("9791137603400")</f>
        <v>9791137603400</v>
      </c>
      <c r="BE284" t="str">
        <f t="shared" si="40"/>
        <v>로판 e북 &gt; 서양풍 로판</v>
      </c>
    </row>
    <row r="285" spans="1:58" x14ac:dyDescent="0.3">
      <c r="A285">
        <v>2313015987</v>
      </c>
      <c r="B285">
        <v>2313015988</v>
      </c>
      <c r="C285" t="str">
        <f>T("[e북]돌아온 막내 영애님을 조심하세요 2권")</f>
        <v>[e북]돌아온 막내 영애님을 조심하세요 2권</v>
      </c>
      <c r="D285" t="str">
        <f>T("2")</f>
        <v>2</v>
      </c>
      <c r="E285" t="str">
        <f t="shared" si="41"/>
        <v>윈델</v>
      </c>
      <c r="H285" t="str">
        <f t="shared" si="39"/>
        <v>블레슈(Blesshuu)</v>
      </c>
      <c r="I285" t="str">
        <f t="shared" si="42"/>
        <v>[e북]돌아온 막내 영애님을 조심하세요</v>
      </c>
      <c r="J285">
        <v>3500</v>
      </c>
      <c r="K285">
        <v>7000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7000</v>
      </c>
      <c r="AH285">
        <v>2</v>
      </c>
      <c r="AI285">
        <v>0</v>
      </c>
      <c r="AJ285">
        <v>0</v>
      </c>
      <c r="AK285">
        <v>7000</v>
      </c>
      <c r="AL285">
        <v>0</v>
      </c>
      <c r="AM285">
        <v>0</v>
      </c>
      <c r="AN285">
        <v>0</v>
      </c>
      <c r="AO285">
        <v>0</v>
      </c>
      <c r="AP285"/>
      <c r="AQ285">
        <v>0</v>
      </c>
      <c r="AR285">
        <v>0</v>
      </c>
      <c r="AT285">
        <v>0</v>
      </c>
      <c r="AU285">
        <v>0</v>
      </c>
      <c r="AW285">
        <v>0</v>
      </c>
      <c r="AX285">
        <v>0</v>
      </c>
      <c r="AY285">
        <v>4900</v>
      </c>
      <c r="BC285" t="str">
        <f>T("9791137603417")</f>
        <v>9791137603417</v>
      </c>
      <c r="BE285" t="str">
        <f t="shared" si="40"/>
        <v>로판 e북 &gt; 서양풍 로판</v>
      </c>
    </row>
    <row r="286" spans="1:58" x14ac:dyDescent="0.3">
      <c r="A286">
        <v>2313015987</v>
      </c>
      <c r="B286">
        <v>2313015989</v>
      </c>
      <c r="C286" t="str">
        <f>T("[e북]돌아온 막내 영애님을 조심하세요 3권")</f>
        <v>[e북]돌아온 막내 영애님을 조심하세요 3권</v>
      </c>
      <c r="D286" t="str">
        <f>T("3")</f>
        <v>3</v>
      </c>
      <c r="E286" t="str">
        <f t="shared" si="41"/>
        <v>윈델</v>
      </c>
      <c r="H286" t="str">
        <f t="shared" si="39"/>
        <v>블레슈(Blesshuu)</v>
      </c>
      <c r="I286" t="str">
        <f t="shared" si="42"/>
        <v>[e북]돌아온 막내 영애님을 조심하세요</v>
      </c>
      <c r="J286">
        <v>3500</v>
      </c>
      <c r="K286">
        <v>7000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7000</v>
      </c>
      <c r="AH286">
        <v>2</v>
      </c>
      <c r="AI286">
        <v>0</v>
      </c>
      <c r="AJ286">
        <v>0</v>
      </c>
      <c r="AK286">
        <v>7000</v>
      </c>
      <c r="AL286">
        <v>0</v>
      </c>
      <c r="AM286">
        <v>0</v>
      </c>
      <c r="AN286">
        <v>0</v>
      </c>
      <c r="AO286">
        <v>0</v>
      </c>
      <c r="AP286"/>
      <c r="AQ286">
        <v>0</v>
      </c>
      <c r="AR286">
        <v>0</v>
      </c>
      <c r="AT286">
        <v>0</v>
      </c>
      <c r="AU286">
        <v>0</v>
      </c>
      <c r="AW286">
        <v>0</v>
      </c>
      <c r="AX286">
        <v>0</v>
      </c>
      <c r="AY286">
        <v>4900</v>
      </c>
      <c r="BC286" t="str">
        <f>T("9791137603424")</f>
        <v>9791137603424</v>
      </c>
      <c r="BE286" t="str">
        <f t="shared" si="40"/>
        <v>로판 e북 &gt; 서양풍 로판</v>
      </c>
    </row>
    <row r="287" spans="1:58" x14ac:dyDescent="0.3">
      <c r="A287">
        <v>2313015987</v>
      </c>
      <c r="B287">
        <v>2313015990</v>
      </c>
      <c r="C287" t="str">
        <f>T("[e북]돌아온 막내 영애님을 조심하세요 4권")</f>
        <v>[e북]돌아온 막내 영애님을 조심하세요 4권</v>
      </c>
      <c r="D287" t="str">
        <f>T("4")</f>
        <v>4</v>
      </c>
      <c r="E287" t="str">
        <f t="shared" si="41"/>
        <v>윈델</v>
      </c>
      <c r="H287" t="str">
        <f t="shared" si="39"/>
        <v>블레슈(Blesshuu)</v>
      </c>
      <c r="I287" t="str">
        <f t="shared" si="42"/>
        <v>[e북]돌아온 막내 영애님을 조심하세요</v>
      </c>
      <c r="J287">
        <v>3500</v>
      </c>
      <c r="K287">
        <v>7000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7000</v>
      </c>
      <c r="AH287">
        <v>2</v>
      </c>
      <c r="AI287">
        <v>0</v>
      </c>
      <c r="AJ287">
        <v>0</v>
      </c>
      <c r="AK287">
        <v>7000</v>
      </c>
      <c r="AL287">
        <v>0</v>
      </c>
      <c r="AM287">
        <v>0</v>
      </c>
      <c r="AN287">
        <v>0</v>
      </c>
      <c r="AO287">
        <v>0</v>
      </c>
      <c r="AP287"/>
      <c r="AQ287">
        <v>0</v>
      </c>
      <c r="AR287">
        <v>0</v>
      </c>
      <c r="AT287">
        <v>0</v>
      </c>
      <c r="AU287">
        <v>0</v>
      </c>
      <c r="AW287">
        <v>0</v>
      </c>
      <c r="AX287">
        <v>0</v>
      </c>
      <c r="AY287">
        <v>4900</v>
      </c>
      <c r="BC287" t="str">
        <f>T("9791137603431")</f>
        <v>9791137603431</v>
      </c>
      <c r="BE287" t="str">
        <f t="shared" si="40"/>
        <v>로판 e북 &gt; 서양풍 로판</v>
      </c>
    </row>
    <row r="288" spans="1:58" x14ac:dyDescent="0.3">
      <c r="A288">
        <v>2313015987</v>
      </c>
      <c r="B288">
        <v>2313015991</v>
      </c>
      <c r="C288" t="str">
        <f>T("[e북]돌아온 막내 영애님을 조심하세요 5권")</f>
        <v>[e북]돌아온 막내 영애님을 조심하세요 5권</v>
      </c>
      <c r="D288" t="str">
        <f>T("5")</f>
        <v>5</v>
      </c>
      <c r="E288" t="str">
        <f t="shared" si="41"/>
        <v>윈델</v>
      </c>
      <c r="H288" t="str">
        <f t="shared" si="39"/>
        <v>블레슈(Blesshuu)</v>
      </c>
      <c r="I288" t="str">
        <f t="shared" si="42"/>
        <v>[e북]돌아온 막내 영애님을 조심하세요</v>
      </c>
      <c r="J288">
        <v>3500</v>
      </c>
      <c r="K288">
        <v>7000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7000</v>
      </c>
      <c r="AH288">
        <v>2</v>
      </c>
      <c r="AI288">
        <v>0</v>
      </c>
      <c r="AJ288">
        <v>0</v>
      </c>
      <c r="AK288">
        <v>7000</v>
      </c>
      <c r="AL288">
        <v>0</v>
      </c>
      <c r="AM288">
        <v>0</v>
      </c>
      <c r="AN288">
        <v>0</v>
      </c>
      <c r="AO288">
        <v>0</v>
      </c>
      <c r="AP288"/>
      <c r="AQ288">
        <v>0</v>
      </c>
      <c r="AR288">
        <v>0</v>
      </c>
      <c r="AT288">
        <v>0</v>
      </c>
      <c r="AU288">
        <v>0</v>
      </c>
      <c r="AW288">
        <v>0</v>
      </c>
      <c r="AX288">
        <v>0</v>
      </c>
      <c r="AY288">
        <v>4900</v>
      </c>
      <c r="BC288" t="str">
        <f>T("9791137603448")</f>
        <v>9791137603448</v>
      </c>
      <c r="BE288" t="str">
        <f t="shared" si="40"/>
        <v>로판 e북 &gt; 서양풍 로판</v>
      </c>
    </row>
    <row r="289" spans="1:58" x14ac:dyDescent="0.3">
      <c r="A289">
        <v>2313015987</v>
      </c>
      <c r="B289">
        <v>2313015992</v>
      </c>
      <c r="C289" t="str">
        <f>T("[e북]돌아온 막내 영애님을 조심하세요 6권 (완결)")</f>
        <v>[e북]돌아온 막내 영애님을 조심하세요 6권 (완결)</v>
      </c>
      <c r="D289" t="str">
        <f>T("6")</f>
        <v>6</v>
      </c>
      <c r="E289" t="str">
        <f t="shared" si="41"/>
        <v>윈델</v>
      </c>
      <c r="H289" t="str">
        <f t="shared" si="39"/>
        <v>블레슈(Blesshuu)</v>
      </c>
      <c r="I289" t="str">
        <f t="shared" si="42"/>
        <v>[e북]돌아온 막내 영애님을 조심하세요</v>
      </c>
      <c r="J289">
        <v>3500</v>
      </c>
      <c r="K289">
        <v>7000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7000</v>
      </c>
      <c r="AH289">
        <v>2</v>
      </c>
      <c r="AI289">
        <v>0</v>
      </c>
      <c r="AJ289">
        <v>0</v>
      </c>
      <c r="AK289">
        <v>7000</v>
      </c>
      <c r="AL289">
        <v>0</v>
      </c>
      <c r="AM289">
        <v>0</v>
      </c>
      <c r="AN289">
        <v>0</v>
      </c>
      <c r="AO289">
        <v>0</v>
      </c>
      <c r="AP289"/>
      <c r="AQ289">
        <v>0</v>
      </c>
      <c r="AR289">
        <v>0</v>
      </c>
      <c r="AT289">
        <v>0</v>
      </c>
      <c r="AU289">
        <v>0</v>
      </c>
      <c r="AW289">
        <v>0</v>
      </c>
      <c r="AX289">
        <v>0</v>
      </c>
      <c r="AY289">
        <v>4900</v>
      </c>
      <c r="BC289" t="str">
        <f>T("9791137603455")</f>
        <v>9791137603455</v>
      </c>
      <c r="BE289" t="str">
        <f t="shared" si="40"/>
        <v>로판 e북 &gt; 서양풍 로판</v>
      </c>
    </row>
    <row r="290" spans="1:58" x14ac:dyDescent="0.3">
      <c r="A290">
        <v>2313016949</v>
      </c>
      <c r="B290">
        <v>2313016947</v>
      </c>
      <c r="C290" t="str">
        <f>T("[e북]너는 내 숨결이니까 (외전증보판) (외전)")</f>
        <v>[e북]너는 내 숨결이니까 (외전증보판) (외전)</v>
      </c>
      <c r="D290" t="str">
        <f>T("3")</f>
        <v>3</v>
      </c>
      <c r="E290" t="str">
        <f>T("아슈크림")</f>
        <v>아슈크림</v>
      </c>
      <c r="H290" t="str">
        <f>T("도서출판 태랑")</f>
        <v>도서출판 태랑</v>
      </c>
      <c r="I290" t="str">
        <f>T("[e북]너는 내 숨결이니까 (외전증보판)")</f>
        <v>[e북]너는 내 숨결이니까 (외전증보판)</v>
      </c>
      <c r="J290">
        <v>1400</v>
      </c>
      <c r="K290">
        <v>7000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7000</v>
      </c>
      <c r="AH290">
        <v>5</v>
      </c>
      <c r="AI290">
        <v>0</v>
      </c>
      <c r="AJ290">
        <v>0</v>
      </c>
      <c r="AK290">
        <v>7000</v>
      </c>
      <c r="AL290">
        <v>0</v>
      </c>
      <c r="AM290">
        <v>0</v>
      </c>
      <c r="AN290">
        <v>0</v>
      </c>
      <c r="AO290">
        <v>0</v>
      </c>
      <c r="AP290"/>
      <c r="AQ290">
        <v>0</v>
      </c>
      <c r="AR290">
        <v>0</v>
      </c>
      <c r="AT290">
        <v>0</v>
      </c>
      <c r="AU290">
        <v>0</v>
      </c>
      <c r="AW290">
        <v>0</v>
      </c>
      <c r="AX290">
        <v>0</v>
      </c>
      <c r="AY290">
        <v>4900</v>
      </c>
      <c r="BC290" t="str">
        <f>T("9791164372966")</f>
        <v>9791164372966</v>
      </c>
      <c r="BE290" t="str">
        <f>T("로맨스 e북 &gt; 현대물")</f>
        <v>로맨스 e북 &gt; 현대물</v>
      </c>
      <c r="BF290" t="str">
        <f>T("로맨스 e북 &gt; 19+")</f>
        <v>로맨스 e북 &gt; 19+</v>
      </c>
    </row>
    <row r="291" spans="1:58" x14ac:dyDescent="0.3">
      <c r="A291">
        <v>2313017117</v>
      </c>
      <c r="B291">
        <v>2313017114</v>
      </c>
      <c r="C291" t="str">
        <f>T("[e북]봄나물 (Rookie) 4권 (완결)")</f>
        <v>[e북]봄나물 (Rookie) 4권 (완결)</v>
      </c>
      <c r="D291" t="str">
        <f>T("4")</f>
        <v>4</v>
      </c>
      <c r="E291" t="str">
        <f>T("발상")</f>
        <v>발상</v>
      </c>
      <c r="H291" t="str">
        <f>T("도서출판 태랑")</f>
        <v>도서출판 태랑</v>
      </c>
      <c r="I291" t="str">
        <f>T("[e북]봄나물(Rookie)")</f>
        <v>[e북]봄나물(Rookie)</v>
      </c>
      <c r="J291">
        <v>3500</v>
      </c>
      <c r="K291">
        <v>7000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7000</v>
      </c>
      <c r="AH291">
        <v>2</v>
      </c>
      <c r="AI291">
        <v>0</v>
      </c>
      <c r="AJ291">
        <v>0</v>
      </c>
      <c r="AK291">
        <v>7000</v>
      </c>
      <c r="AL291">
        <v>0</v>
      </c>
      <c r="AM291">
        <v>0</v>
      </c>
      <c r="AN291">
        <v>0</v>
      </c>
      <c r="AO291">
        <v>0</v>
      </c>
      <c r="AP291"/>
      <c r="AQ291">
        <v>0</v>
      </c>
      <c r="AR291">
        <v>0</v>
      </c>
      <c r="AT291">
        <v>0</v>
      </c>
      <c r="AU291">
        <v>0</v>
      </c>
      <c r="AW291">
        <v>0</v>
      </c>
      <c r="AX291">
        <v>0</v>
      </c>
      <c r="AY291">
        <v>4900</v>
      </c>
      <c r="BC291" t="str">
        <f>T("9791189627539")</f>
        <v>9791189627539</v>
      </c>
      <c r="BE291" t="str">
        <f>T("BL 소설 e북 &gt; 현대물")</f>
        <v>BL 소설 e북 &gt; 현대물</v>
      </c>
    </row>
    <row r="292" spans="1:58" x14ac:dyDescent="0.3">
      <c r="A292">
        <v>2313017117</v>
      </c>
      <c r="B292">
        <v>2313017115</v>
      </c>
      <c r="C292" t="str">
        <f>T("[e북]봄나물 (Rookie) 3권")</f>
        <v>[e북]봄나물 (Rookie) 3권</v>
      </c>
      <c r="D292" t="str">
        <f>T("3")</f>
        <v>3</v>
      </c>
      <c r="E292" t="str">
        <f>T("발상")</f>
        <v>발상</v>
      </c>
      <c r="H292" t="str">
        <f>T("도서출판 태랑")</f>
        <v>도서출판 태랑</v>
      </c>
      <c r="I292" t="str">
        <f>T("[e북]봄나물(Rookie)")</f>
        <v>[e북]봄나물(Rookie)</v>
      </c>
      <c r="J292">
        <v>3500</v>
      </c>
      <c r="K292">
        <v>7000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7000</v>
      </c>
      <c r="AH292">
        <v>2</v>
      </c>
      <c r="AI292">
        <v>0</v>
      </c>
      <c r="AJ292">
        <v>0</v>
      </c>
      <c r="AK292">
        <v>7000</v>
      </c>
      <c r="AL292">
        <v>0</v>
      </c>
      <c r="AM292">
        <v>0</v>
      </c>
      <c r="AN292">
        <v>0</v>
      </c>
      <c r="AO292">
        <v>0</v>
      </c>
      <c r="AP292"/>
      <c r="AQ292">
        <v>0</v>
      </c>
      <c r="AR292">
        <v>0</v>
      </c>
      <c r="AT292">
        <v>0</v>
      </c>
      <c r="AU292">
        <v>0</v>
      </c>
      <c r="AW292">
        <v>0</v>
      </c>
      <c r="AX292">
        <v>0</v>
      </c>
      <c r="AY292">
        <v>4900</v>
      </c>
      <c r="BC292" t="str">
        <f>T("9791189627522")</f>
        <v>9791189627522</v>
      </c>
      <c r="BE292" t="str">
        <f>T("BL 소설 e북 &gt; 현대물")</f>
        <v>BL 소설 e북 &gt; 현대물</v>
      </c>
    </row>
    <row r="293" spans="1:58" x14ac:dyDescent="0.3">
      <c r="A293">
        <v>2313017117</v>
      </c>
      <c r="B293">
        <v>2313017116</v>
      </c>
      <c r="C293" t="str">
        <f>T("[e북]봄나물 (Rookie) 2권")</f>
        <v>[e북]봄나물 (Rookie) 2권</v>
      </c>
      <c r="D293" t="str">
        <f>T("2")</f>
        <v>2</v>
      </c>
      <c r="E293" t="str">
        <f>T("발상")</f>
        <v>발상</v>
      </c>
      <c r="H293" t="str">
        <f>T("도서출판 태랑")</f>
        <v>도서출판 태랑</v>
      </c>
      <c r="I293" t="str">
        <f>T("[e북]봄나물(Rookie)")</f>
        <v>[e북]봄나물(Rookie)</v>
      </c>
      <c r="J293">
        <v>3500</v>
      </c>
      <c r="K293">
        <v>7000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7000</v>
      </c>
      <c r="AH293">
        <v>2</v>
      </c>
      <c r="AI293">
        <v>0</v>
      </c>
      <c r="AJ293">
        <v>0</v>
      </c>
      <c r="AK293">
        <v>7000</v>
      </c>
      <c r="AL293">
        <v>0</v>
      </c>
      <c r="AM293">
        <v>0</v>
      </c>
      <c r="AN293">
        <v>0</v>
      </c>
      <c r="AO293">
        <v>0</v>
      </c>
      <c r="AP293"/>
      <c r="AQ293">
        <v>0</v>
      </c>
      <c r="AR293">
        <v>0</v>
      </c>
      <c r="AT293">
        <v>0</v>
      </c>
      <c r="AU293">
        <v>0</v>
      </c>
      <c r="AW293">
        <v>0</v>
      </c>
      <c r="AX293">
        <v>0</v>
      </c>
      <c r="AY293">
        <v>4900</v>
      </c>
      <c r="BC293" t="str">
        <f>T("9791189627515")</f>
        <v>9791189627515</v>
      </c>
      <c r="BE293" t="str">
        <f>T("BL 소설 e북 &gt; 현대물")</f>
        <v>BL 소설 e북 &gt; 현대물</v>
      </c>
    </row>
    <row r="294" spans="1:58" x14ac:dyDescent="0.3">
      <c r="A294">
        <v>2313020108</v>
      </c>
      <c r="B294">
        <v>2313020137</v>
      </c>
      <c r="C294" t="str">
        <f>T("아빠는 마교대장 30화")</f>
        <v>아빠는 마교대장 30화</v>
      </c>
      <c r="D294" t="str">
        <f>T("30")</f>
        <v>30</v>
      </c>
      <c r="E294" t="str">
        <f>T("구땡")</f>
        <v>구땡</v>
      </c>
      <c r="H294" t="str">
        <f>T("스토리위즈")</f>
        <v>스토리위즈</v>
      </c>
      <c r="I294" t="str">
        <f>T("아빠는 마교대장")</f>
        <v>아빠는 마교대장</v>
      </c>
      <c r="J294">
        <v>100</v>
      </c>
      <c r="K294">
        <v>7000</v>
      </c>
      <c r="L294">
        <v>70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7000</v>
      </c>
      <c r="AH294">
        <v>70</v>
      </c>
      <c r="AI294">
        <v>0</v>
      </c>
      <c r="AJ294">
        <v>0</v>
      </c>
      <c r="AK294">
        <v>6310</v>
      </c>
      <c r="AL294">
        <v>0</v>
      </c>
      <c r="AM294">
        <v>828</v>
      </c>
      <c r="AN294">
        <v>-202.8</v>
      </c>
      <c r="AO294">
        <v>0</v>
      </c>
      <c r="AP294"/>
      <c r="AQ294">
        <v>0</v>
      </c>
      <c r="AR294">
        <v>0</v>
      </c>
      <c r="AS294">
        <v>828</v>
      </c>
      <c r="AT294">
        <v>-202.8</v>
      </c>
      <c r="AU294">
        <v>0</v>
      </c>
      <c r="AW294">
        <v>0</v>
      </c>
      <c r="AX294">
        <v>0</v>
      </c>
      <c r="AY294">
        <v>4854.6400000000003</v>
      </c>
      <c r="BC294" t="str">
        <f>T("9791137602076")</f>
        <v>9791137602076</v>
      </c>
      <c r="BE294" t="str">
        <f>T("판타지 웹소설 &gt; 무협 소설")</f>
        <v>판타지 웹소설 &gt; 무협 소설</v>
      </c>
    </row>
    <row r="295" spans="1:58" x14ac:dyDescent="0.3">
      <c r="A295">
        <v>2313020108</v>
      </c>
      <c r="B295">
        <v>2313020136</v>
      </c>
      <c r="C295" t="str">
        <f>T("아빠는 마교대장 29화")</f>
        <v>아빠는 마교대장 29화</v>
      </c>
      <c r="D295" t="str">
        <f>T("29")</f>
        <v>29</v>
      </c>
      <c r="E295" t="str">
        <f>T("구땡")</f>
        <v>구땡</v>
      </c>
      <c r="H295" t="str">
        <f>T("스토리위즈")</f>
        <v>스토리위즈</v>
      </c>
      <c r="I295" t="str">
        <f>T("아빠는 마교대장")</f>
        <v>아빠는 마교대장</v>
      </c>
      <c r="J295">
        <v>100</v>
      </c>
      <c r="K295">
        <v>6900</v>
      </c>
      <c r="L295">
        <v>69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6900</v>
      </c>
      <c r="AH295">
        <v>69</v>
      </c>
      <c r="AI295">
        <v>0</v>
      </c>
      <c r="AJ295">
        <v>0</v>
      </c>
      <c r="AK295">
        <v>6310</v>
      </c>
      <c r="AL295">
        <v>0</v>
      </c>
      <c r="AM295">
        <v>708</v>
      </c>
      <c r="AN295">
        <v>-166.8</v>
      </c>
      <c r="AO295">
        <v>0</v>
      </c>
      <c r="AP295"/>
      <c r="AQ295">
        <v>0</v>
      </c>
      <c r="AR295">
        <v>0</v>
      </c>
      <c r="AS295">
        <v>708</v>
      </c>
      <c r="AT295">
        <v>-166.8</v>
      </c>
      <c r="AU295">
        <v>0</v>
      </c>
      <c r="AW295">
        <v>0</v>
      </c>
      <c r="AX295">
        <v>0</v>
      </c>
      <c r="AY295">
        <v>4795.84</v>
      </c>
      <c r="BC295" t="str">
        <f>T("9791137602076")</f>
        <v>9791137602076</v>
      </c>
      <c r="BE295" t="str">
        <f>T("판타지 웹소설 &gt; 무협 소설")</f>
        <v>판타지 웹소설 &gt; 무협 소설</v>
      </c>
    </row>
    <row r="296" spans="1:58" x14ac:dyDescent="0.3">
      <c r="A296">
        <v>2313020108</v>
      </c>
      <c r="B296">
        <v>2313020138</v>
      </c>
      <c r="C296" t="str">
        <f>T("아빠는 마교대장 31화")</f>
        <v>아빠는 마교대장 31화</v>
      </c>
      <c r="D296" t="str">
        <f>T("31")</f>
        <v>31</v>
      </c>
      <c r="E296" t="str">
        <f>T("구땡")</f>
        <v>구땡</v>
      </c>
      <c r="H296" t="str">
        <f>T("스토리위즈")</f>
        <v>스토리위즈</v>
      </c>
      <c r="I296" t="str">
        <f>T("아빠는 마교대장")</f>
        <v>아빠는 마교대장</v>
      </c>
      <c r="J296">
        <v>100</v>
      </c>
      <c r="K296">
        <v>6800</v>
      </c>
      <c r="L296">
        <v>68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6800</v>
      </c>
      <c r="AH296">
        <v>68</v>
      </c>
      <c r="AI296">
        <v>0</v>
      </c>
      <c r="AJ296">
        <v>0</v>
      </c>
      <c r="AK296">
        <v>6110</v>
      </c>
      <c r="AL296">
        <v>0</v>
      </c>
      <c r="AM296">
        <v>828</v>
      </c>
      <c r="AN296">
        <v>-202.8</v>
      </c>
      <c r="AO296">
        <v>0</v>
      </c>
      <c r="AP296"/>
      <c r="AQ296">
        <v>0</v>
      </c>
      <c r="AR296">
        <v>0</v>
      </c>
      <c r="AS296">
        <v>828</v>
      </c>
      <c r="AT296">
        <v>-202.8</v>
      </c>
      <c r="AU296">
        <v>0</v>
      </c>
      <c r="AW296">
        <v>0</v>
      </c>
      <c r="AX296">
        <v>0</v>
      </c>
      <c r="AY296">
        <v>4714.6400000000003</v>
      </c>
      <c r="BC296" t="str">
        <f>T("9791137602076")</f>
        <v>9791137602076</v>
      </c>
      <c r="BE296" t="str">
        <f>T("판타지 웹소설 &gt; 무협 소설")</f>
        <v>판타지 웹소설 &gt; 무협 소설</v>
      </c>
    </row>
    <row r="297" spans="1:58" x14ac:dyDescent="0.3">
      <c r="A297">
        <v>2313016851</v>
      </c>
      <c r="B297">
        <v>2313016848</v>
      </c>
      <c r="C297" t="str">
        <f>T("[e북]어쩌다 계약 아내 (외전증보판) (외전)")</f>
        <v>[e북]어쩌다 계약 아내 (외전증보판) (외전)</v>
      </c>
      <c r="D297" t="str">
        <f>T("4")</f>
        <v>4</v>
      </c>
      <c r="E297" t="str">
        <f>T("아슈크림")</f>
        <v>아슈크림</v>
      </c>
      <c r="H297" t="str">
        <f>T("도서출판 태랑")</f>
        <v>도서출판 태랑</v>
      </c>
      <c r="I297" t="str">
        <f>T("[e북]어쩌다 계약 아내 (외전증보판)")</f>
        <v>[e북]어쩌다 계약 아내 (외전증보판)</v>
      </c>
      <c r="J297">
        <v>2200</v>
      </c>
      <c r="K297">
        <v>6600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6600</v>
      </c>
      <c r="AH297">
        <v>3</v>
      </c>
      <c r="AI297">
        <v>0</v>
      </c>
      <c r="AJ297">
        <v>0</v>
      </c>
      <c r="AK297">
        <v>4400</v>
      </c>
      <c r="AL297">
        <v>0</v>
      </c>
      <c r="AM297">
        <v>2640</v>
      </c>
      <c r="AN297">
        <v>-792</v>
      </c>
      <c r="AO297">
        <v>0</v>
      </c>
      <c r="AP297">
        <v>2640</v>
      </c>
      <c r="AQ297">
        <v>-792</v>
      </c>
      <c r="AR297">
        <v>0</v>
      </c>
      <c r="AT297">
        <v>0</v>
      </c>
      <c r="AU297">
        <v>0</v>
      </c>
      <c r="AW297">
        <v>0</v>
      </c>
      <c r="AX297">
        <v>0</v>
      </c>
      <c r="AY297">
        <v>4373.6000000000004</v>
      </c>
      <c r="BC297" t="str">
        <f>T("9791164374687")</f>
        <v>9791164374687</v>
      </c>
      <c r="BE297" t="str">
        <f>T("로맨스 e북 &gt; 현대물")</f>
        <v>로맨스 e북 &gt; 현대물</v>
      </c>
    </row>
    <row r="298" spans="1:58" x14ac:dyDescent="0.3">
      <c r="A298">
        <v>2313005704</v>
      </c>
      <c r="B298">
        <v>2313005705</v>
      </c>
      <c r="C298" t="str">
        <f>T("[e북]나 혼자만 일일 보상 2권")</f>
        <v>[e북]나 혼자만 일일 보상 2권</v>
      </c>
      <c r="D298" t="str">
        <f>T("2")</f>
        <v>2</v>
      </c>
      <c r="E298" t="str">
        <f>T("이동열")</f>
        <v>이동열</v>
      </c>
      <c r="H298" t="str">
        <f t="shared" ref="H298:H314" si="43">T("스토리위즈")</f>
        <v>스토리위즈</v>
      </c>
      <c r="I298" t="str">
        <f>T("[e북]나 혼자만 일일 보상")</f>
        <v>[e북]나 혼자만 일일 보상</v>
      </c>
      <c r="J298">
        <v>3200</v>
      </c>
      <c r="K298">
        <v>6400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6400</v>
      </c>
      <c r="AH298">
        <v>2</v>
      </c>
      <c r="AI298">
        <v>0</v>
      </c>
      <c r="AJ298">
        <v>0</v>
      </c>
      <c r="AK298">
        <v>400</v>
      </c>
      <c r="AL298">
        <v>0</v>
      </c>
      <c r="AM298">
        <v>7200</v>
      </c>
      <c r="AN298">
        <v>-720</v>
      </c>
      <c r="AO298">
        <v>0</v>
      </c>
      <c r="AP298"/>
      <c r="AQ298">
        <v>0</v>
      </c>
      <c r="AR298">
        <v>0</v>
      </c>
      <c r="AS298">
        <v>7200</v>
      </c>
      <c r="AT298">
        <v>-720</v>
      </c>
      <c r="AU298">
        <v>0</v>
      </c>
      <c r="AW298">
        <v>0</v>
      </c>
      <c r="AX298">
        <v>0</v>
      </c>
      <c r="AY298">
        <v>4816</v>
      </c>
      <c r="BC298" t="str">
        <f>T("9791159289583")</f>
        <v>9791159289583</v>
      </c>
      <c r="BE298" t="str">
        <f>T("판타지 e북 &gt; 퓨전 판타지")</f>
        <v>판타지 e북 &gt; 퓨전 판타지</v>
      </c>
    </row>
    <row r="299" spans="1:58" x14ac:dyDescent="0.3">
      <c r="A299">
        <v>2313007134</v>
      </c>
      <c r="B299">
        <v>2313007137</v>
      </c>
      <c r="C299" t="str">
        <f>T("[e북]성군이십니다 4권")</f>
        <v>[e북]성군이십니다 4권</v>
      </c>
      <c r="D299" t="str">
        <f>T("4")</f>
        <v>4</v>
      </c>
      <c r="E299" t="str">
        <f>T("이준영")</f>
        <v>이준영</v>
      </c>
      <c r="H299" t="str">
        <f t="shared" si="43"/>
        <v>스토리위즈</v>
      </c>
      <c r="I299" t="str">
        <f>T("[e북]성군이십니다")</f>
        <v>[e북]성군이십니다</v>
      </c>
      <c r="J299">
        <v>3200</v>
      </c>
      <c r="K299">
        <v>6400</v>
      </c>
      <c r="L299">
        <v>2</v>
      </c>
      <c r="M299">
        <v>0</v>
      </c>
      <c r="N299">
        <v>38250</v>
      </c>
      <c r="O299">
        <v>56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44650</v>
      </c>
      <c r="AH299">
        <v>58</v>
      </c>
      <c r="AI299">
        <v>0</v>
      </c>
      <c r="AJ299">
        <v>0</v>
      </c>
      <c r="AK299">
        <v>40840</v>
      </c>
      <c r="AL299">
        <v>0</v>
      </c>
      <c r="AM299">
        <v>4572</v>
      </c>
      <c r="AN299">
        <v>-975.6</v>
      </c>
      <c r="AO299">
        <v>0</v>
      </c>
      <c r="AP299">
        <v>756</v>
      </c>
      <c r="AQ299">
        <v>-226.8</v>
      </c>
      <c r="AR299">
        <v>0</v>
      </c>
      <c r="AS299">
        <v>3816</v>
      </c>
      <c r="AT299">
        <v>-748.8</v>
      </c>
      <c r="AU299">
        <v>0</v>
      </c>
      <c r="AW299">
        <v>0</v>
      </c>
      <c r="AX299">
        <v>0</v>
      </c>
      <c r="AY299">
        <v>31105.48</v>
      </c>
      <c r="BA299" t="str">
        <f>T("0000000000000")</f>
        <v>0000000000000</v>
      </c>
      <c r="BC299" t="str">
        <f>T("9791159284540")</f>
        <v>9791159284540</v>
      </c>
      <c r="BE299" t="str">
        <f>T("판타지 e북 &gt; 퓨전 판타지")</f>
        <v>판타지 e북 &gt; 퓨전 판타지</v>
      </c>
    </row>
    <row r="300" spans="1:58" x14ac:dyDescent="0.3">
      <c r="A300">
        <v>2313007134</v>
      </c>
      <c r="B300">
        <v>2313007138</v>
      </c>
      <c r="C300" t="str">
        <f>T("[e북]성군이십니다 5권")</f>
        <v>[e북]성군이십니다 5권</v>
      </c>
      <c r="D300" t="str">
        <f>T("5")</f>
        <v>5</v>
      </c>
      <c r="E300" t="str">
        <f>T("이준영")</f>
        <v>이준영</v>
      </c>
      <c r="H300" t="str">
        <f t="shared" si="43"/>
        <v>스토리위즈</v>
      </c>
      <c r="I300" t="str">
        <f>T("[e북]성군이십니다")</f>
        <v>[e북]성군이십니다</v>
      </c>
      <c r="J300">
        <v>3200</v>
      </c>
      <c r="K300">
        <v>6400</v>
      </c>
      <c r="L300">
        <v>2</v>
      </c>
      <c r="M300">
        <v>0</v>
      </c>
      <c r="N300">
        <v>35550</v>
      </c>
      <c r="O300">
        <v>53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41950</v>
      </c>
      <c r="AH300">
        <v>55</v>
      </c>
      <c r="AI300">
        <v>0</v>
      </c>
      <c r="AJ300">
        <v>0</v>
      </c>
      <c r="AK300">
        <v>38140</v>
      </c>
      <c r="AL300">
        <v>0</v>
      </c>
      <c r="AM300">
        <v>4572</v>
      </c>
      <c r="AN300">
        <v>-975.6</v>
      </c>
      <c r="AO300">
        <v>0</v>
      </c>
      <c r="AP300">
        <v>756</v>
      </c>
      <c r="AQ300">
        <v>-226.8</v>
      </c>
      <c r="AR300">
        <v>0</v>
      </c>
      <c r="AS300">
        <v>3816</v>
      </c>
      <c r="AT300">
        <v>-748.8</v>
      </c>
      <c r="AU300">
        <v>0</v>
      </c>
      <c r="AW300">
        <v>0</v>
      </c>
      <c r="AX300">
        <v>0</v>
      </c>
      <c r="AY300">
        <v>29215.48</v>
      </c>
      <c r="BA300" t="str">
        <f>T("0000000000000")</f>
        <v>0000000000000</v>
      </c>
      <c r="BC300" t="str">
        <f>T("9791159284557")</f>
        <v>9791159284557</v>
      </c>
      <c r="BE300" t="str">
        <f>T("판타지 e북 &gt; 퓨전 판타지")</f>
        <v>판타지 e북 &gt; 퓨전 판타지</v>
      </c>
    </row>
    <row r="301" spans="1:58" x14ac:dyDescent="0.3">
      <c r="A301">
        <v>2313007134</v>
      </c>
      <c r="B301">
        <v>2313007139</v>
      </c>
      <c r="C301" t="str">
        <f>T("[e북]성군이십니다 6권")</f>
        <v>[e북]성군이십니다 6권</v>
      </c>
      <c r="D301" t="str">
        <f>T("6")</f>
        <v>6</v>
      </c>
      <c r="E301" t="str">
        <f>T("이준영")</f>
        <v>이준영</v>
      </c>
      <c r="H301" t="str">
        <f t="shared" si="43"/>
        <v>스토리위즈</v>
      </c>
      <c r="I301" t="str">
        <f>T("[e북]성군이십니다")</f>
        <v>[e북]성군이십니다</v>
      </c>
      <c r="J301">
        <v>3200</v>
      </c>
      <c r="K301">
        <v>6400</v>
      </c>
      <c r="L301">
        <v>2</v>
      </c>
      <c r="M301">
        <v>0</v>
      </c>
      <c r="N301">
        <v>35550</v>
      </c>
      <c r="O301">
        <v>53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41950</v>
      </c>
      <c r="AH301">
        <v>55</v>
      </c>
      <c r="AI301">
        <v>0</v>
      </c>
      <c r="AJ301">
        <v>0</v>
      </c>
      <c r="AK301">
        <v>38141</v>
      </c>
      <c r="AL301">
        <v>0</v>
      </c>
      <c r="AM301">
        <v>4570.8</v>
      </c>
      <c r="AN301">
        <v>-975.48</v>
      </c>
      <c r="AO301">
        <v>0</v>
      </c>
      <c r="AP301">
        <v>756</v>
      </c>
      <c r="AQ301">
        <v>-226.8</v>
      </c>
      <c r="AR301">
        <v>0</v>
      </c>
      <c r="AS301">
        <v>3814.8</v>
      </c>
      <c r="AT301">
        <v>-748.68</v>
      </c>
      <c r="AU301">
        <v>0</v>
      </c>
      <c r="AW301">
        <v>0</v>
      </c>
      <c r="AX301">
        <v>0</v>
      </c>
      <c r="AY301">
        <v>29215.42</v>
      </c>
      <c r="BA301" t="str">
        <f>T("0000000000000")</f>
        <v>0000000000000</v>
      </c>
      <c r="BC301" t="str">
        <f>T("9791159284564")</f>
        <v>9791159284564</v>
      </c>
      <c r="BE301" t="str">
        <f>T("판타지 e북 &gt; 퓨전 판타지")</f>
        <v>판타지 e북 &gt; 퓨전 판타지</v>
      </c>
    </row>
    <row r="302" spans="1:58" x14ac:dyDescent="0.3">
      <c r="A302">
        <v>2313007134</v>
      </c>
      <c r="B302">
        <v>2313007140</v>
      </c>
      <c r="C302" t="str">
        <f>T("[e북]성군이십니다 7권")</f>
        <v>[e북]성군이십니다 7권</v>
      </c>
      <c r="D302" t="str">
        <f>T("7")</f>
        <v>7</v>
      </c>
      <c r="E302" t="str">
        <f>T("이준영")</f>
        <v>이준영</v>
      </c>
      <c r="H302" t="str">
        <f t="shared" si="43"/>
        <v>스토리위즈</v>
      </c>
      <c r="I302" t="str">
        <f>T("[e북]성군이십니다")</f>
        <v>[e북]성군이십니다</v>
      </c>
      <c r="J302">
        <v>3200</v>
      </c>
      <c r="K302">
        <v>6400</v>
      </c>
      <c r="L302">
        <v>2</v>
      </c>
      <c r="M302">
        <v>0</v>
      </c>
      <c r="N302">
        <v>34650</v>
      </c>
      <c r="O302">
        <v>52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41050</v>
      </c>
      <c r="AH302">
        <v>54</v>
      </c>
      <c r="AI302">
        <v>0</v>
      </c>
      <c r="AJ302">
        <v>0</v>
      </c>
      <c r="AK302">
        <v>37691</v>
      </c>
      <c r="AL302">
        <v>0</v>
      </c>
      <c r="AM302">
        <v>4030.8</v>
      </c>
      <c r="AN302">
        <v>-705.48</v>
      </c>
      <c r="AO302">
        <v>0</v>
      </c>
      <c r="AP302">
        <v>756</v>
      </c>
      <c r="AQ302">
        <v>-226.8</v>
      </c>
      <c r="AR302">
        <v>0</v>
      </c>
      <c r="AS302">
        <v>3274.8</v>
      </c>
      <c r="AT302">
        <v>-478.68</v>
      </c>
      <c r="AU302">
        <v>0</v>
      </c>
      <c r="AW302">
        <v>0</v>
      </c>
      <c r="AX302">
        <v>0</v>
      </c>
      <c r="AY302">
        <v>28711.42</v>
      </c>
      <c r="BA302" t="str">
        <f>T("0000000000000")</f>
        <v>0000000000000</v>
      </c>
      <c r="BC302" t="str">
        <f>T("9791159284588")</f>
        <v>9791159284588</v>
      </c>
      <c r="BE302" t="str">
        <f>T("판타지 e북 &gt; 퓨전 판타지")</f>
        <v>판타지 e북 &gt; 퓨전 판타지</v>
      </c>
    </row>
    <row r="303" spans="1:58" x14ac:dyDescent="0.3">
      <c r="A303">
        <v>2313015171</v>
      </c>
      <c r="B303">
        <v>2313015172</v>
      </c>
      <c r="C303" t="str">
        <f>T("[e북]도폐풍운록 2권")</f>
        <v>[e북]도폐풍운록 2권</v>
      </c>
      <c r="D303" t="str">
        <f>T("2")</f>
        <v>2</v>
      </c>
      <c r="E303" t="str">
        <f>T("무장")</f>
        <v>무장</v>
      </c>
      <c r="H303" t="str">
        <f t="shared" si="43"/>
        <v>스토리위즈</v>
      </c>
      <c r="I303" t="str">
        <f>T("[e북]도폐풍운록")</f>
        <v>[e북]도폐풍운록</v>
      </c>
      <c r="J303">
        <v>3200</v>
      </c>
      <c r="K303">
        <v>6400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6400</v>
      </c>
      <c r="AH303">
        <v>2</v>
      </c>
      <c r="AI303">
        <v>0</v>
      </c>
      <c r="AJ303">
        <v>0</v>
      </c>
      <c r="AK303">
        <v>6400</v>
      </c>
      <c r="AL303">
        <v>0</v>
      </c>
      <c r="AM303">
        <v>0</v>
      </c>
      <c r="AN303">
        <v>0</v>
      </c>
      <c r="AO303">
        <v>0</v>
      </c>
      <c r="AP303"/>
      <c r="AQ303">
        <v>0</v>
      </c>
      <c r="AR303">
        <v>0</v>
      </c>
      <c r="AT303">
        <v>0</v>
      </c>
      <c r="AU303">
        <v>0</v>
      </c>
      <c r="AW303">
        <v>0</v>
      </c>
      <c r="AX303">
        <v>0</v>
      </c>
      <c r="AY303">
        <v>4480</v>
      </c>
      <c r="BA303" t="str">
        <f>T("0000000000000")</f>
        <v>0000000000000</v>
      </c>
      <c r="BC303" t="str">
        <f>T("9791137602816")</f>
        <v>9791137602816</v>
      </c>
      <c r="BE303" t="str">
        <f>T("판타지 e북 &gt; 신무협")</f>
        <v>판타지 e북 &gt; 신무협</v>
      </c>
    </row>
    <row r="304" spans="1:58" x14ac:dyDescent="0.3">
      <c r="A304">
        <v>2313018620</v>
      </c>
      <c r="B304">
        <v>2313018625</v>
      </c>
      <c r="C304" t="str">
        <f>T("[e북]나 혼자 스킬융합 6권")</f>
        <v>[e북]나 혼자 스킬융합 6권</v>
      </c>
      <c r="D304" t="str">
        <f>T("6")</f>
        <v>6</v>
      </c>
      <c r="E304" t="str">
        <f>T("붕어빵")</f>
        <v>붕어빵</v>
      </c>
      <c r="H304" t="str">
        <f t="shared" si="43"/>
        <v>스토리위즈</v>
      </c>
      <c r="I304" t="str">
        <f>T("[e북]나 혼자 스킬융합")</f>
        <v>[e북]나 혼자 스킬융합</v>
      </c>
      <c r="J304">
        <v>3200</v>
      </c>
      <c r="K304">
        <v>6400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6400</v>
      </c>
      <c r="AH304">
        <v>2</v>
      </c>
      <c r="AI304">
        <v>0</v>
      </c>
      <c r="AJ304">
        <v>0</v>
      </c>
      <c r="AK304">
        <v>6400</v>
      </c>
      <c r="AL304">
        <v>0</v>
      </c>
      <c r="AM304">
        <v>0</v>
      </c>
      <c r="AN304">
        <v>0</v>
      </c>
      <c r="AO304">
        <v>0</v>
      </c>
      <c r="AP304"/>
      <c r="AQ304">
        <v>0</v>
      </c>
      <c r="AR304">
        <v>0</v>
      </c>
      <c r="AT304">
        <v>0</v>
      </c>
      <c r="AU304">
        <v>0</v>
      </c>
      <c r="AW304">
        <v>0</v>
      </c>
      <c r="AX304">
        <v>0</v>
      </c>
      <c r="AY304">
        <v>4480</v>
      </c>
      <c r="BC304" t="str">
        <f>T("9791137605534")</f>
        <v>9791137605534</v>
      </c>
      <c r="BE304" t="str">
        <f>T("판타지 e북 &gt; 현대 판타지")</f>
        <v>판타지 e북 &gt; 현대 판타지</v>
      </c>
    </row>
    <row r="305" spans="1:58" x14ac:dyDescent="0.3">
      <c r="A305">
        <v>2313018620</v>
      </c>
      <c r="B305">
        <v>2313018626</v>
      </c>
      <c r="C305" t="str">
        <f>T("[e북]나 혼자 스킬융합 7권")</f>
        <v>[e북]나 혼자 스킬융합 7권</v>
      </c>
      <c r="D305" t="str">
        <f>T("7")</f>
        <v>7</v>
      </c>
      <c r="E305" t="str">
        <f>T("붕어빵")</f>
        <v>붕어빵</v>
      </c>
      <c r="H305" t="str">
        <f t="shared" si="43"/>
        <v>스토리위즈</v>
      </c>
      <c r="I305" t="str">
        <f>T("[e북]나 혼자 스킬융합")</f>
        <v>[e북]나 혼자 스킬융합</v>
      </c>
      <c r="J305">
        <v>3200</v>
      </c>
      <c r="K305">
        <v>6400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6400</v>
      </c>
      <c r="AH305">
        <v>2</v>
      </c>
      <c r="AI305">
        <v>0</v>
      </c>
      <c r="AJ305">
        <v>0</v>
      </c>
      <c r="AK305">
        <v>6400</v>
      </c>
      <c r="AL305">
        <v>0</v>
      </c>
      <c r="AM305">
        <v>0</v>
      </c>
      <c r="AN305">
        <v>0</v>
      </c>
      <c r="AO305">
        <v>0</v>
      </c>
      <c r="AP305"/>
      <c r="AQ305">
        <v>0</v>
      </c>
      <c r="AR305">
        <v>0</v>
      </c>
      <c r="AT305">
        <v>0</v>
      </c>
      <c r="AU305">
        <v>0</v>
      </c>
      <c r="AW305">
        <v>0</v>
      </c>
      <c r="AX305">
        <v>0</v>
      </c>
      <c r="AY305">
        <v>4480</v>
      </c>
      <c r="BC305" t="str">
        <f>T("9791137605541")</f>
        <v>9791137605541</v>
      </c>
      <c r="BE305" t="str">
        <f>T("판타지 e북 &gt; 현대 판타지")</f>
        <v>판타지 e북 &gt; 현대 판타지</v>
      </c>
    </row>
    <row r="306" spans="1:58" x14ac:dyDescent="0.3">
      <c r="A306">
        <v>2313020108</v>
      </c>
      <c r="B306">
        <v>2313020139</v>
      </c>
      <c r="C306" t="str">
        <f>T("아빠는 마교대장 32화")</f>
        <v>아빠는 마교대장 32화</v>
      </c>
      <c r="D306" t="str">
        <f>T("32")</f>
        <v>32</v>
      </c>
      <c r="E306" t="str">
        <f>T("구땡")</f>
        <v>구땡</v>
      </c>
      <c r="H306" t="str">
        <f t="shared" si="43"/>
        <v>스토리위즈</v>
      </c>
      <c r="I306" t="str">
        <f>T("아빠는 마교대장")</f>
        <v>아빠는 마교대장</v>
      </c>
      <c r="J306">
        <v>100</v>
      </c>
      <c r="K306">
        <v>6400</v>
      </c>
      <c r="L306">
        <v>64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6400</v>
      </c>
      <c r="AH306">
        <v>64</v>
      </c>
      <c r="AI306">
        <v>0</v>
      </c>
      <c r="AJ306">
        <v>0</v>
      </c>
      <c r="AK306">
        <v>5710</v>
      </c>
      <c r="AL306">
        <v>0</v>
      </c>
      <c r="AM306">
        <v>828</v>
      </c>
      <c r="AN306">
        <v>-202.8</v>
      </c>
      <c r="AO306">
        <v>0</v>
      </c>
      <c r="AP306"/>
      <c r="AQ306">
        <v>0</v>
      </c>
      <c r="AR306">
        <v>0</v>
      </c>
      <c r="AS306">
        <v>828</v>
      </c>
      <c r="AT306">
        <v>-202.8</v>
      </c>
      <c r="AU306">
        <v>0</v>
      </c>
      <c r="AW306">
        <v>0</v>
      </c>
      <c r="AX306">
        <v>0</v>
      </c>
      <c r="AY306">
        <v>4434.6400000000003</v>
      </c>
      <c r="BC306" t="str">
        <f>T("9791137602076")</f>
        <v>9791137602076</v>
      </c>
      <c r="BE306" t="str">
        <f>T("판타지 웹소설 &gt; 무협 소설")</f>
        <v>판타지 웹소설 &gt; 무협 소설</v>
      </c>
    </row>
    <row r="307" spans="1:58" x14ac:dyDescent="0.3">
      <c r="A307">
        <v>2313020329</v>
      </c>
      <c r="B307">
        <v>2313020335</v>
      </c>
      <c r="C307" t="str">
        <f>T("[e북]디버프 마스터 7권")</f>
        <v>[e북]디버프 마스터 7권</v>
      </c>
      <c r="D307" t="str">
        <f>T("7")</f>
        <v>7</v>
      </c>
      <c r="E307" t="str">
        <f>T("담화공")</f>
        <v>담화공</v>
      </c>
      <c r="H307" t="str">
        <f t="shared" si="43"/>
        <v>스토리위즈</v>
      </c>
      <c r="I307" t="str">
        <f>T("[e북]디버프 마스터")</f>
        <v>[e북]디버프 마스터</v>
      </c>
      <c r="J307">
        <v>3200</v>
      </c>
      <c r="K307">
        <v>6400</v>
      </c>
      <c r="L307">
        <v>2</v>
      </c>
      <c r="M307">
        <v>0</v>
      </c>
      <c r="N307">
        <v>28620</v>
      </c>
      <c r="O307">
        <v>39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35020</v>
      </c>
      <c r="AH307">
        <v>41</v>
      </c>
      <c r="AI307">
        <v>0</v>
      </c>
      <c r="AJ307">
        <v>0</v>
      </c>
      <c r="AK307">
        <v>25357</v>
      </c>
      <c r="AL307">
        <v>0</v>
      </c>
      <c r="AM307">
        <v>11595.6</v>
      </c>
      <c r="AN307">
        <v>-2495.64</v>
      </c>
      <c r="AO307">
        <v>0</v>
      </c>
      <c r="AP307"/>
      <c r="AQ307">
        <v>0</v>
      </c>
      <c r="AR307">
        <v>0</v>
      </c>
      <c r="AS307">
        <v>11595.6</v>
      </c>
      <c r="AT307">
        <v>-2495.64</v>
      </c>
      <c r="AU307">
        <v>0</v>
      </c>
      <c r="AW307">
        <v>0</v>
      </c>
      <c r="AX307">
        <v>0</v>
      </c>
      <c r="AY307">
        <v>24119.88</v>
      </c>
      <c r="BC307" t="str">
        <f>T("9791137606234")</f>
        <v>9791137606234</v>
      </c>
      <c r="BE307" t="str">
        <f>T("판타지 e북 &gt; 게임 판타지")</f>
        <v>판타지 e북 &gt; 게임 판타지</v>
      </c>
    </row>
    <row r="308" spans="1:58" x14ac:dyDescent="0.3">
      <c r="A308">
        <v>2313021131</v>
      </c>
      <c r="B308">
        <v>2313021134</v>
      </c>
      <c r="C308" t="str">
        <f>T("[e북]신입사원이 이렇게 일을 잘했다고? 4권")</f>
        <v>[e북]신입사원이 이렇게 일을 잘했다고? 4권</v>
      </c>
      <c r="D308" t="str">
        <f>T("4")</f>
        <v>4</v>
      </c>
      <c r="E308" t="str">
        <f>T("왕십리글쟁이")</f>
        <v>왕십리글쟁이</v>
      </c>
      <c r="H308" t="str">
        <f t="shared" si="43"/>
        <v>스토리위즈</v>
      </c>
      <c r="I308" t="str">
        <f>T("[e북]신입사원이 이렇게 일을 잘했다고?")</f>
        <v>[e북]신입사원이 이렇게 일을 잘했다고?</v>
      </c>
      <c r="J308">
        <v>3200</v>
      </c>
      <c r="K308">
        <v>6400</v>
      </c>
      <c r="L308">
        <v>2</v>
      </c>
      <c r="M308">
        <v>0</v>
      </c>
      <c r="N308">
        <v>184860</v>
      </c>
      <c r="O308">
        <v>215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191260</v>
      </c>
      <c r="AH308">
        <v>217</v>
      </c>
      <c r="AI308">
        <v>0</v>
      </c>
      <c r="AJ308">
        <v>0</v>
      </c>
      <c r="AK308">
        <v>161989</v>
      </c>
      <c r="AL308">
        <v>0</v>
      </c>
      <c r="AM308">
        <v>35125.199999999997</v>
      </c>
      <c r="AN308">
        <v>-4745.88</v>
      </c>
      <c r="AO308">
        <v>0</v>
      </c>
      <c r="AP308">
        <v>1954.8</v>
      </c>
      <c r="AQ308">
        <v>-586.44000000000005</v>
      </c>
      <c r="AR308">
        <v>0</v>
      </c>
      <c r="AS308">
        <v>33170.400000000001</v>
      </c>
      <c r="AT308">
        <v>-4159.4399999999996</v>
      </c>
      <c r="AU308">
        <v>0</v>
      </c>
      <c r="AW308">
        <v>0</v>
      </c>
      <c r="AX308">
        <v>0</v>
      </c>
      <c r="AY308">
        <v>116061</v>
      </c>
      <c r="BC308" t="str">
        <f>T("9791198080035")</f>
        <v>9791198080035</v>
      </c>
      <c r="BE308" t="str">
        <f>T("판타지 e북 &gt; 현대 판타지")</f>
        <v>판타지 e북 &gt; 현대 판타지</v>
      </c>
    </row>
    <row r="309" spans="1:58" x14ac:dyDescent="0.3">
      <c r="A309">
        <v>2313020108</v>
      </c>
      <c r="B309">
        <v>2313020141</v>
      </c>
      <c r="C309" t="str">
        <f>T("아빠는 마교대장 34화")</f>
        <v>아빠는 마교대장 34화</v>
      </c>
      <c r="D309" t="str">
        <f>T("34")</f>
        <v>34</v>
      </c>
      <c r="E309" t="str">
        <f>T("구땡")</f>
        <v>구땡</v>
      </c>
      <c r="H309" t="str">
        <f t="shared" si="43"/>
        <v>스토리위즈</v>
      </c>
      <c r="I309" t="str">
        <f>T("아빠는 마교대장")</f>
        <v>아빠는 마교대장</v>
      </c>
      <c r="J309">
        <v>100</v>
      </c>
      <c r="K309">
        <v>6100</v>
      </c>
      <c r="L309">
        <v>61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6100</v>
      </c>
      <c r="AH309">
        <v>61</v>
      </c>
      <c r="AI309">
        <v>0</v>
      </c>
      <c r="AJ309">
        <v>0</v>
      </c>
      <c r="AK309">
        <v>5510</v>
      </c>
      <c r="AL309">
        <v>0</v>
      </c>
      <c r="AM309">
        <v>708</v>
      </c>
      <c r="AN309">
        <v>-190.8</v>
      </c>
      <c r="AO309">
        <v>0</v>
      </c>
      <c r="AP309"/>
      <c r="AQ309">
        <v>0</v>
      </c>
      <c r="AR309">
        <v>0</v>
      </c>
      <c r="AS309">
        <v>708</v>
      </c>
      <c r="AT309">
        <v>-190.8</v>
      </c>
      <c r="AU309">
        <v>0</v>
      </c>
      <c r="AW309">
        <v>0</v>
      </c>
      <c r="AX309">
        <v>0</v>
      </c>
      <c r="AY309">
        <v>4219.04</v>
      </c>
      <c r="BC309" t="str">
        <f>T("9791137602076")</f>
        <v>9791137602076</v>
      </c>
      <c r="BE309" t="str">
        <f>T("판타지 웹소설 &gt; 무협 소설")</f>
        <v>판타지 웹소설 &gt; 무협 소설</v>
      </c>
    </row>
    <row r="310" spans="1:58" x14ac:dyDescent="0.3">
      <c r="A310">
        <v>2313012805</v>
      </c>
      <c r="B310">
        <v>2313012812</v>
      </c>
      <c r="C310" t="str">
        <f>T("[e북]그라운드의 지배자 8권")</f>
        <v>[e북]그라운드의 지배자 8권</v>
      </c>
      <c r="D310" t="str">
        <f>T("8")</f>
        <v>8</v>
      </c>
      <c r="E310" t="str">
        <f>T("무장")</f>
        <v>무장</v>
      </c>
      <c r="H310" t="str">
        <f t="shared" si="43"/>
        <v>스토리위즈</v>
      </c>
      <c r="I310" t="str">
        <f>T("[e북]그라운드의 지배자")</f>
        <v>[e북]그라운드의 지배자</v>
      </c>
      <c r="J310">
        <v>3200</v>
      </c>
      <c r="K310">
        <v>6080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6080</v>
      </c>
      <c r="AH310">
        <v>2</v>
      </c>
      <c r="AI310">
        <v>0</v>
      </c>
      <c r="AJ310">
        <v>0</v>
      </c>
      <c r="AK310">
        <v>4219</v>
      </c>
      <c r="AL310">
        <v>0</v>
      </c>
      <c r="AM310">
        <v>2233.1999999999998</v>
      </c>
      <c r="AN310">
        <v>-223.32</v>
      </c>
      <c r="AO310">
        <v>0</v>
      </c>
      <c r="AP310"/>
      <c r="AQ310">
        <v>0</v>
      </c>
      <c r="AR310">
        <v>0</v>
      </c>
      <c r="AS310">
        <v>2233.1999999999998</v>
      </c>
      <c r="AT310">
        <v>-223.32</v>
      </c>
      <c r="AU310">
        <v>0</v>
      </c>
      <c r="AW310">
        <v>0</v>
      </c>
      <c r="AX310">
        <v>0</v>
      </c>
      <c r="AY310">
        <v>4360.22</v>
      </c>
      <c r="BA310" t="str">
        <f>T("9788928068869")</f>
        <v>9788928068869</v>
      </c>
      <c r="BC310" t="str">
        <f>T("9791137602557")</f>
        <v>9791137602557</v>
      </c>
      <c r="BE310" t="str">
        <f>T("판타지 e북 &gt; 스포츠물")</f>
        <v>판타지 e북 &gt; 스포츠물</v>
      </c>
    </row>
    <row r="311" spans="1:58" x14ac:dyDescent="0.3">
      <c r="A311">
        <v>2313012805</v>
      </c>
      <c r="B311">
        <v>2313012813</v>
      </c>
      <c r="C311" t="str">
        <f>T("[e북]그라운드의 지배자 9권")</f>
        <v>[e북]그라운드의 지배자 9권</v>
      </c>
      <c r="D311" t="str">
        <f>T("9")</f>
        <v>9</v>
      </c>
      <c r="E311" t="str">
        <f>T("무장")</f>
        <v>무장</v>
      </c>
      <c r="H311" t="str">
        <f t="shared" si="43"/>
        <v>스토리위즈</v>
      </c>
      <c r="I311" t="str">
        <f>T("[e북]그라운드의 지배자")</f>
        <v>[e북]그라운드의 지배자</v>
      </c>
      <c r="J311">
        <v>3200</v>
      </c>
      <c r="K311">
        <v>6080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6080</v>
      </c>
      <c r="AH311">
        <v>2</v>
      </c>
      <c r="AI311">
        <v>0</v>
      </c>
      <c r="AJ311">
        <v>0</v>
      </c>
      <c r="AK311">
        <v>4219</v>
      </c>
      <c r="AL311">
        <v>0</v>
      </c>
      <c r="AM311">
        <v>2233.1999999999998</v>
      </c>
      <c r="AN311">
        <v>-223.32</v>
      </c>
      <c r="AO311">
        <v>0</v>
      </c>
      <c r="AP311"/>
      <c r="AQ311">
        <v>0</v>
      </c>
      <c r="AR311">
        <v>0</v>
      </c>
      <c r="AS311">
        <v>2233.1999999999998</v>
      </c>
      <c r="AT311">
        <v>-223.32</v>
      </c>
      <c r="AU311">
        <v>0</v>
      </c>
      <c r="AW311">
        <v>0</v>
      </c>
      <c r="AX311">
        <v>0</v>
      </c>
      <c r="AY311">
        <v>4360.22</v>
      </c>
      <c r="BA311" t="str">
        <f>T("9788928069378")</f>
        <v>9788928069378</v>
      </c>
      <c r="BC311" t="str">
        <f>T("9791137602564")</f>
        <v>9791137602564</v>
      </c>
      <c r="BE311" t="str">
        <f>T("판타지 e북 &gt; 스포츠물")</f>
        <v>판타지 e북 &gt; 스포츠물</v>
      </c>
    </row>
    <row r="312" spans="1:58" x14ac:dyDescent="0.3">
      <c r="A312">
        <v>2313012805</v>
      </c>
      <c r="B312">
        <v>2313012814</v>
      </c>
      <c r="C312" t="str">
        <f>T("[e북]그라운드의 지배자 10권")</f>
        <v>[e북]그라운드의 지배자 10권</v>
      </c>
      <c r="D312" t="str">
        <f>T("10")</f>
        <v>10</v>
      </c>
      <c r="E312" t="str">
        <f>T("무장")</f>
        <v>무장</v>
      </c>
      <c r="H312" t="str">
        <f t="shared" si="43"/>
        <v>스토리위즈</v>
      </c>
      <c r="I312" t="str">
        <f>T("[e북]그라운드의 지배자")</f>
        <v>[e북]그라운드의 지배자</v>
      </c>
      <c r="J312">
        <v>3200</v>
      </c>
      <c r="K312">
        <v>6080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6080</v>
      </c>
      <c r="AH312">
        <v>2</v>
      </c>
      <c r="AI312">
        <v>0</v>
      </c>
      <c r="AJ312">
        <v>0</v>
      </c>
      <c r="AK312">
        <v>4219</v>
      </c>
      <c r="AL312">
        <v>0</v>
      </c>
      <c r="AM312">
        <v>2233.1999999999998</v>
      </c>
      <c r="AN312">
        <v>-223.32</v>
      </c>
      <c r="AO312">
        <v>0</v>
      </c>
      <c r="AP312"/>
      <c r="AQ312">
        <v>0</v>
      </c>
      <c r="AR312">
        <v>0</v>
      </c>
      <c r="AS312">
        <v>2233.1999999999998</v>
      </c>
      <c r="AT312">
        <v>-223.32</v>
      </c>
      <c r="AU312">
        <v>0</v>
      </c>
      <c r="AW312">
        <v>0</v>
      </c>
      <c r="AX312">
        <v>0</v>
      </c>
      <c r="AY312">
        <v>4360.22</v>
      </c>
      <c r="BA312" t="str">
        <f>T("9788928069798")</f>
        <v>9788928069798</v>
      </c>
      <c r="BC312" t="str">
        <f>T("9791137602571")</f>
        <v>9791137602571</v>
      </c>
      <c r="BE312" t="str">
        <f>T("판타지 e북 &gt; 스포츠물")</f>
        <v>판타지 e북 &gt; 스포츠물</v>
      </c>
    </row>
    <row r="313" spans="1:58" x14ac:dyDescent="0.3">
      <c r="A313">
        <v>2313012805</v>
      </c>
      <c r="B313">
        <v>2313012815</v>
      </c>
      <c r="C313" t="str">
        <f>T("[e북]그라운드의 지배자 11권")</f>
        <v>[e북]그라운드의 지배자 11권</v>
      </c>
      <c r="D313" t="str">
        <f>T("11")</f>
        <v>11</v>
      </c>
      <c r="E313" t="str">
        <f>T("무장")</f>
        <v>무장</v>
      </c>
      <c r="H313" t="str">
        <f t="shared" si="43"/>
        <v>스토리위즈</v>
      </c>
      <c r="I313" t="str">
        <f>T("[e북]그라운드의 지배자")</f>
        <v>[e북]그라운드의 지배자</v>
      </c>
      <c r="J313">
        <v>3200</v>
      </c>
      <c r="K313">
        <v>6080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6080</v>
      </c>
      <c r="AH313">
        <v>2</v>
      </c>
      <c r="AI313">
        <v>0</v>
      </c>
      <c r="AJ313">
        <v>0</v>
      </c>
      <c r="AK313">
        <v>4219</v>
      </c>
      <c r="AL313">
        <v>0</v>
      </c>
      <c r="AM313">
        <v>2233.1999999999998</v>
      </c>
      <c r="AN313">
        <v>-223.32</v>
      </c>
      <c r="AO313">
        <v>0</v>
      </c>
      <c r="AP313"/>
      <c r="AQ313">
        <v>0</v>
      </c>
      <c r="AR313">
        <v>0</v>
      </c>
      <c r="AS313">
        <v>2233.1999999999998</v>
      </c>
      <c r="AT313">
        <v>-223.32</v>
      </c>
      <c r="AU313">
        <v>0</v>
      </c>
      <c r="AW313">
        <v>0</v>
      </c>
      <c r="AX313">
        <v>0</v>
      </c>
      <c r="AY313">
        <v>4360.22</v>
      </c>
      <c r="BA313" t="str">
        <f>T("9788928070787")</f>
        <v>9788928070787</v>
      </c>
      <c r="BC313" t="str">
        <f>T("9791137602588")</f>
        <v>9791137602588</v>
      </c>
      <c r="BE313" t="str">
        <f>T("판타지 e북 &gt; 스포츠물")</f>
        <v>판타지 e북 &gt; 스포츠물</v>
      </c>
    </row>
    <row r="314" spans="1:58" x14ac:dyDescent="0.3">
      <c r="A314">
        <v>2313012805</v>
      </c>
      <c r="B314">
        <v>2313012816</v>
      </c>
      <c r="C314" t="str">
        <f>T("[e북]그라운드의 지배자 12권 (완결)")</f>
        <v>[e북]그라운드의 지배자 12권 (완결)</v>
      </c>
      <c r="D314" t="str">
        <f>T("12")</f>
        <v>12</v>
      </c>
      <c r="E314" t="str">
        <f>T("무장")</f>
        <v>무장</v>
      </c>
      <c r="H314" t="str">
        <f t="shared" si="43"/>
        <v>스토리위즈</v>
      </c>
      <c r="I314" t="str">
        <f>T("[e북]그라운드의 지배자")</f>
        <v>[e북]그라운드의 지배자</v>
      </c>
      <c r="J314">
        <v>3200</v>
      </c>
      <c r="K314">
        <v>6080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6080</v>
      </c>
      <c r="AH314">
        <v>2</v>
      </c>
      <c r="AI314">
        <v>0</v>
      </c>
      <c r="AJ314">
        <v>0</v>
      </c>
      <c r="AK314">
        <v>4219</v>
      </c>
      <c r="AL314">
        <v>0</v>
      </c>
      <c r="AM314">
        <v>2233.1999999999998</v>
      </c>
      <c r="AN314">
        <v>-223.32</v>
      </c>
      <c r="AO314">
        <v>0</v>
      </c>
      <c r="AP314"/>
      <c r="AQ314">
        <v>0</v>
      </c>
      <c r="AR314">
        <v>0</v>
      </c>
      <c r="AS314">
        <v>2233.1999999999998</v>
      </c>
      <c r="AT314">
        <v>-223.32</v>
      </c>
      <c r="AU314">
        <v>0</v>
      </c>
      <c r="AW314">
        <v>0</v>
      </c>
      <c r="AX314">
        <v>0</v>
      </c>
      <c r="AY314">
        <v>4360.22</v>
      </c>
      <c r="BA314" t="str">
        <f>T("9788928071722")</f>
        <v>9788928071722</v>
      </c>
      <c r="BC314" t="str">
        <f>T("9791137602595")</f>
        <v>9791137602595</v>
      </c>
      <c r="BE314" t="str">
        <f>T("판타지 e북 &gt; 스포츠물")</f>
        <v>판타지 e북 &gt; 스포츠물</v>
      </c>
    </row>
    <row r="315" spans="1:58" x14ac:dyDescent="0.3">
      <c r="A315">
        <v>2313016841</v>
      </c>
      <c r="B315">
        <v>2313016840</v>
      </c>
      <c r="C315" t="str">
        <f>T("[e북]꽃잎, 흩날리는 2권")</f>
        <v>[e북]꽃잎, 흩날리는 2권</v>
      </c>
      <c r="D315" t="str">
        <f>T("2")</f>
        <v>2</v>
      </c>
      <c r="E315" t="str">
        <f>T("마용출")</f>
        <v>마용출</v>
      </c>
      <c r="H315" t="str">
        <f>T("도서출판 태랑")</f>
        <v>도서출판 태랑</v>
      </c>
      <c r="I315" t="str">
        <f>T("[e북]꽃잎, 흩날리는")</f>
        <v>[e북]꽃잎, 흩날리는</v>
      </c>
      <c r="J315">
        <v>3000</v>
      </c>
      <c r="K315">
        <v>6000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6000</v>
      </c>
      <c r="AH315">
        <v>2</v>
      </c>
      <c r="AI315">
        <v>0</v>
      </c>
      <c r="AJ315">
        <v>0</v>
      </c>
      <c r="AK315">
        <v>6000</v>
      </c>
      <c r="AL315">
        <v>0</v>
      </c>
      <c r="AM315">
        <v>0</v>
      </c>
      <c r="AN315">
        <v>0</v>
      </c>
      <c r="AO315">
        <v>0</v>
      </c>
      <c r="AP315"/>
      <c r="AQ315">
        <v>0</v>
      </c>
      <c r="AR315">
        <v>0</v>
      </c>
      <c r="AT315">
        <v>0</v>
      </c>
      <c r="AU315">
        <v>0</v>
      </c>
      <c r="AW315">
        <v>0</v>
      </c>
      <c r="AX315">
        <v>0</v>
      </c>
      <c r="AY315">
        <v>4200</v>
      </c>
      <c r="BC315" t="str">
        <f>T("9791164374823")</f>
        <v>9791164374823</v>
      </c>
      <c r="BE315" t="str">
        <f>T("BL 소설 e북 &gt; 역사/시대물")</f>
        <v>BL 소설 e북 &gt; 역사/시대물</v>
      </c>
    </row>
    <row r="316" spans="1:58" x14ac:dyDescent="0.3">
      <c r="A316">
        <v>2313017148</v>
      </c>
      <c r="B316">
        <v>2313017146</v>
      </c>
      <c r="C316" t="str">
        <f>T("[e북]비서의 유혹 3권 (완결)")</f>
        <v>[e북]비서의 유혹 3권 (완결)</v>
      </c>
      <c r="D316" t="str">
        <f>T("3")</f>
        <v>3</v>
      </c>
      <c r="E316" t="str">
        <f>T("밈스")</f>
        <v>밈스</v>
      </c>
      <c r="H316" t="str">
        <f>T("도서출판 태랑")</f>
        <v>도서출판 태랑</v>
      </c>
      <c r="I316" t="str">
        <f>T("[e북]비서의 유혹")</f>
        <v>[e북]비서의 유혹</v>
      </c>
      <c r="J316">
        <v>3000</v>
      </c>
      <c r="K316">
        <v>6000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6000</v>
      </c>
      <c r="AH316">
        <v>2</v>
      </c>
      <c r="AI316">
        <v>0</v>
      </c>
      <c r="AJ316">
        <v>0</v>
      </c>
      <c r="AK316">
        <v>6000</v>
      </c>
      <c r="AL316">
        <v>0</v>
      </c>
      <c r="AM316">
        <v>0</v>
      </c>
      <c r="AN316">
        <v>0</v>
      </c>
      <c r="AO316">
        <v>0</v>
      </c>
      <c r="AP316"/>
      <c r="AQ316">
        <v>0</v>
      </c>
      <c r="AR316">
        <v>0</v>
      </c>
      <c r="AT316">
        <v>0</v>
      </c>
      <c r="AU316">
        <v>0</v>
      </c>
      <c r="AW316">
        <v>0</v>
      </c>
      <c r="AX316">
        <v>0</v>
      </c>
      <c r="AY316">
        <v>4200</v>
      </c>
      <c r="BC316" t="str">
        <f>T("9791189084462")</f>
        <v>9791189084462</v>
      </c>
      <c r="BE316" t="str">
        <f>T("로맨스 e북 &gt; 현대물")</f>
        <v>로맨스 e북 &gt; 현대물</v>
      </c>
      <c r="BF316" t="str">
        <f>T("로맨스 e북 &gt; 19+")</f>
        <v>로맨스 e북 &gt; 19+</v>
      </c>
    </row>
    <row r="317" spans="1:58" x14ac:dyDescent="0.3">
      <c r="A317">
        <v>2313017148</v>
      </c>
      <c r="B317">
        <v>2313017148</v>
      </c>
      <c r="C317" t="str">
        <f>T("[e북]비서의 유혹 1권")</f>
        <v>[e북]비서의 유혹 1권</v>
      </c>
      <c r="D317" t="str">
        <f>T("1")</f>
        <v>1</v>
      </c>
      <c r="E317" t="str">
        <f>T("밈스")</f>
        <v>밈스</v>
      </c>
      <c r="H317" t="str">
        <f>T("도서출판 태랑")</f>
        <v>도서출판 태랑</v>
      </c>
      <c r="I317" t="str">
        <f>T("[e북]비서의 유혹")</f>
        <v>[e북]비서의 유혹</v>
      </c>
      <c r="J317">
        <v>3000</v>
      </c>
      <c r="K317">
        <v>6000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6000</v>
      </c>
      <c r="AH317">
        <v>2</v>
      </c>
      <c r="AI317">
        <v>0</v>
      </c>
      <c r="AJ317">
        <v>0</v>
      </c>
      <c r="AK317">
        <v>6000</v>
      </c>
      <c r="AL317">
        <v>0</v>
      </c>
      <c r="AM317">
        <v>0</v>
      </c>
      <c r="AN317">
        <v>0</v>
      </c>
      <c r="AO317">
        <v>0</v>
      </c>
      <c r="AP317"/>
      <c r="AQ317">
        <v>0</v>
      </c>
      <c r="AR317">
        <v>0</v>
      </c>
      <c r="AT317">
        <v>0</v>
      </c>
      <c r="AU317">
        <v>0</v>
      </c>
      <c r="AW317">
        <v>0</v>
      </c>
      <c r="AX317">
        <v>0</v>
      </c>
      <c r="AY317">
        <v>4200</v>
      </c>
      <c r="BC317" t="str">
        <f>T("9791189084448")</f>
        <v>9791189084448</v>
      </c>
      <c r="BE317" t="str">
        <f>T("로맨스 e북 &gt; 현대물")</f>
        <v>로맨스 e북 &gt; 현대물</v>
      </c>
      <c r="BF317" t="str">
        <f>T("로맨스 e북 &gt; 19+")</f>
        <v>로맨스 e북 &gt; 19+</v>
      </c>
    </row>
    <row r="318" spans="1:58" x14ac:dyDescent="0.3">
      <c r="A318">
        <v>2313020108</v>
      </c>
      <c r="B318">
        <v>2313020140</v>
      </c>
      <c r="C318" t="str">
        <f>T("아빠는 마교대장 33화")</f>
        <v>아빠는 마교대장 33화</v>
      </c>
      <c r="D318" t="str">
        <f>T("33")</f>
        <v>33</v>
      </c>
      <c r="E318" t="str">
        <f>T("구땡")</f>
        <v>구땡</v>
      </c>
      <c r="H318" t="str">
        <f>T("스토리위즈")</f>
        <v>스토리위즈</v>
      </c>
      <c r="I318" t="str">
        <f>T("아빠는 마교대장")</f>
        <v>아빠는 마교대장</v>
      </c>
      <c r="J318">
        <v>100</v>
      </c>
      <c r="K318">
        <v>6000</v>
      </c>
      <c r="L318">
        <v>60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6000</v>
      </c>
      <c r="AH318">
        <v>60</v>
      </c>
      <c r="AI318">
        <v>0</v>
      </c>
      <c r="AJ318">
        <v>0</v>
      </c>
      <c r="AK318">
        <v>5410</v>
      </c>
      <c r="AL318">
        <v>0</v>
      </c>
      <c r="AM318">
        <v>708</v>
      </c>
      <c r="AN318">
        <v>-190.8</v>
      </c>
      <c r="AO318">
        <v>0</v>
      </c>
      <c r="AP318"/>
      <c r="AQ318">
        <v>0</v>
      </c>
      <c r="AR318">
        <v>0</v>
      </c>
      <c r="AS318">
        <v>708</v>
      </c>
      <c r="AT318">
        <v>-190.8</v>
      </c>
      <c r="AU318">
        <v>0</v>
      </c>
      <c r="AW318">
        <v>0</v>
      </c>
      <c r="AX318">
        <v>0</v>
      </c>
      <c r="AY318">
        <v>4149.04</v>
      </c>
      <c r="BC318" t="str">
        <f>T("9791137602076")</f>
        <v>9791137602076</v>
      </c>
      <c r="BE318" t="str">
        <f>T("판타지 웹소설 &gt; 무협 소설")</f>
        <v>판타지 웹소설 &gt; 무협 소설</v>
      </c>
    </row>
    <row r="319" spans="1:58" x14ac:dyDescent="0.3">
      <c r="A319">
        <v>2313020108</v>
      </c>
      <c r="B319">
        <v>2313020142</v>
      </c>
      <c r="C319" t="str">
        <f>T("아빠는 마교대장 35화")</f>
        <v>아빠는 마교대장 35화</v>
      </c>
      <c r="D319" t="str">
        <f>T("35")</f>
        <v>35</v>
      </c>
      <c r="E319" t="str">
        <f>T("구땡")</f>
        <v>구땡</v>
      </c>
      <c r="H319" t="str">
        <f>T("스토리위즈")</f>
        <v>스토리위즈</v>
      </c>
      <c r="I319" t="str">
        <f>T("아빠는 마교대장")</f>
        <v>아빠는 마교대장</v>
      </c>
      <c r="J319">
        <v>100</v>
      </c>
      <c r="K319">
        <v>5900</v>
      </c>
      <c r="L319">
        <v>59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5900</v>
      </c>
      <c r="AH319">
        <v>59</v>
      </c>
      <c r="AI319">
        <v>0</v>
      </c>
      <c r="AJ319">
        <v>0</v>
      </c>
      <c r="AK319">
        <v>5380</v>
      </c>
      <c r="AL319">
        <v>0</v>
      </c>
      <c r="AM319">
        <v>624</v>
      </c>
      <c r="AN319">
        <v>-165.6</v>
      </c>
      <c r="AO319">
        <v>0</v>
      </c>
      <c r="AP319"/>
      <c r="AQ319">
        <v>0</v>
      </c>
      <c r="AR319">
        <v>0</v>
      </c>
      <c r="AS319">
        <v>624</v>
      </c>
      <c r="AT319">
        <v>-165.6</v>
      </c>
      <c r="AU319">
        <v>0</v>
      </c>
      <c r="AW319">
        <v>0</v>
      </c>
      <c r="AX319">
        <v>0</v>
      </c>
      <c r="AY319">
        <v>4086.88</v>
      </c>
      <c r="BC319" t="str">
        <f>T("9791137602076")</f>
        <v>9791137602076</v>
      </c>
      <c r="BE319" t="str">
        <f>T("판타지 웹소설 &gt; 무협 소설")</f>
        <v>판타지 웹소설 &gt; 무협 소설</v>
      </c>
    </row>
    <row r="320" spans="1:58" x14ac:dyDescent="0.3">
      <c r="A320">
        <v>2313016851</v>
      </c>
      <c r="B320">
        <v>2313016850</v>
      </c>
      <c r="C320" t="str">
        <f>T("[e북]어쩌다 계약 아내 (외전증보판) 2권")</f>
        <v>[e북]어쩌다 계약 아내 (외전증보판) 2권</v>
      </c>
      <c r="D320" t="str">
        <f>T("2")</f>
        <v>2</v>
      </c>
      <c r="E320" t="str">
        <f>T("아슈크림")</f>
        <v>아슈크림</v>
      </c>
      <c r="H320" t="str">
        <f>T("도서출판 태랑")</f>
        <v>도서출판 태랑</v>
      </c>
      <c r="I320" t="str">
        <f>T("[e북]어쩌다 계약 아내 (외전증보판)")</f>
        <v>[e북]어쩌다 계약 아내 (외전증보판)</v>
      </c>
      <c r="J320">
        <v>2800</v>
      </c>
      <c r="K320">
        <v>5600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5600</v>
      </c>
      <c r="AH320">
        <v>2</v>
      </c>
      <c r="AI320">
        <v>0</v>
      </c>
      <c r="AJ320">
        <v>0</v>
      </c>
      <c r="AK320">
        <v>2800</v>
      </c>
      <c r="AL320">
        <v>0</v>
      </c>
      <c r="AM320">
        <v>3360</v>
      </c>
      <c r="AN320">
        <v>-1008</v>
      </c>
      <c r="AO320">
        <v>0</v>
      </c>
      <c r="AP320">
        <v>3360</v>
      </c>
      <c r="AQ320">
        <v>-1008</v>
      </c>
      <c r="AR320">
        <v>0</v>
      </c>
      <c r="AT320">
        <v>0</v>
      </c>
      <c r="AU320">
        <v>0</v>
      </c>
      <c r="AW320">
        <v>0</v>
      </c>
      <c r="AX320">
        <v>0</v>
      </c>
      <c r="AY320">
        <v>3606.4</v>
      </c>
      <c r="BC320" t="str">
        <f>T("9791164374540")</f>
        <v>9791164374540</v>
      </c>
      <c r="BE320" t="str">
        <f>T("로맨스 e북 &gt; 현대물")</f>
        <v>로맨스 e북 &gt; 현대물</v>
      </c>
    </row>
    <row r="321" spans="1:58" x14ac:dyDescent="0.3">
      <c r="A321">
        <v>2313016851</v>
      </c>
      <c r="B321">
        <v>2313016851</v>
      </c>
      <c r="C321" t="str">
        <f>T("[e북]어쩌다 계약 아내 (외전증보판) 1권")</f>
        <v>[e북]어쩌다 계약 아내 (외전증보판) 1권</v>
      </c>
      <c r="D321" t="str">
        <f>T("1")</f>
        <v>1</v>
      </c>
      <c r="E321" t="str">
        <f>T("아슈크림")</f>
        <v>아슈크림</v>
      </c>
      <c r="H321" t="str">
        <f>T("도서출판 태랑")</f>
        <v>도서출판 태랑</v>
      </c>
      <c r="I321" t="str">
        <f>T("[e북]어쩌다 계약 아내 (외전증보판)")</f>
        <v>[e북]어쩌다 계약 아내 (외전증보판)</v>
      </c>
      <c r="J321">
        <v>2800</v>
      </c>
      <c r="K321">
        <v>5600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5600</v>
      </c>
      <c r="AH321">
        <v>2</v>
      </c>
      <c r="AI321">
        <v>0</v>
      </c>
      <c r="AJ321">
        <v>0</v>
      </c>
      <c r="AK321">
        <v>2800</v>
      </c>
      <c r="AL321">
        <v>0</v>
      </c>
      <c r="AM321">
        <v>3360</v>
      </c>
      <c r="AN321">
        <v>-1008</v>
      </c>
      <c r="AO321">
        <v>0</v>
      </c>
      <c r="AP321">
        <v>3360</v>
      </c>
      <c r="AQ321">
        <v>-1008</v>
      </c>
      <c r="AR321">
        <v>0</v>
      </c>
      <c r="AT321">
        <v>0</v>
      </c>
      <c r="AU321">
        <v>0</v>
      </c>
      <c r="AW321">
        <v>0</v>
      </c>
      <c r="AX321">
        <v>0</v>
      </c>
      <c r="AY321">
        <v>3606.4</v>
      </c>
      <c r="BC321" t="str">
        <f>T("9791164374533")</f>
        <v>9791164374533</v>
      </c>
      <c r="BE321" t="str">
        <f>T("로맨스 e북 &gt; 현대물")</f>
        <v>로맨스 e북 &gt; 현대물</v>
      </c>
    </row>
    <row r="322" spans="1:58" x14ac:dyDescent="0.3">
      <c r="A322">
        <v>2313017011</v>
      </c>
      <c r="B322">
        <v>2313017011</v>
      </c>
      <c r="C322" t="str">
        <f>T("[e북]친구의 고백 (외전증보판) 1권")</f>
        <v>[e북]친구의 고백 (외전증보판) 1권</v>
      </c>
      <c r="D322" t="str">
        <f>T("1")</f>
        <v>1</v>
      </c>
      <c r="E322" t="str">
        <f>T("빵양이")</f>
        <v>빵양이</v>
      </c>
      <c r="H322" t="str">
        <f>T("도서출판 태랑")</f>
        <v>도서출판 태랑</v>
      </c>
      <c r="I322" t="str">
        <f>T("[e북]친구의 고백 (외전증보판)")</f>
        <v>[e북]친구의 고백 (외전증보판)</v>
      </c>
      <c r="J322">
        <v>2800</v>
      </c>
      <c r="K322">
        <v>5600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5600</v>
      </c>
      <c r="AH322">
        <v>2</v>
      </c>
      <c r="AI322">
        <v>0</v>
      </c>
      <c r="AJ322">
        <v>0</v>
      </c>
      <c r="AK322">
        <v>5600</v>
      </c>
      <c r="AL322">
        <v>0</v>
      </c>
      <c r="AM322">
        <v>0</v>
      </c>
      <c r="AN322">
        <v>0</v>
      </c>
      <c r="AO322">
        <v>0</v>
      </c>
      <c r="AP322"/>
      <c r="AQ322">
        <v>0</v>
      </c>
      <c r="AR322">
        <v>0</v>
      </c>
      <c r="AT322">
        <v>0</v>
      </c>
      <c r="AU322">
        <v>0</v>
      </c>
      <c r="AW322">
        <v>0</v>
      </c>
      <c r="AX322">
        <v>0</v>
      </c>
      <c r="AY322">
        <v>3920</v>
      </c>
      <c r="BC322" t="str">
        <f>T("9791164371594")</f>
        <v>9791164371594</v>
      </c>
      <c r="BE322" t="str">
        <f>T("로맨스 e북 &gt; 현대물")</f>
        <v>로맨스 e북 &gt; 현대물</v>
      </c>
      <c r="BF322" t="str">
        <f>T("로맨스 e북 &gt; 19+")</f>
        <v>로맨스 e북 &gt; 19+</v>
      </c>
    </row>
    <row r="323" spans="1:58" x14ac:dyDescent="0.3">
      <c r="A323">
        <v>2313020108</v>
      </c>
      <c r="B323">
        <v>2313020143</v>
      </c>
      <c r="C323" t="str">
        <f>T("아빠는 마교대장 36화")</f>
        <v>아빠는 마교대장 36화</v>
      </c>
      <c r="D323" t="str">
        <f>T("36")</f>
        <v>36</v>
      </c>
      <c r="E323" t="str">
        <f>T("구땡")</f>
        <v>구땡</v>
      </c>
      <c r="H323" t="str">
        <f>T("스토리위즈")</f>
        <v>스토리위즈</v>
      </c>
      <c r="I323" t="str">
        <f>T("아빠는 마교대장")</f>
        <v>아빠는 마교대장</v>
      </c>
      <c r="J323">
        <v>100</v>
      </c>
      <c r="K323">
        <v>5600</v>
      </c>
      <c r="L323">
        <v>56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5600</v>
      </c>
      <c r="AH323">
        <v>56</v>
      </c>
      <c r="AI323">
        <v>0</v>
      </c>
      <c r="AJ323">
        <v>0</v>
      </c>
      <c r="AK323">
        <v>5010</v>
      </c>
      <c r="AL323">
        <v>0</v>
      </c>
      <c r="AM323">
        <v>708</v>
      </c>
      <c r="AN323">
        <v>-190.8</v>
      </c>
      <c r="AO323">
        <v>0</v>
      </c>
      <c r="AP323"/>
      <c r="AQ323">
        <v>0</v>
      </c>
      <c r="AR323">
        <v>0</v>
      </c>
      <c r="AS323">
        <v>708</v>
      </c>
      <c r="AT323">
        <v>-190.8</v>
      </c>
      <c r="AU323">
        <v>0</v>
      </c>
      <c r="AW323">
        <v>0</v>
      </c>
      <c r="AX323">
        <v>0</v>
      </c>
      <c r="AY323">
        <v>3869.04</v>
      </c>
      <c r="BC323" t="str">
        <f>T("9791137602076")</f>
        <v>9791137602076</v>
      </c>
      <c r="BE323" t="str">
        <f>T("판타지 웹소설 &gt; 무협 소설")</f>
        <v>판타지 웹소설 &gt; 무협 소설</v>
      </c>
    </row>
    <row r="324" spans="1:58" x14ac:dyDescent="0.3">
      <c r="A324">
        <v>2313020582</v>
      </c>
      <c r="B324">
        <v>2313020583</v>
      </c>
      <c r="C324" t="str">
        <f>T("[e북]늑대가문의 신부 2권")</f>
        <v>[e북]늑대가문의 신부 2권</v>
      </c>
      <c r="D324" t="str">
        <f>T("2")</f>
        <v>2</v>
      </c>
      <c r="E324" t="str">
        <f>T("김정연")</f>
        <v>김정연</v>
      </c>
      <c r="H324" t="str">
        <f>T("블레슈(Blesshuu)")</f>
        <v>블레슈(Blesshuu)</v>
      </c>
      <c r="I324" t="str">
        <f>T("[e북]늑대가문의 신부")</f>
        <v>[e북]늑대가문의 신부</v>
      </c>
      <c r="J324">
        <v>2700</v>
      </c>
      <c r="K324">
        <v>5400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5400</v>
      </c>
      <c r="AH324">
        <v>2</v>
      </c>
      <c r="AI324">
        <v>0</v>
      </c>
      <c r="AJ324">
        <v>0</v>
      </c>
      <c r="AK324">
        <v>2700</v>
      </c>
      <c r="AL324">
        <v>0</v>
      </c>
      <c r="AM324">
        <v>3240</v>
      </c>
      <c r="AN324">
        <v>-972</v>
      </c>
      <c r="AO324">
        <v>0</v>
      </c>
      <c r="AP324">
        <v>3240</v>
      </c>
      <c r="AQ324">
        <v>-972</v>
      </c>
      <c r="AR324">
        <v>0</v>
      </c>
      <c r="AT324">
        <v>0</v>
      </c>
      <c r="AU324">
        <v>0</v>
      </c>
      <c r="AW324">
        <v>0</v>
      </c>
      <c r="AX324">
        <v>0</v>
      </c>
      <c r="AY324">
        <v>3477.6</v>
      </c>
      <c r="BC324" t="str">
        <f>T("9791137607668")</f>
        <v>9791137607668</v>
      </c>
      <c r="BE324" t="str">
        <f>T("로맨스 e북 &gt; 역사/시대물")</f>
        <v>로맨스 e북 &gt; 역사/시대물</v>
      </c>
    </row>
    <row r="325" spans="1:58" x14ac:dyDescent="0.3">
      <c r="B325">
        <v>2313017154</v>
      </c>
      <c r="C325" t="str">
        <f>T("[e북]사냥 (외전증보 삽화본)")</f>
        <v>[e북]사냥 (외전증보 삽화본)</v>
      </c>
      <c r="E325" t="str">
        <f>T("블랙커피")</f>
        <v>블랙커피</v>
      </c>
      <c r="H325" t="str">
        <f>T("도서출판 태랑")</f>
        <v>도서출판 태랑</v>
      </c>
      <c r="J325">
        <v>5100</v>
      </c>
      <c r="K325">
        <v>5100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5100</v>
      </c>
      <c r="AH325">
        <v>1</v>
      </c>
      <c r="AI325">
        <v>0</v>
      </c>
      <c r="AJ325">
        <v>0</v>
      </c>
      <c r="AK325">
        <v>5100</v>
      </c>
      <c r="AL325">
        <v>0</v>
      </c>
      <c r="AM325">
        <v>0</v>
      </c>
      <c r="AN325">
        <v>0</v>
      </c>
      <c r="AO325">
        <v>0</v>
      </c>
      <c r="AP325"/>
      <c r="AQ325">
        <v>0</v>
      </c>
      <c r="AR325">
        <v>0</v>
      </c>
      <c r="AT325">
        <v>0</v>
      </c>
      <c r="AU325">
        <v>0</v>
      </c>
      <c r="AW325">
        <v>0</v>
      </c>
      <c r="AX325">
        <v>0</v>
      </c>
      <c r="AY325">
        <v>3570</v>
      </c>
      <c r="BC325" t="str">
        <f>T("9791189084196")</f>
        <v>9791189084196</v>
      </c>
      <c r="BE325" t="str">
        <f>T("로맨스 e북 &gt; 현대물")</f>
        <v>로맨스 e북 &gt; 현대물</v>
      </c>
      <c r="BF325" t="str">
        <f>T("로맨스 e북 &gt; 19+")</f>
        <v>로맨스 e북 &gt; 19+</v>
      </c>
    </row>
    <row r="326" spans="1:58" x14ac:dyDescent="0.3">
      <c r="A326">
        <v>2313020108</v>
      </c>
      <c r="B326">
        <v>2313020144</v>
      </c>
      <c r="C326" t="str">
        <f>T("아빠는 마교대장 37화")</f>
        <v>아빠는 마교대장 37화</v>
      </c>
      <c r="D326" t="str">
        <f>T("37")</f>
        <v>37</v>
      </c>
      <c r="E326" t="str">
        <f>T("구땡")</f>
        <v>구땡</v>
      </c>
      <c r="H326" t="str">
        <f>T("스토리위즈")</f>
        <v>스토리위즈</v>
      </c>
      <c r="I326" t="str">
        <f>T("아빠는 마교대장")</f>
        <v>아빠는 마교대장</v>
      </c>
      <c r="J326">
        <v>100</v>
      </c>
      <c r="K326">
        <v>5100</v>
      </c>
      <c r="L326">
        <v>51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5100</v>
      </c>
      <c r="AH326">
        <v>51</v>
      </c>
      <c r="AI326">
        <v>0</v>
      </c>
      <c r="AJ326">
        <v>0</v>
      </c>
      <c r="AK326">
        <v>4610</v>
      </c>
      <c r="AL326">
        <v>0</v>
      </c>
      <c r="AM326">
        <v>588</v>
      </c>
      <c r="AN326">
        <v>-154.80000000000001</v>
      </c>
      <c r="AO326">
        <v>0</v>
      </c>
      <c r="AP326"/>
      <c r="AQ326">
        <v>0</v>
      </c>
      <c r="AR326">
        <v>0</v>
      </c>
      <c r="AS326">
        <v>588</v>
      </c>
      <c r="AT326">
        <v>-154.80000000000001</v>
      </c>
      <c r="AU326">
        <v>0</v>
      </c>
      <c r="AW326">
        <v>0</v>
      </c>
      <c r="AX326">
        <v>0</v>
      </c>
      <c r="AY326">
        <v>3530.24</v>
      </c>
      <c r="BC326" t="str">
        <f>T("9791137602076")</f>
        <v>9791137602076</v>
      </c>
      <c r="BE326" t="str">
        <f>T("판타지 웹소설 &gt; 무협 소설")</f>
        <v>판타지 웹소설 &gt; 무협 소설</v>
      </c>
    </row>
    <row r="327" spans="1:58" x14ac:dyDescent="0.3">
      <c r="A327">
        <v>2313016854</v>
      </c>
      <c r="B327">
        <v>2313016853</v>
      </c>
      <c r="C327" t="str">
        <f>T("[e북]뜨거운 항해 (외전증보판) 2권 (완결)")</f>
        <v>[e북]뜨거운 항해 (외전증보판) 2권 (완결)</v>
      </c>
      <c r="D327" t="str">
        <f>T("2")</f>
        <v>2</v>
      </c>
      <c r="E327" t="str">
        <f>T("밈스")</f>
        <v>밈스</v>
      </c>
      <c r="H327" t="str">
        <f>T("도서출판 태랑")</f>
        <v>도서출판 태랑</v>
      </c>
      <c r="I327" t="str">
        <f>T("[e북]뜨거운 항해 (외전증보판)")</f>
        <v>[e북]뜨거운 항해 (외전증보판)</v>
      </c>
      <c r="J327">
        <v>2500</v>
      </c>
      <c r="K327">
        <v>5000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5000</v>
      </c>
      <c r="AH327">
        <v>2</v>
      </c>
      <c r="AI327">
        <v>0</v>
      </c>
      <c r="AJ327">
        <v>0</v>
      </c>
      <c r="AK327">
        <v>4540</v>
      </c>
      <c r="AL327">
        <v>0</v>
      </c>
      <c r="AM327">
        <v>552</v>
      </c>
      <c r="AN327">
        <v>-55.2</v>
      </c>
      <c r="AO327">
        <v>0</v>
      </c>
      <c r="AP327"/>
      <c r="AQ327">
        <v>0</v>
      </c>
      <c r="AR327">
        <v>0</v>
      </c>
      <c r="AS327">
        <v>552</v>
      </c>
      <c r="AT327">
        <v>-55.2</v>
      </c>
      <c r="AU327">
        <v>0</v>
      </c>
      <c r="AW327">
        <v>0</v>
      </c>
      <c r="AX327">
        <v>0</v>
      </c>
      <c r="AY327">
        <v>3525.76</v>
      </c>
      <c r="BC327" t="str">
        <f>T("9791164374137")</f>
        <v>9791164374137</v>
      </c>
      <c r="BE327" t="str">
        <f>T("로맨스 e북 &gt; 현대물")</f>
        <v>로맨스 e북 &gt; 현대물</v>
      </c>
      <c r="BF327" t="str">
        <f>T("로맨스 e북 &gt; 19+")</f>
        <v>로맨스 e북 &gt; 19+</v>
      </c>
    </row>
    <row r="328" spans="1:58" x14ac:dyDescent="0.3">
      <c r="A328">
        <v>2313016854</v>
      </c>
      <c r="B328">
        <v>2313016854</v>
      </c>
      <c r="C328" t="str">
        <f>T("[e북]뜨거운 항해 (외전증보판) 1권")</f>
        <v>[e북]뜨거운 항해 (외전증보판) 1권</v>
      </c>
      <c r="D328" t="str">
        <f>T("1")</f>
        <v>1</v>
      </c>
      <c r="E328" t="str">
        <f>T("밈스")</f>
        <v>밈스</v>
      </c>
      <c r="H328" t="str">
        <f>T("도서출판 태랑")</f>
        <v>도서출판 태랑</v>
      </c>
      <c r="I328" t="str">
        <f>T("[e북]뜨거운 항해 (외전증보판)")</f>
        <v>[e북]뜨거운 항해 (외전증보판)</v>
      </c>
      <c r="J328">
        <v>2500</v>
      </c>
      <c r="K328">
        <v>5000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5000</v>
      </c>
      <c r="AH328">
        <v>2</v>
      </c>
      <c r="AI328">
        <v>0</v>
      </c>
      <c r="AJ328">
        <v>0</v>
      </c>
      <c r="AK328">
        <v>4540</v>
      </c>
      <c r="AL328">
        <v>0</v>
      </c>
      <c r="AM328">
        <v>552</v>
      </c>
      <c r="AN328">
        <v>-55.2</v>
      </c>
      <c r="AO328">
        <v>0</v>
      </c>
      <c r="AP328"/>
      <c r="AQ328">
        <v>0</v>
      </c>
      <c r="AR328">
        <v>0</v>
      </c>
      <c r="AS328">
        <v>552</v>
      </c>
      <c r="AT328">
        <v>-55.2</v>
      </c>
      <c r="AU328">
        <v>0</v>
      </c>
      <c r="AW328">
        <v>0</v>
      </c>
      <c r="AX328">
        <v>0</v>
      </c>
      <c r="AY328">
        <v>3525.76</v>
      </c>
      <c r="BC328" t="str">
        <f>T("9791164374120")</f>
        <v>9791164374120</v>
      </c>
      <c r="BE328" t="str">
        <f>T("로맨스 e북 &gt; 현대물")</f>
        <v>로맨스 e북 &gt; 현대물</v>
      </c>
      <c r="BF328" t="str">
        <f>T("로맨스 e북 &gt; 19+")</f>
        <v>로맨스 e북 &gt; 19+</v>
      </c>
    </row>
    <row r="329" spans="1:58" x14ac:dyDescent="0.3">
      <c r="A329">
        <v>2313020095</v>
      </c>
      <c r="B329">
        <v>2313020097</v>
      </c>
      <c r="C329" t="str">
        <f>T("[e북]결혼의 함정 (외전)")</f>
        <v>[e북]결혼의 함정 (외전)</v>
      </c>
      <c r="D329" t="str">
        <f>T("3")</f>
        <v>3</v>
      </c>
      <c r="E329" t="str">
        <f>T("블랙커피")</f>
        <v>블랙커피</v>
      </c>
      <c r="H329" t="str">
        <f>T("도서출판 태랑")</f>
        <v>도서출판 태랑</v>
      </c>
      <c r="I329" t="str">
        <f>T("[e북]결혼의 함정")</f>
        <v>[e북]결혼의 함정</v>
      </c>
      <c r="J329">
        <v>1000</v>
      </c>
      <c r="K329">
        <v>5000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5000</v>
      </c>
      <c r="AH329">
        <v>5</v>
      </c>
      <c r="AI329">
        <v>0</v>
      </c>
      <c r="AJ329">
        <v>0</v>
      </c>
      <c r="AK329">
        <v>4000</v>
      </c>
      <c r="AL329">
        <v>0</v>
      </c>
      <c r="AM329">
        <v>1200</v>
      </c>
      <c r="AN329">
        <v>-120</v>
      </c>
      <c r="AO329">
        <v>0</v>
      </c>
      <c r="AP329"/>
      <c r="AQ329">
        <v>0</v>
      </c>
      <c r="AR329">
        <v>0</v>
      </c>
      <c r="AS329">
        <v>1200</v>
      </c>
      <c r="AT329">
        <v>-120</v>
      </c>
      <c r="AU329">
        <v>0</v>
      </c>
      <c r="AW329">
        <v>0</v>
      </c>
      <c r="AX329">
        <v>0</v>
      </c>
      <c r="AY329">
        <v>3556</v>
      </c>
      <c r="BC329" t="str">
        <f>T("9791137606944")</f>
        <v>9791137606944</v>
      </c>
      <c r="BE329" t="str">
        <f>T("로맨스 e북 &gt; 현대물")</f>
        <v>로맨스 e북 &gt; 현대물</v>
      </c>
      <c r="BF329" t="str">
        <f>T("로맨스 e북 &gt; 19+")</f>
        <v>로맨스 e북 &gt; 19+</v>
      </c>
    </row>
    <row r="330" spans="1:58" x14ac:dyDescent="0.3">
      <c r="B330">
        <v>2313017023</v>
      </c>
      <c r="C330" t="str">
        <f>T("[e북]뜨거운, 은밀한, 그렇게 녹은 (삽화본)")</f>
        <v>[e북]뜨거운, 은밀한, 그렇게 녹은 (삽화본)</v>
      </c>
      <c r="E330" t="str">
        <f>T("파인트리")</f>
        <v>파인트리</v>
      </c>
      <c r="H330" t="str">
        <f>T("도서출판 태랑")</f>
        <v>도서출판 태랑</v>
      </c>
      <c r="J330">
        <v>4800</v>
      </c>
      <c r="K330">
        <v>4800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4800</v>
      </c>
      <c r="AH330">
        <v>1</v>
      </c>
      <c r="AI330">
        <v>0</v>
      </c>
      <c r="AJ330">
        <v>0</v>
      </c>
      <c r="AK330">
        <v>4800</v>
      </c>
      <c r="AL330">
        <v>0</v>
      </c>
      <c r="AM330">
        <v>0</v>
      </c>
      <c r="AN330">
        <v>0</v>
      </c>
      <c r="AO330">
        <v>0</v>
      </c>
      <c r="AP330"/>
      <c r="AQ330">
        <v>0</v>
      </c>
      <c r="AR330">
        <v>0</v>
      </c>
      <c r="AT330">
        <v>0</v>
      </c>
      <c r="AU330">
        <v>0</v>
      </c>
      <c r="AW330">
        <v>0</v>
      </c>
      <c r="AX330">
        <v>0</v>
      </c>
      <c r="AY330">
        <v>3360</v>
      </c>
      <c r="BC330" t="str">
        <f>T("9791164371877")</f>
        <v>9791164371877</v>
      </c>
      <c r="BE330" t="str">
        <f>T("로맨스 e북 &gt; 현대물")</f>
        <v>로맨스 e북 &gt; 현대물</v>
      </c>
    </row>
    <row r="331" spans="1:58" x14ac:dyDescent="0.3">
      <c r="A331">
        <v>2313017117</v>
      </c>
      <c r="B331">
        <v>2313017113</v>
      </c>
      <c r="C331" t="str">
        <f>T("[e북]봄나물 (Rookie) (외전)")</f>
        <v>[e북]봄나물 (Rookie) (외전)</v>
      </c>
      <c r="D331" t="str">
        <f>T("5")</f>
        <v>5</v>
      </c>
      <c r="E331" t="str">
        <f>T("발상")</f>
        <v>발상</v>
      </c>
      <c r="H331" t="str">
        <f>T("도서출판 태랑")</f>
        <v>도서출판 태랑</v>
      </c>
      <c r="I331" t="str">
        <f>T("[e북]봄나물(Rookie)")</f>
        <v>[e북]봄나물(Rookie)</v>
      </c>
      <c r="J331">
        <v>2400</v>
      </c>
      <c r="K331">
        <v>4800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4800</v>
      </c>
      <c r="AH331">
        <v>2</v>
      </c>
      <c r="AI331">
        <v>0</v>
      </c>
      <c r="AJ331">
        <v>0</v>
      </c>
      <c r="AK331">
        <v>4800</v>
      </c>
      <c r="AL331">
        <v>0</v>
      </c>
      <c r="AM331">
        <v>0</v>
      </c>
      <c r="AN331">
        <v>0</v>
      </c>
      <c r="AO331">
        <v>0</v>
      </c>
      <c r="AP331"/>
      <c r="AQ331">
        <v>0</v>
      </c>
      <c r="AR331">
        <v>0</v>
      </c>
      <c r="AT331">
        <v>0</v>
      </c>
      <c r="AU331">
        <v>0</v>
      </c>
      <c r="AW331">
        <v>0</v>
      </c>
      <c r="AX331">
        <v>0</v>
      </c>
      <c r="AY331">
        <v>3360</v>
      </c>
      <c r="BC331" t="str">
        <f>T("9791189627546")</f>
        <v>9791189627546</v>
      </c>
      <c r="BE331" t="str">
        <f>T("BL 소설 e북 &gt; 현대물")</f>
        <v>BL 소설 e북 &gt; 현대물</v>
      </c>
    </row>
    <row r="332" spans="1:58" x14ac:dyDescent="0.3">
      <c r="A332">
        <v>2313020108</v>
      </c>
      <c r="B332">
        <v>2313020145</v>
      </c>
      <c r="C332" t="str">
        <f>T("아빠는 마교대장 38화")</f>
        <v>아빠는 마교대장 38화</v>
      </c>
      <c r="D332" t="str">
        <f>T("38")</f>
        <v>38</v>
      </c>
      <c r="E332" t="str">
        <f>T("구땡")</f>
        <v>구땡</v>
      </c>
      <c r="H332" t="str">
        <f>T("스토리위즈")</f>
        <v>스토리위즈</v>
      </c>
      <c r="I332" t="str">
        <f>T("아빠는 마교대장")</f>
        <v>아빠는 마교대장</v>
      </c>
      <c r="J332">
        <v>100</v>
      </c>
      <c r="K332">
        <v>4800</v>
      </c>
      <c r="L332">
        <v>48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4800</v>
      </c>
      <c r="AH332">
        <v>48</v>
      </c>
      <c r="AI332">
        <v>0</v>
      </c>
      <c r="AJ332">
        <v>0</v>
      </c>
      <c r="AK332">
        <v>4400</v>
      </c>
      <c r="AL332">
        <v>0</v>
      </c>
      <c r="AM332">
        <v>480</v>
      </c>
      <c r="AN332">
        <v>-144</v>
      </c>
      <c r="AO332">
        <v>0</v>
      </c>
      <c r="AP332"/>
      <c r="AQ332">
        <v>0</v>
      </c>
      <c r="AR332">
        <v>0</v>
      </c>
      <c r="AS332">
        <v>480</v>
      </c>
      <c r="AT332">
        <v>-144</v>
      </c>
      <c r="AU332">
        <v>0</v>
      </c>
      <c r="AW332">
        <v>0</v>
      </c>
      <c r="AX332">
        <v>0</v>
      </c>
      <c r="AY332">
        <v>3315.2</v>
      </c>
      <c r="BC332" t="str">
        <f>T("9791137602076")</f>
        <v>9791137602076</v>
      </c>
      <c r="BE332" t="str">
        <f>T("판타지 웹소설 &gt; 무협 소설")</f>
        <v>판타지 웹소설 &gt; 무협 소설</v>
      </c>
    </row>
    <row r="333" spans="1:58" x14ac:dyDescent="0.3">
      <c r="A333">
        <v>2313020108</v>
      </c>
      <c r="B333">
        <v>2313020146</v>
      </c>
      <c r="C333" t="str">
        <f>T("아빠는 마교대장 39화")</f>
        <v>아빠는 마교대장 39화</v>
      </c>
      <c r="D333" t="str">
        <f>T("39")</f>
        <v>39</v>
      </c>
      <c r="E333" t="str">
        <f>T("구땡")</f>
        <v>구땡</v>
      </c>
      <c r="H333" t="str">
        <f>T("스토리위즈")</f>
        <v>스토리위즈</v>
      </c>
      <c r="I333" t="str">
        <f>T("아빠는 마교대장")</f>
        <v>아빠는 마교대장</v>
      </c>
      <c r="J333">
        <v>100</v>
      </c>
      <c r="K333">
        <v>4700</v>
      </c>
      <c r="L333">
        <v>47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4700</v>
      </c>
      <c r="AH333">
        <v>47</v>
      </c>
      <c r="AI333">
        <v>0</v>
      </c>
      <c r="AJ333">
        <v>0</v>
      </c>
      <c r="AK333">
        <v>4300</v>
      </c>
      <c r="AL333">
        <v>0</v>
      </c>
      <c r="AM333">
        <v>480</v>
      </c>
      <c r="AN333">
        <v>-144</v>
      </c>
      <c r="AO333">
        <v>0</v>
      </c>
      <c r="AP333"/>
      <c r="AQ333">
        <v>0</v>
      </c>
      <c r="AR333">
        <v>0</v>
      </c>
      <c r="AS333">
        <v>480</v>
      </c>
      <c r="AT333">
        <v>-144</v>
      </c>
      <c r="AU333">
        <v>0</v>
      </c>
      <c r="AW333">
        <v>0</v>
      </c>
      <c r="AX333">
        <v>0</v>
      </c>
      <c r="AY333">
        <v>3245.2</v>
      </c>
      <c r="BC333" t="str">
        <f>T("9791137602076")</f>
        <v>9791137602076</v>
      </c>
      <c r="BE333" t="str">
        <f>T("판타지 웹소설 &gt; 무협 소설")</f>
        <v>판타지 웹소설 &gt; 무협 소설</v>
      </c>
    </row>
    <row r="334" spans="1:58" x14ac:dyDescent="0.3">
      <c r="A334">
        <v>2313020108</v>
      </c>
      <c r="B334">
        <v>2313020147</v>
      </c>
      <c r="C334" t="str">
        <f>T("아빠는 마교대장 40화")</f>
        <v>아빠는 마교대장 40화</v>
      </c>
      <c r="D334" t="str">
        <f>T("40")</f>
        <v>40</v>
      </c>
      <c r="E334" t="str">
        <f>T("구땡")</f>
        <v>구땡</v>
      </c>
      <c r="H334" t="str">
        <f>T("스토리위즈")</f>
        <v>스토리위즈</v>
      </c>
      <c r="I334" t="str">
        <f>T("아빠는 마교대장")</f>
        <v>아빠는 마교대장</v>
      </c>
      <c r="J334">
        <v>100</v>
      </c>
      <c r="K334">
        <v>4700</v>
      </c>
      <c r="L334">
        <v>47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4700</v>
      </c>
      <c r="AH334">
        <v>47</v>
      </c>
      <c r="AI334">
        <v>0</v>
      </c>
      <c r="AJ334">
        <v>0</v>
      </c>
      <c r="AK334">
        <v>4400</v>
      </c>
      <c r="AL334">
        <v>0</v>
      </c>
      <c r="AM334">
        <v>360</v>
      </c>
      <c r="AN334">
        <v>-108</v>
      </c>
      <c r="AO334">
        <v>0</v>
      </c>
      <c r="AP334"/>
      <c r="AQ334">
        <v>0</v>
      </c>
      <c r="AR334">
        <v>0</v>
      </c>
      <c r="AS334">
        <v>360</v>
      </c>
      <c r="AT334">
        <v>-108</v>
      </c>
      <c r="AU334">
        <v>0</v>
      </c>
      <c r="AW334">
        <v>0</v>
      </c>
      <c r="AX334">
        <v>0</v>
      </c>
      <c r="AY334">
        <v>3256.4</v>
      </c>
      <c r="BC334" t="str">
        <f>T("9791137602076")</f>
        <v>9791137602076</v>
      </c>
      <c r="BE334" t="str">
        <f>T("판타지 웹소설 &gt; 무협 소설")</f>
        <v>판타지 웹소설 &gt; 무협 소설</v>
      </c>
    </row>
    <row r="335" spans="1:58" x14ac:dyDescent="0.3">
      <c r="A335">
        <v>2313020108</v>
      </c>
      <c r="B335">
        <v>2313020148</v>
      </c>
      <c r="C335" t="str">
        <f>T("아빠는 마교대장 41화")</f>
        <v>아빠는 마교대장 41화</v>
      </c>
      <c r="D335" t="str">
        <f>T("41")</f>
        <v>41</v>
      </c>
      <c r="E335" t="str">
        <f>T("구땡")</f>
        <v>구땡</v>
      </c>
      <c r="H335" t="str">
        <f>T("스토리위즈")</f>
        <v>스토리위즈</v>
      </c>
      <c r="I335" t="str">
        <f>T("아빠는 마교대장")</f>
        <v>아빠는 마교대장</v>
      </c>
      <c r="J335">
        <v>100</v>
      </c>
      <c r="K335">
        <v>4600</v>
      </c>
      <c r="L335">
        <v>46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4600</v>
      </c>
      <c r="AH335">
        <v>46</v>
      </c>
      <c r="AI335">
        <v>0</v>
      </c>
      <c r="AJ335">
        <v>0</v>
      </c>
      <c r="AK335">
        <v>4400</v>
      </c>
      <c r="AL335">
        <v>0</v>
      </c>
      <c r="AM335">
        <v>240</v>
      </c>
      <c r="AN335">
        <v>-72</v>
      </c>
      <c r="AO335">
        <v>0</v>
      </c>
      <c r="AP335"/>
      <c r="AQ335">
        <v>0</v>
      </c>
      <c r="AR335">
        <v>0</v>
      </c>
      <c r="AS335">
        <v>240</v>
      </c>
      <c r="AT335">
        <v>-72</v>
      </c>
      <c r="AU335">
        <v>0</v>
      </c>
      <c r="AW335">
        <v>0</v>
      </c>
      <c r="AX335">
        <v>0</v>
      </c>
      <c r="AY335">
        <v>3197.6</v>
      </c>
      <c r="BC335" t="str">
        <f>T("9791137602076")</f>
        <v>9791137602076</v>
      </c>
      <c r="BE335" t="str">
        <f>T("판타지 웹소설 &gt; 무협 소설")</f>
        <v>판타지 웹소설 &gt; 무협 소설</v>
      </c>
    </row>
    <row r="336" spans="1:58" x14ac:dyDescent="0.3">
      <c r="A336">
        <v>2313017126</v>
      </c>
      <c r="B336">
        <v>2313017125</v>
      </c>
      <c r="C336" t="str">
        <f>T("[e북]이 비서 다리 좀 치워 2권 (완결)")</f>
        <v>[e북]이 비서 다리 좀 치워 2권 (완결)</v>
      </c>
      <c r="D336" t="str">
        <f>T("2")</f>
        <v>2</v>
      </c>
      <c r="E336" t="str">
        <f>T("모리미")</f>
        <v>모리미</v>
      </c>
      <c r="H336" t="str">
        <f>T("도서출판 태랑")</f>
        <v>도서출판 태랑</v>
      </c>
      <c r="I336" t="str">
        <f>T("[e북]이 비서 다리 좀 치워")</f>
        <v>[e북]이 비서 다리 좀 치워</v>
      </c>
      <c r="J336">
        <v>2200</v>
      </c>
      <c r="K336">
        <v>4400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4400</v>
      </c>
      <c r="AH336">
        <v>2</v>
      </c>
      <c r="AI336">
        <v>0</v>
      </c>
      <c r="AJ336">
        <v>0</v>
      </c>
      <c r="AK336">
        <v>4400</v>
      </c>
      <c r="AL336">
        <v>0</v>
      </c>
      <c r="AM336">
        <v>0</v>
      </c>
      <c r="AN336">
        <v>0</v>
      </c>
      <c r="AO336">
        <v>0</v>
      </c>
      <c r="AP336"/>
      <c r="AQ336">
        <v>0</v>
      </c>
      <c r="AR336">
        <v>0</v>
      </c>
      <c r="AT336">
        <v>0</v>
      </c>
      <c r="AU336">
        <v>0</v>
      </c>
      <c r="AW336">
        <v>0</v>
      </c>
      <c r="AX336">
        <v>0</v>
      </c>
      <c r="AY336">
        <v>3080</v>
      </c>
      <c r="BC336" t="str">
        <f>T("9791189627089")</f>
        <v>9791189627089</v>
      </c>
      <c r="BE336" t="str">
        <f>T("BL 소설 e북 &gt; 현대물")</f>
        <v>BL 소설 e북 &gt; 현대물</v>
      </c>
    </row>
    <row r="337" spans="1:58" x14ac:dyDescent="0.3">
      <c r="A337">
        <v>2313017126</v>
      </c>
      <c r="B337">
        <v>2313017126</v>
      </c>
      <c r="C337" t="str">
        <f>T("[e북]이 비서 다리 좀 치워 1권")</f>
        <v>[e북]이 비서 다리 좀 치워 1권</v>
      </c>
      <c r="D337" t="str">
        <f>T("1")</f>
        <v>1</v>
      </c>
      <c r="E337" t="str">
        <f>T("모리미")</f>
        <v>모리미</v>
      </c>
      <c r="H337" t="str">
        <f>T("도서출판 태랑")</f>
        <v>도서출판 태랑</v>
      </c>
      <c r="I337" t="str">
        <f>T("[e북]이 비서 다리 좀 치워")</f>
        <v>[e북]이 비서 다리 좀 치워</v>
      </c>
      <c r="J337">
        <v>2200</v>
      </c>
      <c r="K337">
        <v>4400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4400</v>
      </c>
      <c r="AH337">
        <v>2</v>
      </c>
      <c r="AI337">
        <v>0</v>
      </c>
      <c r="AJ337">
        <v>0</v>
      </c>
      <c r="AK337">
        <v>4400</v>
      </c>
      <c r="AL337">
        <v>0</v>
      </c>
      <c r="AM337">
        <v>0</v>
      </c>
      <c r="AN337">
        <v>0</v>
      </c>
      <c r="AO337">
        <v>0</v>
      </c>
      <c r="AP337"/>
      <c r="AQ337">
        <v>0</v>
      </c>
      <c r="AR337">
        <v>0</v>
      </c>
      <c r="AT337">
        <v>0</v>
      </c>
      <c r="AU337">
        <v>0</v>
      </c>
      <c r="AW337">
        <v>0</v>
      </c>
      <c r="AX337">
        <v>0</v>
      </c>
      <c r="AY337">
        <v>3080</v>
      </c>
      <c r="BC337" t="str">
        <f>T("9791189627072")</f>
        <v>9791189627072</v>
      </c>
      <c r="BE337" t="str">
        <f>T("BL 소설 e북 &gt; 현대물")</f>
        <v>BL 소설 e북 &gt; 현대물</v>
      </c>
    </row>
    <row r="338" spans="1:58" x14ac:dyDescent="0.3">
      <c r="A338">
        <v>2313020108</v>
      </c>
      <c r="B338">
        <v>2313020149</v>
      </c>
      <c r="C338" t="str">
        <f>T("아빠는 마교대장 42화")</f>
        <v>아빠는 마교대장 42화</v>
      </c>
      <c r="D338" t="str">
        <f>T("42")</f>
        <v>42</v>
      </c>
      <c r="E338" t="str">
        <f t="shared" ref="E338:E343" si="44">T("구땡")</f>
        <v>구땡</v>
      </c>
      <c r="H338" t="str">
        <f t="shared" ref="H338:H343" si="45">T("스토리위즈")</f>
        <v>스토리위즈</v>
      </c>
      <c r="I338" t="str">
        <f t="shared" ref="I338:I343" si="46">T("아빠는 마교대장")</f>
        <v>아빠는 마교대장</v>
      </c>
      <c r="J338">
        <v>100</v>
      </c>
      <c r="K338">
        <v>4400</v>
      </c>
      <c r="L338">
        <v>44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4400</v>
      </c>
      <c r="AH338">
        <v>44</v>
      </c>
      <c r="AI338">
        <v>0</v>
      </c>
      <c r="AJ338">
        <v>0</v>
      </c>
      <c r="AK338">
        <v>4200</v>
      </c>
      <c r="AL338">
        <v>0</v>
      </c>
      <c r="AM338">
        <v>240</v>
      </c>
      <c r="AN338">
        <v>-72</v>
      </c>
      <c r="AO338">
        <v>0</v>
      </c>
      <c r="AP338"/>
      <c r="AQ338">
        <v>0</v>
      </c>
      <c r="AR338">
        <v>0</v>
      </c>
      <c r="AS338">
        <v>240</v>
      </c>
      <c r="AT338">
        <v>-72</v>
      </c>
      <c r="AU338">
        <v>0</v>
      </c>
      <c r="AW338">
        <v>0</v>
      </c>
      <c r="AX338">
        <v>0</v>
      </c>
      <c r="AY338">
        <v>3057.6</v>
      </c>
      <c r="BC338" t="str">
        <f t="shared" ref="BC338:BC343" si="47">T("9791137602076")</f>
        <v>9791137602076</v>
      </c>
      <c r="BE338" t="str">
        <f t="shared" ref="BE338:BE343" si="48">T("판타지 웹소설 &gt; 무협 소설")</f>
        <v>판타지 웹소설 &gt; 무협 소설</v>
      </c>
    </row>
    <row r="339" spans="1:58" x14ac:dyDescent="0.3">
      <c r="A339">
        <v>2313020108</v>
      </c>
      <c r="B339">
        <v>2313020152</v>
      </c>
      <c r="C339" t="str">
        <f>T("아빠는 마교대장 45화")</f>
        <v>아빠는 마교대장 45화</v>
      </c>
      <c r="D339" t="str">
        <f>T("45")</f>
        <v>45</v>
      </c>
      <c r="E339" t="str">
        <f t="shared" si="44"/>
        <v>구땡</v>
      </c>
      <c r="H339" t="str">
        <f t="shared" si="45"/>
        <v>스토리위즈</v>
      </c>
      <c r="I339" t="str">
        <f t="shared" si="46"/>
        <v>아빠는 마교대장</v>
      </c>
      <c r="J339">
        <v>100</v>
      </c>
      <c r="K339">
        <v>4400</v>
      </c>
      <c r="L339">
        <v>44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4400</v>
      </c>
      <c r="AH339">
        <v>44</v>
      </c>
      <c r="AI339">
        <v>0</v>
      </c>
      <c r="AJ339">
        <v>0</v>
      </c>
      <c r="AK339">
        <v>4200</v>
      </c>
      <c r="AL339">
        <v>0</v>
      </c>
      <c r="AM339">
        <v>240</v>
      </c>
      <c r="AN339">
        <v>-72</v>
      </c>
      <c r="AO339">
        <v>0</v>
      </c>
      <c r="AP339"/>
      <c r="AQ339">
        <v>0</v>
      </c>
      <c r="AR339">
        <v>0</v>
      </c>
      <c r="AS339">
        <v>240</v>
      </c>
      <c r="AT339">
        <v>-72</v>
      </c>
      <c r="AU339">
        <v>0</v>
      </c>
      <c r="AW339">
        <v>0</v>
      </c>
      <c r="AX339">
        <v>0</v>
      </c>
      <c r="AY339">
        <v>3057.6</v>
      </c>
      <c r="BC339" t="str">
        <f t="shared" si="47"/>
        <v>9791137602076</v>
      </c>
      <c r="BE339" t="str">
        <f t="shared" si="48"/>
        <v>판타지 웹소설 &gt; 무협 소설</v>
      </c>
    </row>
    <row r="340" spans="1:58" x14ac:dyDescent="0.3">
      <c r="A340">
        <v>2313020108</v>
      </c>
      <c r="B340">
        <v>2313020150</v>
      </c>
      <c r="C340" t="str">
        <f>T("아빠는 마교대장 43화")</f>
        <v>아빠는 마교대장 43화</v>
      </c>
      <c r="D340" t="str">
        <f>T("43")</f>
        <v>43</v>
      </c>
      <c r="E340" t="str">
        <f t="shared" si="44"/>
        <v>구땡</v>
      </c>
      <c r="H340" t="str">
        <f t="shared" si="45"/>
        <v>스토리위즈</v>
      </c>
      <c r="I340" t="str">
        <f t="shared" si="46"/>
        <v>아빠는 마교대장</v>
      </c>
      <c r="J340">
        <v>100</v>
      </c>
      <c r="K340">
        <v>4300</v>
      </c>
      <c r="L340">
        <v>43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4300</v>
      </c>
      <c r="AH340">
        <v>43</v>
      </c>
      <c r="AI340">
        <v>0</v>
      </c>
      <c r="AJ340">
        <v>0</v>
      </c>
      <c r="AK340">
        <v>4100</v>
      </c>
      <c r="AL340">
        <v>0</v>
      </c>
      <c r="AM340">
        <v>240</v>
      </c>
      <c r="AN340">
        <v>-72</v>
      </c>
      <c r="AO340">
        <v>0</v>
      </c>
      <c r="AP340"/>
      <c r="AQ340">
        <v>0</v>
      </c>
      <c r="AR340">
        <v>0</v>
      </c>
      <c r="AS340">
        <v>240</v>
      </c>
      <c r="AT340">
        <v>-72</v>
      </c>
      <c r="AU340">
        <v>0</v>
      </c>
      <c r="AW340">
        <v>0</v>
      </c>
      <c r="AX340">
        <v>0</v>
      </c>
      <c r="AY340">
        <v>2987.6</v>
      </c>
      <c r="BC340" t="str">
        <f t="shared" si="47"/>
        <v>9791137602076</v>
      </c>
      <c r="BE340" t="str">
        <f t="shared" si="48"/>
        <v>판타지 웹소설 &gt; 무협 소설</v>
      </c>
    </row>
    <row r="341" spans="1:58" x14ac:dyDescent="0.3">
      <c r="A341">
        <v>2313020108</v>
      </c>
      <c r="B341">
        <v>2313020154</v>
      </c>
      <c r="C341" t="str">
        <f>T("아빠는 마교대장 47화")</f>
        <v>아빠는 마교대장 47화</v>
      </c>
      <c r="D341" t="str">
        <f>T("47")</f>
        <v>47</v>
      </c>
      <c r="E341" t="str">
        <f t="shared" si="44"/>
        <v>구땡</v>
      </c>
      <c r="H341" t="str">
        <f t="shared" si="45"/>
        <v>스토리위즈</v>
      </c>
      <c r="I341" t="str">
        <f t="shared" si="46"/>
        <v>아빠는 마교대장</v>
      </c>
      <c r="J341">
        <v>100</v>
      </c>
      <c r="K341">
        <v>4200</v>
      </c>
      <c r="L341">
        <v>42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4200</v>
      </c>
      <c r="AH341">
        <v>42</v>
      </c>
      <c r="AI341">
        <v>0</v>
      </c>
      <c r="AJ341">
        <v>0</v>
      </c>
      <c r="AK341">
        <v>4000</v>
      </c>
      <c r="AL341">
        <v>0</v>
      </c>
      <c r="AM341">
        <v>240</v>
      </c>
      <c r="AN341">
        <v>-72</v>
      </c>
      <c r="AO341">
        <v>0</v>
      </c>
      <c r="AP341"/>
      <c r="AQ341">
        <v>0</v>
      </c>
      <c r="AR341">
        <v>0</v>
      </c>
      <c r="AS341">
        <v>240</v>
      </c>
      <c r="AT341">
        <v>-72</v>
      </c>
      <c r="AU341">
        <v>0</v>
      </c>
      <c r="AW341">
        <v>0</v>
      </c>
      <c r="AX341">
        <v>0</v>
      </c>
      <c r="AY341">
        <v>2917.6</v>
      </c>
      <c r="BC341" t="str">
        <f t="shared" si="47"/>
        <v>9791137602076</v>
      </c>
      <c r="BE341" t="str">
        <f t="shared" si="48"/>
        <v>판타지 웹소설 &gt; 무협 소설</v>
      </c>
    </row>
    <row r="342" spans="1:58" x14ac:dyDescent="0.3">
      <c r="A342">
        <v>2313020108</v>
      </c>
      <c r="B342">
        <v>2313020156</v>
      </c>
      <c r="C342" t="str">
        <f>T("아빠는 마교대장 49화")</f>
        <v>아빠는 마교대장 49화</v>
      </c>
      <c r="D342" t="str">
        <f>T("49")</f>
        <v>49</v>
      </c>
      <c r="E342" t="str">
        <f t="shared" si="44"/>
        <v>구땡</v>
      </c>
      <c r="H342" t="str">
        <f t="shared" si="45"/>
        <v>스토리위즈</v>
      </c>
      <c r="I342" t="str">
        <f t="shared" si="46"/>
        <v>아빠는 마교대장</v>
      </c>
      <c r="J342">
        <v>100</v>
      </c>
      <c r="K342">
        <v>4200</v>
      </c>
      <c r="L342">
        <v>42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4200</v>
      </c>
      <c r="AH342">
        <v>42</v>
      </c>
      <c r="AI342">
        <v>0</v>
      </c>
      <c r="AJ342">
        <v>0</v>
      </c>
      <c r="AK342">
        <v>4000</v>
      </c>
      <c r="AL342">
        <v>0</v>
      </c>
      <c r="AM342">
        <v>240</v>
      </c>
      <c r="AN342">
        <v>-72</v>
      </c>
      <c r="AO342">
        <v>0</v>
      </c>
      <c r="AP342"/>
      <c r="AQ342">
        <v>0</v>
      </c>
      <c r="AR342">
        <v>0</v>
      </c>
      <c r="AS342">
        <v>240</v>
      </c>
      <c r="AT342">
        <v>-72</v>
      </c>
      <c r="AU342">
        <v>0</v>
      </c>
      <c r="AW342">
        <v>0</v>
      </c>
      <c r="AX342">
        <v>0</v>
      </c>
      <c r="AY342">
        <v>2917.6</v>
      </c>
      <c r="BC342" t="str">
        <f t="shared" si="47"/>
        <v>9791137602076</v>
      </c>
      <c r="BE342" t="str">
        <f t="shared" si="48"/>
        <v>판타지 웹소설 &gt; 무협 소설</v>
      </c>
    </row>
    <row r="343" spans="1:58" x14ac:dyDescent="0.3">
      <c r="A343">
        <v>2313020108</v>
      </c>
      <c r="B343">
        <v>2313020157</v>
      </c>
      <c r="C343" t="str">
        <f>T("아빠는 마교대장 50화")</f>
        <v>아빠는 마교대장 50화</v>
      </c>
      <c r="D343" t="str">
        <f>T("50")</f>
        <v>50</v>
      </c>
      <c r="E343" t="str">
        <f t="shared" si="44"/>
        <v>구땡</v>
      </c>
      <c r="H343" t="str">
        <f t="shared" si="45"/>
        <v>스토리위즈</v>
      </c>
      <c r="I343" t="str">
        <f t="shared" si="46"/>
        <v>아빠는 마교대장</v>
      </c>
      <c r="J343">
        <v>100</v>
      </c>
      <c r="K343">
        <v>4200</v>
      </c>
      <c r="L343">
        <v>42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4200</v>
      </c>
      <c r="AH343">
        <v>42</v>
      </c>
      <c r="AI343">
        <v>0</v>
      </c>
      <c r="AJ343">
        <v>0</v>
      </c>
      <c r="AK343">
        <v>4000</v>
      </c>
      <c r="AL343">
        <v>0</v>
      </c>
      <c r="AM343">
        <v>240</v>
      </c>
      <c r="AN343">
        <v>-72</v>
      </c>
      <c r="AO343">
        <v>0</v>
      </c>
      <c r="AP343"/>
      <c r="AQ343">
        <v>0</v>
      </c>
      <c r="AR343">
        <v>0</v>
      </c>
      <c r="AS343">
        <v>240</v>
      </c>
      <c r="AT343">
        <v>-72</v>
      </c>
      <c r="AU343">
        <v>0</v>
      </c>
      <c r="AW343">
        <v>0</v>
      </c>
      <c r="AX343">
        <v>0</v>
      </c>
      <c r="AY343">
        <v>2917.6</v>
      </c>
      <c r="BC343" t="str">
        <f t="shared" si="47"/>
        <v>9791137602076</v>
      </c>
      <c r="BE343" t="str">
        <f t="shared" si="48"/>
        <v>판타지 웹소설 &gt; 무협 소설</v>
      </c>
    </row>
    <row r="344" spans="1:58" x14ac:dyDescent="0.3">
      <c r="A344">
        <v>2313019326</v>
      </c>
      <c r="B344">
        <v>2313019326</v>
      </c>
      <c r="C344" t="str">
        <f>T("[e북]다정할수록 불순한 1권")</f>
        <v>[e북]다정할수록 불순한 1권</v>
      </c>
      <c r="D344" t="str">
        <f>T("1")</f>
        <v>1</v>
      </c>
      <c r="E344" t="str">
        <f>T("은지유")</f>
        <v>은지유</v>
      </c>
      <c r="H344" t="str">
        <f>T("블레슈(Blesshuu)")</f>
        <v>블레슈(Blesshuu)</v>
      </c>
      <c r="I344" t="str">
        <f>T("[e북]다정할수록 불순한")</f>
        <v>[e북]다정할수록 불순한</v>
      </c>
      <c r="J344">
        <v>4100</v>
      </c>
      <c r="K344">
        <v>4100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4100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4920</v>
      </c>
      <c r="AN344">
        <v>-492</v>
      </c>
      <c r="AO344">
        <v>0</v>
      </c>
      <c r="AP344"/>
      <c r="AQ344">
        <v>0</v>
      </c>
      <c r="AR344">
        <v>0</v>
      </c>
      <c r="AS344">
        <v>4920</v>
      </c>
      <c r="AT344">
        <v>-492</v>
      </c>
      <c r="AU344">
        <v>0</v>
      </c>
      <c r="AW344">
        <v>0</v>
      </c>
      <c r="AX344">
        <v>0</v>
      </c>
      <c r="AY344">
        <v>3099.6</v>
      </c>
      <c r="BC344" t="str">
        <f>T("9791137604575")</f>
        <v>9791137604575</v>
      </c>
      <c r="BE344" t="str">
        <f>T("로맨스 e북 &gt; 현대물")</f>
        <v>로맨스 e북 &gt; 현대물</v>
      </c>
    </row>
    <row r="345" spans="1:58" x14ac:dyDescent="0.3">
      <c r="A345">
        <v>2313020108</v>
      </c>
      <c r="B345">
        <v>2313020151</v>
      </c>
      <c r="C345" t="str">
        <f>T("아빠는 마교대장 44화")</f>
        <v>아빠는 마교대장 44화</v>
      </c>
      <c r="D345" t="str">
        <f>T("44")</f>
        <v>44</v>
      </c>
      <c r="E345" t="str">
        <f>T("구땡")</f>
        <v>구땡</v>
      </c>
      <c r="H345" t="str">
        <f>T("스토리위즈")</f>
        <v>스토리위즈</v>
      </c>
      <c r="I345" t="str">
        <f>T("아빠는 마교대장")</f>
        <v>아빠는 마교대장</v>
      </c>
      <c r="J345">
        <v>100</v>
      </c>
      <c r="K345">
        <v>4100</v>
      </c>
      <c r="L345">
        <v>41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4100</v>
      </c>
      <c r="AH345">
        <v>41</v>
      </c>
      <c r="AI345">
        <v>0</v>
      </c>
      <c r="AJ345">
        <v>0</v>
      </c>
      <c r="AK345">
        <v>4100</v>
      </c>
      <c r="AL345">
        <v>0</v>
      </c>
      <c r="AM345">
        <v>0</v>
      </c>
      <c r="AN345">
        <v>0</v>
      </c>
      <c r="AO345">
        <v>0</v>
      </c>
      <c r="AP345"/>
      <c r="AQ345">
        <v>0</v>
      </c>
      <c r="AR345">
        <v>0</v>
      </c>
      <c r="AT345">
        <v>0</v>
      </c>
      <c r="AU345">
        <v>0</v>
      </c>
      <c r="AW345">
        <v>0</v>
      </c>
      <c r="AX345">
        <v>0</v>
      </c>
      <c r="AY345">
        <v>2870</v>
      </c>
      <c r="BC345" t="str">
        <f>T("9791137602076")</f>
        <v>9791137602076</v>
      </c>
      <c r="BE345" t="str">
        <f>T("판타지 웹소설 &gt; 무협 소설")</f>
        <v>판타지 웹소설 &gt; 무협 소설</v>
      </c>
    </row>
    <row r="346" spans="1:58" x14ac:dyDescent="0.3">
      <c r="A346">
        <v>2313020108</v>
      </c>
      <c r="B346">
        <v>2313020155</v>
      </c>
      <c r="C346" t="str">
        <f>T("아빠는 마교대장 48화")</f>
        <v>아빠는 마교대장 48화</v>
      </c>
      <c r="D346" t="str">
        <f>T("48")</f>
        <v>48</v>
      </c>
      <c r="E346" t="str">
        <f>T("구땡")</f>
        <v>구땡</v>
      </c>
      <c r="H346" t="str">
        <f>T("스토리위즈")</f>
        <v>스토리위즈</v>
      </c>
      <c r="I346" t="str">
        <f>T("아빠는 마교대장")</f>
        <v>아빠는 마교대장</v>
      </c>
      <c r="J346">
        <v>100</v>
      </c>
      <c r="K346">
        <v>4100</v>
      </c>
      <c r="L346">
        <v>41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4100</v>
      </c>
      <c r="AH346">
        <v>41</v>
      </c>
      <c r="AI346">
        <v>0</v>
      </c>
      <c r="AJ346">
        <v>0</v>
      </c>
      <c r="AK346">
        <v>3900</v>
      </c>
      <c r="AL346">
        <v>0</v>
      </c>
      <c r="AM346">
        <v>240</v>
      </c>
      <c r="AN346">
        <v>-72</v>
      </c>
      <c r="AO346">
        <v>0</v>
      </c>
      <c r="AP346"/>
      <c r="AQ346">
        <v>0</v>
      </c>
      <c r="AR346">
        <v>0</v>
      </c>
      <c r="AS346">
        <v>240</v>
      </c>
      <c r="AT346">
        <v>-72</v>
      </c>
      <c r="AU346">
        <v>0</v>
      </c>
      <c r="AW346">
        <v>0</v>
      </c>
      <c r="AX346">
        <v>0</v>
      </c>
      <c r="AY346">
        <v>2847.6</v>
      </c>
      <c r="BC346" t="str">
        <f>T("9791137602076")</f>
        <v>9791137602076</v>
      </c>
      <c r="BE346" t="str">
        <f>T("판타지 웹소설 &gt; 무협 소설")</f>
        <v>판타지 웹소설 &gt; 무협 소설</v>
      </c>
    </row>
    <row r="347" spans="1:58" x14ac:dyDescent="0.3">
      <c r="A347">
        <v>2313020108</v>
      </c>
      <c r="B347">
        <v>2313020159</v>
      </c>
      <c r="C347" t="str">
        <f>T("아빠는 마교대장 52화")</f>
        <v>아빠는 마교대장 52화</v>
      </c>
      <c r="D347" t="str">
        <f>T("52")</f>
        <v>52</v>
      </c>
      <c r="E347" t="str">
        <f>T("구땡")</f>
        <v>구땡</v>
      </c>
      <c r="H347" t="str">
        <f>T("스토리위즈")</f>
        <v>스토리위즈</v>
      </c>
      <c r="I347" t="str">
        <f>T("아빠는 마교대장")</f>
        <v>아빠는 마교대장</v>
      </c>
      <c r="J347">
        <v>100</v>
      </c>
      <c r="K347">
        <v>4100</v>
      </c>
      <c r="L347">
        <v>41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4100</v>
      </c>
      <c r="AH347">
        <v>41</v>
      </c>
      <c r="AI347">
        <v>0</v>
      </c>
      <c r="AJ347">
        <v>0</v>
      </c>
      <c r="AK347">
        <v>3900</v>
      </c>
      <c r="AL347">
        <v>0</v>
      </c>
      <c r="AM347">
        <v>240</v>
      </c>
      <c r="AN347">
        <v>-72</v>
      </c>
      <c r="AO347">
        <v>0</v>
      </c>
      <c r="AP347"/>
      <c r="AQ347">
        <v>0</v>
      </c>
      <c r="AR347">
        <v>0</v>
      </c>
      <c r="AS347">
        <v>240</v>
      </c>
      <c r="AT347">
        <v>-72</v>
      </c>
      <c r="AU347">
        <v>0</v>
      </c>
      <c r="AW347">
        <v>0</v>
      </c>
      <c r="AX347">
        <v>0</v>
      </c>
      <c r="AY347">
        <v>2847.6</v>
      </c>
      <c r="BC347" t="str">
        <f>T("9791137602076")</f>
        <v>9791137602076</v>
      </c>
      <c r="BE347" t="str">
        <f>T("판타지 웹소설 &gt; 무협 소설")</f>
        <v>판타지 웹소설 &gt; 무협 소설</v>
      </c>
    </row>
    <row r="348" spans="1:58" x14ac:dyDescent="0.3">
      <c r="A348">
        <v>2313020108</v>
      </c>
      <c r="B348">
        <v>2313020160</v>
      </c>
      <c r="C348" t="str">
        <f>T("아빠는 마교대장 53화")</f>
        <v>아빠는 마교대장 53화</v>
      </c>
      <c r="D348" t="str">
        <f>T("53")</f>
        <v>53</v>
      </c>
      <c r="E348" t="str">
        <f>T("구땡")</f>
        <v>구땡</v>
      </c>
      <c r="H348" t="str">
        <f>T("스토리위즈")</f>
        <v>스토리위즈</v>
      </c>
      <c r="I348" t="str">
        <f>T("아빠는 마교대장")</f>
        <v>아빠는 마교대장</v>
      </c>
      <c r="J348">
        <v>100</v>
      </c>
      <c r="K348">
        <v>4100</v>
      </c>
      <c r="L348">
        <v>41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4100</v>
      </c>
      <c r="AH348">
        <v>41</v>
      </c>
      <c r="AI348">
        <v>0</v>
      </c>
      <c r="AJ348">
        <v>0</v>
      </c>
      <c r="AK348">
        <v>3900</v>
      </c>
      <c r="AL348">
        <v>0</v>
      </c>
      <c r="AM348">
        <v>240</v>
      </c>
      <c r="AN348">
        <v>-72</v>
      </c>
      <c r="AO348">
        <v>0</v>
      </c>
      <c r="AP348"/>
      <c r="AQ348">
        <v>0</v>
      </c>
      <c r="AR348">
        <v>0</v>
      </c>
      <c r="AS348">
        <v>240</v>
      </c>
      <c r="AT348">
        <v>-72</v>
      </c>
      <c r="AU348">
        <v>0</v>
      </c>
      <c r="AW348">
        <v>0</v>
      </c>
      <c r="AX348">
        <v>0</v>
      </c>
      <c r="AY348">
        <v>2847.6</v>
      </c>
      <c r="BC348" t="str">
        <f>T("9791137602076")</f>
        <v>9791137602076</v>
      </c>
      <c r="BE348" t="str">
        <f>T("판타지 웹소설 &gt; 무협 소설")</f>
        <v>판타지 웹소설 &gt; 무협 소설</v>
      </c>
    </row>
    <row r="349" spans="1:58" x14ac:dyDescent="0.3">
      <c r="A349">
        <v>2313016994</v>
      </c>
      <c r="B349">
        <v>2313016994</v>
      </c>
      <c r="C349" t="str">
        <f>T("[e북]숨결을 삼키다")</f>
        <v>[e북]숨결을 삼키다</v>
      </c>
      <c r="D349" t="str">
        <f>T("1")</f>
        <v>1</v>
      </c>
      <c r="E349" t="str">
        <f>T("문스톤")</f>
        <v>문스톤</v>
      </c>
      <c r="H349" t="str">
        <f>T("도서출판 태랑")</f>
        <v>도서출판 태랑</v>
      </c>
      <c r="I349" t="str">
        <f>T("[e북]숨결을 삼키다 (외전증보판)")</f>
        <v>[e북]숨결을 삼키다 (외전증보판)</v>
      </c>
      <c r="J349">
        <v>4000</v>
      </c>
      <c r="K349">
        <v>4000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4000</v>
      </c>
      <c r="AH349">
        <v>1</v>
      </c>
      <c r="AI349">
        <v>0</v>
      </c>
      <c r="AJ349">
        <v>0</v>
      </c>
      <c r="AK349">
        <v>4000</v>
      </c>
      <c r="AL349">
        <v>0</v>
      </c>
      <c r="AM349">
        <v>0</v>
      </c>
      <c r="AN349">
        <v>0</v>
      </c>
      <c r="AO349">
        <v>0</v>
      </c>
      <c r="AP349"/>
      <c r="AQ349">
        <v>0</v>
      </c>
      <c r="AR349">
        <v>0</v>
      </c>
      <c r="AT349">
        <v>0</v>
      </c>
      <c r="AU349">
        <v>0</v>
      </c>
      <c r="AW349">
        <v>0</v>
      </c>
      <c r="AX349">
        <v>0</v>
      </c>
      <c r="AY349">
        <v>2800</v>
      </c>
      <c r="BC349" t="str">
        <f>T("9791164372508")</f>
        <v>9791164372508</v>
      </c>
      <c r="BE349" t="str">
        <f>T("로맨스 e북 &gt; 현대물")</f>
        <v>로맨스 e북 &gt; 현대물</v>
      </c>
      <c r="BF349" t="str">
        <f>T("로맨스 e북 &gt; 19+")</f>
        <v>로맨스 e북 &gt; 19+</v>
      </c>
    </row>
    <row r="350" spans="1:58" x14ac:dyDescent="0.3">
      <c r="A350">
        <v>2313017079</v>
      </c>
      <c r="B350">
        <v>2313017079</v>
      </c>
      <c r="C350" t="str">
        <f>T("[e북]중독")</f>
        <v>[e북]중독</v>
      </c>
      <c r="D350" t="str">
        <f>T("1")</f>
        <v>1</v>
      </c>
      <c r="E350" t="str">
        <f>T("문스톤")</f>
        <v>문스톤</v>
      </c>
      <c r="H350" t="str">
        <f>T("도서출판 태랑")</f>
        <v>도서출판 태랑</v>
      </c>
      <c r="I350" t="str">
        <f>T("[e북]중독")</f>
        <v>[e북]중독</v>
      </c>
      <c r="J350">
        <v>4000</v>
      </c>
      <c r="K350">
        <v>4000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4000</v>
      </c>
      <c r="AH350">
        <v>1</v>
      </c>
      <c r="AI350">
        <v>0</v>
      </c>
      <c r="AJ350">
        <v>0</v>
      </c>
      <c r="AK350">
        <v>2830</v>
      </c>
      <c r="AL350">
        <v>0</v>
      </c>
      <c r="AM350">
        <v>1404</v>
      </c>
      <c r="AN350">
        <v>-140.4</v>
      </c>
      <c r="AO350">
        <v>0</v>
      </c>
      <c r="AP350"/>
      <c r="AQ350">
        <v>0</v>
      </c>
      <c r="AR350">
        <v>0</v>
      </c>
      <c r="AS350">
        <v>1404</v>
      </c>
      <c r="AT350">
        <v>-140.4</v>
      </c>
      <c r="AU350">
        <v>0</v>
      </c>
      <c r="AW350">
        <v>0</v>
      </c>
      <c r="AX350">
        <v>0</v>
      </c>
      <c r="AY350">
        <v>2865.52</v>
      </c>
      <c r="BC350" t="str">
        <f>T("9791164370580")</f>
        <v>9791164370580</v>
      </c>
      <c r="BE350" t="str">
        <f>T("로맨스 e북 &gt; 현대물")</f>
        <v>로맨스 e북 &gt; 현대물</v>
      </c>
      <c r="BF350" t="str">
        <f>T("로맨스 e북 &gt; 19+")</f>
        <v>로맨스 e북 &gt; 19+</v>
      </c>
    </row>
    <row r="351" spans="1:58" x14ac:dyDescent="0.3">
      <c r="A351">
        <v>2313020108</v>
      </c>
      <c r="B351">
        <v>2313020153</v>
      </c>
      <c r="C351" t="str">
        <f>T("아빠는 마교대장 46화")</f>
        <v>아빠는 마교대장 46화</v>
      </c>
      <c r="D351" t="str">
        <f>T("46")</f>
        <v>46</v>
      </c>
      <c r="E351" t="str">
        <f>T("구땡")</f>
        <v>구땡</v>
      </c>
      <c r="H351" t="str">
        <f>T("스토리위즈")</f>
        <v>스토리위즈</v>
      </c>
      <c r="I351" t="str">
        <f>T("아빠는 마교대장")</f>
        <v>아빠는 마교대장</v>
      </c>
      <c r="J351">
        <v>100</v>
      </c>
      <c r="K351">
        <v>4000</v>
      </c>
      <c r="L351">
        <v>40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4000</v>
      </c>
      <c r="AH351">
        <v>40</v>
      </c>
      <c r="AI351">
        <v>0</v>
      </c>
      <c r="AJ351">
        <v>0</v>
      </c>
      <c r="AK351">
        <v>3800</v>
      </c>
      <c r="AL351">
        <v>0</v>
      </c>
      <c r="AM351">
        <v>240</v>
      </c>
      <c r="AN351">
        <v>-72</v>
      </c>
      <c r="AO351">
        <v>0</v>
      </c>
      <c r="AP351"/>
      <c r="AQ351">
        <v>0</v>
      </c>
      <c r="AR351">
        <v>0</v>
      </c>
      <c r="AS351">
        <v>240</v>
      </c>
      <c r="AT351">
        <v>-72</v>
      </c>
      <c r="AU351">
        <v>0</v>
      </c>
      <c r="AW351">
        <v>0</v>
      </c>
      <c r="AX351">
        <v>0</v>
      </c>
      <c r="AY351">
        <v>2777.6</v>
      </c>
      <c r="BC351" t="str">
        <f>T("9791137602076")</f>
        <v>9791137602076</v>
      </c>
      <c r="BE351" t="str">
        <f>T("판타지 웹소설 &gt; 무협 소설")</f>
        <v>판타지 웹소설 &gt; 무협 소설</v>
      </c>
    </row>
    <row r="352" spans="1:58" x14ac:dyDescent="0.3">
      <c r="A352">
        <v>2313020108</v>
      </c>
      <c r="B352">
        <v>2313020161</v>
      </c>
      <c r="C352" t="str">
        <f>T("아빠는 마교대장 54화")</f>
        <v>아빠는 마교대장 54화</v>
      </c>
      <c r="D352" t="str">
        <f>T("54")</f>
        <v>54</v>
      </c>
      <c r="E352" t="str">
        <f>T("구땡")</f>
        <v>구땡</v>
      </c>
      <c r="H352" t="str">
        <f>T("스토리위즈")</f>
        <v>스토리위즈</v>
      </c>
      <c r="I352" t="str">
        <f>T("아빠는 마교대장")</f>
        <v>아빠는 마교대장</v>
      </c>
      <c r="J352">
        <v>100</v>
      </c>
      <c r="K352">
        <v>4000</v>
      </c>
      <c r="L352">
        <v>40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4000</v>
      </c>
      <c r="AH352">
        <v>40</v>
      </c>
      <c r="AI352">
        <v>0</v>
      </c>
      <c r="AJ352">
        <v>0</v>
      </c>
      <c r="AK352">
        <v>3800</v>
      </c>
      <c r="AL352">
        <v>0</v>
      </c>
      <c r="AM352">
        <v>240</v>
      </c>
      <c r="AN352">
        <v>-72</v>
      </c>
      <c r="AO352">
        <v>0</v>
      </c>
      <c r="AP352"/>
      <c r="AQ352">
        <v>0</v>
      </c>
      <c r="AR352">
        <v>0</v>
      </c>
      <c r="AS352">
        <v>240</v>
      </c>
      <c r="AT352">
        <v>-72</v>
      </c>
      <c r="AU352">
        <v>0</v>
      </c>
      <c r="AW352">
        <v>0</v>
      </c>
      <c r="AX352">
        <v>0</v>
      </c>
      <c r="AY352">
        <v>2777.6</v>
      </c>
      <c r="BC352" t="str">
        <f>T("9791137602076")</f>
        <v>9791137602076</v>
      </c>
      <c r="BE352" t="str">
        <f>T("판타지 웹소설 &gt; 무협 소설")</f>
        <v>판타지 웹소설 &gt; 무협 소설</v>
      </c>
    </row>
    <row r="353" spans="1:58" x14ac:dyDescent="0.3">
      <c r="A353">
        <v>2313020108</v>
      </c>
      <c r="B353">
        <v>2313020158</v>
      </c>
      <c r="C353" t="str">
        <f>T("아빠는 마교대장 51화")</f>
        <v>아빠는 마교대장 51화</v>
      </c>
      <c r="D353" t="str">
        <f>T("51")</f>
        <v>51</v>
      </c>
      <c r="E353" t="str">
        <f>T("구땡")</f>
        <v>구땡</v>
      </c>
      <c r="H353" t="str">
        <f>T("스토리위즈")</f>
        <v>스토리위즈</v>
      </c>
      <c r="I353" t="str">
        <f>T("아빠는 마교대장")</f>
        <v>아빠는 마교대장</v>
      </c>
      <c r="J353">
        <v>100</v>
      </c>
      <c r="K353">
        <v>3900</v>
      </c>
      <c r="L353">
        <v>39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3900</v>
      </c>
      <c r="AH353">
        <v>39</v>
      </c>
      <c r="AI353">
        <v>0</v>
      </c>
      <c r="AJ353">
        <v>0</v>
      </c>
      <c r="AK353">
        <v>3700</v>
      </c>
      <c r="AL353">
        <v>0</v>
      </c>
      <c r="AM353">
        <v>240</v>
      </c>
      <c r="AN353">
        <v>-72</v>
      </c>
      <c r="AO353">
        <v>0</v>
      </c>
      <c r="AP353"/>
      <c r="AQ353">
        <v>0</v>
      </c>
      <c r="AR353">
        <v>0</v>
      </c>
      <c r="AS353">
        <v>240</v>
      </c>
      <c r="AT353">
        <v>-72</v>
      </c>
      <c r="AU353">
        <v>0</v>
      </c>
      <c r="AW353">
        <v>0</v>
      </c>
      <c r="AX353">
        <v>0</v>
      </c>
      <c r="AY353">
        <v>2707.6</v>
      </c>
      <c r="BC353" t="str">
        <f>T("9791137602076")</f>
        <v>9791137602076</v>
      </c>
      <c r="BE353" t="str">
        <f>T("판타지 웹소설 &gt; 무협 소설")</f>
        <v>판타지 웹소설 &gt; 무협 소설</v>
      </c>
    </row>
    <row r="354" spans="1:58" x14ac:dyDescent="0.3">
      <c r="A354">
        <v>2313020108</v>
      </c>
      <c r="B354">
        <v>2313020162</v>
      </c>
      <c r="C354" t="str">
        <f>T("아빠는 마교대장 55화")</f>
        <v>아빠는 마교대장 55화</v>
      </c>
      <c r="D354" t="str">
        <f>T("55")</f>
        <v>55</v>
      </c>
      <c r="E354" t="str">
        <f>T("구땡")</f>
        <v>구땡</v>
      </c>
      <c r="H354" t="str">
        <f>T("스토리위즈")</f>
        <v>스토리위즈</v>
      </c>
      <c r="I354" t="str">
        <f>T("아빠는 마교대장")</f>
        <v>아빠는 마교대장</v>
      </c>
      <c r="J354">
        <v>100</v>
      </c>
      <c r="K354">
        <v>3900</v>
      </c>
      <c r="L354">
        <v>39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3900</v>
      </c>
      <c r="AH354">
        <v>39</v>
      </c>
      <c r="AI354">
        <v>0</v>
      </c>
      <c r="AJ354">
        <v>0</v>
      </c>
      <c r="AK354">
        <v>3700</v>
      </c>
      <c r="AL354">
        <v>0</v>
      </c>
      <c r="AM354">
        <v>240</v>
      </c>
      <c r="AN354">
        <v>-72</v>
      </c>
      <c r="AO354">
        <v>0</v>
      </c>
      <c r="AP354"/>
      <c r="AQ354">
        <v>0</v>
      </c>
      <c r="AR354">
        <v>0</v>
      </c>
      <c r="AS354">
        <v>240</v>
      </c>
      <c r="AT354">
        <v>-72</v>
      </c>
      <c r="AU354">
        <v>0</v>
      </c>
      <c r="AW354">
        <v>0</v>
      </c>
      <c r="AX354">
        <v>0</v>
      </c>
      <c r="AY354">
        <v>2707.6</v>
      </c>
      <c r="BC354" t="str">
        <f>T("9791137602076")</f>
        <v>9791137602076</v>
      </c>
      <c r="BE354" t="str">
        <f>T("판타지 웹소설 &gt; 무협 소설")</f>
        <v>판타지 웹소설 &gt; 무협 소설</v>
      </c>
    </row>
    <row r="355" spans="1:58" x14ac:dyDescent="0.3">
      <c r="A355">
        <v>2313016907</v>
      </c>
      <c r="B355">
        <v>2313016906</v>
      </c>
      <c r="C355" t="str">
        <f>T("[e북]내 남자 길들이기 (외전증보판) 2권 (완결)")</f>
        <v>[e북]내 남자 길들이기 (외전증보판) 2권 (완결)</v>
      </c>
      <c r="D355" t="str">
        <f>T("2")</f>
        <v>2</v>
      </c>
      <c r="E355" t="str">
        <f>T("밈스")</f>
        <v>밈스</v>
      </c>
      <c r="H355" t="str">
        <f>T("도서출판 태랑")</f>
        <v>도서출판 태랑</v>
      </c>
      <c r="I355" t="str">
        <f>T("[e북]내 남자 길들이기 (외전증보판)")</f>
        <v>[e북]내 남자 길들이기 (외전증보판)</v>
      </c>
      <c r="J355">
        <v>3800</v>
      </c>
      <c r="K355">
        <v>3800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3800</v>
      </c>
      <c r="AH355">
        <v>1</v>
      </c>
      <c r="AI355">
        <v>0</v>
      </c>
      <c r="AJ355">
        <v>0</v>
      </c>
      <c r="AK355">
        <v>3800</v>
      </c>
      <c r="AL355">
        <v>0</v>
      </c>
      <c r="AM355">
        <v>0</v>
      </c>
      <c r="AN355">
        <v>0</v>
      </c>
      <c r="AO355">
        <v>0</v>
      </c>
      <c r="AP355"/>
      <c r="AQ355">
        <v>0</v>
      </c>
      <c r="AR355">
        <v>0</v>
      </c>
      <c r="AT355">
        <v>0</v>
      </c>
      <c r="AU355">
        <v>0</v>
      </c>
      <c r="AW355">
        <v>0</v>
      </c>
      <c r="AX355">
        <v>0</v>
      </c>
      <c r="AY355">
        <v>2660</v>
      </c>
      <c r="BC355" t="str">
        <f>T("9791164373512")</f>
        <v>9791164373512</v>
      </c>
      <c r="BE355" t="str">
        <f>T("로맨스 e북 &gt; 현대물")</f>
        <v>로맨스 e북 &gt; 현대물</v>
      </c>
      <c r="BF355" t="str">
        <f>T("로맨스 e북 &gt; 19+")</f>
        <v>로맨스 e북 &gt; 19+</v>
      </c>
    </row>
    <row r="356" spans="1:58" x14ac:dyDescent="0.3">
      <c r="A356">
        <v>2313016907</v>
      </c>
      <c r="B356">
        <v>2313016907</v>
      </c>
      <c r="C356" t="str">
        <f>T("[e북]내 남자 길들이기 (외전증보판) 1권")</f>
        <v>[e북]내 남자 길들이기 (외전증보판) 1권</v>
      </c>
      <c r="D356" t="str">
        <f>T("1")</f>
        <v>1</v>
      </c>
      <c r="E356" t="str">
        <f>T("밈스")</f>
        <v>밈스</v>
      </c>
      <c r="H356" t="str">
        <f>T("도서출판 태랑")</f>
        <v>도서출판 태랑</v>
      </c>
      <c r="I356" t="str">
        <f>T("[e북]내 남자 길들이기 (외전증보판)")</f>
        <v>[e북]내 남자 길들이기 (외전증보판)</v>
      </c>
      <c r="J356">
        <v>3800</v>
      </c>
      <c r="K356">
        <v>3800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3800</v>
      </c>
      <c r="AH356">
        <v>1</v>
      </c>
      <c r="AI356">
        <v>0</v>
      </c>
      <c r="AJ356">
        <v>0</v>
      </c>
      <c r="AK356">
        <v>3800</v>
      </c>
      <c r="AL356">
        <v>0</v>
      </c>
      <c r="AM356">
        <v>0</v>
      </c>
      <c r="AN356">
        <v>0</v>
      </c>
      <c r="AO356">
        <v>0</v>
      </c>
      <c r="AP356"/>
      <c r="AQ356">
        <v>0</v>
      </c>
      <c r="AR356">
        <v>0</v>
      </c>
      <c r="AT356">
        <v>0</v>
      </c>
      <c r="AU356">
        <v>0</v>
      </c>
      <c r="AW356">
        <v>0</v>
      </c>
      <c r="AX356">
        <v>0</v>
      </c>
      <c r="AY356">
        <v>2660</v>
      </c>
      <c r="BC356" t="str">
        <f>T("9791164373505")</f>
        <v>9791164373505</v>
      </c>
      <c r="BE356" t="str">
        <f>T("로맨스 e북 &gt; 현대물")</f>
        <v>로맨스 e북 &gt; 현대물</v>
      </c>
      <c r="BF356" t="str">
        <f>T("로맨스 e북 &gt; 19+")</f>
        <v>로맨스 e북 &gt; 19+</v>
      </c>
    </row>
    <row r="357" spans="1:58" x14ac:dyDescent="0.3">
      <c r="A357">
        <v>2313016986</v>
      </c>
      <c r="B357">
        <v>2313016986</v>
      </c>
      <c r="C357" t="str">
        <f>T("[e북]욕망에 눈뜨다 (외전증보 삽화본) 1권")</f>
        <v>[e북]욕망에 눈뜨다 (외전증보 삽화본) 1권</v>
      </c>
      <c r="D357" t="str">
        <f>T("1")</f>
        <v>1</v>
      </c>
      <c r="E357" t="str">
        <f>T("셔틀")</f>
        <v>셔틀</v>
      </c>
      <c r="H357" t="str">
        <f>T("도서출판 태랑")</f>
        <v>도서출판 태랑</v>
      </c>
      <c r="I357" t="str">
        <f>T("[e북]욕망에 눈뜨다 (외전증보 삽화본)")</f>
        <v>[e북]욕망에 눈뜨다 (외전증보 삽화본)</v>
      </c>
      <c r="J357">
        <v>3800</v>
      </c>
      <c r="K357">
        <v>3800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3800</v>
      </c>
      <c r="AH357">
        <v>1</v>
      </c>
      <c r="AI357">
        <v>0</v>
      </c>
      <c r="AJ357">
        <v>0</v>
      </c>
      <c r="AK357">
        <v>3800</v>
      </c>
      <c r="AL357">
        <v>0</v>
      </c>
      <c r="AM357">
        <v>0</v>
      </c>
      <c r="AN357">
        <v>0</v>
      </c>
      <c r="AO357">
        <v>0</v>
      </c>
      <c r="AP357"/>
      <c r="AQ357">
        <v>0</v>
      </c>
      <c r="AR357">
        <v>0</v>
      </c>
      <c r="AT357">
        <v>0</v>
      </c>
      <c r="AU357">
        <v>0</v>
      </c>
      <c r="AW357">
        <v>0</v>
      </c>
      <c r="AX357">
        <v>0</v>
      </c>
      <c r="AY357">
        <v>2660</v>
      </c>
      <c r="BC357" t="str">
        <f>T("9791164371792")</f>
        <v>9791164371792</v>
      </c>
      <c r="BE357" t="str">
        <f>T("로맨스 e북 &gt; 현대물")</f>
        <v>로맨스 e북 &gt; 현대물</v>
      </c>
      <c r="BF357" t="str">
        <f>T("로맨스 e북 &gt; 19+")</f>
        <v>로맨스 e북 &gt; 19+</v>
      </c>
    </row>
    <row r="358" spans="1:58" x14ac:dyDescent="0.3">
      <c r="A358">
        <v>2313017059</v>
      </c>
      <c r="B358">
        <v>2313017059</v>
      </c>
      <c r="C358" t="str">
        <f>T("[e북]구애 1권")</f>
        <v>[e북]구애 1권</v>
      </c>
      <c r="D358" t="str">
        <f>T("1")</f>
        <v>1</v>
      </c>
      <c r="E358" t="str">
        <f>T("셔틀")</f>
        <v>셔틀</v>
      </c>
      <c r="H358" t="str">
        <f>T("도서출판 태랑")</f>
        <v>도서출판 태랑</v>
      </c>
      <c r="I358" t="str">
        <f>T("[e북]구애")</f>
        <v>[e북]구애</v>
      </c>
      <c r="J358">
        <v>3800</v>
      </c>
      <c r="K358">
        <v>3800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3800</v>
      </c>
      <c r="AH358">
        <v>1</v>
      </c>
      <c r="AI358">
        <v>0</v>
      </c>
      <c r="AJ358">
        <v>0</v>
      </c>
      <c r="AK358">
        <v>3800</v>
      </c>
      <c r="AL358">
        <v>0</v>
      </c>
      <c r="AM358">
        <v>0</v>
      </c>
      <c r="AN358">
        <v>0</v>
      </c>
      <c r="AO358">
        <v>0</v>
      </c>
      <c r="AP358"/>
      <c r="AQ358">
        <v>0</v>
      </c>
      <c r="AR358">
        <v>0</v>
      </c>
      <c r="AT358">
        <v>0</v>
      </c>
      <c r="AU358">
        <v>0</v>
      </c>
      <c r="AW358">
        <v>0</v>
      </c>
      <c r="AX358">
        <v>0</v>
      </c>
      <c r="AY358">
        <v>2660</v>
      </c>
      <c r="BC358" t="str">
        <f>T("9791164370955")</f>
        <v>9791164370955</v>
      </c>
      <c r="BE358" t="str">
        <f>T("로맨스 e북 &gt; 현대물")</f>
        <v>로맨스 e북 &gt; 현대물</v>
      </c>
      <c r="BF358" t="str">
        <f>T("로맨스 e북 &gt; 19+")</f>
        <v>로맨스 e북 &gt; 19+</v>
      </c>
    </row>
    <row r="359" spans="1:58" x14ac:dyDescent="0.3">
      <c r="A359">
        <v>2313020108</v>
      </c>
      <c r="B359">
        <v>2313020163</v>
      </c>
      <c r="C359" t="str">
        <f>T("아빠는 마교대장 56화")</f>
        <v>아빠는 마교대장 56화</v>
      </c>
      <c r="D359" t="str">
        <f>T("56")</f>
        <v>56</v>
      </c>
      <c r="E359" t="str">
        <f>T("구땡")</f>
        <v>구땡</v>
      </c>
      <c r="H359" t="str">
        <f>T("스토리위즈")</f>
        <v>스토리위즈</v>
      </c>
      <c r="I359" t="str">
        <f>T("아빠는 마교대장")</f>
        <v>아빠는 마교대장</v>
      </c>
      <c r="J359">
        <v>100</v>
      </c>
      <c r="K359">
        <v>3800</v>
      </c>
      <c r="L359">
        <v>38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3800</v>
      </c>
      <c r="AH359">
        <v>38</v>
      </c>
      <c r="AI359">
        <v>0</v>
      </c>
      <c r="AJ359">
        <v>0</v>
      </c>
      <c r="AK359">
        <v>3600</v>
      </c>
      <c r="AL359">
        <v>0</v>
      </c>
      <c r="AM359">
        <v>240</v>
      </c>
      <c r="AN359">
        <v>-72</v>
      </c>
      <c r="AO359">
        <v>0</v>
      </c>
      <c r="AP359"/>
      <c r="AQ359">
        <v>0</v>
      </c>
      <c r="AR359">
        <v>0</v>
      </c>
      <c r="AS359">
        <v>240</v>
      </c>
      <c r="AT359">
        <v>-72</v>
      </c>
      <c r="AU359">
        <v>0</v>
      </c>
      <c r="AW359">
        <v>0</v>
      </c>
      <c r="AX359">
        <v>0</v>
      </c>
      <c r="AY359">
        <v>2637.6</v>
      </c>
      <c r="BC359" t="str">
        <f>T("9791137602076")</f>
        <v>9791137602076</v>
      </c>
      <c r="BE359" t="str">
        <f>T("판타지 웹소설 &gt; 무협 소설")</f>
        <v>판타지 웹소설 &gt; 무협 소설</v>
      </c>
    </row>
    <row r="360" spans="1:58" x14ac:dyDescent="0.3">
      <c r="A360">
        <v>2313018577</v>
      </c>
      <c r="B360">
        <v>2313018579</v>
      </c>
      <c r="C360" t="str">
        <f>T("[e북]나의 시고르자브종 3권 (완결)")</f>
        <v>[e북]나의 시고르자브종 3권 (완결)</v>
      </c>
      <c r="D360" t="str">
        <f>T("3")</f>
        <v>3</v>
      </c>
      <c r="E360" t="str">
        <f>T("두나래")</f>
        <v>두나래</v>
      </c>
      <c r="H360" t="str">
        <f>T("앰퍼샌드B")</f>
        <v>앰퍼샌드B</v>
      </c>
      <c r="I360" t="str">
        <f>T("[e북]나의 시고르자브종")</f>
        <v>[e북]나의 시고르자브종</v>
      </c>
      <c r="J360">
        <v>3700</v>
      </c>
      <c r="K360">
        <v>3700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3700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4440</v>
      </c>
      <c r="AN360">
        <v>-444</v>
      </c>
      <c r="AO360">
        <v>0</v>
      </c>
      <c r="AP360"/>
      <c r="AQ360">
        <v>0</v>
      </c>
      <c r="AR360">
        <v>0</v>
      </c>
      <c r="AS360">
        <v>4440</v>
      </c>
      <c r="AT360">
        <v>-444</v>
      </c>
      <c r="AU360">
        <v>0</v>
      </c>
      <c r="AW360">
        <v>0</v>
      </c>
      <c r="AX360">
        <v>0</v>
      </c>
      <c r="AY360">
        <v>2797.2</v>
      </c>
      <c r="BC360" t="str">
        <f>T("9791137604261")</f>
        <v>9791137604261</v>
      </c>
      <c r="BE360" t="str">
        <f>T("BL 소설 e북 &gt; 현대물")</f>
        <v>BL 소설 e북 &gt; 현대물</v>
      </c>
    </row>
    <row r="361" spans="1:58" x14ac:dyDescent="0.3">
      <c r="A361">
        <v>2313016834</v>
      </c>
      <c r="B361">
        <v>2313016833</v>
      </c>
      <c r="C361" t="str">
        <f>T("[e북]우리야, 이리온 (외전증보판) 2권")</f>
        <v>[e북]우리야, 이리온 (외전증보판) 2권</v>
      </c>
      <c r="D361" t="str">
        <f>T("2")</f>
        <v>2</v>
      </c>
      <c r="E361" t="str">
        <f>T("김온별")</f>
        <v>김온별</v>
      </c>
      <c r="H361" t="str">
        <f>T("도서출판 태랑")</f>
        <v>도서출판 태랑</v>
      </c>
      <c r="I361" t="str">
        <f>T("[e북]우리야, 이리온 (외전증보판)")</f>
        <v>[e북]우리야, 이리온 (외전증보판)</v>
      </c>
      <c r="J361">
        <v>3600</v>
      </c>
      <c r="K361">
        <v>3600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3600</v>
      </c>
      <c r="AH361">
        <v>1</v>
      </c>
      <c r="AI361">
        <v>0</v>
      </c>
      <c r="AJ361">
        <v>0</v>
      </c>
      <c r="AK361">
        <v>3600</v>
      </c>
      <c r="AL361">
        <v>0</v>
      </c>
      <c r="AM361">
        <v>0</v>
      </c>
      <c r="AN361">
        <v>0</v>
      </c>
      <c r="AO361">
        <v>0</v>
      </c>
      <c r="AP361"/>
      <c r="AQ361">
        <v>0</v>
      </c>
      <c r="AR361">
        <v>0</v>
      </c>
      <c r="AT361">
        <v>0</v>
      </c>
      <c r="AU361">
        <v>0</v>
      </c>
      <c r="AW361">
        <v>0</v>
      </c>
      <c r="AX361">
        <v>0</v>
      </c>
      <c r="AY361">
        <v>2520</v>
      </c>
      <c r="BC361" t="str">
        <f>T("9791164374946")</f>
        <v>9791164374946</v>
      </c>
      <c r="BE361" t="str">
        <f>T("로맨스 e북 &gt; 현대물")</f>
        <v>로맨스 e북 &gt; 현대물</v>
      </c>
      <c r="BF361" t="str">
        <f>T("로맨스 e북 &gt; 19+")</f>
        <v>로맨스 e북 &gt; 19+</v>
      </c>
    </row>
    <row r="362" spans="1:58" x14ac:dyDescent="0.3">
      <c r="A362">
        <v>2313016834</v>
      </c>
      <c r="B362">
        <v>2313016834</v>
      </c>
      <c r="C362" t="str">
        <f>T("[e북]우리야, 이리온 (외전증보판) 1권")</f>
        <v>[e북]우리야, 이리온 (외전증보판) 1권</v>
      </c>
      <c r="D362" t="str">
        <f>T("1")</f>
        <v>1</v>
      </c>
      <c r="E362" t="str">
        <f>T("김온별")</f>
        <v>김온별</v>
      </c>
      <c r="H362" t="str">
        <f>T("도서출판 태랑")</f>
        <v>도서출판 태랑</v>
      </c>
      <c r="I362" t="str">
        <f>T("[e북]우리야, 이리온 (외전증보판)")</f>
        <v>[e북]우리야, 이리온 (외전증보판)</v>
      </c>
      <c r="J362">
        <v>3600</v>
      </c>
      <c r="K362">
        <v>3600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3600</v>
      </c>
      <c r="AH362">
        <v>1</v>
      </c>
      <c r="AI362">
        <v>0</v>
      </c>
      <c r="AJ362">
        <v>0</v>
      </c>
      <c r="AK362">
        <v>3600</v>
      </c>
      <c r="AL362">
        <v>0</v>
      </c>
      <c r="AM362">
        <v>0</v>
      </c>
      <c r="AN362">
        <v>0</v>
      </c>
      <c r="AO362">
        <v>0</v>
      </c>
      <c r="AP362"/>
      <c r="AQ362">
        <v>0</v>
      </c>
      <c r="AR362">
        <v>0</v>
      </c>
      <c r="AT362">
        <v>0</v>
      </c>
      <c r="AU362">
        <v>0</v>
      </c>
      <c r="AW362">
        <v>0</v>
      </c>
      <c r="AX362">
        <v>0</v>
      </c>
      <c r="AY362">
        <v>2520</v>
      </c>
      <c r="BC362" t="str">
        <f>T("9791164374939")</f>
        <v>9791164374939</v>
      </c>
      <c r="BE362" t="str">
        <f>T("로맨스 e북 &gt; 현대물")</f>
        <v>로맨스 e북 &gt; 현대물</v>
      </c>
      <c r="BF362" t="str">
        <f>T("로맨스 e북 &gt; 19+")</f>
        <v>로맨스 e북 &gt; 19+</v>
      </c>
    </row>
    <row r="363" spans="1:58" x14ac:dyDescent="0.3">
      <c r="A363">
        <v>2313017016</v>
      </c>
      <c r="B363">
        <v>2313016978</v>
      </c>
      <c r="C363" t="str">
        <f>T("[e북]트리거 (외전)")</f>
        <v>[e북]트리거 (외전)</v>
      </c>
      <c r="D363" t="str">
        <f>T("2")</f>
        <v>2</v>
      </c>
      <c r="E363" t="str">
        <f>T("블랙커피")</f>
        <v>블랙커피</v>
      </c>
      <c r="H363" t="str">
        <f>T("도서출판 태랑")</f>
        <v>도서출판 태랑</v>
      </c>
      <c r="I363" t="str">
        <f>T("[e북]트리거")</f>
        <v>[e북]트리거</v>
      </c>
      <c r="J363">
        <v>600</v>
      </c>
      <c r="K363">
        <v>3600</v>
      </c>
      <c r="L363">
        <v>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3600</v>
      </c>
      <c r="AH363">
        <v>6</v>
      </c>
      <c r="AI363">
        <v>0</v>
      </c>
      <c r="AJ363">
        <v>0</v>
      </c>
      <c r="AK363">
        <v>3600</v>
      </c>
      <c r="AL363">
        <v>0</v>
      </c>
      <c r="AM363">
        <v>0</v>
      </c>
      <c r="AN363">
        <v>0</v>
      </c>
      <c r="AO363">
        <v>0</v>
      </c>
      <c r="AP363"/>
      <c r="AQ363">
        <v>0</v>
      </c>
      <c r="AR363">
        <v>0</v>
      </c>
      <c r="AT363">
        <v>0</v>
      </c>
      <c r="AU363">
        <v>0</v>
      </c>
      <c r="AW363">
        <v>0</v>
      </c>
      <c r="AX363">
        <v>0</v>
      </c>
      <c r="AY363">
        <v>2520</v>
      </c>
      <c r="BC363" t="str">
        <f>T("9791164372331")</f>
        <v>9791164372331</v>
      </c>
      <c r="BE363" t="str">
        <f>T("BL 소설 e북 &gt; 현대물")</f>
        <v>BL 소설 e북 &gt; 현대물</v>
      </c>
    </row>
    <row r="364" spans="1:58" x14ac:dyDescent="0.3">
      <c r="A364">
        <v>2313017104</v>
      </c>
      <c r="B364">
        <v>2313017104</v>
      </c>
      <c r="C364" t="str">
        <f>T("[e북]아프오 안 아프오 나는 1권")</f>
        <v>[e북]아프오 안 아프오 나는 1권</v>
      </c>
      <c r="D364" t="str">
        <f>T("1")</f>
        <v>1</v>
      </c>
      <c r="E364" t="str">
        <f>T("주이서")</f>
        <v>주이서</v>
      </c>
      <c r="H364" t="str">
        <f>T("도서출판 태랑")</f>
        <v>도서출판 태랑</v>
      </c>
      <c r="I364" t="str">
        <f>T("[e북]아프오 안 아프오 나는")</f>
        <v>[e북]아프오 안 아프오 나는</v>
      </c>
      <c r="J364">
        <v>3600</v>
      </c>
      <c r="K364">
        <v>3600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3600</v>
      </c>
      <c r="AH364">
        <v>1</v>
      </c>
      <c r="AI364">
        <v>0</v>
      </c>
      <c r="AJ364">
        <v>0</v>
      </c>
      <c r="AK364">
        <v>3600</v>
      </c>
      <c r="AL364">
        <v>0</v>
      </c>
      <c r="AM364">
        <v>0</v>
      </c>
      <c r="AN364">
        <v>0</v>
      </c>
      <c r="AO364">
        <v>0</v>
      </c>
      <c r="AP364"/>
      <c r="AQ364">
        <v>0</v>
      </c>
      <c r="AR364">
        <v>0</v>
      </c>
      <c r="AT364">
        <v>0</v>
      </c>
      <c r="AU364">
        <v>0</v>
      </c>
      <c r="AW364">
        <v>0</v>
      </c>
      <c r="AX364">
        <v>0</v>
      </c>
      <c r="AY364">
        <v>2520</v>
      </c>
      <c r="BC364" t="str">
        <f>T("9791189627850")</f>
        <v>9791189627850</v>
      </c>
      <c r="BE364" t="str">
        <f>T("BL 소설 e북 &gt; 역사/시대물")</f>
        <v>BL 소설 e북 &gt; 역사/시대물</v>
      </c>
    </row>
    <row r="365" spans="1:58" x14ac:dyDescent="0.3">
      <c r="A365">
        <v>2313020108</v>
      </c>
      <c r="B365">
        <v>2313020164</v>
      </c>
      <c r="C365" t="str">
        <f>T("아빠는 마교대장 57화")</f>
        <v>아빠는 마교대장 57화</v>
      </c>
      <c r="D365" t="str">
        <f>T("57")</f>
        <v>57</v>
      </c>
      <c r="E365" t="str">
        <f>T("구땡")</f>
        <v>구땡</v>
      </c>
      <c r="H365" t="str">
        <f>T("스토리위즈")</f>
        <v>스토리위즈</v>
      </c>
      <c r="I365" t="str">
        <f>T("아빠는 마교대장")</f>
        <v>아빠는 마교대장</v>
      </c>
      <c r="J365">
        <v>100</v>
      </c>
      <c r="K365">
        <v>3600</v>
      </c>
      <c r="L365">
        <v>36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3600</v>
      </c>
      <c r="AH365">
        <v>36</v>
      </c>
      <c r="AI365">
        <v>0</v>
      </c>
      <c r="AJ365">
        <v>0</v>
      </c>
      <c r="AK365">
        <v>3400</v>
      </c>
      <c r="AL365">
        <v>0</v>
      </c>
      <c r="AM365">
        <v>240</v>
      </c>
      <c r="AN365">
        <v>-72</v>
      </c>
      <c r="AO365">
        <v>0</v>
      </c>
      <c r="AP365"/>
      <c r="AQ365">
        <v>0</v>
      </c>
      <c r="AR365">
        <v>0</v>
      </c>
      <c r="AS365">
        <v>240</v>
      </c>
      <c r="AT365">
        <v>-72</v>
      </c>
      <c r="AU365">
        <v>0</v>
      </c>
      <c r="AW365">
        <v>0</v>
      </c>
      <c r="AX365">
        <v>0</v>
      </c>
      <c r="AY365">
        <v>2497.6</v>
      </c>
      <c r="BC365" t="str">
        <f>T("9791137602076")</f>
        <v>9791137602076</v>
      </c>
      <c r="BE365" t="str">
        <f>T("판타지 웹소설 &gt; 무협 소설")</f>
        <v>판타지 웹소설 &gt; 무협 소설</v>
      </c>
    </row>
    <row r="366" spans="1:58" x14ac:dyDescent="0.3">
      <c r="A366">
        <v>2313016889</v>
      </c>
      <c r="B366">
        <v>2313016888</v>
      </c>
      <c r="C366" t="str">
        <f>T("[e북]얼어 죽어도, 겨울 (외전증보판) 2권 (완결)")</f>
        <v>[e북]얼어 죽어도, 겨울 (외전증보판) 2권 (완결)</v>
      </c>
      <c r="D366" t="str">
        <f>T("2")</f>
        <v>2</v>
      </c>
      <c r="E366" t="str">
        <f>T("진새벽")</f>
        <v>진새벽</v>
      </c>
      <c r="H366" t="str">
        <f>T("도서출판 태랑")</f>
        <v>도서출판 태랑</v>
      </c>
      <c r="I366" t="str">
        <f>T("[e북]얼어 죽어도, 겨울 (외전증보판)")</f>
        <v>[e북]얼어 죽어도, 겨울 (외전증보판)</v>
      </c>
      <c r="J366">
        <v>3500</v>
      </c>
      <c r="K366">
        <v>3500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3500</v>
      </c>
      <c r="AH366">
        <v>1</v>
      </c>
      <c r="AI366">
        <v>0</v>
      </c>
      <c r="AJ366">
        <v>0</v>
      </c>
      <c r="AK366">
        <v>3500</v>
      </c>
      <c r="AL366">
        <v>0</v>
      </c>
      <c r="AM366">
        <v>0</v>
      </c>
      <c r="AN366">
        <v>0</v>
      </c>
      <c r="AO366">
        <v>0</v>
      </c>
      <c r="AP366"/>
      <c r="AQ366">
        <v>0</v>
      </c>
      <c r="AR366">
        <v>0</v>
      </c>
      <c r="AT366">
        <v>0</v>
      </c>
      <c r="AU366">
        <v>0</v>
      </c>
      <c r="AW366">
        <v>0</v>
      </c>
      <c r="AX366">
        <v>0</v>
      </c>
      <c r="AY366">
        <v>2450</v>
      </c>
      <c r="BC366" t="str">
        <f>T("9791164373741")</f>
        <v>9791164373741</v>
      </c>
      <c r="BE366" t="str">
        <f>T("로맨스 e북 &gt; 현대물")</f>
        <v>로맨스 e북 &gt; 현대물</v>
      </c>
      <c r="BF366" t="str">
        <f>T("로맨스 e북 &gt; 19+")</f>
        <v>로맨스 e북 &gt; 19+</v>
      </c>
    </row>
    <row r="367" spans="1:58" x14ac:dyDescent="0.3">
      <c r="A367">
        <v>2313016889</v>
      </c>
      <c r="B367">
        <v>2313016889</v>
      </c>
      <c r="C367" t="str">
        <f>T("[e북]얼어 죽어도, 겨울 (외전증보판) 1권")</f>
        <v>[e북]얼어 죽어도, 겨울 (외전증보판) 1권</v>
      </c>
      <c r="D367" t="str">
        <f>T("1")</f>
        <v>1</v>
      </c>
      <c r="E367" t="str">
        <f>T("진새벽")</f>
        <v>진새벽</v>
      </c>
      <c r="H367" t="str">
        <f>T("도서출판 태랑")</f>
        <v>도서출판 태랑</v>
      </c>
      <c r="I367" t="str">
        <f>T("[e북]얼어 죽어도, 겨울 (외전증보판)")</f>
        <v>[e북]얼어 죽어도, 겨울 (외전증보판)</v>
      </c>
      <c r="J367">
        <v>3500</v>
      </c>
      <c r="K367">
        <v>3500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3500</v>
      </c>
      <c r="AH367">
        <v>1</v>
      </c>
      <c r="AI367">
        <v>0</v>
      </c>
      <c r="AJ367">
        <v>0</v>
      </c>
      <c r="AK367">
        <v>3500</v>
      </c>
      <c r="AL367">
        <v>0</v>
      </c>
      <c r="AM367">
        <v>0</v>
      </c>
      <c r="AN367">
        <v>0</v>
      </c>
      <c r="AO367">
        <v>0</v>
      </c>
      <c r="AP367"/>
      <c r="AQ367">
        <v>0</v>
      </c>
      <c r="AR367">
        <v>0</v>
      </c>
      <c r="AT367">
        <v>0</v>
      </c>
      <c r="AU367">
        <v>0</v>
      </c>
      <c r="AW367">
        <v>0</v>
      </c>
      <c r="AX367">
        <v>0</v>
      </c>
      <c r="AY367">
        <v>2450</v>
      </c>
      <c r="BC367" t="str">
        <f>T("9791164373734")</f>
        <v>9791164373734</v>
      </c>
      <c r="BE367" t="str">
        <f>T("로맨스 e북 &gt; 현대물")</f>
        <v>로맨스 e북 &gt; 현대물</v>
      </c>
      <c r="BF367" t="str">
        <f>T("로맨스 e북 &gt; 19+")</f>
        <v>로맨스 e북 &gt; 19+</v>
      </c>
    </row>
    <row r="368" spans="1:58" x14ac:dyDescent="0.3">
      <c r="A368">
        <v>2313017132</v>
      </c>
      <c r="B368">
        <v>2313017132</v>
      </c>
      <c r="C368" t="str">
        <f>T("[e북]나는 너를, 너는 나를 1권")</f>
        <v>[e북]나는 너를, 너는 나를 1권</v>
      </c>
      <c r="D368" t="str">
        <f>T("1")</f>
        <v>1</v>
      </c>
      <c r="E368" t="str">
        <f>T("라비니안느")</f>
        <v>라비니안느</v>
      </c>
      <c r="H368" t="str">
        <f>T("도서출판 태랑")</f>
        <v>도서출판 태랑</v>
      </c>
      <c r="I368" t="str">
        <f>T("[e북]나는 너를, 너는 나를 (외전증보판)")</f>
        <v>[e북]나는 너를, 너는 나를 (외전증보판)</v>
      </c>
      <c r="J368">
        <v>3500</v>
      </c>
      <c r="K368">
        <v>3500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3500</v>
      </c>
      <c r="AH368">
        <v>1</v>
      </c>
      <c r="AI368">
        <v>0</v>
      </c>
      <c r="AJ368">
        <v>0</v>
      </c>
      <c r="AK368">
        <v>3500</v>
      </c>
      <c r="AL368">
        <v>0</v>
      </c>
      <c r="AM368">
        <v>0</v>
      </c>
      <c r="AN368">
        <v>0</v>
      </c>
      <c r="AO368">
        <v>0</v>
      </c>
      <c r="AP368"/>
      <c r="AQ368">
        <v>0</v>
      </c>
      <c r="AR368">
        <v>0</v>
      </c>
      <c r="AT368">
        <v>0</v>
      </c>
      <c r="AU368">
        <v>0</v>
      </c>
      <c r="AW368">
        <v>0</v>
      </c>
      <c r="AX368">
        <v>0</v>
      </c>
      <c r="AY368">
        <v>2450</v>
      </c>
      <c r="BC368" t="str">
        <f>T("9791189084547")</f>
        <v>9791189084547</v>
      </c>
      <c r="BE368" t="str">
        <f>T("BL 소설 e북 &gt; 현대물")</f>
        <v>BL 소설 e북 &gt; 현대물</v>
      </c>
    </row>
    <row r="369" spans="1:58" x14ac:dyDescent="0.3">
      <c r="A369">
        <v>2313017145</v>
      </c>
      <c r="B369">
        <v>2313017145</v>
      </c>
      <c r="C369" t="str">
        <f>T("[e북]그땐 미처")</f>
        <v>[e북]그땐 미처</v>
      </c>
      <c r="D369" t="str">
        <f>T("1")</f>
        <v>1</v>
      </c>
      <c r="E369" t="str">
        <f>T("셔틀")</f>
        <v>셔틀</v>
      </c>
      <c r="H369" t="str">
        <f>T("도서출판 태랑")</f>
        <v>도서출판 태랑</v>
      </c>
      <c r="I369" t="str">
        <f>T("[e북]그땐 미처")</f>
        <v>[e북]그땐 미처</v>
      </c>
      <c r="J369">
        <v>3500</v>
      </c>
      <c r="K369">
        <v>3500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3500</v>
      </c>
      <c r="AH369">
        <v>1</v>
      </c>
      <c r="AI369">
        <v>0</v>
      </c>
      <c r="AJ369">
        <v>0</v>
      </c>
      <c r="AK369">
        <v>3500</v>
      </c>
      <c r="AL369">
        <v>0</v>
      </c>
      <c r="AM369">
        <v>0</v>
      </c>
      <c r="AN369">
        <v>0</v>
      </c>
      <c r="AO369">
        <v>0</v>
      </c>
      <c r="AP369"/>
      <c r="AQ369">
        <v>0</v>
      </c>
      <c r="AR369">
        <v>0</v>
      </c>
      <c r="AT369">
        <v>0</v>
      </c>
      <c r="AU369">
        <v>0</v>
      </c>
      <c r="AW369">
        <v>0</v>
      </c>
      <c r="AX369">
        <v>0</v>
      </c>
      <c r="AY369">
        <v>2450</v>
      </c>
      <c r="BC369" t="str">
        <f>T("9791189084608")</f>
        <v>9791189084608</v>
      </c>
      <c r="BE369" t="str">
        <f>T("로맨스 e북 &gt; 현대물")</f>
        <v>로맨스 e북 &gt; 현대물</v>
      </c>
      <c r="BF369" t="str">
        <f>T("로맨스 e북 &gt; 19+")</f>
        <v>로맨스 e북 &gt; 19+</v>
      </c>
    </row>
    <row r="370" spans="1:58" x14ac:dyDescent="0.3">
      <c r="A370">
        <v>2313018097</v>
      </c>
      <c r="B370">
        <v>2313018099</v>
      </c>
      <c r="C370" t="str">
        <f>T("[e북]소투스 에스(SOTUS S) (외전)")</f>
        <v>[e북]소투스 에스(SOTUS S) (외전)</v>
      </c>
      <c r="D370" t="str">
        <f>T("3")</f>
        <v>3</v>
      </c>
      <c r="E370" t="str">
        <f>T("BitterSweet")</f>
        <v>BitterSweet</v>
      </c>
      <c r="F370" t="str">
        <f>T("이범근")</f>
        <v>이범근</v>
      </c>
      <c r="H370" t="str">
        <f>T("도서출판 태랑")</f>
        <v>도서출판 태랑</v>
      </c>
      <c r="I370" t="str">
        <f>T("[e북]소투스 에스(SOTUS S)")</f>
        <v>[e북]소투스 에스(SOTUS S)</v>
      </c>
      <c r="J370">
        <v>700</v>
      </c>
      <c r="K370">
        <v>3500</v>
      </c>
      <c r="L370">
        <v>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3500</v>
      </c>
      <c r="AH370">
        <v>5</v>
      </c>
      <c r="AI370">
        <v>0</v>
      </c>
      <c r="AJ370">
        <v>0</v>
      </c>
      <c r="AK370">
        <v>3500</v>
      </c>
      <c r="AL370">
        <v>0</v>
      </c>
      <c r="AM370">
        <v>0</v>
      </c>
      <c r="AN370">
        <v>0</v>
      </c>
      <c r="AO370">
        <v>0</v>
      </c>
      <c r="AP370"/>
      <c r="AQ370">
        <v>0</v>
      </c>
      <c r="AR370">
        <v>0</v>
      </c>
      <c r="AT370">
        <v>0</v>
      </c>
      <c r="AU370">
        <v>0</v>
      </c>
      <c r="AW370">
        <v>0</v>
      </c>
      <c r="AX370">
        <v>0</v>
      </c>
      <c r="AY370">
        <v>2450</v>
      </c>
      <c r="BC370" t="str">
        <f>T("9791164375158")</f>
        <v>9791164375158</v>
      </c>
      <c r="BE370" t="str">
        <f>T("BL 소설 e북 &gt; 현대물")</f>
        <v>BL 소설 e북 &gt; 현대물</v>
      </c>
    </row>
    <row r="371" spans="1:58" x14ac:dyDescent="0.3">
      <c r="A371">
        <v>2313020108</v>
      </c>
      <c r="B371">
        <v>2313020165</v>
      </c>
      <c r="C371" t="str">
        <f>T("아빠는 마교대장 58화")</f>
        <v>아빠는 마교대장 58화</v>
      </c>
      <c r="D371" t="str">
        <f>T("58")</f>
        <v>58</v>
      </c>
      <c r="E371" t="str">
        <f>T("구땡")</f>
        <v>구땡</v>
      </c>
      <c r="H371" t="str">
        <f>T("스토리위즈")</f>
        <v>스토리위즈</v>
      </c>
      <c r="I371" t="str">
        <f>T("아빠는 마교대장")</f>
        <v>아빠는 마교대장</v>
      </c>
      <c r="J371">
        <v>100</v>
      </c>
      <c r="K371">
        <v>3400</v>
      </c>
      <c r="L371">
        <v>34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3400</v>
      </c>
      <c r="AH371">
        <v>34</v>
      </c>
      <c r="AI371">
        <v>0</v>
      </c>
      <c r="AJ371">
        <v>0</v>
      </c>
      <c r="AK371">
        <v>3200</v>
      </c>
      <c r="AL371">
        <v>0</v>
      </c>
      <c r="AM371">
        <v>240</v>
      </c>
      <c r="AN371">
        <v>-72</v>
      </c>
      <c r="AO371">
        <v>0</v>
      </c>
      <c r="AP371"/>
      <c r="AQ371">
        <v>0</v>
      </c>
      <c r="AR371">
        <v>0</v>
      </c>
      <c r="AS371">
        <v>240</v>
      </c>
      <c r="AT371">
        <v>-72</v>
      </c>
      <c r="AU371">
        <v>0</v>
      </c>
      <c r="AW371">
        <v>0</v>
      </c>
      <c r="AX371">
        <v>0</v>
      </c>
      <c r="AY371">
        <v>2357.6</v>
      </c>
      <c r="BC371" t="str">
        <f>T("9791137602076")</f>
        <v>9791137602076</v>
      </c>
      <c r="BE371" t="str">
        <f>T("판타지 웹소설 &gt; 무협 소설")</f>
        <v>판타지 웹소설 &gt; 무협 소설</v>
      </c>
    </row>
    <row r="372" spans="1:58" x14ac:dyDescent="0.3">
      <c r="A372">
        <v>2313017029</v>
      </c>
      <c r="B372">
        <v>2313017029</v>
      </c>
      <c r="C372" t="str">
        <f>T("[e북]너에게 닿는 순간")</f>
        <v>[e북]너에게 닿는 순간</v>
      </c>
      <c r="D372" t="str">
        <f>T("1")</f>
        <v>1</v>
      </c>
      <c r="E372" t="str">
        <f>T("에피")</f>
        <v>에피</v>
      </c>
      <c r="H372" t="str">
        <f>T("도서출판 태랑")</f>
        <v>도서출판 태랑</v>
      </c>
      <c r="I372" t="str">
        <f>T("[e북]너에게 닿는 순간")</f>
        <v>[e북]너에게 닿는 순간</v>
      </c>
      <c r="J372">
        <v>3300</v>
      </c>
      <c r="K372">
        <v>3300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3300</v>
      </c>
      <c r="AH372">
        <v>1</v>
      </c>
      <c r="AI372">
        <v>0</v>
      </c>
      <c r="AJ372">
        <v>0</v>
      </c>
      <c r="AK372">
        <v>3300</v>
      </c>
      <c r="AL372">
        <v>0</v>
      </c>
      <c r="AM372">
        <v>0</v>
      </c>
      <c r="AN372">
        <v>0</v>
      </c>
      <c r="AO372">
        <v>0</v>
      </c>
      <c r="AP372"/>
      <c r="AQ372">
        <v>0</v>
      </c>
      <c r="AR372">
        <v>0</v>
      </c>
      <c r="AT372">
        <v>0</v>
      </c>
      <c r="AU372">
        <v>0</v>
      </c>
      <c r="AW372">
        <v>0</v>
      </c>
      <c r="AX372">
        <v>0</v>
      </c>
      <c r="AY372">
        <v>2310</v>
      </c>
      <c r="BC372" t="str">
        <f>T("9791164371785")</f>
        <v>9791164371785</v>
      </c>
      <c r="BE372" t="str">
        <f>T("로맨스 e북 &gt; 현대물")</f>
        <v>로맨스 e북 &gt; 현대물</v>
      </c>
      <c r="BF372" t="str">
        <f>T("로맨스 e북 &gt; 19+")</f>
        <v>로맨스 e북 &gt; 19+</v>
      </c>
    </row>
    <row r="373" spans="1:58" x14ac:dyDescent="0.3">
      <c r="A373">
        <v>2313017096</v>
      </c>
      <c r="B373">
        <v>2313017095</v>
      </c>
      <c r="C373" t="str">
        <f>T("[e북]욕망하다 2권 (완결)")</f>
        <v>[e북]욕망하다 2권 (완결)</v>
      </c>
      <c r="D373" t="str">
        <f>T("2")</f>
        <v>2</v>
      </c>
      <c r="E373" t="str">
        <f>T("라비니안느")</f>
        <v>라비니안느</v>
      </c>
      <c r="H373" t="str">
        <f>T("도서출판 태랑")</f>
        <v>도서출판 태랑</v>
      </c>
      <c r="I373" t="str">
        <f>T("[e북]욕망하다")</f>
        <v>[e북]욕망하다</v>
      </c>
      <c r="J373">
        <v>3300</v>
      </c>
      <c r="K373">
        <v>3300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3300</v>
      </c>
      <c r="AH373">
        <v>1</v>
      </c>
      <c r="AI373">
        <v>0</v>
      </c>
      <c r="AJ373">
        <v>0</v>
      </c>
      <c r="AK373">
        <v>3300</v>
      </c>
      <c r="AL373">
        <v>0</v>
      </c>
      <c r="AM373">
        <v>0</v>
      </c>
      <c r="AN373">
        <v>0</v>
      </c>
      <c r="AO373">
        <v>0</v>
      </c>
      <c r="AP373"/>
      <c r="AQ373">
        <v>0</v>
      </c>
      <c r="AR373">
        <v>0</v>
      </c>
      <c r="AT373">
        <v>0</v>
      </c>
      <c r="AU373">
        <v>0</v>
      </c>
      <c r="AW373">
        <v>0</v>
      </c>
      <c r="AX373">
        <v>0</v>
      </c>
      <c r="AY373">
        <v>2310</v>
      </c>
      <c r="BC373" t="str">
        <f>T("9791189627331")</f>
        <v>9791189627331</v>
      </c>
      <c r="BE373" t="str">
        <f>T("BL 소설 e북 &gt; 현대물")</f>
        <v>BL 소설 e북 &gt; 현대물</v>
      </c>
    </row>
    <row r="374" spans="1:58" x14ac:dyDescent="0.3">
      <c r="A374">
        <v>2313020108</v>
      </c>
      <c r="B374">
        <v>2313020166</v>
      </c>
      <c r="C374" t="str">
        <f>T("아빠는 마교대장 59화")</f>
        <v>아빠는 마교대장 59화</v>
      </c>
      <c r="D374" t="str">
        <f>T("59")</f>
        <v>59</v>
      </c>
      <c r="E374" t="str">
        <f>T("구땡")</f>
        <v>구땡</v>
      </c>
      <c r="H374" t="str">
        <f t="shared" ref="H374:H395" si="49">T("스토리위즈")</f>
        <v>스토리위즈</v>
      </c>
      <c r="I374" t="str">
        <f>T("아빠는 마교대장")</f>
        <v>아빠는 마교대장</v>
      </c>
      <c r="J374">
        <v>100</v>
      </c>
      <c r="K374">
        <v>3300</v>
      </c>
      <c r="L374">
        <v>33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3300</v>
      </c>
      <c r="AH374">
        <v>33</v>
      </c>
      <c r="AI374">
        <v>0</v>
      </c>
      <c r="AJ374">
        <v>0</v>
      </c>
      <c r="AK374">
        <v>3100</v>
      </c>
      <c r="AL374">
        <v>0</v>
      </c>
      <c r="AM374">
        <v>240</v>
      </c>
      <c r="AN374">
        <v>-72</v>
      </c>
      <c r="AO374">
        <v>0</v>
      </c>
      <c r="AP374"/>
      <c r="AQ374">
        <v>0</v>
      </c>
      <c r="AR374">
        <v>0</v>
      </c>
      <c r="AS374">
        <v>240</v>
      </c>
      <c r="AT374">
        <v>-72</v>
      </c>
      <c r="AU374">
        <v>0</v>
      </c>
      <c r="AW374">
        <v>0</v>
      </c>
      <c r="AX374">
        <v>0</v>
      </c>
      <c r="AY374">
        <v>2287.6</v>
      </c>
      <c r="BC374" t="str">
        <f>T("9791137602076")</f>
        <v>9791137602076</v>
      </c>
      <c r="BE374" t="str">
        <f>T("판타지 웹소설 &gt; 무협 소설")</f>
        <v>판타지 웹소설 &gt; 무협 소설</v>
      </c>
    </row>
    <row r="375" spans="1:58" x14ac:dyDescent="0.3">
      <c r="A375">
        <v>2313020108</v>
      </c>
      <c r="B375">
        <v>2313020176</v>
      </c>
      <c r="C375" t="str">
        <f>T("아빠는 마교대장 69화")</f>
        <v>아빠는 마교대장 69화</v>
      </c>
      <c r="D375" t="str">
        <f>T("69")</f>
        <v>69</v>
      </c>
      <c r="E375" t="str">
        <f>T("구땡")</f>
        <v>구땡</v>
      </c>
      <c r="H375" t="str">
        <f t="shared" si="49"/>
        <v>스토리위즈</v>
      </c>
      <c r="I375" t="str">
        <f>T("아빠는 마교대장")</f>
        <v>아빠는 마교대장</v>
      </c>
      <c r="J375">
        <v>100</v>
      </c>
      <c r="K375">
        <v>3300</v>
      </c>
      <c r="L375">
        <v>33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3300</v>
      </c>
      <c r="AH375">
        <v>33</v>
      </c>
      <c r="AI375">
        <v>0</v>
      </c>
      <c r="AJ375">
        <v>0</v>
      </c>
      <c r="AK375">
        <v>3000</v>
      </c>
      <c r="AL375">
        <v>0</v>
      </c>
      <c r="AM375">
        <v>360</v>
      </c>
      <c r="AN375">
        <v>-108</v>
      </c>
      <c r="AO375">
        <v>0</v>
      </c>
      <c r="AP375"/>
      <c r="AQ375">
        <v>0</v>
      </c>
      <c r="AR375">
        <v>0</v>
      </c>
      <c r="AS375">
        <v>360</v>
      </c>
      <c r="AT375">
        <v>-108</v>
      </c>
      <c r="AU375">
        <v>0</v>
      </c>
      <c r="AW375">
        <v>0</v>
      </c>
      <c r="AX375">
        <v>0</v>
      </c>
      <c r="AY375">
        <v>2276.4</v>
      </c>
      <c r="BC375" t="str">
        <f>T("9791137602076")</f>
        <v>9791137602076</v>
      </c>
      <c r="BE375" t="str">
        <f>T("판타지 웹소설 &gt; 무협 소설")</f>
        <v>판타지 웹소설 &gt; 무협 소설</v>
      </c>
    </row>
    <row r="376" spans="1:58" x14ac:dyDescent="0.3">
      <c r="A376">
        <v>2313007047</v>
      </c>
      <c r="B376">
        <v>2313007048</v>
      </c>
      <c r="C376" t="str">
        <f>T("[e북]삼국지 호접몽전 1부 2권")</f>
        <v>[e북]삼국지 호접몽전 1부 2권</v>
      </c>
      <c r="D376" t="str">
        <f>T("2")</f>
        <v>2</v>
      </c>
      <c r="E376" t="str">
        <f t="shared" ref="E376:E383" si="50">T("청빙")</f>
        <v>청빙</v>
      </c>
      <c r="H376" t="str">
        <f t="shared" si="49"/>
        <v>스토리위즈</v>
      </c>
      <c r="I376" t="str">
        <f t="shared" ref="I376:I383" si="51">T("[e북]삼국지 호접몽전")</f>
        <v>[e북]삼국지 호접몽전</v>
      </c>
      <c r="J376">
        <v>3200</v>
      </c>
      <c r="K376">
        <v>3200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3200</v>
      </c>
      <c r="AH376">
        <v>1</v>
      </c>
      <c r="AI376">
        <v>0</v>
      </c>
      <c r="AJ376">
        <v>0</v>
      </c>
      <c r="AK376">
        <v>320</v>
      </c>
      <c r="AL376">
        <v>0</v>
      </c>
      <c r="AM376">
        <v>3456</v>
      </c>
      <c r="AN376">
        <v>-345.6</v>
      </c>
      <c r="AO376">
        <v>0</v>
      </c>
      <c r="AP376"/>
      <c r="AQ376">
        <v>0</v>
      </c>
      <c r="AR376">
        <v>0</v>
      </c>
      <c r="AS376">
        <v>3456</v>
      </c>
      <c r="AT376">
        <v>-345.6</v>
      </c>
      <c r="AU376">
        <v>0</v>
      </c>
      <c r="AW376">
        <v>0</v>
      </c>
      <c r="AX376">
        <v>0</v>
      </c>
      <c r="AY376">
        <v>2401.2800000000002</v>
      </c>
      <c r="BC376" t="str">
        <f>T("9791159289224")</f>
        <v>9791159289224</v>
      </c>
      <c r="BE376" t="str">
        <f t="shared" ref="BE376:BE383" si="52">T("판타지 e북 &gt; 퓨전 판타지")</f>
        <v>판타지 e북 &gt; 퓨전 판타지</v>
      </c>
    </row>
    <row r="377" spans="1:58" x14ac:dyDescent="0.3">
      <c r="A377">
        <v>2313007047</v>
      </c>
      <c r="B377">
        <v>2313007049</v>
      </c>
      <c r="C377" t="str">
        <f>T("[e북]삼국지 호접몽전 1부 3권")</f>
        <v>[e북]삼국지 호접몽전 1부 3권</v>
      </c>
      <c r="D377" t="str">
        <f>T("3")</f>
        <v>3</v>
      </c>
      <c r="E377" t="str">
        <f t="shared" si="50"/>
        <v>청빙</v>
      </c>
      <c r="H377" t="str">
        <f t="shared" si="49"/>
        <v>스토리위즈</v>
      </c>
      <c r="I377" t="str">
        <f t="shared" si="51"/>
        <v>[e북]삼국지 호접몽전</v>
      </c>
      <c r="J377">
        <v>3200</v>
      </c>
      <c r="K377">
        <v>3200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3200</v>
      </c>
      <c r="AH377">
        <v>1</v>
      </c>
      <c r="AI377">
        <v>0</v>
      </c>
      <c r="AJ377">
        <v>0</v>
      </c>
      <c r="AK377">
        <v>2620</v>
      </c>
      <c r="AL377">
        <v>0</v>
      </c>
      <c r="AM377">
        <v>696</v>
      </c>
      <c r="AN377">
        <v>-69.599999999999994</v>
      </c>
      <c r="AO377">
        <v>0</v>
      </c>
      <c r="AP377"/>
      <c r="AQ377">
        <v>0</v>
      </c>
      <c r="AR377">
        <v>0</v>
      </c>
      <c r="AS377">
        <v>696</v>
      </c>
      <c r="AT377">
        <v>-69.599999999999994</v>
      </c>
      <c r="AU377">
        <v>0</v>
      </c>
      <c r="AW377">
        <v>0</v>
      </c>
      <c r="AX377">
        <v>0</v>
      </c>
      <c r="AY377">
        <v>2272.48</v>
      </c>
      <c r="BC377" t="str">
        <f>T("9791159289231")</f>
        <v>9791159289231</v>
      </c>
      <c r="BE377" t="str">
        <f t="shared" si="52"/>
        <v>판타지 e북 &gt; 퓨전 판타지</v>
      </c>
    </row>
    <row r="378" spans="1:58" x14ac:dyDescent="0.3">
      <c r="A378">
        <v>2313007047</v>
      </c>
      <c r="B378">
        <v>2313007050</v>
      </c>
      <c r="C378" t="str">
        <f>T("[e북]삼국지 호접몽전 1부 4권")</f>
        <v>[e북]삼국지 호접몽전 1부 4권</v>
      </c>
      <c r="D378" t="str">
        <f>T("4")</f>
        <v>4</v>
      </c>
      <c r="E378" t="str">
        <f t="shared" si="50"/>
        <v>청빙</v>
      </c>
      <c r="H378" t="str">
        <f t="shared" si="49"/>
        <v>스토리위즈</v>
      </c>
      <c r="I378" t="str">
        <f t="shared" si="51"/>
        <v>[e북]삼국지 호접몽전</v>
      </c>
      <c r="J378">
        <v>3200</v>
      </c>
      <c r="K378">
        <v>3200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3200</v>
      </c>
      <c r="AH378">
        <v>1</v>
      </c>
      <c r="AI378">
        <v>0</v>
      </c>
      <c r="AJ378">
        <v>0</v>
      </c>
      <c r="AK378">
        <v>1420</v>
      </c>
      <c r="AL378">
        <v>0</v>
      </c>
      <c r="AM378">
        <v>2136</v>
      </c>
      <c r="AN378">
        <v>-213.6</v>
      </c>
      <c r="AO378">
        <v>0</v>
      </c>
      <c r="AP378"/>
      <c r="AQ378">
        <v>0</v>
      </c>
      <c r="AR378">
        <v>0</v>
      </c>
      <c r="AS378">
        <v>2136</v>
      </c>
      <c r="AT378">
        <v>-213.6</v>
      </c>
      <c r="AU378">
        <v>0</v>
      </c>
      <c r="AW378">
        <v>0</v>
      </c>
      <c r="AX378">
        <v>0</v>
      </c>
      <c r="AY378">
        <v>2339.6799999999998</v>
      </c>
      <c r="BC378" t="str">
        <f>T("9791159289248")</f>
        <v>9791159289248</v>
      </c>
      <c r="BE378" t="str">
        <f t="shared" si="52"/>
        <v>판타지 e북 &gt; 퓨전 판타지</v>
      </c>
    </row>
    <row r="379" spans="1:58" x14ac:dyDescent="0.3">
      <c r="A379">
        <v>2313007047</v>
      </c>
      <c r="B379">
        <v>2313007051</v>
      </c>
      <c r="C379" t="str">
        <f>T("[e북]삼국지 호접몽전 1부 5권")</f>
        <v>[e북]삼국지 호접몽전 1부 5권</v>
      </c>
      <c r="D379" t="str">
        <f>T("5")</f>
        <v>5</v>
      </c>
      <c r="E379" t="str">
        <f t="shared" si="50"/>
        <v>청빙</v>
      </c>
      <c r="H379" t="str">
        <f t="shared" si="49"/>
        <v>스토리위즈</v>
      </c>
      <c r="I379" t="str">
        <f t="shared" si="51"/>
        <v>[e북]삼국지 호접몽전</v>
      </c>
      <c r="J379">
        <v>3200</v>
      </c>
      <c r="K379">
        <v>3200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3200</v>
      </c>
      <c r="AH379">
        <v>1</v>
      </c>
      <c r="AI379">
        <v>0</v>
      </c>
      <c r="AJ379">
        <v>0</v>
      </c>
      <c r="AK379">
        <v>3200</v>
      </c>
      <c r="AL379">
        <v>0</v>
      </c>
      <c r="AM379">
        <v>0</v>
      </c>
      <c r="AN379">
        <v>0</v>
      </c>
      <c r="AO379">
        <v>0</v>
      </c>
      <c r="AP379"/>
      <c r="AQ379">
        <v>0</v>
      </c>
      <c r="AR379">
        <v>0</v>
      </c>
      <c r="AT379">
        <v>0</v>
      </c>
      <c r="AU379">
        <v>0</v>
      </c>
      <c r="AW379">
        <v>0</v>
      </c>
      <c r="AX379">
        <v>0</v>
      </c>
      <c r="AY379">
        <v>2240</v>
      </c>
      <c r="BC379" t="str">
        <f>T("9791159289255")</f>
        <v>9791159289255</v>
      </c>
      <c r="BE379" t="str">
        <f t="shared" si="52"/>
        <v>판타지 e북 &gt; 퓨전 판타지</v>
      </c>
    </row>
    <row r="380" spans="1:58" x14ac:dyDescent="0.3">
      <c r="A380">
        <v>2313007047</v>
      </c>
      <c r="B380">
        <v>2313007052</v>
      </c>
      <c r="C380" t="str">
        <f>T("[e북]삼국지 호접몽전 1부 6권")</f>
        <v>[e북]삼국지 호접몽전 1부 6권</v>
      </c>
      <c r="D380" t="str">
        <f>T("6")</f>
        <v>6</v>
      </c>
      <c r="E380" t="str">
        <f t="shared" si="50"/>
        <v>청빙</v>
      </c>
      <c r="H380" t="str">
        <f t="shared" si="49"/>
        <v>스토리위즈</v>
      </c>
      <c r="I380" t="str">
        <f t="shared" si="51"/>
        <v>[e북]삼국지 호접몽전</v>
      </c>
      <c r="J380">
        <v>3200</v>
      </c>
      <c r="K380">
        <v>3200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3200</v>
      </c>
      <c r="AH380">
        <v>1</v>
      </c>
      <c r="AI380">
        <v>0</v>
      </c>
      <c r="AJ380">
        <v>0</v>
      </c>
      <c r="AK380">
        <v>3200</v>
      </c>
      <c r="AL380">
        <v>0</v>
      </c>
      <c r="AM380">
        <v>0</v>
      </c>
      <c r="AN380">
        <v>0</v>
      </c>
      <c r="AO380">
        <v>0</v>
      </c>
      <c r="AP380"/>
      <c r="AQ380">
        <v>0</v>
      </c>
      <c r="AR380">
        <v>0</v>
      </c>
      <c r="AT380">
        <v>0</v>
      </c>
      <c r="AU380">
        <v>0</v>
      </c>
      <c r="AW380">
        <v>0</v>
      </c>
      <c r="AX380">
        <v>0</v>
      </c>
      <c r="AY380">
        <v>2240</v>
      </c>
      <c r="BC380" t="str">
        <f>T("9791159289262")</f>
        <v>9791159289262</v>
      </c>
      <c r="BE380" t="str">
        <f t="shared" si="52"/>
        <v>판타지 e북 &gt; 퓨전 판타지</v>
      </c>
    </row>
    <row r="381" spans="1:58" x14ac:dyDescent="0.3">
      <c r="A381">
        <v>2313007047</v>
      </c>
      <c r="B381">
        <v>2313007053</v>
      </c>
      <c r="C381" t="str">
        <f>T("[e북]삼국지 호접몽전 1부 7권")</f>
        <v>[e북]삼국지 호접몽전 1부 7권</v>
      </c>
      <c r="D381" t="str">
        <f>T("7")</f>
        <v>7</v>
      </c>
      <c r="E381" t="str">
        <f t="shared" si="50"/>
        <v>청빙</v>
      </c>
      <c r="H381" t="str">
        <f t="shared" si="49"/>
        <v>스토리위즈</v>
      </c>
      <c r="I381" t="str">
        <f t="shared" si="51"/>
        <v>[e북]삼국지 호접몽전</v>
      </c>
      <c r="J381">
        <v>3200</v>
      </c>
      <c r="K381">
        <v>3200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3200</v>
      </c>
      <c r="AH381">
        <v>1</v>
      </c>
      <c r="AI381">
        <v>0</v>
      </c>
      <c r="AJ381">
        <v>0</v>
      </c>
      <c r="AK381">
        <v>3200</v>
      </c>
      <c r="AL381">
        <v>0</v>
      </c>
      <c r="AM381">
        <v>0</v>
      </c>
      <c r="AN381">
        <v>0</v>
      </c>
      <c r="AO381">
        <v>0</v>
      </c>
      <c r="AP381"/>
      <c r="AQ381">
        <v>0</v>
      </c>
      <c r="AR381">
        <v>0</v>
      </c>
      <c r="AT381">
        <v>0</v>
      </c>
      <c r="AU381">
        <v>0</v>
      </c>
      <c r="AW381">
        <v>0</v>
      </c>
      <c r="AX381">
        <v>0</v>
      </c>
      <c r="AY381">
        <v>2240</v>
      </c>
      <c r="BC381" t="str">
        <f>T("9791159289279")</f>
        <v>9791159289279</v>
      </c>
      <c r="BE381" t="str">
        <f t="shared" si="52"/>
        <v>판타지 e북 &gt; 퓨전 판타지</v>
      </c>
    </row>
    <row r="382" spans="1:58" x14ac:dyDescent="0.3">
      <c r="A382">
        <v>2313007047</v>
      </c>
      <c r="B382">
        <v>2313007054</v>
      </c>
      <c r="C382" t="str">
        <f>T("[e북]삼국지 호접몽전 1부 8권")</f>
        <v>[e북]삼국지 호접몽전 1부 8권</v>
      </c>
      <c r="D382" t="str">
        <f>T("8")</f>
        <v>8</v>
      </c>
      <c r="E382" t="str">
        <f t="shared" si="50"/>
        <v>청빙</v>
      </c>
      <c r="H382" t="str">
        <f t="shared" si="49"/>
        <v>스토리위즈</v>
      </c>
      <c r="I382" t="str">
        <f t="shared" si="51"/>
        <v>[e북]삼국지 호접몽전</v>
      </c>
      <c r="J382">
        <v>3200</v>
      </c>
      <c r="K382">
        <v>3200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3200</v>
      </c>
      <c r="AH382">
        <v>1</v>
      </c>
      <c r="AI382">
        <v>0</v>
      </c>
      <c r="AJ382">
        <v>0</v>
      </c>
      <c r="AK382">
        <v>3200</v>
      </c>
      <c r="AL382">
        <v>0</v>
      </c>
      <c r="AM382">
        <v>0</v>
      </c>
      <c r="AN382">
        <v>0</v>
      </c>
      <c r="AO382">
        <v>0</v>
      </c>
      <c r="AP382"/>
      <c r="AQ382">
        <v>0</v>
      </c>
      <c r="AR382">
        <v>0</v>
      </c>
      <c r="AT382">
        <v>0</v>
      </c>
      <c r="AU382">
        <v>0</v>
      </c>
      <c r="AW382">
        <v>0</v>
      </c>
      <c r="AX382">
        <v>0</v>
      </c>
      <c r="AY382">
        <v>2240</v>
      </c>
      <c r="BC382" t="str">
        <f>T("9791159289286")</f>
        <v>9791159289286</v>
      </c>
      <c r="BE382" t="str">
        <f t="shared" si="52"/>
        <v>판타지 e북 &gt; 퓨전 판타지</v>
      </c>
    </row>
    <row r="383" spans="1:58" x14ac:dyDescent="0.3">
      <c r="A383">
        <v>2313007047</v>
      </c>
      <c r="B383">
        <v>2313007075</v>
      </c>
      <c r="C383" t="str">
        <f>T("[e북]삼국지 호접몽전 3부 5권")</f>
        <v>[e북]삼국지 호접몽전 3부 5권</v>
      </c>
      <c r="D383" t="str">
        <f>T("29")</f>
        <v>29</v>
      </c>
      <c r="E383" t="str">
        <f t="shared" si="50"/>
        <v>청빙</v>
      </c>
      <c r="H383" t="str">
        <f t="shared" si="49"/>
        <v>스토리위즈</v>
      </c>
      <c r="I383" t="str">
        <f t="shared" si="51"/>
        <v>[e북]삼국지 호접몽전</v>
      </c>
      <c r="J383">
        <v>3200</v>
      </c>
      <c r="K383">
        <v>3200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3200</v>
      </c>
      <c r="AH383">
        <v>1</v>
      </c>
      <c r="AI383">
        <v>0</v>
      </c>
      <c r="AJ383">
        <v>0</v>
      </c>
      <c r="AK383">
        <v>3200</v>
      </c>
      <c r="AL383">
        <v>0</v>
      </c>
      <c r="AM383">
        <v>0</v>
      </c>
      <c r="AN383">
        <v>0</v>
      </c>
      <c r="AO383">
        <v>0</v>
      </c>
      <c r="AP383"/>
      <c r="AQ383">
        <v>0</v>
      </c>
      <c r="AR383">
        <v>0</v>
      </c>
      <c r="AT383">
        <v>0</v>
      </c>
      <c r="AU383">
        <v>0</v>
      </c>
      <c r="AW383">
        <v>0</v>
      </c>
      <c r="AX383">
        <v>0</v>
      </c>
      <c r="AY383">
        <v>2240</v>
      </c>
      <c r="BC383" t="str">
        <f>T("9791159289514")</f>
        <v>9791159289514</v>
      </c>
      <c r="BE383" t="str">
        <f t="shared" si="52"/>
        <v>판타지 e북 &gt; 퓨전 판타지</v>
      </c>
    </row>
    <row r="384" spans="1:58" x14ac:dyDescent="0.3">
      <c r="A384">
        <v>2313009971</v>
      </c>
      <c r="B384">
        <v>2313009972</v>
      </c>
      <c r="C384" t="str">
        <f>T("[e북]1부 은천검제 2권")</f>
        <v>[e북]1부 은천검제 2권</v>
      </c>
      <c r="D384" t="str">
        <f>T("2")</f>
        <v>2</v>
      </c>
      <c r="E384" t="str">
        <f>T("무장")</f>
        <v>무장</v>
      </c>
      <c r="H384" t="str">
        <f t="shared" si="49"/>
        <v>스토리위즈</v>
      </c>
      <c r="I384" t="str">
        <f>T("[e북]은천검제(2부 화산검제)")</f>
        <v>[e북]은천검제(2부 화산검제)</v>
      </c>
      <c r="J384">
        <v>3200</v>
      </c>
      <c r="K384">
        <v>3200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3200</v>
      </c>
      <c r="AH384">
        <v>1</v>
      </c>
      <c r="AI384">
        <v>0</v>
      </c>
      <c r="AJ384">
        <v>0</v>
      </c>
      <c r="AK384">
        <v>3200</v>
      </c>
      <c r="AL384">
        <v>0</v>
      </c>
      <c r="AM384">
        <v>0</v>
      </c>
      <c r="AN384">
        <v>0</v>
      </c>
      <c r="AO384">
        <v>0</v>
      </c>
      <c r="AP384"/>
      <c r="AQ384">
        <v>0</v>
      </c>
      <c r="AR384">
        <v>0</v>
      </c>
      <c r="AT384">
        <v>0</v>
      </c>
      <c r="AU384">
        <v>0</v>
      </c>
      <c r="AW384">
        <v>0</v>
      </c>
      <c r="AX384">
        <v>0</v>
      </c>
      <c r="AY384">
        <v>2240</v>
      </c>
      <c r="BC384" t="str">
        <f>T("9791166060182")</f>
        <v>9791166060182</v>
      </c>
      <c r="BE384" t="str">
        <f>T("판타지 e북 &gt; 신무협")</f>
        <v>판타지 e북 &gt; 신무협</v>
      </c>
    </row>
    <row r="385" spans="1:58" x14ac:dyDescent="0.3">
      <c r="A385">
        <v>2313009971</v>
      </c>
      <c r="B385">
        <v>2313009973</v>
      </c>
      <c r="C385" t="str">
        <f>T("[e북]1부 은천검제 3권")</f>
        <v>[e북]1부 은천검제 3권</v>
      </c>
      <c r="D385" t="str">
        <f>T("3")</f>
        <v>3</v>
      </c>
      <c r="E385" t="str">
        <f>T("무장")</f>
        <v>무장</v>
      </c>
      <c r="H385" t="str">
        <f t="shared" si="49"/>
        <v>스토리위즈</v>
      </c>
      <c r="I385" t="str">
        <f>T("[e북]은천검제(2부 화산검제)")</f>
        <v>[e북]은천검제(2부 화산검제)</v>
      </c>
      <c r="J385">
        <v>3200</v>
      </c>
      <c r="K385">
        <v>3200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3200</v>
      </c>
      <c r="AH385">
        <v>1</v>
      </c>
      <c r="AI385">
        <v>0</v>
      </c>
      <c r="AJ385">
        <v>0</v>
      </c>
      <c r="AK385">
        <v>3200</v>
      </c>
      <c r="AL385">
        <v>0</v>
      </c>
      <c r="AM385">
        <v>0</v>
      </c>
      <c r="AN385">
        <v>0</v>
      </c>
      <c r="AO385">
        <v>0</v>
      </c>
      <c r="AP385"/>
      <c r="AQ385">
        <v>0</v>
      </c>
      <c r="AR385">
        <v>0</v>
      </c>
      <c r="AT385">
        <v>0</v>
      </c>
      <c r="AU385">
        <v>0</v>
      </c>
      <c r="AW385">
        <v>0</v>
      </c>
      <c r="AX385">
        <v>0</v>
      </c>
      <c r="AY385">
        <v>2240</v>
      </c>
      <c r="BC385" t="str">
        <f>T("9791166060199")</f>
        <v>9791166060199</v>
      </c>
      <c r="BE385" t="str">
        <f>T("판타지 e북 &gt; 신무협")</f>
        <v>판타지 e북 &gt; 신무협</v>
      </c>
    </row>
    <row r="386" spans="1:58" x14ac:dyDescent="0.3">
      <c r="A386">
        <v>2313010010</v>
      </c>
      <c r="B386">
        <v>2313010011</v>
      </c>
      <c r="C386" t="str">
        <f>T("[e북]게임 속 유닛 2권")</f>
        <v>[e북]게임 속 유닛 2권</v>
      </c>
      <c r="D386" t="str">
        <f>T("2")</f>
        <v>2</v>
      </c>
      <c r="E386" t="str">
        <f t="shared" ref="E386:E394" si="53">T("찬동")</f>
        <v>찬동</v>
      </c>
      <c r="H386" t="str">
        <f t="shared" si="49"/>
        <v>스토리위즈</v>
      </c>
      <c r="I386" t="str">
        <f t="shared" ref="I386:I394" si="54">T("[e북]게임 속 유닛")</f>
        <v>[e북]게임 속 유닛</v>
      </c>
      <c r="J386">
        <v>3200</v>
      </c>
      <c r="K386">
        <v>3200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3200</v>
      </c>
      <c r="AH386">
        <v>1</v>
      </c>
      <c r="AI386">
        <v>0</v>
      </c>
      <c r="AJ386">
        <v>0</v>
      </c>
      <c r="AK386">
        <v>3200</v>
      </c>
      <c r="AL386">
        <v>0</v>
      </c>
      <c r="AM386">
        <v>0</v>
      </c>
      <c r="AN386">
        <v>0</v>
      </c>
      <c r="AO386">
        <v>0</v>
      </c>
      <c r="AP386"/>
      <c r="AQ386">
        <v>0</v>
      </c>
      <c r="AR386">
        <v>0</v>
      </c>
      <c r="AT386">
        <v>0</v>
      </c>
      <c r="AU386">
        <v>0</v>
      </c>
      <c r="AW386">
        <v>0</v>
      </c>
      <c r="AX386">
        <v>0</v>
      </c>
      <c r="AY386">
        <v>2240</v>
      </c>
      <c r="BC386" t="str">
        <f>T("9791166065286")</f>
        <v>9791166065286</v>
      </c>
      <c r="BE386" t="str">
        <f t="shared" ref="BE386:BE394" si="55">T("판타지 e북 &gt; 퓨전 판타지")</f>
        <v>판타지 e북 &gt; 퓨전 판타지</v>
      </c>
    </row>
    <row r="387" spans="1:58" x14ac:dyDescent="0.3">
      <c r="A387">
        <v>2313010010</v>
      </c>
      <c r="B387">
        <v>2313010012</v>
      </c>
      <c r="C387" t="str">
        <f>T("[e북]게임 속 유닛 3권")</f>
        <v>[e북]게임 속 유닛 3권</v>
      </c>
      <c r="D387" t="str">
        <f>T("3")</f>
        <v>3</v>
      </c>
      <c r="E387" t="str">
        <f t="shared" si="53"/>
        <v>찬동</v>
      </c>
      <c r="H387" t="str">
        <f t="shared" si="49"/>
        <v>스토리위즈</v>
      </c>
      <c r="I387" t="str">
        <f t="shared" si="54"/>
        <v>[e북]게임 속 유닛</v>
      </c>
      <c r="J387">
        <v>3200</v>
      </c>
      <c r="K387">
        <v>3200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3200</v>
      </c>
      <c r="AH387">
        <v>1</v>
      </c>
      <c r="AI387">
        <v>0</v>
      </c>
      <c r="AJ387">
        <v>0</v>
      </c>
      <c r="AK387">
        <v>3200</v>
      </c>
      <c r="AL387">
        <v>0</v>
      </c>
      <c r="AM387">
        <v>0</v>
      </c>
      <c r="AN387">
        <v>0</v>
      </c>
      <c r="AO387">
        <v>0</v>
      </c>
      <c r="AP387"/>
      <c r="AQ387">
        <v>0</v>
      </c>
      <c r="AR387">
        <v>0</v>
      </c>
      <c r="AT387">
        <v>0</v>
      </c>
      <c r="AU387">
        <v>0</v>
      </c>
      <c r="AW387">
        <v>0</v>
      </c>
      <c r="AX387">
        <v>0</v>
      </c>
      <c r="AY387">
        <v>2240</v>
      </c>
      <c r="BC387" t="str">
        <f>T("9791166065293")</f>
        <v>9791166065293</v>
      </c>
      <c r="BE387" t="str">
        <f t="shared" si="55"/>
        <v>판타지 e북 &gt; 퓨전 판타지</v>
      </c>
    </row>
    <row r="388" spans="1:58" x14ac:dyDescent="0.3">
      <c r="A388">
        <v>2313010010</v>
      </c>
      <c r="B388">
        <v>2313010013</v>
      </c>
      <c r="C388" t="str">
        <f>T("[e북]게임 속 유닛 4권")</f>
        <v>[e북]게임 속 유닛 4권</v>
      </c>
      <c r="D388" t="str">
        <f>T("4")</f>
        <v>4</v>
      </c>
      <c r="E388" t="str">
        <f t="shared" si="53"/>
        <v>찬동</v>
      </c>
      <c r="H388" t="str">
        <f t="shared" si="49"/>
        <v>스토리위즈</v>
      </c>
      <c r="I388" t="str">
        <f t="shared" si="54"/>
        <v>[e북]게임 속 유닛</v>
      </c>
      <c r="J388">
        <v>3200</v>
      </c>
      <c r="K388">
        <v>3200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3200</v>
      </c>
      <c r="AH388">
        <v>1</v>
      </c>
      <c r="AI388">
        <v>0</v>
      </c>
      <c r="AJ388">
        <v>0</v>
      </c>
      <c r="AK388">
        <v>3200</v>
      </c>
      <c r="AL388">
        <v>0</v>
      </c>
      <c r="AM388">
        <v>0</v>
      </c>
      <c r="AN388">
        <v>0</v>
      </c>
      <c r="AO388">
        <v>0</v>
      </c>
      <c r="AP388"/>
      <c r="AQ388">
        <v>0</v>
      </c>
      <c r="AR388">
        <v>0</v>
      </c>
      <c r="AT388">
        <v>0</v>
      </c>
      <c r="AU388">
        <v>0</v>
      </c>
      <c r="AW388">
        <v>0</v>
      </c>
      <c r="AX388">
        <v>0</v>
      </c>
      <c r="AY388">
        <v>2240</v>
      </c>
      <c r="BC388" t="str">
        <f>T("9791166065309")</f>
        <v>9791166065309</v>
      </c>
      <c r="BE388" t="str">
        <f t="shared" si="55"/>
        <v>판타지 e북 &gt; 퓨전 판타지</v>
      </c>
    </row>
    <row r="389" spans="1:58" x14ac:dyDescent="0.3">
      <c r="A389">
        <v>2313010010</v>
      </c>
      <c r="B389">
        <v>2313010014</v>
      </c>
      <c r="C389" t="str">
        <f>T("[e북]게임 속 유닛 5권")</f>
        <v>[e북]게임 속 유닛 5권</v>
      </c>
      <c r="D389" t="str">
        <f>T("5")</f>
        <v>5</v>
      </c>
      <c r="E389" t="str">
        <f t="shared" si="53"/>
        <v>찬동</v>
      </c>
      <c r="H389" t="str">
        <f t="shared" si="49"/>
        <v>스토리위즈</v>
      </c>
      <c r="I389" t="str">
        <f t="shared" si="54"/>
        <v>[e북]게임 속 유닛</v>
      </c>
      <c r="J389">
        <v>3200</v>
      </c>
      <c r="K389">
        <v>3200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3200</v>
      </c>
      <c r="AH389">
        <v>1</v>
      </c>
      <c r="AI389">
        <v>0</v>
      </c>
      <c r="AJ389">
        <v>0</v>
      </c>
      <c r="AK389">
        <v>3200</v>
      </c>
      <c r="AL389">
        <v>0</v>
      </c>
      <c r="AM389">
        <v>0</v>
      </c>
      <c r="AN389">
        <v>0</v>
      </c>
      <c r="AO389">
        <v>0</v>
      </c>
      <c r="AP389"/>
      <c r="AQ389">
        <v>0</v>
      </c>
      <c r="AR389">
        <v>0</v>
      </c>
      <c r="AT389">
        <v>0</v>
      </c>
      <c r="AU389">
        <v>0</v>
      </c>
      <c r="AW389">
        <v>0</v>
      </c>
      <c r="AX389">
        <v>0</v>
      </c>
      <c r="AY389">
        <v>2240</v>
      </c>
      <c r="BC389" t="str">
        <f>T("9791166065316")</f>
        <v>9791166065316</v>
      </c>
      <c r="BE389" t="str">
        <f t="shared" si="55"/>
        <v>판타지 e북 &gt; 퓨전 판타지</v>
      </c>
    </row>
    <row r="390" spans="1:58" x14ac:dyDescent="0.3">
      <c r="A390">
        <v>2313010010</v>
      </c>
      <c r="B390">
        <v>2313010015</v>
      </c>
      <c r="C390" t="str">
        <f>T("[e북]게임 속 유닛 6권")</f>
        <v>[e북]게임 속 유닛 6권</v>
      </c>
      <c r="D390" t="str">
        <f>T("6")</f>
        <v>6</v>
      </c>
      <c r="E390" t="str">
        <f t="shared" si="53"/>
        <v>찬동</v>
      </c>
      <c r="H390" t="str">
        <f t="shared" si="49"/>
        <v>스토리위즈</v>
      </c>
      <c r="I390" t="str">
        <f t="shared" si="54"/>
        <v>[e북]게임 속 유닛</v>
      </c>
      <c r="J390">
        <v>3200</v>
      </c>
      <c r="K390">
        <v>3200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3200</v>
      </c>
      <c r="AH390">
        <v>1</v>
      </c>
      <c r="AI390">
        <v>0</v>
      </c>
      <c r="AJ390">
        <v>0</v>
      </c>
      <c r="AK390">
        <v>3200</v>
      </c>
      <c r="AL390">
        <v>0</v>
      </c>
      <c r="AM390">
        <v>0</v>
      </c>
      <c r="AN390">
        <v>0</v>
      </c>
      <c r="AO390">
        <v>0</v>
      </c>
      <c r="AP390"/>
      <c r="AQ390">
        <v>0</v>
      </c>
      <c r="AR390">
        <v>0</v>
      </c>
      <c r="AT390">
        <v>0</v>
      </c>
      <c r="AU390">
        <v>0</v>
      </c>
      <c r="AW390">
        <v>0</v>
      </c>
      <c r="AX390">
        <v>0</v>
      </c>
      <c r="AY390">
        <v>2240</v>
      </c>
      <c r="BC390" t="str">
        <f>T("9791166065323")</f>
        <v>9791166065323</v>
      </c>
      <c r="BE390" t="str">
        <f t="shared" si="55"/>
        <v>판타지 e북 &gt; 퓨전 판타지</v>
      </c>
    </row>
    <row r="391" spans="1:58" x14ac:dyDescent="0.3">
      <c r="A391">
        <v>2313010010</v>
      </c>
      <c r="B391">
        <v>2313010016</v>
      </c>
      <c r="C391" t="str">
        <f>T("[e북]게임 속 유닛 7권")</f>
        <v>[e북]게임 속 유닛 7권</v>
      </c>
      <c r="D391" t="str">
        <f>T("7")</f>
        <v>7</v>
      </c>
      <c r="E391" t="str">
        <f t="shared" si="53"/>
        <v>찬동</v>
      </c>
      <c r="H391" t="str">
        <f t="shared" si="49"/>
        <v>스토리위즈</v>
      </c>
      <c r="I391" t="str">
        <f t="shared" si="54"/>
        <v>[e북]게임 속 유닛</v>
      </c>
      <c r="J391">
        <v>3200</v>
      </c>
      <c r="K391">
        <v>3200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3200</v>
      </c>
      <c r="AH391">
        <v>1</v>
      </c>
      <c r="AI391">
        <v>0</v>
      </c>
      <c r="AJ391">
        <v>0</v>
      </c>
      <c r="AK391">
        <v>3200</v>
      </c>
      <c r="AL391">
        <v>0</v>
      </c>
      <c r="AM391">
        <v>0</v>
      </c>
      <c r="AN391">
        <v>0</v>
      </c>
      <c r="AO391">
        <v>0</v>
      </c>
      <c r="AP391"/>
      <c r="AQ391">
        <v>0</v>
      </c>
      <c r="AR391">
        <v>0</v>
      </c>
      <c r="AT391">
        <v>0</v>
      </c>
      <c r="AU391">
        <v>0</v>
      </c>
      <c r="AW391">
        <v>0</v>
      </c>
      <c r="AX391">
        <v>0</v>
      </c>
      <c r="AY391">
        <v>2240</v>
      </c>
      <c r="BC391" t="str">
        <f>T("9791166065330")</f>
        <v>9791166065330</v>
      </c>
      <c r="BE391" t="str">
        <f t="shared" si="55"/>
        <v>판타지 e북 &gt; 퓨전 판타지</v>
      </c>
    </row>
    <row r="392" spans="1:58" x14ac:dyDescent="0.3">
      <c r="A392">
        <v>2313010010</v>
      </c>
      <c r="B392">
        <v>2313010017</v>
      </c>
      <c r="C392" t="str">
        <f>T("[e북]게임 속 유닛 8권")</f>
        <v>[e북]게임 속 유닛 8권</v>
      </c>
      <c r="D392" t="str">
        <f>T("8")</f>
        <v>8</v>
      </c>
      <c r="E392" t="str">
        <f t="shared" si="53"/>
        <v>찬동</v>
      </c>
      <c r="H392" t="str">
        <f t="shared" si="49"/>
        <v>스토리위즈</v>
      </c>
      <c r="I392" t="str">
        <f t="shared" si="54"/>
        <v>[e북]게임 속 유닛</v>
      </c>
      <c r="J392">
        <v>3200</v>
      </c>
      <c r="K392">
        <v>3200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3200</v>
      </c>
      <c r="AH392">
        <v>1</v>
      </c>
      <c r="AI392">
        <v>0</v>
      </c>
      <c r="AJ392">
        <v>0</v>
      </c>
      <c r="AK392">
        <v>3200</v>
      </c>
      <c r="AL392">
        <v>0</v>
      </c>
      <c r="AM392">
        <v>0</v>
      </c>
      <c r="AN392">
        <v>0</v>
      </c>
      <c r="AO392">
        <v>0</v>
      </c>
      <c r="AP392"/>
      <c r="AQ392">
        <v>0</v>
      </c>
      <c r="AR392">
        <v>0</v>
      </c>
      <c r="AT392">
        <v>0</v>
      </c>
      <c r="AU392">
        <v>0</v>
      </c>
      <c r="AW392">
        <v>0</v>
      </c>
      <c r="AX392">
        <v>0</v>
      </c>
      <c r="AY392">
        <v>2240</v>
      </c>
      <c r="BC392" t="str">
        <f>T("9791166065347")</f>
        <v>9791166065347</v>
      </c>
      <c r="BE392" t="str">
        <f t="shared" si="55"/>
        <v>판타지 e북 &gt; 퓨전 판타지</v>
      </c>
    </row>
    <row r="393" spans="1:58" x14ac:dyDescent="0.3">
      <c r="A393">
        <v>2313010010</v>
      </c>
      <c r="B393">
        <v>2313010018</v>
      </c>
      <c r="C393" t="str">
        <f>T("[e북]게임 속 유닛 9권")</f>
        <v>[e북]게임 속 유닛 9권</v>
      </c>
      <c r="D393" t="str">
        <f>T("9")</f>
        <v>9</v>
      </c>
      <c r="E393" t="str">
        <f t="shared" si="53"/>
        <v>찬동</v>
      </c>
      <c r="H393" t="str">
        <f t="shared" si="49"/>
        <v>스토리위즈</v>
      </c>
      <c r="I393" t="str">
        <f t="shared" si="54"/>
        <v>[e북]게임 속 유닛</v>
      </c>
      <c r="J393">
        <v>3200</v>
      </c>
      <c r="K393">
        <v>3200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3200</v>
      </c>
      <c r="AH393">
        <v>1</v>
      </c>
      <c r="AI393">
        <v>0</v>
      </c>
      <c r="AJ393">
        <v>0</v>
      </c>
      <c r="AK393">
        <v>3200</v>
      </c>
      <c r="AL393">
        <v>0</v>
      </c>
      <c r="AM393">
        <v>0</v>
      </c>
      <c r="AN393">
        <v>0</v>
      </c>
      <c r="AO393">
        <v>0</v>
      </c>
      <c r="AP393"/>
      <c r="AQ393">
        <v>0</v>
      </c>
      <c r="AR393">
        <v>0</v>
      </c>
      <c r="AT393">
        <v>0</v>
      </c>
      <c r="AU393">
        <v>0</v>
      </c>
      <c r="AW393">
        <v>0</v>
      </c>
      <c r="AX393">
        <v>0</v>
      </c>
      <c r="AY393">
        <v>2240</v>
      </c>
      <c r="BC393" t="str">
        <f>T("9791166065354")</f>
        <v>9791166065354</v>
      </c>
      <c r="BE393" t="str">
        <f t="shared" si="55"/>
        <v>판타지 e북 &gt; 퓨전 판타지</v>
      </c>
    </row>
    <row r="394" spans="1:58" x14ac:dyDescent="0.3">
      <c r="A394">
        <v>2313010010</v>
      </c>
      <c r="B394">
        <v>2313010019</v>
      </c>
      <c r="C394" t="str">
        <f>T("[e북]게임 속 유닛 10권")</f>
        <v>[e북]게임 속 유닛 10권</v>
      </c>
      <c r="D394" t="str">
        <f>T("10")</f>
        <v>10</v>
      </c>
      <c r="E394" t="str">
        <f t="shared" si="53"/>
        <v>찬동</v>
      </c>
      <c r="H394" t="str">
        <f t="shared" si="49"/>
        <v>스토리위즈</v>
      </c>
      <c r="I394" t="str">
        <f t="shared" si="54"/>
        <v>[e북]게임 속 유닛</v>
      </c>
      <c r="J394">
        <v>3200</v>
      </c>
      <c r="K394">
        <v>3200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3200</v>
      </c>
      <c r="AH394">
        <v>1</v>
      </c>
      <c r="AI394">
        <v>0</v>
      </c>
      <c r="AJ394">
        <v>0</v>
      </c>
      <c r="AK394">
        <v>3200</v>
      </c>
      <c r="AL394">
        <v>0</v>
      </c>
      <c r="AM394">
        <v>0</v>
      </c>
      <c r="AN394">
        <v>0</v>
      </c>
      <c r="AO394">
        <v>0</v>
      </c>
      <c r="AP394"/>
      <c r="AQ394">
        <v>0</v>
      </c>
      <c r="AR394">
        <v>0</v>
      </c>
      <c r="AT394">
        <v>0</v>
      </c>
      <c r="AU394">
        <v>0</v>
      </c>
      <c r="AW394">
        <v>0</v>
      </c>
      <c r="AX394">
        <v>0</v>
      </c>
      <c r="AY394">
        <v>2240</v>
      </c>
      <c r="BC394" t="str">
        <f>T("9791166065361")</f>
        <v>9791166065361</v>
      </c>
      <c r="BE394" t="str">
        <f t="shared" si="55"/>
        <v>판타지 e북 &gt; 퓨전 판타지</v>
      </c>
    </row>
    <row r="395" spans="1:58" x14ac:dyDescent="0.3">
      <c r="A395">
        <v>2313015171</v>
      </c>
      <c r="B395">
        <v>2313015173</v>
      </c>
      <c r="C395" t="str">
        <f>T("[e북]도폐풍운록 3권")</f>
        <v>[e북]도폐풍운록 3권</v>
      </c>
      <c r="D395" t="str">
        <f>T("3")</f>
        <v>3</v>
      </c>
      <c r="E395" t="str">
        <f>T("무장")</f>
        <v>무장</v>
      </c>
      <c r="H395" t="str">
        <f t="shared" si="49"/>
        <v>스토리위즈</v>
      </c>
      <c r="I395" t="str">
        <f>T("[e북]도폐풍운록")</f>
        <v>[e북]도폐풍운록</v>
      </c>
      <c r="J395">
        <v>3200</v>
      </c>
      <c r="K395">
        <v>3200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3200</v>
      </c>
      <c r="AH395">
        <v>1</v>
      </c>
      <c r="AI395">
        <v>0</v>
      </c>
      <c r="AJ395">
        <v>0</v>
      </c>
      <c r="AK395">
        <v>3200</v>
      </c>
      <c r="AL395">
        <v>0</v>
      </c>
      <c r="AM395">
        <v>0</v>
      </c>
      <c r="AN395">
        <v>0</v>
      </c>
      <c r="AO395">
        <v>0</v>
      </c>
      <c r="AP395"/>
      <c r="AQ395">
        <v>0</v>
      </c>
      <c r="AR395">
        <v>0</v>
      </c>
      <c r="AT395">
        <v>0</v>
      </c>
      <c r="AU395">
        <v>0</v>
      </c>
      <c r="AW395">
        <v>0</v>
      </c>
      <c r="AX395">
        <v>0</v>
      </c>
      <c r="AY395">
        <v>2240</v>
      </c>
      <c r="BA395" t="str">
        <f>T("0000000000000")</f>
        <v>0000000000000</v>
      </c>
      <c r="BC395" t="str">
        <f>T("9791137602823")</f>
        <v>9791137602823</v>
      </c>
      <c r="BE395" t="str">
        <f>T("판타지 e북 &gt; 신무협")</f>
        <v>판타지 e북 &gt; 신무협</v>
      </c>
    </row>
    <row r="396" spans="1:58" x14ac:dyDescent="0.3">
      <c r="A396">
        <v>2313016967</v>
      </c>
      <c r="B396">
        <v>2313016965</v>
      </c>
      <c r="C396" t="str">
        <f>T("[e북]바랑둥이 내 남자 (외전증보판) 3권 (완결)")</f>
        <v>[e북]바랑둥이 내 남자 (외전증보판) 3권 (완결)</v>
      </c>
      <c r="D396" t="str">
        <f>T("3")</f>
        <v>3</v>
      </c>
      <c r="E396" t="str">
        <f>T("밈스")</f>
        <v>밈스</v>
      </c>
      <c r="H396" t="str">
        <f>T("도서출판 태랑")</f>
        <v>도서출판 태랑</v>
      </c>
      <c r="I396" t="str">
        <f>T("[e북]바랑둥이 내 남자 (외전증보판)")</f>
        <v>[e북]바랑둥이 내 남자 (외전증보판)</v>
      </c>
      <c r="J396">
        <v>3200</v>
      </c>
      <c r="K396">
        <v>3200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3200</v>
      </c>
      <c r="AH396">
        <v>1</v>
      </c>
      <c r="AI396">
        <v>0</v>
      </c>
      <c r="AJ396">
        <v>0</v>
      </c>
      <c r="AK396">
        <v>3019</v>
      </c>
      <c r="AL396">
        <v>0</v>
      </c>
      <c r="AM396">
        <v>217.2</v>
      </c>
      <c r="AN396">
        <v>-21.72</v>
      </c>
      <c r="AO396">
        <v>0</v>
      </c>
      <c r="AP396"/>
      <c r="AQ396">
        <v>0</v>
      </c>
      <c r="AR396">
        <v>0</v>
      </c>
      <c r="AS396">
        <v>217.2</v>
      </c>
      <c r="AT396">
        <v>-21.72</v>
      </c>
      <c r="AU396">
        <v>0</v>
      </c>
      <c r="AW396">
        <v>0</v>
      </c>
      <c r="AX396">
        <v>0</v>
      </c>
      <c r="AY396">
        <v>2250.14</v>
      </c>
      <c r="BC396" t="str">
        <f>T("9791164372072")</f>
        <v>9791164372072</v>
      </c>
      <c r="BE396" t="str">
        <f>T("로맨스 e북 &gt; 현대물")</f>
        <v>로맨스 e북 &gt; 현대물</v>
      </c>
      <c r="BF396" t="str">
        <f>T("로맨스 e북 &gt; 19+")</f>
        <v>로맨스 e북 &gt; 19+</v>
      </c>
    </row>
    <row r="397" spans="1:58" x14ac:dyDescent="0.3">
      <c r="A397">
        <v>2313016967</v>
      </c>
      <c r="B397">
        <v>2313016966</v>
      </c>
      <c r="C397" t="str">
        <f>T("[e북]바랑둥이 내 남자 (외전증보판) 2권")</f>
        <v>[e북]바랑둥이 내 남자 (외전증보판) 2권</v>
      </c>
      <c r="D397" t="str">
        <f>T("2")</f>
        <v>2</v>
      </c>
      <c r="E397" t="str">
        <f>T("밈스")</f>
        <v>밈스</v>
      </c>
      <c r="H397" t="str">
        <f>T("도서출판 태랑")</f>
        <v>도서출판 태랑</v>
      </c>
      <c r="I397" t="str">
        <f>T("[e북]바랑둥이 내 남자 (외전증보판)")</f>
        <v>[e북]바랑둥이 내 남자 (외전증보판)</v>
      </c>
      <c r="J397">
        <v>3200</v>
      </c>
      <c r="K397">
        <v>3200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3200</v>
      </c>
      <c r="AH397">
        <v>1</v>
      </c>
      <c r="AI397">
        <v>0</v>
      </c>
      <c r="AJ397">
        <v>0</v>
      </c>
      <c r="AK397">
        <v>3019</v>
      </c>
      <c r="AL397">
        <v>0</v>
      </c>
      <c r="AM397">
        <v>217.2</v>
      </c>
      <c r="AN397">
        <v>-21.72</v>
      </c>
      <c r="AO397">
        <v>0</v>
      </c>
      <c r="AP397"/>
      <c r="AQ397">
        <v>0</v>
      </c>
      <c r="AR397">
        <v>0</v>
      </c>
      <c r="AS397">
        <v>217.2</v>
      </c>
      <c r="AT397">
        <v>-21.72</v>
      </c>
      <c r="AU397">
        <v>0</v>
      </c>
      <c r="AW397">
        <v>0</v>
      </c>
      <c r="AX397">
        <v>0</v>
      </c>
      <c r="AY397">
        <v>2250.14</v>
      </c>
      <c r="BC397" t="str">
        <f>T("9791164372065")</f>
        <v>9791164372065</v>
      </c>
      <c r="BE397" t="str">
        <f>T("로맨스 e북 &gt; 현대물")</f>
        <v>로맨스 e북 &gt; 현대물</v>
      </c>
      <c r="BF397" t="str">
        <f>T("로맨스 e북 &gt; 19+")</f>
        <v>로맨스 e북 &gt; 19+</v>
      </c>
    </row>
    <row r="398" spans="1:58" x14ac:dyDescent="0.3">
      <c r="A398">
        <v>2313016967</v>
      </c>
      <c r="B398">
        <v>2313016967</v>
      </c>
      <c r="C398" t="str">
        <f>T("[e북]바랑둥이 내 남자 (외전증보판) 1권")</f>
        <v>[e북]바랑둥이 내 남자 (외전증보판) 1권</v>
      </c>
      <c r="D398" t="str">
        <f>T("1")</f>
        <v>1</v>
      </c>
      <c r="E398" t="str">
        <f>T("밈스")</f>
        <v>밈스</v>
      </c>
      <c r="H398" t="str">
        <f>T("도서출판 태랑")</f>
        <v>도서출판 태랑</v>
      </c>
      <c r="I398" t="str">
        <f>T("[e북]바랑둥이 내 남자 (외전증보판)")</f>
        <v>[e북]바랑둥이 내 남자 (외전증보판)</v>
      </c>
      <c r="J398">
        <v>3200</v>
      </c>
      <c r="K398">
        <v>3200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3200</v>
      </c>
      <c r="AH398">
        <v>1</v>
      </c>
      <c r="AI398">
        <v>0</v>
      </c>
      <c r="AJ398">
        <v>0</v>
      </c>
      <c r="AK398">
        <v>3018</v>
      </c>
      <c r="AL398">
        <v>0</v>
      </c>
      <c r="AM398">
        <v>218.4</v>
      </c>
      <c r="AN398">
        <v>-21.84</v>
      </c>
      <c r="AO398">
        <v>0</v>
      </c>
      <c r="AP398"/>
      <c r="AQ398">
        <v>0</v>
      </c>
      <c r="AR398">
        <v>0</v>
      </c>
      <c r="AS398">
        <v>218.4</v>
      </c>
      <c r="AT398">
        <v>-21.84</v>
      </c>
      <c r="AU398">
        <v>0</v>
      </c>
      <c r="AW398">
        <v>0</v>
      </c>
      <c r="AX398">
        <v>0</v>
      </c>
      <c r="AY398">
        <v>2250.19</v>
      </c>
      <c r="BC398" t="str">
        <f>T("9791164372058")</f>
        <v>9791164372058</v>
      </c>
      <c r="BE398" t="str">
        <f>T("로맨스 e북 &gt; 현대물")</f>
        <v>로맨스 e북 &gt; 현대물</v>
      </c>
      <c r="BF398" t="str">
        <f>T("로맨스 e북 &gt; 19+")</f>
        <v>로맨스 e북 &gt; 19+</v>
      </c>
    </row>
    <row r="399" spans="1:58" x14ac:dyDescent="0.3">
      <c r="A399">
        <v>2313017065</v>
      </c>
      <c r="B399">
        <v>2313017065</v>
      </c>
      <c r="C399" t="str">
        <f>T("[e북]로맨틱 크러시 1권")</f>
        <v>[e북]로맨틱 크러시 1권</v>
      </c>
      <c r="D399" t="str">
        <f>T("1")</f>
        <v>1</v>
      </c>
      <c r="E399" t="str">
        <f>T("망나니개")</f>
        <v>망나니개</v>
      </c>
      <c r="H399" t="str">
        <f>T("도서출판 태랑")</f>
        <v>도서출판 태랑</v>
      </c>
      <c r="I399" t="str">
        <f>T("[e북]로맨틱 크러시")</f>
        <v>[e북]로맨틱 크러시</v>
      </c>
      <c r="J399">
        <v>3200</v>
      </c>
      <c r="K399">
        <v>3200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3200</v>
      </c>
      <c r="AH399">
        <v>1</v>
      </c>
      <c r="AI399">
        <v>0</v>
      </c>
      <c r="AJ399">
        <v>0</v>
      </c>
      <c r="AK399">
        <v>3200</v>
      </c>
      <c r="AL399">
        <v>0</v>
      </c>
      <c r="AM399">
        <v>0</v>
      </c>
      <c r="AN399">
        <v>0</v>
      </c>
      <c r="AO399">
        <v>0</v>
      </c>
      <c r="AP399"/>
      <c r="AQ399">
        <v>0</v>
      </c>
      <c r="AR399">
        <v>0</v>
      </c>
      <c r="AT399">
        <v>0</v>
      </c>
      <c r="AU399">
        <v>0</v>
      </c>
      <c r="AW399">
        <v>0</v>
      </c>
      <c r="AX399">
        <v>0</v>
      </c>
      <c r="AY399">
        <v>2240</v>
      </c>
      <c r="BC399" t="str">
        <f>T("9791164370894")</f>
        <v>9791164370894</v>
      </c>
      <c r="BE399" t="str">
        <f>T("BL 소설 e북 &gt; 판타지물")</f>
        <v>BL 소설 e북 &gt; 판타지물</v>
      </c>
    </row>
    <row r="400" spans="1:58" x14ac:dyDescent="0.3">
      <c r="A400">
        <v>2313017453</v>
      </c>
      <c r="B400">
        <v>2313017454</v>
      </c>
      <c r="C400" t="str">
        <f>T("[e북]칵테일로 레벨업 2권")</f>
        <v>[e북]칵테일로 레벨업 2권</v>
      </c>
      <c r="D400" t="str">
        <f>T("2")</f>
        <v>2</v>
      </c>
      <c r="E400" t="str">
        <f t="shared" ref="E400:E406" si="56">T("서강후")</f>
        <v>서강후</v>
      </c>
      <c r="H400" t="str">
        <f t="shared" ref="H400:H458" si="57">T("스토리위즈")</f>
        <v>스토리위즈</v>
      </c>
      <c r="I400" t="str">
        <f t="shared" ref="I400:I406" si="58">T("[e북]칵테일로 레벨업")</f>
        <v>[e북]칵테일로 레벨업</v>
      </c>
      <c r="J400">
        <v>3200</v>
      </c>
      <c r="K400">
        <v>3200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3200</v>
      </c>
      <c r="AH400">
        <v>1</v>
      </c>
      <c r="AI400">
        <v>0</v>
      </c>
      <c r="AJ400">
        <v>0</v>
      </c>
      <c r="AK400">
        <v>3200</v>
      </c>
      <c r="AL400">
        <v>0</v>
      </c>
      <c r="AM400">
        <v>0</v>
      </c>
      <c r="AN400">
        <v>0</v>
      </c>
      <c r="AO400">
        <v>0</v>
      </c>
      <c r="AP400"/>
      <c r="AQ400">
        <v>0</v>
      </c>
      <c r="AR400">
        <v>0</v>
      </c>
      <c r="AT400">
        <v>0</v>
      </c>
      <c r="AU400">
        <v>0</v>
      </c>
      <c r="AW400">
        <v>0</v>
      </c>
      <c r="AX400">
        <v>0</v>
      </c>
      <c r="AY400">
        <v>2240</v>
      </c>
      <c r="BC400" t="str">
        <f>T("9791137604162")</f>
        <v>9791137604162</v>
      </c>
      <c r="BE400" t="str">
        <f t="shared" ref="BE400:BE406" si="59">T("판타지 e북 &gt; 현대 판타지")</f>
        <v>판타지 e북 &gt; 현대 판타지</v>
      </c>
    </row>
    <row r="401" spans="1:57" x14ac:dyDescent="0.3">
      <c r="A401">
        <v>2313017453</v>
      </c>
      <c r="B401">
        <v>2313017455</v>
      </c>
      <c r="C401" t="str">
        <f>T("[e북]칵테일로 레벨업 3권")</f>
        <v>[e북]칵테일로 레벨업 3권</v>
      </c>
      <c r="D401" t="str">
        <f>T("3")</f>
        <v>3</v>
      </c>
      <c r="E401" t="str">
        <f t="shared" si="56"/>
        <v>서강후</v>
      </c>
      <c r="H401" t="str">
        <f t="shared" si="57"/>
        <v>스토리위즈</v>
      </c>
      <c r="I401" t="str">
        <f t="shared" si="58"/>
        <v>[e북]칵테일로 레벨업</v>
      </c>
      <c r="J401">
        <v>3200</v>
      </c>
      <c r="K401">
        <v>3200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3200</v>
      </c>
      <c r="AH401">
        <v>1</v>
      </c>
      <c r="AI401">
        <v>0</v>
      </c>
      <c r="AJ401">
        <v>0</v>
      </c>
      <c r="AK401">
        <v>3200</v>
      </c>
      <c r="AL401">
        <v>0</v>
      </c>
      <c r="AM401">
        <v>0</v>
      </c>
      <c r="AN401">
        <v>0</v>
      </c>
      <c r="AO401">
        <v>0</v>
      </c>
      <c r="AP401"/>
      <c r="AQ401">
        <v>0</v>
      </c>
      <c r="AR401">
        <v>0</v>
      </c>
      <c r="AT401">
        <v>0</v>
      </c>
      <c r="AU401">
        <v>0</v>
      </c>
      <c r="AW401">
        <v>0</v>
      </c>
      <c r="AX401">
        <v>0</v>
      </c>
      <c r="AY401">
        <v>2240</v>
      </c>
      <c r="BC401" t="str">
        <f>T("9791137604179")</f>
        <v>9791137604179</v>
      </c>
      <c r="BE401" t="str">
        <f t="shared" si="59"/>
        <v>판타지 e북 &gt; 현대 판타지</v>
      </c>
    </row>
    <row r="402" spans="1:57" x14ac:dyDescent="0.3">
      <c r="A402">
        <v>2313017453</v>
      </c>
      <c r="B402">
        <v>2313017456</v>
      </c>
      <c r="C402" t="str">
        <f>T("[e북]칵테일로 레벨업 4권")</f>
        <v>[e북]칵테일로 레벨업 4권</v>
      </c>
      <c r="D402" t="str">
        <f>T("4")</f>
        <v>4</v>
      </c>
      <c r="E402" t="str">
        <f t="shared" si="56"/>
        <v>서강후</v>
      </c>
      <c r="H402" t="str">
        <f t="shared" si="57"/>
        <v>스토리위즈</v>
      </c>
      <c r="I402" t="str">
        <f t="shared" si="58"/>
        <v>[e북]칵테일로 레벨업</v>
      </c>
      <c r="J402">
        <v>3200</v>
      </c>
      <c r="K402">
        <v>3200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3200</v>
      </c>
      <c r="AH402">
        <v>1</v>
      </c>
      <c r="AI402">
        <v>0</v>
      </c>
      <c r="AJ402">
        <v>0</v>
      </c>
      <c r="AK402">
        <v>3200</v>
      </c>
      <c r="AL402">
        <v>0</v>
      </c>
      <c r="AM402">
        <v>0</v>
      </c>
      <c r="AN402">
        <v>0</v>
      </c>
      <c r="AO402">
        <v>0</v>
      </c>
      <c r="AP402"/>
      <c r="AQ402">
        <v>0</v>
      </c>
      <c r="AR402">
        <v>0</v>
      </c>
      <c r="AT402">
        <v>0</v>
      </c>
      <c r="AU402">
        <v>0</v>
      </c>
      <c r="AW402">
        <v>0</v>
      </c>
      <c r="AX402">
        <v>0</v>
      </c>
      <c r="AY402">
        <v>2240</v>
      </c>
      <c r="BC402" t="str">
        <f>T("9791137604186")</f>
        <v>9791137604186</v>
      </c>
      <c r="BE402" t="str">
        <f t="shared" si="59"/>
        <v>판타지 e북 &gt; 현대 판타지</v>
      </c>
    </row>
    <row r="403" spans="1:57" x14ac:dyDescent="0.3">
      <c r="A403">
        <v>2313017453</v>
      </c>
      <c r="B403">
        <v>2313017457</v>
      </c>
      <c r="C403" t="str">
        <f>T("[e북]칵테일로 레벨업 5권")</f>
        <v>[e북]칵테일로 레벨업 5권</v>
      </c>
      <c r="D403" t="str">
        <f>T("5")</f>
        <v>5</v>
      </c>
      <c r="E403" t="str">
        <f t="shared" si="56"/>
        <v>서강후</v>
      </c>
      <c r="H403" t="str">
        <f t="shared" si="57"/>
        <v>스토리위즈</v>
      </c>
      <c r="I403" t="str">
        <f t="shared" si="58"/>
        <v>[e북]칵테일로 레벨업</v>
      </c>
      <c r="J403">
        <v>3200</v>
      </c>
      <c r="K403">
        <v>3200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3200</v>
      </c>
      <c r="AH403">
        <v>1</v>
      </c>
      <c r="AI403">
        <v>0</v>
      </c>
      <c r="AJ403">
        <v>0</v>
      </c>
      <c r="AK403">
        <v>3200</v>
      </c>
      <c r="AL403">
        <v>0</v>
      </c>
      <c r="AM403">
        <v>0</v>
      </c>
      <c r="AN403">
        <v>0</v>
      </c>
      <c r="AO403">
        <v>0</v>
      </c>
      <c r="AP403"/>
      <c r="AQ403">
        <v>0</v>
      </c>
      <c r="AR403">
        <v>0</v>
      </c>
      <c r="AT403">
        <v>0</v>
      </c>
      <c r="AU403">
        <v>0</v>
      </c>
      <c r="AW403">
        <v>0</v>
      </c>
      <c r="AX403">
        <v>0</v>
      </c>
      <c r="AY403">
        <v>2240</v>
      </c>
      <c r="BC403" t="str">
        <f>T("9791137604193")</f>
        <v>9791137604193</v>
      </c>
      <c r="BE403" t="str">
        <f t="shared" si="59"/>
        <v>판타지 e북 &gt; 현대 판타지</v>
      </c>
    </row>
    <row r="404" spans="1:57" x14ac:dyDescent="0.3">
      <c r="A404">
        <v>2313017453</v>
      </c>
      <c r="B404">
        <v>2313017458</v>
      </c>
      <c r="C404" t="str">
        <f>T("[e북]칵테일로 레벨업 6권")</f>
        <v>[e북]칵테일로 레벨업 6권</v>
      </c>
      <c r="D404" t="str">
        <f>T("6")</f>
        <v>6</v>
      </c>
      <c r="E404" t="str">
        <f t="shared" si="56"/>
        <v>서강후</v>
      </c>
      <c r="H404" t="str">
        <f t="shared" si="57"/>
        <v>스토리위즈</v>
      </c>
      <c r="I404" t="str">
        <f t="shared" si="58"/>
        <v>[e북]칵테일로 레벨업</v>
      </c>
      <c r="J404">
        <v>3200</v>
      </c>
      <c r="K404">
        <v>3200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3200</v>
      </c>
      <c r="AH404">
        <v>1</v>
      </c>
      <c r="AI404">
        <v>0</v>
      </c>
      <c r="AJ404">
        <v>0</v>
      </c>
      <c r="AK404">
        <v>3200</v>
      </c>
      <c r="AL404">
        <v>0</v>
      </c>
      <c r="AM404">
        <v>0</v>
      </c>
      <c r="AN404">
        <v>0</v>
      </c>
      <c r="AO404">
        <v>0</v>
      </c>
      <c r="AP404"/>
      <c r="AQ404">
        <v>0</v>
      </c>
      <c r="AR404">
        <v>0</v>
      </c>
      <c r="AT404">
        <v>0</v>
      </c>
      <c r="AU404">
        <v>0</v>
      </c>
      <c r="AW404">
        <v>0</v>
      </c>
      <c r="AX404">
        <v>0</v>
      </c>
      <c r="AY404">
        <v>2240</v>
      </c>
      <c r="BC404" t="str">
        <f>T("9791137604209")</f>
        <v>9791137604209</v>
      </c>
      <c r="BE404" t="str">
        <f t="shared" si="59"/>
        <v>판타지 e북 &gt; 현대 판타지</v>
      </c>
    </row>
    <row r="405" spans="1:57" x14ac:dyDescent="0.3">
      <c r="A405">
        <v>2313017453</v>
      </c>
      <c r="B405">
        <v>2313017459</v>
      </c>
      <c r="C405" t="str">
        <f>T("[e북]칵테일로 레벨업 7권")</f>
        <v>[e북]칵테일로 레벨업 7권</v>
      </c>
      <c r="D405" t="str">
        <f>T("7")</f>
        <v>7</v>
      </c>
      <c r="E405" t="str">
        <f t="shared" si="56"/>
        <v>서강후</v>
      </c>
      <c r="H405" t="str">
        <f t="shared" si="57"/>
        <v>스토리위즈</v>
      </c>
      <c r="I405" t="str">
        <f t="shared" si="58"/>
        <v>[e북]칵테일로 레벨업</v>
      </c>
      <c r="J405">
        <v>3200</v>
      </c>
      <c r="K405">
        <v>3200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3200</v>
      </c>
      <c r="AH405">
        <v>1</v>
      </c>
      <c r="AI405">
        <v>0</v>
      </c>
      <c r="AJ405">
        <v>0</v>
      </c>
      <c r="AK405">
        <v>3200</v>
      </c>
      <c r="AL405">
        <v>0</v>
      </c>
      <c r="AM405">
        <v>0</v>
      </c>
      <c r="AN405">
        <v>0</v>
      </c>
      <c r="AO405">
        <v>0</v>
      </c>
      <c r="AP405"/>
      <c r="AQ405">
        <v>0</v>
      </c>
      <c r="AR405">
        <v>0</v>
      </c>
      <c r="AT405">
        <v>0</v>
      </c>
      <c r="AU405">
        <v>0</v>
      </c>
      <c r="AW405">
        <v>0</v>
      </c>
      <c r="AX405">
        <v>0</v>
      </c>
      <c r="AY405">
        <v>2240</v>
      </c>
      <c r="BC405" t="str">
        <f>T("9791137604216")</f>
        <v>9791137604216</v>
      </c>
      <c r="BE405" t="str">
        <f t="shared" si="59"/>
        <v>판타지 e북 &gt; 현대 판타지</v>
      </c>
    </row>
    <row r="406" spans="1:57" x14ac:dyDescent="0.3">
      <c r="A406">
        <v>2313017453</v>
      </c>
      <c r="B406">
        <v>2313017460</v>
      </c>
      <c r="C406" t="str">
        <f>T("[e북]칵테일로 레벨업 8권 (완결)")</f>
        <v>[e북]칵테일로 레벨업 8권 (완결)</v>
      </c>
      <c r="D406" t="str">
        <f>T("8")</f>
        <v>8</v>
      </c>
      <c r="E406" t="str">
        <f t="shared" si="56"/>
        <v>서강후</v>
      </c>
      <c r="H406" t="str">
        <f t="shared" si="57"/>
        <v>스토리위즈</v>
      </c>
      <c r="I406" t="str">
        <f t="shared" si="58"/>
        <v>[e북]칵테일로 레벨업</v>
      </c>
      <c r="J406">
        <v>3200</v>
      </c>
      <c r="K406">
        <v>3200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3200</v>
      </c>
      <c r="AH406">
        <v>1</v>
      </c>
      <c r="AI406">
        <v>0</v>
      </c>
      <c r="AJ406">
        <v>0</v>
      </c>
      <c r="AK406">
        <v>3200</v>
      </c>
      <c r="AL406">
        <v>0</v>
      </c>
      <c r="AM406">
        <v>0</v>
      </c>
      <c r="AN406">
        <v>0</v>
      </c>
      <c r="AO406">
        <v>0</v>
      </c>
      <c r="AP406"/>
      <c r="AQ406">
        <v>0</v>
      </c>
      <c r="AR406">
        <v>0</v>
      </c>
      <c r="AT406">
        <v>0</v>
      </c>
      <c r="AU406">
        <v>0</v>
      </c>
      <c r="AW406">
        <v>0</v>
      </c>
      <c r="AX406">
        <v>0</v>
      </c>
      <c r="AY406">
        <v>2240</v>
      </c>
      <c r="BC406" t="str">
        <f>T("9791137604223")</f>
        <v>9791137604223</v>
      </c>
      <c r="BE406" t="str">
        <f t="shared" si="59"/>
        <v>판타지 e북 &gt; 현대 판타지</v>
      </c>
    </row>
    <row r="407" spans="1:57" x14ac:dyDescent="0.3">
      <c r="A407">
        <v>2313018571</v>
      </c>
      <c r="B407">
        <v>2313018572</v>
      </c>
      <c r="C407" t="str">
        <f>T("[e북]유성하소월 2권")</f>
        <v>[e북]유성하소월 2권</v>
      </c>
      <c r="D407" t="str">
        <f>T("2")</f>
        <v>2</v>
      </c>
      <c r="E407" t="str">
        <f>T("무장")</f>
        <v>무장</v>
      </c>
      <c r="H407" t="str">
        <f t="shared" si="57"/>
        <v>스토리위즈</v>
      </c>
      <c r="I407" t="str">
        <f>T("[e북]유성하소월")</f>
        <v>[e북]유성하소월</v>
      </c>
      <c r="J407">
        <v>3200</v>
      </c>
      <c r="K407">
        <v>3200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3200</v>
      </c>
      <c r="AH407">
        <v>1</v>
      </c>
      <c r="AI407">
        <v>0</v>
      </c>
      <c r="AJ407">
        <v>0</v>
      </c>
      <c r="AK407">
        <v>3200</v>
      </c>
      <c r="AL407">
        <v>0</v>
      </c>
      <c r="AM407">
        <v>0</v>
      </c>
      <c r="AN407">
        <v>0</v>
      </c>
      <c r="AO407">
        <v>0</v>
      </c>
      <c r="AP407"/>
      <c r="AQ407">
        <v>0</v>
      </c>
      <c r="AR407">
        <v>0</v>
      </c>
      <c r="AT407">
        <v>0</v>
      </c>
      <c r="AU407">
        <v>0</v>
      </c>
      <c r="AW407">
        <v>0</v>
      </c>
      <c r="AX407">
        <v>0</v>
      </c>
      <c r="AY407">
        <v>2240</v>
      </c>
      <c r="BC407" t="str">
        <f>T("9791137601765")</f>
        <v>9791137601765</v>
      </c>
      <c r="BE407" t="str">
        <f>T("판타지 e북 &gt; 신무협")</f>
        <v>판타지 e북 &gt; 신무협</v>
      </c>
    </row>
    <row r="408" spans="1:57" x14ac:dyDescent="0.3">
      <c r="A408">
        <v>2313018620</v>
      </c>
      <c r="B408">
        <v>2313018622</v>
      </c>
      <c r="C408" t="str">
        <f>T("[e북]나 혼자 스킬융합 3권")</f>
        <v>[e북]나 혼자 스킬융합 3권</v>
      </c>
      <c r="D408" t="str">
        <f>T("3")</f>
        <v>3</v>
      </c>
      <c r="E408" t="str">
        <f>T("붕어빵")</f>
        <v>붕어빵</v>
      </c>
      <c r="H408" t="str">
        <f t="shared" si="57"/>
        <v>스토리위즈</v>
      </c>
      <c r="I408" t="str">
        <f>T("[e북]나 혼자 스킬융합")</f>
        <v>[e북]나 혼자 스킬융합</v>
      </c>
      <c r="J408">
        <v>3200</v>
      </c>
      <c r="K408">
        <v>3200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3200</v>
      </c>
      <c r="AH408">
        <v>1</v>
      </c>
      <c r="AI408">
        <v>0</v>
      </c>
      <c r="AJ408">
        <v>0</v>
      </c>
      <c r="AK408">
        <v>3200</v>
      </c>
      <c r="AL408">
        <v>0</v>
      </c>
      <c r="AM408">
        <v>0</v>
      </c>
      <c r="AN408">
        <v>0</v>
      </c>
      <c r="AO408">
        <v>0</v>
      </c>
      <c r="AP408"/>
      <c r="AQ408">
        <v>0</v>
      </c>
      <c r="AR408">
        <v>0</v>
      </c>
      <c r="AT408">
        <v>0</v>
      </c>
      <c r="AU408">
        <v>0</v>
      </c>
      <c r="AW408">
        <v>0</v>
      </c>
      <c r="AX408">
        <v>0</v>
      </c>
      <c r="AY408">
        <v>2240</v>
      </c>
      <c r="BC408" t="str">
        <f>T("9791137605503")</f>
        <v>9791137605503</v>
      </c>
      <c r="BE408" t="str">
        <f>T("판타지 e북 &gt; 현대 판타지")</f>
        <v>판타지 e북 &gt; 현대 판타지</v>
      </c>
    </row>
    <row r="409" spans="1:57" x14ac:dyDescent="0.3">
      <c r="A409">
        <v>2313018620</v>
      </c>
      <c r="B409">
        <v>2313018623</v>
      </c>
      <c r="C409" t="str">
        <f>T("[e북]나 혼자 스킬융합 4권")</f>
        <v>[e북]나 혼자 스킬융합 4권</v>
      </c>
      <c r="D409" t="str">
        <f>T("4")</f>
        <v>4</v>
      </c>
      <c r="E409" t="str">
        <f>T("붕어빵")</f>
        <v>붕어빵</v>
      </c>
      <c r="H409" t="str">
        <f t="shared" si="57"/>
        <v>스토리위즈</v>
      </c>
      <c r="I409" t="str">
        <f>T("[e북]나 혼자 스킬융합")</f>
        <v>[e북]나 혼자 스킬융합</v>
      </c>
      <c r="J409">
        <v>3200</v>
      </c>
      <c r="K409">
        <v>3200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3200</v>
      </c>
      <c r="AH409">
        <v>1</v>
      </c>
      <c r="AI409">
        <v>0</v>
      </c>
      <c r="AJ409">
        <v>0</v>
      </c>
      <c r="AK409">
        <v>3200</v>
      </c>
      <c r="AL409">
        <v>0</v>
      </c>
      <c r="AM409">
        <v>0</v>
      </c>
      <c r="AN409">
        <v>0</v>
      </c>
      <c r="AO409">
        <v>0</v>
      </c>
      <c r="AP409"/>
      <c r="AQ409">
        <v>0</v>
      </c>
      <c r="AR409">
        <v>0</v>
      </c>
      <c r="AT409">
        <v>0</v>
      </c>
      <c r="AU409">
        <v>0</v>
      </c>
      <c r="AW409">
        <v>0</v>
      </c>
      <c r="AX409">
        <v>0</v>
      </c>
      <c r="AY409">
        <v>2240</v>
      </c>
      <c r="BC409" t="str">
        <f>T("9791137605510")</f>
        <v>9791137605510</v>
      </c>
      <c r="BE409" t="str">
        <f>T("판타지 e북 &gt; 현대 판타지")</f>
        <v>판타지 e북 &gt; 현대 판타지</v>
      </c>
    </row>
    <row r="410" spans="1:57" x14ac:dyDescent="0.3">
      <c r="A410">
        <v>2313018620</v>
      </c>
      <c r="B410">
        <v>2313018624</v>
      </c>
      <c r="C410" t="str">
        <f>T("[e북]나 혼자 스킬융합 5권")</f>
        <v>[e북]나 혼자 스킬융합 5권</v>
      </c>
      <c r="D410" t="str">
        <f>T("5")</f>
        <v>5</v>
      </c>
      <c r="E410" t="str">
        <f>T("붕어빵")</f>
        <v>붕어빵</v>
      </c>
      <c r="H410" t="str">
        <f t="shared" si="57"/>
        <v>스토리위즈</v>
      </c>
      <c r="I410" t="str">
        <f>T("[e북]나 혼자 스킬융합")</f>
        <v>[e북]나 혼자 스킬융합</v>
      </c>
      <c r="J410">
        <v>3200</v>
      </c>
      <c r="K410">
        <v>3200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3200</v>
      </c>
      <c r="AH410">
        <v>1</v>
      </c>
      <c r="AI410">
        <v>0</v>
      </c>
      <c r="AJ410">
        <v>0</v>
      </c>
      <c r="AK410">
        <v>3200</v>
      </c>
      <c r="AL410">
        <v>0</v>
      </c>
      <c r="AM410">
        <v>0</v>
      </c>
      <c r="AN410">
        <v>0</v>
      </c>
      <c r="AO410">
        <v>0</v>
      </c>
      <c r="AP410"/>
      <c r="AQ410">
        <v>0</v>
      </c>
      <c r="AR410">
        <v>0</v>
      </c>
      <c r="AT410">
        <v>0</v>
      </c>
      <c r="AU410">
        <v>0</v>
      </c>
      <c r="AW410">
        <v>0</v>
      </c>
      <c r="AX410">
        <v>0</v>
      </c>
      <c r="AY410">
        <v>2240</v>
      </c>
      <c r="BC410" t="str">
        <f>T("9791137605527")</f>
        <v>9791137605527</v>
      </c>
      <c r="BE410" t="str">
        <f>T("판타지 e북 &gt; 현대 판타지")</f>
        <v>판타지 e북 &gt; 현대 판타지</v>
      </c>
    </row>
    <row r="411" spans="1:57" x14ac:dyDescent="0.3">
      <c r="A411">
        <v>2313018620</v>
      </c>
      <c r="B411">
        <v>2313018627</v>
      </c>
      <c r="C411" t="str">
        <f>T("[e북]나 혼자 스킬융합 8권 (완결)")</f>
        <v>[e북]나 혼자 스킬융합 8권 (완결)</v>
      </c>
      <c r="D411" t="str">
        <f>T("8")</f>
        <v>8</v>
      </c>
      <c r="E411" t="str">
        <f>T("붕어빵")</f>
        <v>붕어빵</v>
      </c>
      <c r="H411" t="str">
        <f t="shared" si="57"/>
        <v>스토리위즈</v>
      </c>
      <c r="I411" t="str">
        <f>T("[e북]나 혼자 스킬융합")</f>
        <v>[e북]나 혼자 스킬융합</v>
      </c>
      <c r="J411">
        <v>3200</v>
      </c>
      <c r="K411">
        <v>3200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3200</v>
      </c>
      <c r="AH411">
        <v>1</v>
      </c>
      <c r="AI411">
        <v>0</v>
      </c>
      <c r="AJ411">
        <v>0</v>
      </c>
      <c r="AK411">
        <v>3200</v>
      </c>
      <c r="AL411">
        <v>0</v>
      </c>
      <c r="AM411">
        <v>0</v>
      </c>
      <c r="AN411">
        <v>0</v>
      </c>
      <c r="AO411">
        <v>0</v>
      </c>
      <c r="AP411"/>
      <c r="AQ411">
        <v>0</v>
      </c>
      <c r="AR411">
        <v>0</v>
      </c>
      <c r="AT411">
        <v>0</v>
      </c>
      <c r="AU411">
        <v>0</v>
      </c>
      <c r="AW411">
        <v>0</v>
      </c>
      <c r="AX411">
        <v>0</v>
      </c>
      <c r="AY411">
        <v>2240</v>
      </c>
      <c r="BC411" t="str">
        <f>T("9791137605558")</f>
        <v>9791137605558</v>
      </c>
      <c r="BE411" t="str">
        <f>T("판타지 e북 &gt; 현대 판타지")</f>
        <v>판타지 e북 &gt; 현대 판타지</v>
      </c>
    </row>
    <row r="412" spans="1:57" x14ac:dyDescent="0.3">
      <c r="A412">
        <v>2313020108</v>
      </c>
      <c r="B412">
        <v>2313020167</v>
      </c>
      <c r="C412" t="str">
        <f>T("아빠는 마교대장 60화")</f>
        <v>아빠는 마교대장 60화</v>
      </c>
      <c r="D412" t="str">
        <f>T("60")</f>
        <v>60</v>
      </c>
      <c r="E412" t="str">
        <f>T("구땡")</f>
        <v>구땡</v>
      </c>
      <c r="H412" t="str">
        <f t="shared" si="57"/>
        <v>스토리위즈</v>
      </c>
      <c r="I412" t="str">
        <f>T("아빠는 마교대장")</f>
        <v>아빠는 마교대장</v>
      </c>
      <c r="J412">
        <v>100</v>
      </c>
      <c r="K412">
        <v>3200</v>
      </c>
      <c r="L412">
        <v>32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3200</v>
      </c>
      <c r="AH412">
        <v>32</v>
      </c>
      <c r="AI412">
        <v>0</v>
      </c>
      <c r="AJ412">
        <v>0</v>
      </c>
      <c r="AK412">
        <v>3000</v>
      </c>
      <c r="AL412">
        <v>0</v>
      </c>
      <c r="AM412">
        <v>240</v>
      </c>
      <c r="AN412">
        <v>-72</v>
      </c>
      <c r="AO412">
        <v>0</v>
      </c>
      <c r="AP412"/>
      <c r="AQ412">
        <v>0</v>
      </c>
      <c r="AR412">
        <v>0</v>
      </c>
      <c r="AS412">
        <v>240</v>
      </c>
      <c r="AT412">
        <v>-72</v>
      </c>
      <c r="AU412">
        <v>0</v>
      </c>
      <c r="AW412">
        <v>0</v>
      </c>
      <c r="AX412">
        <v>0</v>
      </c>
      <c r="AY412">
        <v>2217.6</v>
      </c>
      <c r="BC412" t="str">
        <f>T("9791137602076")</f>
        <v>9791137602076</v>
      </c>
      <c r="BE412" t="str">
        <f>T("판타지 웹소설 &gt; 무협 소설")</f>
        <v>판타지 웹소설 &gt; 무협 소설</v>
      </c>
    </row>
    <row r="413" spans="1:57" x14ac:dyDescent="0.3">
      <c r="A413">
        <v>2313020108</v>
      </c>
      <c r="B413">
        <v>2313020307</v>
      </c>
      <c r="C413" t="str">
        <f>T("아빠는 마교대장 200화 (완결)")</f>
        <v>아빠는 마교대장 200화 (완결)</v>
      </c>
      <c r="D413" t="str">
        <f>T("200")</f>
        <v>200</v>
      </c>
      <c r="E413" t="str">
        <f>T("구땡")</f>
        <v>구땡</v>
      </c>
      <c r="H413" t="str">
        <f t="shared" si="57"/>
        <v>스토리위즈</v>
      </c>
      <c r="I413" t="str">
        <f>T("아빠는 마교대장")</f>
        <v>아빠는 마교대장</v>
      </c>
      <c r="J413">
        <v>100</v>
      </c>
      <c r="K413">
        <v>3200</v>
      </c>
      <c r="L413">
        <v>32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3200</v>
      </c>
      <c r="AH413">
        <v>32</v>
      </c>
      <c r="AI413">
        <v>0</v>
      </c>
      <c r="AJ413">
        <v>0</v>
      </c>
      <c r="AK413">
        <v>2800</v>
      </c>
      <c r="AL413">
        <v>0</v>
      </c>
      <c r="AM413">
        <v>480</v>
      </c>
      <c r="AN413">
        <v>-96</v>
      </c>
      <c r="AO413">
        <v>0</v>
      </c>
      <c r="AP413"/>
      <c r="AQ413">
        <v>0</v>
      </c>
      <c r="AR413">
        <v>0</v>
      </c>
      <c r="AS413">
        <v>480</v>
      </c>
      <c r="AT413">
        <v>-96</v>
      </c>
      <c r="AU413">
        <v>0</v>
      </c>
      <c r="AW413">
        <v>0</v>
      </c>
      <c r="AX413">
        <v>0</v>
      </c>
      <c r="AY413">
        <v>2228.8000000000002</v>
      </c>
      <c r="BC413" t="str">
        <f>T("9791137602076")</f>
        <v>9791137602076</v>
      </c>
      <c r="BE413" t="str">
        <f>T("판타지 웹소설 &gt; 무협 소설")</f>
        <v>판타지 웹소설 &gt; 무협 소설</v>
      </c>
    </row>
    <row r="414" spans="1:57" x14ac:dyDescent="0.3">
      <c r="A414">
        <v>2313020308</v>
      </c>
      <c r="B414">
        <v>2313020309</v>
      </c>
      <c r="C414" t="str">
        <f>T("[e북]상태창빨로 천재 재벌 2권")</f>
        <v>[e북]상태창빨로 천재 재벌 2권</v>
      </c>
      <c r="D414" t="str">
        <f>T("2")</f>
        <v>2</v>
      </c>
      <c r="E414" t="str">
        <f t="shared" ref="E414:E424" si="60">T("리얼탄산")</f>
        <v>리얼탄산</v>
      </c>
      <c r="H414" t="str">
        <f t="shared" si="57"/>
        <v>스토리위즈</v>
      </c>
      <c r="I414" t="str">
        <f t="shared" ref="I414:I424" si="61">T("[e북]상태창빨로 천재 재벌")</f>
        <v>[e북]상태창빨로 천재 재벌</v>
      </c>
      <c r="J414">
        <v>3200</v>
      </c>
      <c r="K414">
        <v>3200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3200</v>
      </c>
      <c r="AH414">
        <v>1</v>
      </c>
      <c r="AI414">
        <v>0</v>
      </c>
      <c r="AJ414">
        <v>0</v>
      </c>
      <c r="AK414">
        <v>3200</v>
      </c>
      <c r="AL414">
        <v>0</v>
      </c>
      <c r="AM414">
        <v>0</v>
      </c>
      <c r="AN414">
        <v>0</v>
      </c>
      <c r="AO414">
        <v>0</v>
      </c>
      <c r="AP414"/>
      <c r="AQ414">
        <v>0</v>
      </c>
      <c r="AR414">
        <v>0</v>
      </c>
      <c r="AT414">
        <v>0</v>
      </c>
      <c r="AU414">
        <v>0</v>
      </c>
      <c r="AW414">
        <v>0</v>
      </c>
      <c r="AX414">
        <v>0</v>
      </c>
      <c r="AY414">
        <v>2240</v>
      </c>
      <c r="BC414" t="str">
        <f>T("9791137607453")</f>
        <v>9791137607453</v>
      </c>
      <c r="BE414" t="str">
        <f t="shared" ref="BE414:BE425" si="62">T("판타지 e북 &gt; 현대 판타지")</f>
        <v>판타지 e북 &gt; 현대 판타지</v>
      </c>
    </row>
    <row r="415" spans="1:57" x14ac:dyDescent="0.3">
      <c r="A415">
        <v>2313020308</v>
      </c>
      <c r="B415">
        <v>2313020310</v>
      </c>
      <c r="C415" t="str">
        <f>T("[e북]상태창빨로 천재 재벌 3권")</f>
        <v>[e북]상태창빨로 천재 재벌 3권</v>
      </c>
      <c r="D415" t="str">
        <f>T("3")</f>
        <v>3</v>
      </c>
      <c r="E415" t="str">
        <f t="shared" si="60"/>
        <v>리얼탄산</v>
      </c>
      <c r="H415" t="str">
        <f t="shared" si="57"/>
        <v>스토리위즈</v>
      </c>
      <c r="I415" t="str">
        <f t="shared" si="61"/>
        <v>[e북]상태창빨로 천재 재벌</v>
      </c>
      <c r="J415">
        <v>3200</v>
      </c>
      <c r="K415">
        <v>3200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3200</v>
      </c>
      <c r="AH415">
        <v>1</v>
      </c>
      <c r="AI415">
        <v>0</v>
      </c>
      <c r="AJ415">
        <v>0</v>
      </c>
      <c r="AK415">
        <v>3200</v>
      </c>
      <c r="AL415">
        <v>0</v>
      </c>
      <c r="AM415">
        <v>0</v>
      </c>
      <c r="AN415">
        <v>0</v>
      </c>
      <c r="AO415">
        <v>0</v>
      </c>
      <c r="AP415"/>
      <c r="AQ415">
        <v>0</v>
      </c>
      <c r="AR415">
        <v>0</v>
      </c>
      <c r="AT415">
        <v>0</v>
      </c>
      <c r="AU415">
        <v>0</v>
      </c>
      <c r="AW415">
        <v>0</v>
      </c>
      <c r="AX415">
        <v>0</v>
      </c>
      <c r="AY415">
        <v>2240</v>
      </c>
      <c r="BC415" t="str">
        <f>T("9791137607460")</f>
        <v>9791137607460</v>
      </c>
      <c r="BE415" t="str">
        <f t="shared" si="62"/>
        <v>판타지 e북 &gt; 현대 판타지</v>
      </c>
    </row>
    <row r="416" spans="1:57" x14ac:dyDescent="0.3">
      <c r="A416">
        <v>2313020308</v>
      </c>
      <c r="B416">
        <v>2313020311</v>
      </c>
      <c r="C416" t="str">
        <f>T("[e북]상태창빨로 천재 재벌 4권")</f>
        <v>[e북]상태창빨로 천재 재벌 4권</v>
      </c>
      <c r="D416" t="str">
        <f>T("4")</f>
        <v>4</v>
      </c>
      <c r="E416" t="str">
        <f t="shared" si="60"/>
        <v>리얼탄산</v>
      </c>
      <c r="H416" t="str">
        <f t="shared" si="57"/>
        <v>스토리위즈</v>
      </c>
      <c r="I416" t="str">
        <f t="shared" si="61"/>
        <v>[e북]상태창빨로 천재 재벌</v>
      </c>
      <c r="J416">
        <v>3200</v>
      </c>
      <c r="K416">
        <v>3200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3200</v>
      </c>
      <c r="AH416">
        <v>1</v>
      </c>
      <c r="AI416">
        <v>0</v>
      </c>
      <c r="AJ416">
        <v>0</v>
      </c>
      <c r="AK416">
        <v>3200</v>
      </c>
      <c r="AL416">
        <v>0</v>
      </c>
      <c r="AM416">
        <v>0</v>
      </c>
      <c r="AN416">
        <v>0</v>
      </c>
      <c r="AO416">
        <v>0</v>
      </c>
      <c r="AP416"/>
      <c r="AQ416">
        <v>0</v>
      </c>
      <c r="AR416">
        <v>0</v>
      </c>
      <c r="AT416">
        <v>0</v>
      </c>
      <c r="AU416">
        <v>0</v>
      </c>
      <c r="AW416">
        <v>0</v>
      </c>
      <c r="AX416">
        <v>0</v>
      </c>
      <c r="AY416">
        <v>2240</v>
      </c>
      <c r="BC416" t="str">
        <f>T("9791137607477")</f>
        <v>9791137607477</v>
      </c>
      <c r="BE416" t="str">
        <f t="shared" si="62"/>
        <v>판타지 e북 &gt; 현대 판타지</v>
      </c>
    </row>
    <row r="417" spans="1:57" x14ac:dyDescent="0.3">
      <c r="A417">
        <v>2313020308</v>
      </c>
      <c r="B417">
        <v>2313020312</v>
      </c>
      <c r="C417" t="str">
        <f>T("[e북]상태창빨로 천재 재벌 5권")</f>
        <v>[e북]상태창빨로 천재 재벌 5권</v>
      </c>
      <c r="D417" t="str">
        <f>T("5")</f>
        <v>5</v>
      </c>
      <c r="E417" t="str">
        <f t="shared" si="60"/>
        <v>리얼탄산</v>
      </c>
      <c r="H417" t="str">
        <f t="shared" si="57"/>
        <v>스토리위즈</v>
      </c>
      <c r="I417" t="str">
        <f t="shared" si="61"/>
        <v>[e북]상태창빨로 천재 재벌</v>
      </c>
      <c r="J417">
        <v>3200</v>
      </c>
      <c r="K417">
        <v>3200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3200</v>
      </c>
      <c r="AH417">
        <v>1</v>
      </c>
      <c r="AI417">
        <v>0</v>
      </c>
      <c r="AJ417">
        <v>0</v>
      </c>
      <c r="AK417">
        <v>3200</v>
      </c>
      <c r="AL417">
        <v>0</v>
      </c>
      <c r="AM417">
        <v>0</v>
      </c>
      <c r="AN417">
        <v>0</v>
      </c>
      <c r="AO417">
        <v>0</v>
      </c>
      <c r="AP417"/>
      <c r="AQ417">
        <v>0</v>
      </c>
      <c r="AR417">
        <v>0</v>
      </c>
      <c r="AT417">
        <v>0</v>
      </c>
      <c r="AU417">
        <v>0</v>
      </c>
      <c r="AW417">
        <v>0</v>
      </c>
      <c r="AX417">
        <v>0</v>
      </c>
      <c r="AY417">
        <v>2240</v>
      </c>
      <c r="BC417" t="str">
        <f>T("9791137607484")</f>
        <v>9791137607484</v>
      </c>
      <c r="BE417" t="str">
        <f t="shared" si="62"/>
        <v>판타지 e북 &gt; 현대 판타지</v>
      </c>
    </row>
    <row r="418" spans="1:57" x14ac:dyDescent="0.3">
      <c r="A418">
        <v>2313020308</v>
      </c>
      <c r="B418">
        <v>2313020313</v>
      </c>
      <c r="C418" t="str">
        <f>T("[e북]상태창빨로 천재 재벌 6권")</f>
        <v>[e북]상태창빨로 천재 재벌 6권</v>
      </c>
      <c r="D418" t="str">
        <f>T("6")</f>
        <v>6</v>
      </c>
      <c r="E418" t="str">
        <f t="shared" si="60"/>
        <v>리얼탄산</v>
      </c>
      <c r="H418" t="str">
        <f t="shared" si="57"/>
        <v>스토리위즈</v>
      </c>
      <c r="I418" t="str">
        <f t="shared" si="61"/>
        <v>[e북]상태창빨로 천재 재벌</v>
      </c>
      <c r="J418">
        <v>3200</v>
      </c>
      <c r="K418">
        <v>3200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3200</v>
      </c>
      <c r="AH418">
        <v>1</v>
      </c>
      <c r="AI418">
        <v>0</v>
      </c>
      <c r="AJ418">
        <v>0</v>
      </c>
      <c r="AK418">
        <v>3200</v>
      </c>
      <c r="AL418">
        <v>0</v>
      </c>
      <c r="AM418">
        <v>0</v>
      </c>
      <c r="AN418">
        <v>0</v>
      </c>
      <c r="AO418">
        <v>0</v>
      </c>
      <c r="AP418"/>
      <c r="AQ418">
        <v>0</v>
      </c>
      <c r="AR418">
        <v>0</v>
      </c>
      <c r="AT418">
        <v>0</v>
      </c>
      <c r="AU418">
        <v>0</v>
      </c>
      <c r="AW418">
        <v>0</v>
      </c>
      <c r="AX418">
        <v>0</v>
      </c>
      <c r="AY418">
        <v>2240</v>
      </c>
      <c r="BC418" t="str">
        <f>T("9791137607491")</f>
        <v>9791137607491</v>
      </c>
      <c r="BE418" t="str">
        <f t="shared" si="62"/>
        <v>판타지 e북 &gt; 현대 판타지</v>
      </c>
    </row>
    <row r="419" spans="1:57" x14ac:dyDescent="0.3">
      <c r="A419">
        <v>2313020308</v>
      </c>
      <c r="B419">
        <v>2313020314</v>
      </c>
      <c r="C419" t="str">
        <f>T("[e북]상태창빨로 천재 재벌 7권")</f>
        <v>[e북]상태창빨로 천재 재벌 7권</v>
      </c>
      <c r="D419" t="str">
        <f>T("7")</f>
        <v>7</v>
      </c>
      <c r="E419" t="str">
        <f t="shared" si="60"/>
        <v>리얼탄산</v>
      </c>
      <c r="H419" t="str">
        <f t="shared" si="57"/>
        <v>스토리위즈</v>
      </c>
      <c r="I419" t="str">
        <f t="shared" si="61"/>
        <v>[e북]상태창빨로 천재 재벌</v>
      </c>
      <c r="J419">
        <v>3200</v>
      </c>
      <c r="K419">
        <v>3200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3200</v>
      </c>
      <c r="AH419">
        <v>1</v>
      </c>
      <c r="AI419">
        <v>0</v>
      </c>
      <c r="AJ419">
        <v>0</v>
      </c>
      <c r="AK419">
        <v>3200</v>
      </c>
      <c r="AL419">
        <v>0</v>
      </c>
      <c r="AM419">
        <v>0</v>
      </c>
      <c r="AN419">
        <v>0</v>
      </c>
      <c r="AO419">
        <v>0</v>
      </c>
      <c r="AP419"/>
      <c r="AQ419">
        <v>0</v>
      </c>
      <c r="AR419">
        <v>0</v>
      </c>
      <c r="AT419">
        <v>0</v>
      </c>
      <c r="AU419">
        <v>0</v>
      </c>
      <c r="AW419">
        <v>0</v>
      </c>
      <c r="AX419">
        <v>0</v>
      </c>
      <c r="AY419">
        <v>2240</v>
      </c>
      <c r="BC419" t="str">
        <f>T("9791137607507")</f>
        <v>9791137607507</v>
      </c>
      <c r="BE419" t="str">
        <f t="shared" si="62"/>
        <v>판타지 e북 &gt; 현대 판타지</v>
      </c>
    </row>
    <row r="420" spans="1:57" x14ac:dyDescent="0.3">
      <c r="A420">
        <v>2313020308</v>
      </c>
      <c r="B420">
        <v>2313020315</v>
      </c>
      <c r="C420" t="str">
        <f>T("[e북]상태창빨로 천재 재벌 8권")</f>
        <v>[e북]상태창빨로 천재 재벌 8권</v>
      </c>
      <c r="D420" t="str">
        <f>T("8")</f>
        <v>8</v>
      </c>
      <c r="E420" t="str">
        <f t="shared" si="60"/>
        <v>리얼탄산</v>
      </c>
      <c r="H420" t="str">
        <f t="shared" si="57"/>
        <v>스토리위즈</v>
      </c>
      <c r="I420" t="str">
        <f t="shared" si="61"/>
        <v>[e북]상태창빨로 천재 재벌</v>
      </c>
      <c r="J420">
        <v>3200</v>
      </c>
      <c r="K420">
        <v>3200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3200</v>
      </c>
      <c r="AH420">
        <v>1</v>
      </c>
      <c r="AI420">
        <v>0</v>
      </c>
      <c r="AJ420">
        <v>0</v>
      </c>
      <c r="AK420">
        <v>3200</v>
      </c>
      <c r="AL420">
        <v>0</v>
      </c>
      <c r="AM420">
        <v>0</v>
      </c>
      <c r="AN420">
        <v>0</v>
      </c>
      <c r="AO420">
        <v>0</v>
      </c>
      <c r="AP420"/>
      <c r="AQ420">
        <v>0</v>
      </c>
      <c r="AR420">
        <v>0</v>
      </c>
      <c r="AT420">
        <v>0</v>
      </c>
      <c r="AU420">
        <v>0</v>
      </c>
      <c r="AW420">
        <v>0</v>
      </c>
      <c r="AX420">
        <v>0</v>
      </c>
      <c r="AY420">
        <v>2240</v>
      </c>
      <c r="BC420" t="str">
        <f>T("9791137607514")</f>
        <v>9791137607514</v>
      </c>
      <c r="BE420" t="str">
        <f t="shared" si="62"/>
        <v>판타지 e북 &gt; 현대 판타지</v>
      </c>
    </row>
    <row r="421" spans="1:57" x14ac:dyDescent="0.3">
      <c r="A421">
        <v>2313020308</v>
      </c>
      <c r="B421">
        <v>2313020316</v>
      </c>
      <c r="C421" t="str">
        <f>T("[e북]상태창빨로 천재 재벌 9권")</f>
        <v>[e북]상태창빨로 천재 재벌 9권</v>
      </c>
      <c r="D421" t="str">
        <f>T("9")</f>
        <v>9</v>
      </c>
      <c r="E421" t="str">
        <f t="shared" si="60"/>
        <v>리얼탄산</v>
      </c>
      <c r="H421" t="str">
        <f t="shared" si="57"/>
        <v>스토리위즈</v>
      </c>
      <c r="I421" t="str">
        <f t="shared" si="61"/>
        <v>[e북]상태창빨로 천재 재벌</v>
      </c>
      <c r="J421">
        <v>3200</v>
      </c>
      <c r="K421">
        <v>3200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3200</v>
      </c>
      <c r="AH421">
        <v>1</v>
      </c>
      <c r="AI421">
        <v>0</v>
      </c>
      <c r="AJ421">
        <v>0</v>
      </c>
      <c r="AK421">
        <v>3200</v>
      </c>
      <c r="AL421">
        <v>0</v>
      </c>
      <c r="AM421">
        <v>0</v>
      </c>
      <c r="AN421">
        <v>0</v>
      </c>
      <c r="AO421">
        <v>0</v>
      </c>
      <c r="AP421"/>
      <c r="AQ421">
        <v>0</v>
      </c>
      <c r="AR421">
        <v>0</v>
      </c>
      <c r="AT421">
        <v>0</v>
      </c>
      <c r="AU421">
        <v>0</v>
      </c>
      <c r="AW421">
        <v>0</v>
      </c>
      <c r="AX421">
        <v>0</v>
      </c>
      <c r="AY421">
        <v>2240</v>
      </c>
      <c r="BC421" t="str">
        <f>T("9791137607521")</f>
        <v>9791137607521</v>
      </c>
      <c r="BE421" t="str">
        <f t="shared" si="62"/>
        <v>판타지 e북 &gt; 현대 판타지</v>
      </c>
    </row>
    <row r="422" spans="1:57" x14ac:dyDescent="0.3">
      <c r="A422">
        <v>2313020308</v>
      </c>
      <c r="B422">
        <v>2313020317</v>
      </c>
      <c r="C422" t="str">
        <f>T("[e북]상태창빨로 천재 재벌 10권")</f>
        <v>[e북]상태창빨로 천재 재벌 10권</v>
      </c>
      <c r="D422" t="str">
        <f>T("10")</f>
        <v>10</v>
      </c>
      <c r="E422" t="str">
        <f t="shared" si="60"/>
        <v>리얼탄산</v>
      </c>
      <c r="H422" t="str">
        <f t="shared" si="57"/>
        <v>스토리위즈</v>
      </c>
      <c r="I422" t="str">
        <f t="shared" si="61"/>
        <v>[e북]상태창빨로 천재 재벌</v>
      </c>
      <c r="J422">
        <v>3200</v>
      </c>
      <c r="K422">
        <v>3200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3200</v>
      </c>
      <c r="AH422">
        <v>1</v>
      </c>
      <c r="AI422">
        <v>0</v>
      </c>
      <c r="AJ422">
        <v>0</v>
      </c>
      <c r="AK422">
        <v>3200</v>
      </c>
      <c r="AL422">
        <v>0</v>
      </c>
      <c r="AM422">
        <v>0</v>
      </c>
      <c r="AN422">
        <v>0</v>
      </c>
      <c r="AO422">
        <v>0</v>
      </c>
      <c r="AP422"/>
      <c r="AQ422">
        <v>0</v>
      </c>
      <c r="AR422">
        <v>0</v>
      </c>
      <c r="AT422">
        <v>0</v>
      </c>
      <c r="AU422">
        <v>0</v>
      </c>
      <c r="AW422">
        <v>0</v>
      </c>
      <c r="AX422">
        <v>0</v>
      </c>
      <c r="AY422">
        <v>2240</v>
      </c>
      <c r="BC422" t="str">
        <f>T("9791137607538")</f>
        <v>9791137607538</v>
      </c>
      <c r="BE422" t="str">
        <f t="shared" si="62"/>
        <v>판타지 e북 &gt; 현대 판타지</v>
      </c>
    </row>
    <row r="423" spans="1:57" x14ac:dyDescent="0.3">
      <c r="A423">
        <v>2313020308</v>
      </c>
      <c r="B423">
        <v>2313020318</v>
      </c>
      <c r="C423" t="str">
        <f>T("[e북]상태창빨로 천재 재벌 11권")</f>
        <v>[e북]상태창빨로 천재 재벌 11권</v>
      </c>
      <c r="D423" t="str">
        <f>T("11")</f>
        <v>11</v>
      </c>
      <c r="E423" t="str">
        <f t="shared" si="60"/>
        <v>리얼탄산</v>
      </c>
      <c r="H423" t="str">
        <f t="shared" si="57"/>
        <v>스토리위즈</v>
      </c>
      <c r="I423" t="str">
        <f t="shared" si="61"/>
        <v>[e북]상태창빨로 천재 재벌</v>
      </c>
      <c r="J423">
        <v>3200</v>
      </c>
      <c r="K423">
        <v>3200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3200</v>
      </c>
      <c r="AH423">
        <v>1</v>
      </c>
      <c r="AI423">
        <v>0</v>
      </c>
      <c r="AJ423">
        <v>0</v>
      </c>
      <c r="AK423">
        <v>3200</v>
      </c>
      <c r="AL423">
        <v>0</v>
      </c>
      <c r="AM423">
        <v>0</v>
      </c>
      <c r="AN423">
        <v>0</v>
      </c>
      <c r="AO423">
        <v>0</v>
      </c>
      <c r="AP423"/>
      <c r="AQ423">
        <v>0</v>
      </c>
      <c r="AR423">
        <v>0</v>
      </c>
      <c r="AT423">
        <v>0</v>
      </c>
      <c r="AU423">
        <v>0</v>
      </c>
      <c r="AW423">
        <v>0</v>
      </c>
      <c r="AX423">
        <v>0</v>
      </c>
      <c r="AY423">
        <v>2240</v>
      </c>
      <c r="BC423" t="str">
        <f>T("9791137607545")</f>
        <v>9791137607545</v>
      </c>
      <c r="BE423" t="str">
        <f t="shared" si="62"/>
        <v>판타지 e북 &gt; 현대 판타지</v>
      </c>
    </row>
    <row r="424" spans="1:57" x14ac:dyDescent="0.3">
      <c r="A424">
        <v>2313020308</v>
      </c>
      <c r="B424">
        <v>2313020319</v>
      </c>
      <c r="C424" t="str">
        <f>T("[e북]상태창빨로 천재 재벌 12권 (완결)")</f>
        <v>[e북]상태창빨로 천재 재벌 12권 (완결)</v>
      </c>
      <c r="D424" t="str">
        <f>T("12")</f>
        <v>12</v>
      </c>
      <c r="E424" t="str">
        <f t="shared" si="60"/>
        <v>리얼탄산</v>
      </c>
      <c r="H424" t="str">
        <f t="shared" si="57"/>
        <v>스토리위즈</v>
      </c>
      <c r="I424" t="str">
        <f t="shared" si="61"/>
        <v>[e북]상태창빨로 천재 재벌</v>
      </c>
      <c r="J424">
        <v>3200</v>
      </c>
      <c r="K424">
        <v>3200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3200</v>
      </c>
      <c r="AH424">
        <v>1</v>
      </c>
      <c r="AI424">
        <v>0</v>
      </c>
      <c r="AJ424">
        <v>0</v>
      </c>
      <c r="AK424">
        <v>3200</v>
      </c>
      <c r="AL424">
        <v>0</v>
      </c>
      <c r="AM424">
        <v>0</v>
      </c>
      <c r="AN424">
        <v>0</v>
      </c>
      <c r="AO424">
        <v>0</v>
      </c>
      <c r="AP424"/>
      <c r="AQ424">
        <v>0</v>
      </c>
      <c r="AR424">
        <v>0</v>
      </c>
      <c r="AT424">
        <v>0</v>
      </c>
      <c r="AU424">
        <v>0</v>
      </c>
      <c r="AW424">
        <v>0</v>
      </c>
      <c r="AX424">
        <v>0</v>
      </c>
      <c r="AY424">
        <v>2240</v>
      </c>
      <c r="BC424" t="str">
        <f>T("9791137607552")</f>
        <v>9791137607552</v>
      </c>
      <c r="BE424" t="str">
        <f t="shared" si="62"/>
        <v>판타지 e북 &gt; 현대 판타지</v>
      </c>
    </row>
    <row r="425" spans="1:57" x14ac:dyDescent="0.3">
      <c r="A425">
        <v>2313020320</v>
      </c>
      <c r="B425">
        <v>2313020321</v>
      </c>
      <c r="C425" t="str">
        <f>T("[e북]망생부터 시작하는 천재작가의 회귀 2권")</f>
        <v>[e북]망생부터 시작하는 천재작가의 회귀 2권</v>
      </c>
      <c r="D425" t="str">
        <f>T("2")</f>
        <v>2</v>
      </c>
      <c r="E425" t="str">
        <f>T("알랙스")</f>
        <v>알랙스</v>
      </c>
      <c r="H425" t="str">
        <f t="shared" si="57"/>
        <v>스토리위즈</v>
      </c>
      <c r="I425" t="str">
        <f>T("[e북]망생부터 시작하는 천재작가의 회귀")</f>
        <v>[e북]망생부터 시작하는 천재작가의 회귀</v>
      </c>
      <c r="J425">
        <v>3200</v>
      </c>
      <c r="K425">
        <v>3200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3200</v>
      </c>
      <c r="AH425">
        <v>1</v>
      </c>
      <c r="AI425">
        <v>0</v>
      </c>
      <c r="AJ425">
        <v>0</v>
      </c>
      <c r="AK425">
        <v>3200</v>
      </c>
      <c r="AL425">
        <v>0</v>
      </c>
      <c r="AM425">
        <v>0</v>
      </c>
      <c r="AN425">
        <v>0</v>
      </c>
      <c r="AO425">
        <v>0</v>
      </c>
      <c r="AP425"/>
      <c r="AQ425">
        <v>0</v>
      </c>
      <c r="AR425">
        <v>0</v>
      </c>
      <c r="AT425">
        <v>0</v>
      </c>
      <c r="AU425">
        <v>0</v>
      </c>
      <c r="AW425">
        <v>0</v>
      </c>
      <c r="AX425">
        <v>0</v>
      </c>
      <c r="AY425">
        <v>2240</v>
      </c>
      <c r="BC425" t="str">
        <f>T("9791137607576")</f>
        <v>9791137607576</v>
      </c>
      <c r="BE425" t="str">
        <f t="shared" si="62"/>
        <v>판타지 e북 &gt; 현대 판타지</v>
      </c>
    </row>
    <row r="426" spans="1:57" x14ac:dyDescent="0.3">
      <c r="A426">
        <v>2313020329</v>
      </c>
      <c r="B426">
        <v>2313020336</v>
      </c>
      <c r="C426" t="str">
        <f>T("[e북]디버프 마스터 8권")</f>
        <v>[e북]디버프 마스터 8권</v>
      </c>
      <c r="D426" t="str">
        <f>T("8")</f>
        <v>8</v>
      </c>
      <c r="E426" t="str">
        <f t="shared" ref="E426:E451" si="63">T("담화공")</f>
        <v>담화공</v>
      </c>
      <c r="H426" t="str">
        <f t="shared" si="57"/>
        <v>스토리위즈</v>
      </c>
      <c r="I426" t="str">
        <f t="shared" ref="I426:I451" si="64">T("[e북]디버프 마스터")</f>
        <v>[e북]디버프 마스터</v>
      </c>
      <c r="J426">
        <v>3200</v>
      </c>
      <c r="K426">
        <v>3200</v>
      </c>
      <c r="L426">
        <v>1</v>
      </c>
      <c r="M426">
        <v>0</v>
      </c>
      <c r="N426">
        <v>27720</v>
      </c>
      <c r="O426">
        <v>38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30920</v>
      </c>
      <c r="AH426">
        <v>39</v>
      </c>
      <c r="AI426">
        <v>0</v>
      </c>
      <c r="AJ426">
        <v>0</v>
      </c>
      <c r="AK426">
        <v>24068</v>
      </c>
      <c r="AL426">
        <v>0</v>
      </c>
      <c r="AM426">
        <v>8222.4</v>
      </c>
      <c r="AN426">
        <v>-1390.32</v>
      </c>
      <c r="AO426">
        <v>0</v>
      </c>
      <c r="AP426"/>
      <c r="AQ426">
        <v>0</v>
      </c>
      <c r="AR426">
        <v>0</v>
      </c>
      <c r="AS426">
        <v>8222.4</v>
      </c>
      <c r="AT426">
        <v>-1390.32</v>
      </c>
      <c r="AU426">
        <v>0</v>
      </c>
      <c r="AW426">
        <v>0</v>
      </c>
      <c r="AX426">
        <v>0</v>
      </c>
      <c r="AY426">
        <v>21630.06</v>
      </c>
      <c r="BC426" t="str">
        <f>T("9791137606241")</f>
        <v>9791137606241</v>
      </c>
      <c r="BE426" t="str">
        <f t="shared" ref="BE426:BE451" si="65">T("판타지 e북 &gt; 게임 판타지")</f>
        <v>판타지 e북 &gt; 게임 판타지</v>
      </c>
    </row>
    <row r="427" spans="1:57" x14ac:dyDescent="0.3">
      <c r="A427">
        <v>2313020329</v>
      </c>
      <c r="B427">
        <v>2313020337</v>
      </c>
      <c r="C427" t="str">
        <f>T("[e북]디버프 마스터 9권")</f>
        <v>[e북]디버프 마스터 9권</v>
      </c>
      <c r="D427" t="str">
        <f>T("9")</f>
        <v>9</v>
      </c>
      <c r="E427" t="str">
        <f t="shared" si="63"/>
        <v>담화공</v>
      </c>
      <c r="H427" t="str">
        <f t="shared" si="57"/>
        <v>스토리위즈</v>
      </c>
      <c r="I427" t="str">
        <f t="shared" si="64"/>
        <v>[e북]디버프 마스터</v>
      </c>
      <c r="J427">
        <v>3200</v>
      </c>
      <c r="K427">
        <v>3200</v>
      </c>
      <c r="L427">
        <v>1</v>
      </c>
      <c r="M427">
        <v>0</v>
      </c>
      <c r="N427">
        <v>26820</v>
      </c>
      <c r="O427">
        <v>37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30020</v>
      </c>
      <c r="AH427">
        <v>38</v>
      </c>
      <c r="AI427">
        <v>0</v>
      </c>
      <c r="AJ427">
        <v>0</v>
      </c>
      <c r="AK427">
        <v>20968</v>
      </c>
      <c r="AL427">
        <v>0</v>
      </c>
      <c r="AM427">
        <v>10862.4</v>
      </c>
      <c r="AN427">
        <v>-1654.32</v>
      </c>
      <c r="AO427">
        <v>0</v>
      </c>
      <c r="AP427"/>
      <c r="AQ427">
        <v>0</v>
      </c>
      <c r="AR427">
        <v>0</v>
      </c>
      <c r="AS427">
        <v>10862.4</v>
      </c>
      <c r="AT427">
        <v>-1654.32</v>
      </c>
      <c r="AU427">
        <v>0</v>
      </c>
      <c r="AW427">
        <v>0</v>
      </c>
      <c r="AX427">
        <v>0</v>
      </c>
      <c r="AY427">
        <v>21123.26</v>
      </c>
      <c r="BC427" t="str">
        <f>T("9791137606258")</f>
        <v>9791137606258</v>
      </c>
      <c r="BE427" t="str">
        <f t="shared" si="65"/>
        <v>판타지 e북 &gt; 게임 판타지</v>
      </c>
    </row>
    <row r="428" spans="1:57" x14ac:dyDescent="0.3">
      <c r="A428">
        <v>2313020329</v>
      </c>
      <c r="B428">
        <v>2313020338</v>
      </c>
      <c r="C428" t="str">
        <f>T("[e북]디버프 마스터 10권")</f>
        <v>[e북]디버프 마스터 10권</v>
      </c>
      <c r="D428" t="str">
        <f>T("10")</f>
        <v>10</v>
      </c>
      <c r="E428" t="str">
        <f t="shared" si="63"/>
        <v>담화공</v>
      </c>
      <c r="H428" t="str">
        <f t="shared" si="57"/>
        <v>스토리위즈</v>
      </c>
      <c r="I428" t="str">
        <f t="shared" si="64"/>
        <v>[e북]디버프 마스터</v>
      </c>
      <c r="J428">
        <v>3200</v>
      </c>
      <c r="K428">
        <v>3200</v>
      </c>
      <c r="L428">
        <v>1</v>
      </c>
      <c r="M428">
        <v>0</v>
      </c>
      <c r="N428">
        <v>23220</v>
      </c>
      <c r="O428">
        <v>33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26420</v>
      </c>
      <c r="AH428">
        <v>34</v>
      </c>
      <c r="AI428">
        <v>0</v>
      </c>
      <c r="AJ428">
        <v>0</v>
      </c>
      <c r="AK428">
        <v>18278</v>
      </c>
      <c r="AL428">
        <v>0</v>
      </c>
      <c r="AM428">
        <v>9770.4</v>
      </c>
      <c r="AN428">
        <v>-1545.12</v>
      </c>
      <c r="AO428">
        <v>0</v>
      </c>
      <c r="AP428"/>
      <c r="AQ428">
        <v>0</v>
      </c>
      <c r="AR428">
        <v>0</v>
      </c>
      <c r="AS428">
        <v>9770.4</v>
      </c>
      <c r="AT428">
        <v>-1545.12</v>
      </c>
      <c r="AU428">
        <v>0</v>
      </c>
      <c r="AW428">
        <v>0</v>
      </c>
      <c r="AX428">
        <v>0</v>
      </c>
      <c r="AY428">
        <v>18552.3</v>
      </c>
      <c r="BC428" t="str">
        <f>T("9791137606265")</f>
        <v>9791137606265</v>
      </c>
      <c r="BE428" t="str">
        <f t="shared" si="65"/>
        <v>판타지 e북 &gt; 게임 판타지</v>
      </c>
    </row>
    <row r="429" spans="1:57" x14ac:dyDescent="0.3">
      <c r="A429">
        <v>2313020329</v>
      </c>
      <c r="B429">
        <v>2313020339</v>
      </c>
      <c r="C429" t="str">
        <f>T("[e북]디버프 마스터 11권")</f>
        <v>[e북]디버프 마스터 11권</v>
      </c>
      <c r="D429" t="str">
        <f>T("11")</f>
        <v>11</v>
      </c>
      <c r="E429" t="str">
        <f t="shared" si="63"/>
        <v>담화공</v>
      </c>
      <c r="H429" t="str">
        <f t="shared" si="57"/>
        <v>스토리위즈</v>
      </c>
      <c r="I429" t="str">
        <f t="shared" si="64"/>
        <v>[e북]디버프 마스터</v>
      </c>
      <c r="J429">
        <v>3200</v>
      </c>
      <c r="K429">
        <v>3200</v>
      </c>
      <c r="L429">
        <v>1</v>
      </c>
      <c r="M429">
        <v>0</v>
      </c>
      <c r="N429">
        <v>22320</v>
      </c>
      <c r="O429">
        <v>32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25520</v>
      </c>
      <c r="AH429">
        <v>33</v>
      </c>
      <c r="AI429">
        <v>0</v>
      </c>
      <c r="AJ429">
        <v>0</v>
      </c>
      <c r="AK429">
        <v>17378</v>
      </c>
      <c r="AL429">
        <v>0</v>
      </c>
      <c r="AM429">
        <v>9770.4</v>
      </c>
      <c r="AN429">
        <v>-1545.12</v>
      </c>
      <c r="AO429">
        <v>0</v>
      </c>
      <c r="AP429"/>
      <c r="AQ429">
        <v>0</v>
      </c>
      <c r="AR429">
        <v>0</v>
      </c>
      <c r="AS429">
        <v>9770.4</v>
      </c>
      <c r="AT429">
        <v>-1545.12</v>
      </c>
      <c r="AU429">
        <v>0</v>
      </c>
      <c r="AW429">
        <v>0</v>
      </c>
      <c r="AX429">
        <v>0</v>
      </c>
      <c r="AY429">
        <v>17922.3</v>
      </c>
      <c r="BC429" t="str">
        <f>T("9791137606272")</f>
        <v>9791137606272</v>
      </c>
      <c r="BE429" t="str">
        <f t="shared" si="65"/>
        <v>판타지 e북 &gt; 게임 판타지</v>
      </c>
    </row>
    <row r="430" spans="1:57" x14ac:dyDescent="0.3">
      <c r="A430">
        <v>2313020329</v>
      </c>
      <c r="B430">
        <v>2313020340</v>
      </c>
      <c r="C430" t="str">
        <f>T("[e북]디버프 마스터 12권")</f>
        <v>[e북]디버프 마스터 12권</v>
      </c>
      <c r="D430" t="str">
        <f>T("12")</f>
        <v>12</v>
      </c>
      <c r="E430" t="str">
        <f t="shared" si="63"/>
        <v>담화공</v>
      </c>
      <c r="H430" t="str">
        <f t="shared" si="57"/>
        <v>스토리위즈</v>
      </c>
      <c r="I430" t="str">
        <f t="shared" si="64"/>
        <v>[e북]디버프 마스터</v>
      </c>
      <c r="J430">
        <v>3200</v>
      </c>
      <c r="K430">
        <v>3200</v>
      </c>
      <c r="L430">
        <v>1</v>
      </c>
      <c r="M430">
        <v>0</v>
      </c>
      <c r="N430">
        <v>21420</v>
      </c>
      <c r="O430">
        <v>31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24620</v>
      </c>
      <c r="AH430">
        <v>32</v>
      </c>
      <c r="AI430">
        <v>0</v>
      </c>
      <c r="AJ430">
        <v>0</v>
      </c>
      <c r="AK430">
        <v>18878</v>
      </c>
      <c r="AL430">
        <v>0</v>
      </c>
      <c r="AM430">
        <v>6890.4</v>
      </c>
      <c r="AN430">
        <v>-825.12</v>
      </c>
      <c r="AO430">
        <v>0</v>
      </c>
      <c r="AP430"/>
      <c r="AQ430">
        <v>0</v>
      </c>
      <c r="AR430">
        <v>0</v>
      </c>
      <c r="AS430">
        <v>6890.4</v>
      </c>
      <c r="AT430">
        <v>-825.12</v>
      </c>
      <c r="AU430">
        <v>0</v>
      </c>
      <c r="AW430">
        <v>0</v>
      </c>
      <c r="AX430">
        <v>0</v>
      </c>
      <c r="AY430">
        <v>17460.3</v>
      </c>
      <c r="BC430" t="str">
        <f>T("9791137606289")</f>
        <v>9791137606289</v>
      </c>
      <c r="BE430" t="str">
        <f t="shared" si="65"/>
        <v>판타지 e북 &gt; 게임 판타지</v>
      </c>
    </row>
    <row r="431" spans="1:57" x14ac:dyDescent="0.3">
      <c r="A431">
        <v>2313020329</v>
      </c>
      <c r="B431">
        <v>2313020341</v>
      </c>
      <c r="C431" t="str">
        <f>T("[e북]디버프 마스터 13권")</f>
        <v>[e북]디버프 마스터 13권</v>
      </c>
      <c r="D431" t="str">
        <f>T("13")</f>
        <v>13</v>
      </c>
      <c r="E431" t="str">
        <f t="shared" si="63"/>
        <v>담화공</v>
      </c>
      <c r="H431" t="str">
        <f t="shared" si="57"/>
        <v>스토리위즈</v>
      </c>
      <c r="I431" t="str">
        <f t="shared" si="64"/>
        <v>[e북]디버프 마스터</v>
      </c>
      <c r="J431">
        <v>3200</v>
      </c>
      <c r="K431">
        <v>3200</v>
      </c>
      <c r="L431">
        <v>1</v>
      </c>
      <c r="M431">
        <v>0</v>
      </c>
      <c r="N431">
        <v>19620</v>
      </c>
      <c r="O431">
        <v>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22820</v>
      </c>
      <c r="AH431">
        <v>30</v>
      </c>
      <c r="AI431">
        <v>0</v>
      </c>
      <c r="AJ431">
        <v>0</v>
      </c>
      <c r="AK431">
        <v>15578</v>
      </c>
      <c r="AL431">
        <v>0</v>
      </c>
      <c r="AM431">
        <v>8690.4</v>
      </c>
      <c r="AN431">
        <v>-1005.12</v>
      </c>
      <c r="AO431">
        <v>0</v>
      </c>
      <c r="AP431"/>
      <c r="AQ431">
        <v>0</v>
      </c>
      <c r="AR431">
        <v>0</v>
      </c>
      <c r="AS431">
        <v>8690.4</v>
      </c>
      <c r="AT431">
        <v>-1005.12</v>
      </c>
      <c r="AU431">
        <v>0</v>
      </c>
      <c r="AW431">
        <v>0</v>
      </c>
      <c r="AX431">
        <v>0</v>
      </c>
      <c r="AY431">
        <v>16284.3</v>
      </c>
      <c r="BC431" t="str">
        <f>T("9791137606296")</f>
        <v>9791137606296</v>
      </c>
      <c r="BE431" t="str">
        <f t="shared" si="65"/>
        <v>판타지 e북 &gt; 게임 판타지</v>
      </c>
    </row>
    <row r="432" spans="1:57" x14ac:dyDescent="0.3">
      <c r="A432">
        <v>2313020329</v>
      </c>
      <c r="B432">
        <v>2313020342</v>
      </c>
      <c r="C432" t="str">
        <f>T("[e북]디버프 마스터 14권")</f>
        <v>[e북]디버프 마스터 14권</v>
      </c>
      <c r="D432" t="str">
        <f>T("14")</f>
        <v>14</v>
      </c>
      <c r="E432" t="str">
        <f t="shared" si="63"/>
        <v>담화공</v>
      </c>
      <c r="H432" t="str">
        <f t="shared" si="57"/>
        <v>스토리위즈</v>
      </c>
      <c r="I432" t="str">
        <f t="shared" si="64"/>
        <v>[e북]디버프 마스터</v>
      </c>
      <c r="J432">
        <v>3200</v>
      </c>
      <c r="K432">
        <v>3200</v>
      </c>
      <c r="L432">
        <v>1</v>
      </c>
      <c r="M432">
        <v>0</v>
      </c>
      <c r="N432">
        <v>19620</v>
      </c>
      <c r="O432">
        <v>29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22820</v>
      </c>
      <c r="AH432">
        <v>30</v>
      </c>
      <c r="AI432">
        <v>0</v>
      </c>
      <c r="AJ432">
        <v>0</v>
      </c>
      <c r="AK432">
        <v>15578</v>
      </c>
      <c r="AL432">
        <v>0</v>
      </c>
      <c r="AM432">
        <v>8690.4</v>
      </c>
      <c r="AN432">
        <v>-1005.12</v>
      </c>
      <c r="AO432">
        <v>0</v>
      </c>
      <c r="AP432"/>
      <c r="AQ432">
        <v>0</v>
      </c>
      <c r="AR432">
        <v>0</v>
      </c>
      <c r="AS432">
        <v>8690.4</v>
      </c>
      <c r="AT432">
        <v>-1005.12</v>
      </c>
      <c r="AU432">
        <v>0</v>
      </c>
      <c r="AW432">
        <v>0</v>
      </c>
      <c r="AX432">
        <v>0</v>
      </c>
      <c r="AY432">
        <v>16284.3</v>
      </c>
      <c r="BC432" t="str">
        <f>T("9791137606302")</f>
        <v>9791137606302</v>
      </c>
      <c r="BE432" t="str">
        <f t="shared" si="65"/>
        <v>판타지 e북 &gt; 게임 판타지</v>
      </c>
    </row>
    <row r="433" spans="1:57" x14ac:dyDescent="0.3">
      <c r="A433">
        <v>2313020329</v>
      </c>
      <c r="B433">
        <v>2313020345</v>
      </c>
      <c r="C433" t="str">
        <f>T("[e북]디버프 마스터 17권")</f>
        <v>[e북]디버프 마스터 17권</v>
      </c>
      <c r="D433" t="str">
        <f>T("17")</f>
        <v>17</v>
      </c>
      <c r="E433" t="str">
        <f t="shared" si="63"/>
        <v>담화공</v>
      </c>
      <c r="H433" t="str">
        <f t="shared" si="57"/>
        <v>스토리위즈</v>
      </c>
      <c r="I433" t="str">
        <f t="shared" si="64"/>
        <v>[e북]디버프 마스터</v>
      </c>
      <c r="J433">
        <v>3200</v>
      </c>
      <c r="K433">
        <v>3200</v>
      </c>
      <c r="L433">
        <v>1</v>
      </c>
      <c r="M433">
        <v>0</v>
      </c>
      <c r="N433">
        <v>18720</v>
      </c>
      <c r="O433">
        <v>28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21920</v>
      </c>
      <c r="AH433">
        <v>29</v>
      </c>
      <c r="AI433">
        <v>0</v>
      </c>
      <c r="AJ433">
        <v>0</v>
      </c>
      <c r="AK433">
        <v>18779</v>
      </c>
      <c r="AL433">
        <v>0</v>
      </c>
      <c r="AM433">
        <v>3769.2</v>
      </c>
      <c r="AN433">
        <v>-513</v>
      </c>
      <c r="AO433">
        <v>0</v>
      </c>
      <c r="AP433"/>
      <c r="AQ433">
        <v>0</v>
      </c>
      <c r="AR433">
        <v>0</v>
      </c>
      <c r="AS433">
        <v>3769.2</v>
      </c>
      <c r="AT433">
        <v>-513</v>
      </c>
      <c r="AU433">
        <v>0</v>
      </c>
      <c r="AW433">
        <v>0</v>
      </c>
      <c r="AX433">
        <v>0</v>
      </c>
      <c r="AY433">
        <v>15424.64</v>
      </c>
      <c r="BC433" t="str">
        <f>T("9791137606333")</f>
        <v>9791137606333</v>
      </c>
      <c r="BE433" t="str">
        <f t="shared" si="65"/>
        <v>판타지 e북 &gt; 게임 판타지</v>
      </c>
    </row>
    <row r="434" spans="1:57" x14ac:dyDescent="0.3">
      <c r="A434">
        <v>2313020329</v>
      </c>
      <c r="B434">
        <v>2313020346</v>
      </c>
      <c r="C434" t="str">
        <f>T("[e북]디버프 마스터 18권")</f>
        <v>[e북]디버프 마스터 18권</v>
      </c>
      <c r="D434" t="str">
        <f>T("18")</f>
        <v>18</v>
      </c>
      <c r="E434" t="str">
        <f t="shared" si="63"/>
        <v>담화공</v>
      </c>
      <c r="H434" t="str">
        <f t="shared" si="57"/>
        <v>스토리위즈</v>
      </c>
      <c r="I434" t="str">
        <f t="shared" si="64"/>
        <v>[e북]디버프 마스터</v>
      </c>
      <c r="J434">
        <v>3200</v>
      </c>
      <c r="K434">
        <v>3200</v>
      </c>
      <c r="L434">
        <v>1</v>
      </c>
      <c r="M434">
        <v>0</v>
      </c>
      <c r="N434">
        <v>18720</v>
      </c>
      <c r="O434">
        <v>28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21920</v>
      </c>
      <c r="AH434">
        <v>29</v>
      </c>
      <c r="AI434">
        <v>0</v>
      </c>
      <c r="AJ434">
        <v>0</v>
      </c>
      <c r="AK434">
        <v>18779</v>
      </c>
      <c r="AL434">
        <v>0</v>
      </c>
      <c r="AM434">
        <v>3769.2</v>
      </c>
      <c r="AN434">
        <v>-513</v>
      </c>
      <c r="AO434">
        <v>0</v>
      </c>
      <c r="AP434"/>
      <c r="AQ434">
        <v>0</v>
      </c>
      <c r="AR434">
        <v>0</v>
      </c>
      <c r="AS434">
        <v>3769.2</v>
      </c>
      <c r="AT434">
        <v>-513</v>
      </c>
      <c r="AU434">
        <v>0</v>
      </c>
      <c r="AW434">
        <v>0</v>
      </c>
      <c r="AX434">
        <v>0</v>
      </c>
      <c r="AY434">
        <v>15424.64</v>
      </c>
      <c r="BC434" t="str">
        <f>T("9791137606340")</f>
        <v>9791137606340</v>
      </c>
      <c r="BE434" t="str">
        <f t="shared" si="65"/>
        <v>판타지 e북 &gt; 게임 판타지</v>
      </c>
    </row>
    <row r="435" spans="1:57" x14ac:dyDescent="0.3">
      <c r="A435">
        <v>2313020329</v>
      </c>
      <c r="B435">
        <v>2313020356</v>
      </c>
      <c r="C435" t="str">
        <f>T("[e북]디버프 마스터 28권")</f>
        <v>[e북]디버프 마스터 28권</v>
      </c>
      <c r="D435" t="str">
        <f>T("28")</f>
        <v>28</v>
      </c>
      <c r="E435" t="str">
        <f t="shared" si="63"/>
        <v>담화공</v>
      </c>
      <c r="H435" t="str">
        <f t="shared" si="57"/>
        <v>스토리위즈</v>
      </c>
      <c r="I435" t="str">
        <f t="shared" si="64"/>
        <v>[e북]디버프 마스터</v>
      </c>
      <c r="J435">
        <v>3200</v>
      </c>
      <c r="K435">
        <v>3200</v>
      </c>
      <c r="L435">
        <v>1</v>
      </c>
      <c r="M435">
        <v>0</v>
      </c>
      <c r="N435">
        <v>16920</v>
      </c>
      <c r="O435">
        <v>26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20120</v>
      </c>
      <c r="AH435">
        <v>27</v>
      </c>
      <c r="AI435">
        <v>0</v>
      </c>
      <c r="AJ435">
        <v>0</v>
      </c>
      <c r="AK435">
        <v>14679</v>
      </c>
      <c r="AL435">
        <v>0</v>
      </c>
      <c r="AM435">
        <v>6529.2</v>
      </c>
      <c r="AN435">
        <v>-1557</v>
      </c>
      <c r="AO435">
        <v>0</v>
      </c>
      <c r="AP435"/>
      <c r="AQ435">
        <v>0</v>
      </c>
      <c r="AR435">
        <v>0</v>
      </c>
      <c r="AS435">
        <v>6529.2</v>
      </c>
      <c r="AT435">
        <v>-1557</v>
      </c>
      <c r="AU435">
        <v>0</v>
      </c>
      <c r="AW435">
        <v>0</v>
      </c>
      <c r="AX435">
        <v>0</v>
      </c>
      <c r="AY435">
        <v>13755.84</v>
      </c>
      <c r="BC435" t="str">
        <f>T("9791137606449")</f>
        <v>9791137606449</v>
      </c>
      <c r="BE435" t="str">
        <f t="shared" si="65"/>
        <v>판타지 e북 &gt; 게임 판타지</v>
      </c>
    </row>
    <row r="436" spans="1:57" x14ac:dyDescent="0.3">
      <c r="A436">
        <v>2313020329</v>
      </c>
      <c r="B436">
        <v>2313020363</v>
      </c>
      <c r="C436" t="str">
        <f>T("[e북]디버프 마스터 35권")</f>
        <v>[e북]디버프 마스터 35권</v>
      </c>
      <c r="D436" t="str">
        <f>T("35")</f>
        <v>35</v>
      </c>
      <c r="E436" t="str">
        <f t="shared" si="63"/>
        <v>담화공</v>
      </c>
      <c r="H436" t="str">
        <f t="shared" si="57"/>
        <v>스토리위즈</v>
      </c>
      <c r="I436" t="str">
        <f t="shared" si="64"/>
        <v>[e북]디버프 마스터</v>
      </c>
      <c r="J436">
        <v>3200</v>
      </c>
      <c r="K436">
        <v>3200</v>
      </c>
      <c r="L436">
        <v>1</v>
      </c>
      <c r="M436">
        <v>0</v>
      </c>
      <c r="N436">
        <v>15120</v>
      </c>
      <c r="O436">
        <v>24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18320</v>
      </c>
      <c r="AH436">
        <v>25</v>
      </c>
      <c r="AI436">
        <v>0</v>
      </c>
      <c r="AJ436">
        <v>0</v>
      </c>
      <c r="AK436">
        <v>16080</v>
      </c>
      <c r="AL436">
        <v>0</v>
      </c>
      <c r="AM436">
        <v>2688</v>
      </c>
      <c r="AN436">
        <v>-404.88</v>
      </c>
      <c r="AO436">
        <v>0</v>
      </c>
      <c r="AP436"/>
      <c r="AQ436">
        <v>0</v>
      </c>
      <c r="AR436">
        <v>0</v>
      </c>
      <c r="AS436">
        <v>2688</v>
      </c>
      <c r="AT436">
        <v>-404.88</v>
      </c>
      <c r="AU436">
        <v>0</v>
      </c>
      <c r="AW436">
        <v>0</v>
      </c>
      <c r="AX436">
        <v>0</v>
      </c>
      <c r="AY436">
        <v>12854.18</v>
      </c>
      <c r="BC436" t="str">
        <f>T("9791137606517")</f>
        <v>9791137606517</v>
      </c>
      <c r="BE436" t="str">
        <f t="shared" si="65"/>
        <v>판타지 e북 &gt; 게임 판타지</v>
      </c>
    </row>
    <row r="437" spans="1:57" x14ac:dyDescent="0.3">
      <c r="A437">
        <v>2313020329</v>
      </c>
      <c r="B437">
        <v>2313020367</v>
      </c>
      <c r="C437" t="str">
        <f>T("[e북]디버프 마스터 39권")</f>
        <v>[e북]디버프 마스터 39권</v>
      </c>
      <c r="D437" t="str">
        <f>T("39")</f>
        <v>39</v>
      </c>
      <c r="E437" t="str">
        <f t="shared" si="63"/>
        <v>담화공</v>
      </c>
      <c r="H437" t="str">
        <f t="shared" si="57"/>
        <v>스토리위즈</v>
      </c>
      <c r="I437" t="str">
        <f t="shared" si="64"/>
        <v>[e북]디버프 마스터</v>
      </c>
      <c r="J437">
        <v>3200</v>
      </c>
      <c r="K437">
        <v>3200</v>
      </c>
      <c r="L437">
        <v>1</v>
      </c>
      <c r="M437">
        <v>0</v>
      </c>
      <c r="N437">
        <v>15120</v>
      </c>
      <c r="O437">
        <v>24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18320</v>
      </c>
      <c r="AH437">
        <v>25</v>
      </c>
      <c r="AI437">
        <v>0</v>
      </c>
      <c r="AJ437">
        <v>0</v>
      </c>
      <c r="AK437">
        <v>16081</v>
      </c>
      <c r="AL437">
        <v>0</v>
      </c>
      <c r="AM437">
        <v>2686.8</v>
      </c>
      <c r="AN437">
        <v>-404.76</v>
      </c>
      <c r="AO437">
        <v>0</v>
      </c>
      <c r="AP437"/>
      <c r="AQ437">
        <v>0</v>
      </c>
      <c r="AR437">
        <v>0</v>
      </c>
      <c r="AS437">
        <v>2686.8</v>
      </c>
      <c r="AT437">
        <v>-404.76</v>
      </c>
      <c r="AU437">
        <v>0</v>
      </c>
      <c r="AW437">
        <v>0</v>
      </c>
      <c r="AX437">
        <v>0</v>
      </c>
      <c r="AY437">
        <v>12854.13</v>
      </c>
      <c r="BC437" t="str">
        <f>T("9791137606555")</f>
        <v>9791137606555</v>
      </c>
      <c r="BE437" t="str">
        <f t="shared" si="65"/>
        <v>판타지 e북 &gt; 게임 판타지</v>
      </c>
    </row>
    <row r="438" spans="1:57" x14ac:dyDescent="0.3">
      <c r="A438">
        <v>2313020329</v>
      </c>
      <c r="B438">
        <v>2313020368</v>
      </c>
      <c r="C438" t="str">
        <f>T("[e북]디버프 마스터 40권")</f>
        <v>[e북]디버프 마스터 40권</v>
      </c>
      <c r="D438" t="str">
        <f>T("40")</f>
        <v>40</v>
      </c>
      <c r="E438" t="str">
        <f t="shared" si="63"/>
        <v>담화공</v>
      </c>
      <c r="H438" t="str">
        <f t="shared" si="57"/>
        <v>스토리위즈</v>
      </c>
      <c r="I438" t="str">
        <f t="shared" si="64"/>
        <v>[e북]디버프 마스터</v>
      </c>
      <c r="J438">
        <v>3200</v>
      </c>
      <c r="K438">
        <v>3200</v>
      </c>
      <c r="L438">
        <v>1</v>
      </c>
      <c r="M438">
        <v>0</v>
      </c>
      <c r="N438">
        <v>15120</v>
      </c>
      <c r="O438">
        <v>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18320</v>
      </c>
      <c r="AH438">
        <v>25</v>
      </c>
      <c r="AI438">
        <v>0</v>
      </c>
      <c r="AJ438">
        <v>0</v>
      </c>
      <c r="AK438">
        <v>16081</v>
      </c>
      <c r="AL438">
        <v>0</v>
      </c>
      <c r="AM438">
        <v>2686.8</v>
      </c>
      <c r="AN438">
        <v>-404.76</v>
      </c>
      <c r="AO438">
        <v>0</v>
      </c>
      <c r="AP438"/>
      <c r="AQ438">
        <v>0</v>
      </c>
      <c r="AR438">
        <v>0</v>
      </c>
      <c r="AS438">
        <v>2686.8</v>
      </c>
      <c r="AT438">
        <v>-404.76</v>
      </c>
      <c r="AU438">
        <v>0</v>
      </c>
      <c r="AW438">
        <v>0</v>
      </c>
      <c r="AX438">
        <v>0</v>
      </c>
      <c r="AY438">
        <v>12854.13</v>
      </c>
      <c r="BC438" t="str">
        <f>T("9791137606562")</f>
        <v>9791137606562</v>
      </c>
      <c r="BE438" t="str">
        <f t="shared" si="65"/>
        <v>판타지 e북 &gt; 게임 판타지</v>
      </c>
    </row>
    <row r="439" spans="1:57" x14ac:dyDescent="0.3">
      <c r="A439">
        <v>2313020329</v>
      </c>
      <c r="B439">
        <v>2313020369</v>
      </c>
      <c r="C439" t="str">
        <f>T("[e북]디버프 마스터 41권")</f>
        <v>[e북]디버프 마스터 41권</v>
      </c>
      <c r="D439" t="str">
        <f>T("41")</f>
        <v>41</v>
      </c>
      <c r="E439" t="str">
        <f t="shared" si="63"/>
        <v>담화공</v>
      </c>
      <c r="H439" t="str">
        <f t="shared" si="57"/>
        <v>스토리위즈</v>
      </c>
      <c r="I439" t="str">
        <f t="shared" si="64"/>
        <v>[e북]디버프 마스터</v>
      </c>
      <c r="J439">
        <v>3200</v>
      </c>
      <c r="K439">
        <v>3200</v>
      </c>
      <c r="L439">
        <v>1</v>
      </c>
      <c r="M439">
        <v>0</v>
      </c>
      <c r="N439">
        <v>15120</v>
      </c>
      <c r="O439">
        <v>24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18320</v>
      </c>
      <c r="AH439">
        <v>25</v>
      </c>
      <c r="AI439">
        <v>0</v>
      </c>
      <c r="AJ439">
        <v>0</v>
      </c>
      <c r="AK439">
        <v>16082</v>
      </c>
      <c r="AL439">
        <v>0</v>
      </c>
      <c r="AM439">
        <v>2685.6</v>
      </c>
      <c r="AN439">
        <v>-404.64</v>
      </c>
      <c r="AO439">
        <v>0</v>
      </c>
      <c r="AP439"/>
      <c r="AQ439">
        <v>0</v>
      </c>
      <c r="AR439">
        <v>0</v>
      </c>
      <c r="AS439">
        <v>2685.6</v>
      </c>
      <c r="AT439">
        <v>-404.64</v>
      </c>
      <c r="AU439">
        <v>0</v>
      </c>
      <c r="AW439">
        <v>0</v>
      </c>
      <c r="AX439">
        <v>0</v>
      </c>
      <c r="AY439">
        <v>12854.07</v>
      </c>
      <c r="BC439" t="str">
        <f>T("9791137606579")</f>
        <v>9791137606579</v>
      </c>
      <c r="BE439" t="str">
        <f t="shared" si="65"/>
        <v>판타지 e북 &gt; 게임 판타지</v>
      </c>
    </row>
    <row r="440" spans="1:57" x14ac:dyDescent="0.3">
      <c r="A440">
        <v>2313020329</v>
      </c>
      <c r="B440">
        <v>2313020370</v>
      </c>
      <c r="C440" t="str">
        <f>T("[e북]디버프 마스터 42권")</f>
        <v>[e북]디버프 마스터 42권</v>
      </c>
      <c r="D440" t="str">
        <f>T("42")</f>
        <v>42</v>
      </c>
      <c r="E440" t="str">
        <f t="shared" si="63"/>
        <v>담화공</v>
      </c>
      <c r="H440" t="str">
        <f t="shared" si="57"/>
        <v>스토리위즈</v>
      </c>
      <c r="I440" t="str">
        <f t="shared" si="64"/>
        <v>[e북]디버프 마스터</v>
      </c>
      <c r="J440">
        <v>3200</v>
      </c>
      <c r="K440">
        <v>3200</v>
      </c>
      <c r="L440">
        <v>1</v>
      </c>
      <c r="M440">
        <v>0</v>
      </c>
      <c r="N440">
        <v>15120</v>
      </c>
      <c r="O440">
        <v>24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18320</v>
      </c>
      <c r="AH440">
        <v>25</v>
      </c>
      <c r="AI440">
        <v>0</v>
      </c>
      <c r="AJ440">
        <v>0</v>
      </c>
      <c r="AK440">
        <v>16082</v>
      </c>
      <c r="AL440">
        <v>0</v>
      </c>
      <c r="AM440">
        <v>2685.6</v>
      </c>
      <c r="AN440">
        <v>-404.64</v>
      </c>
      <c r="AO440">
        <v>0</v>
      </c>
      <c r="AP440"/>
      <c r="AQ440">
        <v>0</v>
      </c>
      <c r="AR440">
        <v>0</v>
      </c>
      <c r="AS440">
        <v>2685.6</v>
      </c>
      <c r="AT440">
        <v>-404.64</v>
      </c>
      <c r="AU440">
        <v>0</v>
      </c>
      <c r="AW440">
        <v>0</v>
      </c>
      <c r="AX440">
        <v>0</v>
      </c>
      <c r="AY440">
        <v>12854.07</v>
      </c>
      <c r="BC440" t="str">
        <f>T("9791137606586")</f>
        <v>9791137606586</v>
      </c>
      <c r="BE440" t="str">
        <f t="shared" si="65"/>
        <v>판타지 e북 &gt; 게임 판타지</v>
      </c>
    </row>
    <row r="441" spans="1:57" x14ac:dyDescent="0.3">
      <c r="A441">
        <v>2313020329</v>
      </c>
      <c r="B441">
        <v>2313020371</v>
      </c>
      <c r="C441" t="str">
        <f>T("[e북]디버프 마스터 43권")</f>
        <v>[e북]디버프 마스터 43권</v>
      </c>
      <c r="D441" t="str">
        <f>T("43")</f>
        <v>43</v>
      </c>
      <c r="E441" t="str">
        <f t="shared" si="63"/>
        <v>담화공</v>
      </c>
      <c r="H441" t="str">
        <f t="shared" si="57"/>
        <v>스토리위즈</v>
      </c>
      <c r="I441" t="str">
        <f t="shared" si="64"/>
        <v>[e북]디버프 마스터</v>
      </c>
      <c r="J441">
        <v>3200</v>
      </c>
      <c r="K441">
        <v>3200</v>
      </c>
      <c r="L441">
        <v>1</v>
      </c>
      <c r="M441">
        <v>0</v>
      </c>
      <c r="N441">
        <v>15120</v>
      </c>
      <c r="O441">
        <v>24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18320</v>
      </c>
      <c r="AH441">
        <v>25</v>
      </c>
      <c r="AI441">
        <v>0</v>
      </c>
      <c r="AJ441">
        <v>0</v>
      </c>
      <c r="AK441">
        <v>16082</v>
      </c>
      <c r="AL441">
        <v>0</v>
      </c>
      <c r="AM441">
        <v>2685.6</v>
      </c>
      <c r="AN441">
        <v>-404.64</v>
      </c>
      <c r="AO441">
        <v>0</v>
      </c>
      <c r="AP441"/>
      <c r="AQ441">
        <v>0</v>
      </c>
      <c r="AR441">
        <v>0</v>
      </c>
      <c r="AS441">
        <v>2685.6</v>
      </c>
      <c r="AT441">
        <v>-404.64</v>
      </c>
      <c r="AU441">
        <v>0</v>
      </c>
      <c r="AW441">
        <v>0</v>
      </c>
      <c r="AX441">
        <v>0</v>
      </c>
      <c r="AY441">
        <v>12854.07</v>
      </c>
      <c r="BC441" t="str">
        <f>T("9791137606593")</f>
        <v>9791137606593</v>
      </c>
      <c r="BE441" t="str">
        <f t="shared" si="65"/>
        <v>판타지 e북 &gt; 게임 판타지</v>
      </c>
    </row>
    <row r="442" spans="1:57" x14ac:dyDescent="0.3">
      <c r="A442">
        <v>2313020329</v>
      </c>
      <c r="B442">
        <v>2313020372</v>
      </c>
      <c r="C442" t="str">
        <f>T("[e북]디버프 마스터 44권")</f>
        <v>[e북]디버프 마스터 44권</v>
      </c>
      <c r="D442" t="str">
        <f>T("44")</f>
        <v>44</v>
      </c>
      <c r="E442" t="str">
        <f t="shared" si="63"/>
        <v>담화공</v>
      </c>
      <c r="H442" t="str">
        <f t="shared" si="57"/>
        <v>스토리위즈</v>
      </c>
      <c r="I442" t="str">
        <f t="shared" si="64"/>
        <v>[e북]디버프 마스터</v>
      </c>
      <c r="J442">
        <v>3200</v>
      </c>
      <c r="K442">
        <v>3200</v>
      </c>
      <c r="L442">
        <v>1</v>
      </c>
      <c r="M442">
        <v>0</v>
      </c>
      <c r="N442">
        <v>15120</v>
      </c>
      <c r="O442">
        <v>24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18320</v>
      </c>
      <c r="AH442">
        <v>25</v>
      </c>
      <c r="AI442">
        <v>0</v>
      </c>
      <c r="AJ442">
        <v>0</v>
      </c>
      <c r="AK442">
        <v>16082</v>
      </c>
      <c r="AL442">
        <v>0</v>
      </c>
      <c r="AM442">
        <v>2685.6</v>
      </c>
      <c r="AN442">
        <v>-404.64</v>
      </c>
      <c r="AO442">
        <v>0</v>
      </c>
      <c r="AP442"/>
      <c r="AQ442">
        <v>0</v>
      </c>
      <c r="AR442">
        <v>0</v>
      </c>
      <c r="AS442">
        <v>2685.6</v>
      </c>
      <c r="AT442">
        <v>-404.64</v>
      </c>
      <c r="AU442">
        <v>0</v>
      </c>
      <c r="AW442">
        <v>0</v>
      </c>
      <c r="AX442">
        <v>0</v>
      </c>
      <c r="AY442">
        <v>12854.07</v>
      </c>
      <c r="BC442" t="str">
        <f>T("9791137606609")</f>
        <v>9791137606609</v>
      </c>
      <c r="BE442" t="str">
        <f t="shared" si="65"/>
        <v>판타지 e북 &gt; 게임 판타지</v>
      </c>
    </row>
    <row r="443" spans="1:57" x14ac:dyDescent="0.3">
      <c r="A443">
        <v>2313020329</v>
      </c>
      <c r="B443">
        <v>2313020373</v>
      </c>
      <c r="C443" t="str">
        <f>T("[e북]디버프 마스터 45권")</f>
        <v>[e북]디버프 마스터 45권</v>
      </c>
      <c r="D443" t="str">
        <f>T("45")</f>
        <v>45</v>
      </c>
      <c r="E443" t="str">
        <f t="shared" si="63"/>
        <v>담화공</v>
      </c>
      <c r="H443" t="str">
        <f t="shared" si="57"/>
        <v>스토리위즈</v>
      </c>
      <c r="I443" t="str">
        <f t="shared" si="64"/>
        <v>[e북]디버프 마스터</v>
      </c>
      <c r="J443">
        <v>3200</v>
      </c>
      <c r="K443">
        <v>3200</v>
      </c>
      <c r="L443">
        <v>1</v>
      </c>
      <c r="M443">
        <v>0</v>
      </c>
      <c r="N443">
        <v>15120</v>
      </c>
      <c r="O443">
        <v>24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18320</v>
      </c>
      <c r="AH443">
        <v>25</v>
      </c>
      <c r="AI443">
        <v>0</v>
      </c>
      <c r="AJ443">
        <v>0</v>
      </c>
      <c r="AK443">
        <v>16082</v>
      </c>
      <c r="AL443">
        <v>0</v>
      </c>
      <c r="AM443">
        <v>2685.6</v>
      </c>
      <c r="AN443">
        <v>-404.64</v>
      </c>
      <c r="AO443">
        <v>0</v>
      </c>
      <c r="AP443"/>
      <c r="AQ443">
        <v>0</v>
      </c>
      <c r="AR443">
        <v>0</v>
      </c>
      <c r="AS443">
        <v>2685.6</v>
      </c>
      <c r="AT443">
        <v>-404.64</v>
      </c>
      <c r="AU443">
        <v>0</v>
      </c>
      <c r="AW443">
        <v>0</v>
      </c>
      <c r="AX443">
        <v>0</v>
      </c>
      <c r="AY443">
        <v>12854.07</v>
      </c>
      <c r="BC443" t="str">
        <f>T("9791137606616")</f>
        <v>9791137606616</v>
      </c>
      <c r="BE443" t="str">
        <f t="shared" si="65"/>
        <v>판타지 e북 &gt; 게임 판타지</v>
      </c>
    </row>
    <row r="444" spans="1:57" x14ac:dyDescent="0.3">
      <c r="A444">
        <v>2313020329</v>
      </c>
      <c r="B444">
        <v>2313020374</v>
      </c>
      <c r="C444" t="str">
        <f>T("[e북]디버프 마스터 46권")</f>
        <v>[e북]디버프 마스터 46권</v>
      </c>
      <c r="D444" t="str">
        <f>T("46")</f>
        <v>46</v>
      </c>
      <c r="E444" t="str">
        <f t="shared" si="63"/>
        <v>담화공</v>
      </c>
      <c r="H444" t="str">
        <f t="shared" si="57"/>
        <v>스토리위즈</v>
      </c>
      <c r="I444" t="str">
        <f t="shared" si="64"/>
        <v>[e북]디버프 마스터</v>
      </c>
      <c r="J444">
        <v>3200</v>
      </c>
      <c r="K444">
        <v>3200</v>
      </c>
      <c r="L444">
        <v>1</v>
      </c>
      <c r="M444">
        <v>0</v>
      </c>
      <c r="N444">
        <v>15120</v>
      </c>
      <c r="O444">
        <v>24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18320</v>
      </c>
      <c r="AH444">
        <v>25</v>
      </c>
      <c r="AI444">
        <v>0</v>
      </c>
      <c r="AJ444">
        <v>0</v>
      </c>
      <c r="AK444">
        <v>16082</v>
      </c>
      <c r="AL444">
        <v>0</v>
      </c>
      <c r="AM444">
        <v>2685.6</v>
      </c>
      <c r="AN444">
        <v>-404.64</v>
      </c>
      <c r="AO444">
        <v>0</v>
      </c>
      <c r="AP444"/>
      <c r="AQ444">
        <v>0</v>
      </c>
      <c r="AR444">
        <v>0</v>
      </c>
      <c r="AS444">
        <v>2685.6</v>
      </c>
      <c r="AT444">
        <v>-404.64</v>
      </c>
      <c r="AU444">
        <v>0</v>
      </c>
      <c r="AW444">
        <v>0</v>
      </c>
      <c r="AX444">
        <v>0</v>
      </c>
      <c r="AY444">
        <v>12854.07</v>
      </c>
      <c r="BC444" t="str">
        <f>T("9791137606623")</f>
        <v>9791137606623</v>
      </c>
      <c r="BE444" t="str">
        <f t="shared" si="65"/>
        <v>판타지 e북 &gt; 게임 판타지</v>
      </c>
    </row>
    <row r="445" spans="1:57" x14ac:dyDescent="0.3">
      <c r="A445">
        <v>2313020329</v>
      </c>
      <c r="B445">
        <v>2313020375</v>
      </c>
      <c r="C445" t="str">
        <f>T("[e북]디버프 마스터 47권")</f>
        <v>[e북]디버프 마스터 47권</v>
      </c>
      <c r="D445" t="str">
        <f>T("47")</f>
        <v>47</v>
      </c>
      <c r="E445" t="str">
        <f t="shared" si="63"/>
        <v>담화공</v>
      </c>
      <c r="H445" t="str">
        <f t="shared" si="57"/>
        <v>스토리위즈</v>
      </c>
      <c r="I445" t="str">
        <f t="shared" si="64"/>
        <v>[e북]디버프 마스터</v>
      </c>
      <c r="J445">
        <v>3200</v>
      </c>
      <c r="K445">
        <v>3200</v>
      </c>
      <c r="L445">
        <v>1</v>
      </c>
      <c r="M445">
        <v>0</v>
      </c>
      <c r="N445">
        <v>15120</v>
      </c>
      <c r="O445">
        <v>24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18320</v>
      </c>
      <c r="AH445">
        <v>25</v>
      </c>
      <c r="AI445">
        <v>0</v>
      </c>
      <c r="AJ445">
        <v>0</v>
      </c>
      <c r="AK445">
        <v>16082</v>
      </c>
      <c r="AL445">
        <v>0</v>
      </c>
      <c r="AM445">
        <v>2685.6</v>
      </c>
      <c r="AN445">
        <v>-404.64</v>
      </c>
      <c r="AO445">
        <v>0</v>
      </c>
      <c r="AP445"/>
      <c r="AQ445">
        <v>0</v>
      </c>
      <c r="AR445">
        <v>0</v>
      </c>
      <c r="AS445">
        <v>2685.6</v>
      </c>
      <c r="AT445">
        <v>-404.64</v>
      </c>
      <c r="AU445">
        <v>0</v>
      </c>
      <c r="AW445">
        <v>0</v>
      </c>
      <c r="AX445">
        <v>0</v>
      </c>
      <c r="AY445">
        <v>12854.07</v>
      </c>
      <c r="BC445" t="str">
        <f>T("9791137606630")</f>
        <v>9791137606630</v>
      </c>
      <c r="BE445" t="str">
        <f t="shared" si="65"/>
        <v>판타지 e북 &gt; 게임 판타지</v>
      </c>
    </row>
    <row r="446" spans="1:57" x14ac:dyDescent="0.3">
      <c r="A446">
        <v>2313020329</v>
      </c>
      <c r="B446">
        <v>2313020376</v>
      </c>
      <c r="C446" t="str">
        <f>T("[e북]디버프 마스터 48권")</f>
        <v>[e북]디버프 마스터 48권</v>
      </c>
      <c r="D446" t="str">
        <f>T("48")</f>
        <v>48</v>
      </c>
      <c r="E446" t="str">
        <f t="shared" si="63"/>
        <v>담화공</v>
      </c>
      <c r="H446" t="str">
        <f t="shared" si="57"/>
        <v>스토리위즈</v>
      </c>
      <c r="I446" t="str">
        <f t="shared" si="64"/>
        <v>[e북]디버프 마스터</v>
      </c>
      <c r="J446">
        <v>3200</v>
      </c>
      <c r="K446">
        <v>3200</v>
      </c>
      <c r="L446">
        <v>1</v>
      </c>
      <c r="M446">
        <v>0</v>
      </c>
      <c r="N446">
        <v>15120</v>
      </c>
      <c r="O446">
        <v>24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18320</v>
      </c>
      <c r="AH446">
        <v>25</v>
      </c>
      <c r="AI446">
        <v>0</v>
      </c>
      <c r="AJ446">
        <v>0</v>
      </c>
      <c r="AK446">
        <v>16082</v>
      </c>
      <c r="AL446">
        <v>0</v>
      </c>
      <c r="AM446">
        <v>2685.6</v>
      </c>
      <c r="AN446">
        <v>-404.64</v>
      </c>
      <c r="AO446">
        <v>0</v>
      </c>
      <c r="AP446"/>
      <c r="AQ446">
        <v>0</v>
      </c>
      <c r="AR446">
        <v>0</v>
      </c>
      <c r="AS446">
        <v>2685.6</v>
      </c>
      <c r="AT446">
        <v>-404.64</v>
      </c>
      <c r="AU446">
        <v>0</v>
      </c>
      <c r="AW446">
        <v>0</v>
      </c>
      <c r="AX446">
        <v>0</v>
      </c>
      <c r="AY446">
        <v>12854.07</v>
      </c>
      <c r="BC446" t="str">
        <f>T("9791137606647")</f>
        <v>9791137606647</v>
      </c>
      <c r="BE446" t="str">
        <f t="shared" si="65"/>
        <v>판타지 e북 &gt; 게임 판타지</v>
      </c>
    </row>
    <row r="447" spans="1:57" x14ac:dyDescent="0.3">
      <c r="A447">
        <v>2313020329</v>
      </c>
      <c r="B447">
        <v>2313020377</v>
      </c>
      <c r="C447" t="str">
        <f>T("[e북]디버프 마스터 49권")</f>
        <v>[e북]디버프 마스터 49권</v>
      </c>
      <c r="D447" t="str">
        <f>T("49")</f>
        <v>49</v>
      </c>
      <c r="E447" t="str">
        <f t="shared" si="63"/>
        <v>담화공</v>
      </c>
      <c r="H447" t="str">
        <f t="shared" si="57"/>
        <v>스토리위즈</v>
      </c>
      <c r="I447" t="str">
        <f t="shared" si="64"/>
        <v>[e북]디버프 마스터</v>
      </c>
      <c r="J447">
        <v>3200</v>
      </c>
      <c r="K447">
        <v>3200</v>
      </c>
      <c r="L447">
        <v>1</v>
      </c>
      <c r="M447">
        <v>0</v>
      </c>
      <c r="N447">
        <v>15120</v>
      </c>
      <c r="O447">
        <v>24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18320</v>
      </c>
      <c r="AH447">
        <v>25</v>
      </c>
      <c r="AI447">
        <v>0</v>
      </c>
      <c r="AJ447">
        <v>0</v>
      </c>
      <c r="AK447">
        <v>16082</v>
      </c>
      <c r="AL447">
        <v>0</v>
      </c>
      <c r="AM447">
        <v>2685.6</v>
      </c>
      <c r="AN447">
        <v>-404.64</v>
      </c>
      <c r="AO447">
        <v>0</v>
      </c>
      <c r="AP447"/>
      <c r="AQ447">
        <v>0</v>
      </c>
      <c r="AR447">
        <v>0</v>
      </c>
      <c r="AS447">
        <v>2685.6</v>
      </c>
      <c r="AT447">
        <v>-404.64</v>
      </c>
      <c r="AU447">
        <v>0</v>
      </c>
      <c r="AW447">
        <v>0</v>
      </c>
      <c r="AX447">
        <v>0</v>
      </c>
      <c r="AY447">
        <v>12854.07</v>
      </c>
      <c r="BC447" t="str">
        <f>T("9791137606654")</f>
        <v>9791137606654</v>
      </c>
      <c r="BE447" t="str">
        <f t="shared" si="65"/>
        <v>판타지 e북 &gt; 게임 판타지</v>
      </c>
    </row>
    <row r="448" spans="1:57" x14ac:dyDescent="0.3">
      <c r="A448">
        <v>2313020329</v>
      </c>
      <c r="B448">
        <v>2313020378</v>
      </c>
      <c r="C448" t="str">
        <f>T("[e북]디버프 마스터 50권")</f>
        <v>[e북]디버프 마스터 50권</v>
      </c>
      <c r="D448" t="str">
        <f>T("50")</f>
        <v>50</v>
      </c>
      <c r="E448" t="str">
        <f t="shared" si="63"/>
        <v>담화공</v>
      </c>
      <c r="H448" t="str">
        <f t="shared" si="57"/>
        <v>스토리위즈</v>
      </c>
      <c r="I448" t="str">
        <f t="shared" si="64"/>
        <v>[e북]디버프 마스터</v>
      </c>
      <c r="J448">
        <v>3200</v>
      </c>
      <c r="K448">
        <v>3200</v>
      </c>
      <c r="L448">
        <v>1</v>
      </c>
      <c r="M448">
        <v>0</v>
      </c>
      <c r="N448">
        <v>15120</v>
      </c>
      <c r="O448">
        <v>24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18320</v>
      </c>
      <c r="AH448">
        <v>25</v>
      </c>
      <c r="AI448">
        <v>0</v>
      </c>
      <c r="AJ448">
        <v>0</v>
      </c>
      <c r="AK448">
        <v>16082</v>
      </c>
      <c r="AL448">
        <v>0</v>
      </c>
      <c r="AM448">
        <v>2685.6</v>
      </c>
      <c r="AN448">
        <v>-404.64</v>
      </c>
      <c r="AO448">
        <v>0</v>
      </c>
      <c r="AP448"/>
      <c r="AQ448">
        <v>0</v>
      </c>
      <c r="AR448">
        <v>0</v>
      </c>
      <c r="AS448">
        <v>2685.6</v>
      </c>
      <c r="AT448">
        <v>-404.64</v>
      </c>
      <c r="AU448">
        <v>0</v>
      </c>
      <c r="AW448">
        <v>0</v>
      </c>
      <c r="AX448">
        <v>0</v>
      </c>
      <c r="AY448">
        <v>12854.07</v>
      </c>
      <c r="BC448" t="str">
        <f>T("9791137606661")</f>
        <v>9791137606661</v>
      </c>
      <c r="BE448" t="str">
        <f t="shared" si="65"/>
        <v>판타지 e북 &gt; 게임 판타지</v>
      </c>
    </row>
    <row r="449" spans="1:57" x14ac:dyDescent="0.3">
      <c r="A449">
        <v>2313020329</v>
      </c>
      <c r="B449">
        <v>2313020379</v>
      </c>
      <c r="C449" t="str">
        <f>T("[e북]디버프 마스터 51권")</f>
        <v>[e북]디버프 마스터 51권</v>
      </c>
      <c r="D449" t="str">
        <f>T("51")</f>
        <v>51</v>
      </c>
      <c r="E449" t="str">
        <f t="shared" si="63"/>
        <v>담화공</v>
      </c>
      <c r="H449" t="str">
        <f t="shared" si="57"/>
        <v>스토리위즈</v>
      </c>
      <c r="I449" t="str">
        <f t="shared" si="64"/>
        <v>[e북]디버프 마스터</v>
      </c>
      <c r="J449">
        <v>3200</v>
      </c>
      <c r="K449">
        <v>3200</v>
      </c>
      <c r="L449">
        <v>1</v>
      </c>
      <c r="M449">
        <v>0</v>
      </c>
      <c r="N449">
        <v>15120</v>
      </c>
      <c r="O449">
        <v>24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18320</v>
      </c>
      <c r="AH449">
        <v>25</v>
      </c>
      <c r="AI449">
        <v>0</v>
      </c>
      <c r="AJ449">
        <v>0</v>
      </c>
      <c r="AK449">
        <v>16082</v>
      </c>
      <c r="AL449">
        <v>0</v>
      </c>
      <c r="AM449">
        <v>2685.6</v>
      </c>
      <c r="AN449">
        <v>-404.64</v>
      </c>
      <c r="AO449">
        <v>0</v>
      </c>
      <c r="AP449"/>
      <c r="AQ449">
        <v>0</v>
      </c>
      <c r="AR449">
        <v>0</v>
      </c>
      <c r="AS449">
        <v>2685.6</v>
      </c>
      <c r="AT449">
        <v>-404.64</v>
      </c>
      <c r="AU449">
        <v>0</v>
      </c>
      <c r="AW449">
        <v>0</v>
      </c>
      <c r="AX449">
        <v>0</v>
      </c>
      <c r="AY449">
        <v>12854.07</v>
      </c>
      <c r="BC449" t="str">
        <f>T("9791137606678")</f>
        <v>9791137606678</v>
      </c>
      <c r="BE449" t="str">
        <f t="shared" si="65"/>
        <v>판타지 e북 &gt; 게임 판타지</v>
      </c>
    </row>
    <row r="450" spans="1:57" x14ac:dyDescent="0.3">
      <c r="A450">
        <v>2313020329</v>
      </c>
      <c r="B450">
        <v>2313020380</v>
      </c>
      <c r="C450" t="str">
        <f>T("[e북]디버프 마스터 52권")</f>
        <v>[e북]디버프 마스터 52권</v>
      </c>
      <c r="D450" t="str">
        <f>T("52")</f>
        <v>52</v>
      </c>
      <c r="E450" t="str">
        <f t="shared" si="63"/>
        <v>담화공</v>
      </c>
      <c r="H450" t="str">
        <f t="shared" si="57"/>
        <v>스토리위즈</v>
      </c>
      <c r="I450" t="str">
        <f t="shared" si="64"/>
        <v>[e북]디버프 마스터</v>
      </c>
      <c r="J450">
        <v>3200</v>
      </c>
      <c r="K450">
        <v>3200</v>
      </c>
      <c r="L450">
        <v>1</v>
      </c>
      <c r="M450">
        <v>0</v>
      </c>
      <c r="N450">
        <v>15120</v>
      </c>
      <c r="O450">
        <v>24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18320</v>
      </c>
      <c r="AH450">
        <v>25</v>
      </c>
      <c r="AI450">
        <v>0</v>
      </c>
      <c r="AJ450">
        <v>0</v>
      </c>
      <c r="AK450">
        <v>16082</v>
      </c>
      <c r="AL450">
        <v>0</v>
      </c>
      <c r="AM450">
        <v>2685.6</v>
      </c>
      <c r="AN450">
        <v>-404.64</v>
      </c>
      <c r="AO450">
        <v>0</v>
      </c>
      <c r="AP450"/>
      <c r="AQ450">
        <v>0</v>
      </c>
      <c r="AR450">
        <v>0</v>
      </c>
      <c r="AS450">
        <v>2685.6</v>
      </c>
      <c r="AT450">
        <v>-404.64</v>
      </c>
      <c r="AU450">
        <v>0</v>
      </c>
      <c r="AW450">
        <v>0</v>
      </c>
      <c r="AX450">
        <v>0</v>
      </c>
      <c r="AY450">
        <v>12854.07</v>
      </c>
      <c r="BC450" t="str">
        <f>T("9791137606685")</f>
        <v>9791137606685</v>
      </c>
      <c r="BE450" t="str">
        <f t="shared" si="65"/>
        <v>판타지 e북 &gt; 게임 판타지</v>
      </c>
    </row>
    <row r="451" spans="1:57" x14ac:dyDescent="0.3">
      <c r="A451">
        <v>2313020329</v>
      </c>
      <c r="B451">
        <v>2313020381</v>
      </c>
      <c r="C451" t="str">
        <f>T("[e북]디버프 마스터 53권 (완결)")</f>
        <v>[e북]디버프 마스터 53권 (완결)</v>
      </c>
      <c r="D451" t="str">
        <f>T("53")</f>
        <v>53</v>
      </c>
      <c r="E451" t="str">
        <f t="shared" si="63"/>
        <v>담화공</v>
      </c>
      <c r="H451" t="str">
        <f t="shared" si="57"/>
        <v>스토리위즈</v>
      </c>
      <c r="I451" t="str">
        <f t="shared" si="64"/>
        <v>[e북]디버프 마스터</v>
      </c>
      <c r="J451">
        <v>3200</v>
      </c>
      <c r="K451">
        <v>3200</v>
      </c>
      <c r="L451">
        <v>1</v>
      </c>
      <c r="M451">
        <v>0</v>
      </c>
      <c r="N451">
        <v>15120</v>
      </c>
      <c r="O451">
        <v>24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18320</v>
      </c>
      <c r="AH451">
        <v>25</v>
      </c>
      <c r="AI451">
        <v>0</v>
      </c>
      <c r="AJ451">
        <v>0</v>
      </c>
      <c r="AK451">
        <v>16082</v>
      </c>
      <c r="AL451">
        <v>0</v>
      </c>
      <c r="AM451">
        <v>2685.6</v>
      </c>
      <c r="AN451">
        <v>-404.64</v>
      </c>
      <c r="AO451">
        <v>0</v>
      </c>
      <c r="AP451"/>
      <c r="AQ451">
        <v>0</v>
      </c>
      <c r="AR451">
        <v>0</v>
      </c>
      <c r="AS451">
        <v>2685.6</v>
      </c>
      <c r="AT451">
        <v>-404.64</v>
      </c>
      <c r="AU451">
        <v>0</v>
      </c>
      <c r="AW451">
        <v>0</v>
      </c>
      <c r="AX451">
        <v>0</v>
      </c>
      <c r="AY451">
        <v>12854.07</v>
      </c>
      <c r="BC451" t="str">
        <f>T("9791137606692")</f>
        <v>9791137606692</v>
      </c>
      <c r="BE451" t="str">
        <f t="shared" si="65"/>
        <v>판타지 e북 &gt; 게임 판타지</v>
      </c>
    </row>
    <row r="452" spans="1:57" x14ac:dyDescent="0.3">
      <c r="A452">
        <v>2313020834</v>
      </c>
      <c r="B452">
        <v>2313020835</v>
      </c>
      <c r="C452" t="str">
        <f>T("[e북]내 안에 흑염룡이 산다! 2권")</f>
        <v>[e북]내 안에 흑염룡이 산다! 2권</v>
      </c>
      <c r="D452" t="str">
        <f>T("2")</f>
        <v>2</v>
      </c>
      <c r="E452" t="str">
        <f t="shared" ref="E452:E458" si="66">T("리세마라")</f>
        <v>리세마라</v>
      </c>
      <c r="H452" t="str">
        <f t="shared" si="57"/>
        <v>스토리위즈</v>
      </c>
      <c r="I452" t="str">
        <f t="shared" ref="I452:I458" si="67">T("[e북]내 안에 흑염룡이 산다!")</f>
        <v>[e북]내 안에 흑염룡이 산다!</v>
      </c>
      <c r="J452">
        <v>3200</v>
      </c>
      <c r="K452">
        <v>3200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3200</v>
      </c>
      <c r="AH452">
        <v>1</v>
      </c>
      <c r="AI452">
        <v>0</v>
      </c>
      <c r="AJ452">
        <v>0</v>
      </c>
      <c r="AK452">
        <v>3200</v>
      </c>
      <c r="AL452">
        <v>0</v>
      </c>
      <c r="AM452">
        <v>0</v>
      </c>
      <c r="AN452">
        <v>0</v>
      </c>
      <c r="AO452">
        <v>0</v>
      </c>
      <c r="AP452"/>
      <c r="AQ452">
        <v>0</v>
      </c>
      <c r="AR452">
        <v>0</v>
      </c>
      <c r="AT452">
        <v>0</v>
      </c>
      <c r="AU452">
        <v>0</v>
      </c>
      <c r="AW452">
        <v>0</v>
      </c>
      <c r="AX452">
        <v>0</v>
      </c>
      <c r="AY452">
        <v>2240</v>
      </c>
      <c r="BC452" t="str">
        <f>T("9791137607965")</f>
        <v>9791137607965</v>
      </c>
      <c r="BE452" t="str">
        <f t="shared" ref="BE452:BE458" si="68">T("판타지 e북 &gt; 퓨전 판타지")</f>
        <v>판타지 e북 &gt; 퓨전 판타지</v>
      </c>
    </row>
    <row r="453" spans="1:57" x14ac:dyDescent="0.3">
      <c r="A453">
        <v>2313020834</v>
      </c>
      <c r="B453">
        <v>2313020836</v>
      </c>
      <c r="C453" t="str">
        <f>T("[e북]내 안에 흑염룡이 산다! 3권")</f>
        <v>[e북]내 안에 흑염룡이 산다! 3권</v>
      </c>
      <c r="D453" t="str">
        <f>T("3")</f>
        <v>3</v>
      </c>
      <c r="E453" t="str">
        <f t="shared" si="66"/>
        <v>리세마라</v>
      </c>
      <c r="H453" t="str">
        <f t="shared" si="57"/>
        <v>스토리위즈</v>
      </c>
      <c r="I453" t="str">
        <f t="shared" si="67"/>
        <v>[e북]내 안에 흑염룡이 산다!</v>
      </c>
      <c r="J453">
        <v>3200</v>
      </c>
      <c r="K453">
        <v>3200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3200</v>
      </c>
      <c r="AH453">
        <v>1</v>
      </c>
      <c r="AI453">
        <v>0</v>
      </c>
      <c r="AJ453">
        <v>0</v>
      </c>
      <c r="AK453">
        <v>3200</v>
      </c>
      <c r="AL453">
        <v>0</v>
      </c>
      <c r="AM453">
        <v>0</v>
      </c>
      <c r="AN453">
        <v>0</v>
      </c>
      <c r="AO453">
        <v>0</v>
      </c>
      <c r="AP453"/>
      <c r="AQ453">
        <v>0</v>
      </c>
      <c r="AR453">
        <v>0</v>
      </c>
      <c r="AT453">
        <v>0</v>
      </c>
      <c r="AU453">
        <v>0</v>
      </c>
      <c r="AW453">
        <v>0</v>
      </c>
      <c r="AX453">
        <v>0</v>
      </c>
      <c r="AY453">
        <v>2240</v>
      </c>
      <c r="BC453" t="str">
        <f>T("9791137607972")</f>
        <v>9791137607972</v>
      </c>
      <c r="BE453" t="str">
        <f t="shared" si="68"/>
        <v>판타지 e북 &gt; 퓨전 판타지</v>
      </c>
    </row>
    <row r="454" spans="1:57" x14ac:dyDescent="0.3">
      <c r="A454">
        <v>2313020834</v>
      </c>
      <c r="B454">
        <v>2313020837</v>
      </c>
      <c r="C454" t="str">
        <f>T("[e북]내 안에 흑염룡이 산다! 4권")</f>
        <v>[e북]내 안에 흑염룡이 산다! 4권</v>
      </c>
      <c r="D454" t="str">
        <f>T("4")</f>
        <v>4</v>
      </c>
      <c r="E454" t="str">
        <f t="shared" si="66"/>
        <v>리세마라</v>
      </c>
      <c r="H454" t="str">
        <f t="shared" si="57"/>
        <v>스토리위즈</v>
      </c>
      <c r="I454" t="str">
        <f t="shared" si="67"/>
        <v>[e북]내 안에 흑염룡이 산다!</v>
      </c>
      <c r="J454">
        <v>3200</v>
      </c>
      <c r="K454">
        <v>3200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3200</v>
      </c>
      <c r="AH454">
        <v>1</v>
      </c>
      <c r="AI454">
        <v>0</v>
      </c>
      <c r="AJ454">
        <v>0</v>
      </c>
      <c r="AK454">
        <v>3200</v>
      </c>
      <c r="AL454">
        <v>0</v>
      </c>
      <c r="AM454">
        <v>0</v>
      </c>
      <c r="AN454">
        <v>0</v>
      </c>
      <c r="AO454">
        <v>0</v>
      </c>
      <c r="AP454"/>
      <c r="AQ454">
        <v>0</v>
      </c>
      <c r="AR454">
        <v>0</v>
      </c>
      <c r="AT454">
        <v>0</v>
      </c>
      <c r="AU454">
        <v>0</v>
      </c>
      <c r="AW454">
        <v>0</v>
      </c>
      <c r="AX454">
        <v>0</v>
      </c>
      <c r="AY454">
        <v>2240</v>
      </c>
      <c r="BC454" t="str">
        <f>T("9791137607989")</f>
        <v>9791137607989</v>
      </c>
      <c r="BE454" t="str">
        <f t="shared" si="68"/>
        <v>판타지 e북 &gt; 퓨전 판타지</v>
      </c>
    </row>
    <row r="455" spans="1:57" x14ac:dyDescent="0.3">
      <c r="A455">
        <v>2313020834</v>
      </c>
      <c r="B455">
        <v>2313020838</v>
      </c>
      <c r="C455" t="str">
        <f>T("[e북]내 안에 흑염룡이 산다! 5권")</f>
        <v>[e북]내 안에 흑염룡이 산다! 5권</v>
      </c>
      <c r="D455" t="str">
        <f>T("5")</f>
        <v>5</v>
      </c>
      <c r="E455" t="str">
        <f t="shared" si="66"/>
        <v>리세마라</v>
      </c>
      <c r="H455" t="str">
        <f t="shared" si="57"/>
        <v>스토리위즈</v>
      </c>
      <c r="I455" t="str">
        <f t="shared" si="67"/>
        <v>[e북]내 안에 흑염룡이 산다!</v>
      </c>
      <c r="J455">
        <v>3200</v>
      </c>
      <c r="K455">
        <v>3200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3200</v>
      </c>
      <c r="AH455">
        <v>1</v>
      </c>
      <c r="AI455">
        <v>0</v>
      </c>
      <c r="AJ455">
        <v>0</v>
      </c>
      <c r="AK455">
        <v>3200</v>
      </c>
      <c r="AL455">
        <v>0</v>
      </c>
      <c r="AM455">
        <v>0</v>
      </c>
      <c r="AN455">
        <v>0</v>
      </c>
      <c r="AO455">
        <v>0</v>
      </c>
      <c r="AP455"/>
      <c r="AQ455">
        <v>0</v>
      </c>
      <c r="AR455">
        <v>0</v>
      </c>
      <c r="AT455">
        <v>0</v>
      </c>
      <c r="AU455">
        <v>0</v>
      </c>
      <c r="AW455">
        <v>0</v>
      </c>
      <c r="AX455">
        <v>0</v>
      </c>
      <c r="AY455">
        <v>2240</v>
      </c>
      <c r="BC455" t="str">
        <f>T("9791137607996")</f>
        <v>9791137607996</v>
      </c>
      <c r="BE455" t="str">
        <f t="shared" si="68"/>
        <v>판타지 e북 &gt; 퓨전 판타지</v>
      </c>
    </row>
    <row r="456" spans="1:57" x14ac:dyDescent="0.3">
      <c r="A456">
        <v>2313020834</v>
      </c>
      <c r="B456">
        <v>2313020839</v>
      </c>
      <c r="C456" t="str">
        <f>T("[e북]내 안에 흑염룡이 산다! 6권")</f>
        <v>[e북]내 안에 흑염룡이 산다! 6권</v>
      </c>
      <c r="D456" t="str">
        <f>T("6")</f>
        <v>6</v>
      </c>
      <c r="E456" t="str">
        <f t="shared" si="66"/>
        <v>리세마라</v>
      </c>
      <c r="H456" t="str">
        <f t="shared" si="57"/>
        <v>스토리위즈</v>
      </c>
      <c r="I456" t="str">
        <f t="shared" si="67"/>
        <v>[e북]내 안에 흑염룡이 산다!</v>
      </c>
      <c r="J456">
        <v>3200</v>
      </c>
      <c r="K456">
        <v>3200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3200</v>
      </c>
      <c r="AH456">
        <v>1</v>
      </c>
      <c r="AI456">
        <v>0</v>
      </c>
      <c r="AJ456">
        <v>0</v>
      </c>
      <c r="AK456">
        <v>3200</v>
      </c>
      <c r="AL456">
        <v>0</v>
      </c>
      <c r="AM456">
        <v>0</v>
      </c>
      <c r="AN456">
        <v>0</v>
      </c>
      <c r="AO456">
        <v>0</v>
      </c>
      <c r="AP456"/>
      <c r="AQ456">
        <v>0</v>
      </c>
      <c r="AR456">
        <v>0</v>
      </c>
      <c r="AT456">
        <v>0</v>
      </c>
      <c r="AU456">
        <v>0</v>
      </c>
      <c r="AW456">
        <v>0</v>
      </c>
      <c r="AX456">
        <v>0</v>
      </c>
      <c r="AY456">
        <v>2240</v>
      </c>
      <c r="BC456" t="str">
        <f>T("9791137608009")</f>
        <v>9791137608009</v>
      </c>
      <c r="BE456" t="str">
        <f t="shared" si="68"/>
        <v>판타지 e북 &gt; 퓨전 판타지</v>
      </c>
    </row>
    <row r="457" spans="1:57" x14ac:dyDescent="0.3">
      <c r="A457">
        <v>2313020834</v>
      </c>
      <c r="B457">
        <v>2313020840</v>
      </c>
      <c r="C457" t="str">
        <f>T("[e북]내 안에 흑염룡이 산다! 7권")</f>
        <v>[e북]내 안에 흑염룡이 산다! 7권</v>
      </c>
      <c r="D457" t="str">
        <f>T("7")</f>
        <v>7</v>
      </c>
      <c r="E457" t="str">
        <f t="shared" si="66"/>
        <v>리세마라</v>
      </c>
      <c r="H457" t="str">
        <f t="shared" si="57"/>
        <v>스토리위즈</v>
      </c>
      <c r="I457" t="str">
        <f t="shared" si="67"/>
        <v>[e북]내 안에 흑염룡이 산다!</v>
      </c>
      <c r="J457">
        <v>3200</v>
      </c>
      <c r="K457">
        <v>3200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3200</v>
      </c>
      <c r="AH457">
        <v>1</v>
      </c>
      <c r="AI457">
        <v>0</v>
      </c>
      <c r="AJ457">
        <v>0</v>
      </c>
      <c r="AK457">
        <v>3200</v>
      </c>
      <c r="AL457">
        <v>0</v>
      </c>
      <c r="AM457">
        <v>0</v>
      </c>
      <c r="AN457">
        <v>0</v>
      </c>
      <c r="AO457">
        <v>0</v>
      </c>
      <c r="AP457"/>
      <c r="AQ457">
        <v>0</v>
      </c>
      <c r="AR457">
        <v>0</v>
      </c>
      <c r="AT457">
        <v>0</v>
      </c>
      <c r="AU457">
        <v>0</v>
      </c>
      <c r="AW457">
        <v>0</v>
      </c>
      <c r="AX457">
        <v>0</v>
      </c>
      <c r="AY457">
        <v>2240</v>
      </c>
      <c r="BC457" t="str">
        <f>T("9791137608016")</f>
        <v>9791137608016</v>
      </c>
      <c r="BE457" t="str">
        <f t="shared" si="68"/>
        <v>판타지 e북 &gt; 퓨전 판타지</v>
      </c>
    </row>
    <row r="458" spans="1:57" x14ac:dyDescent="0.3">
      <c r="A458">
        <v>2313020834</v>
      </c>
      <c r="B458">
        <v>2313020841</v>
      </c>
      <c r="C458" t="str">
        <f>T("[e북]내 안에 흑염룡이 산다! 8권 (완결)")</f>
        <v>[e북]내 안에 흑염룡이 산다! 8권 (완결)</v>
      </c>
      <c r="D458" t="str">
        <f>T("8")</f>
        <v>8</v>
      </c>
      <c r="E458" t="str">
        <f t="shared" si="66"/>
        <v>리세마라</v>
      </c>
      <c r="H458" t="str">
        <f t="shared" si="57"/>
        <v>스토리위즈</v>
      </c>
      <c r="I458" t="str">
        <f t="shared" si="67"/>
        <v>[e북]내 안에 흑염룡이 산다!</v>
      </c>
      <c r="J458">
        <v>3200</v>
      </c>
      <c r="K458">
        <v>3200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3200</v>
      </c>
      <c r="AH458">
        <v>1</v>
      </c>
      <c r="AI458">
        <v>0</v>
      </c>
      <c r="AJ458">
        <v>0</v>
      </c>
      <c r="AK458">
        <v>3200</v>
      </c>
      <c r="AL458">
        <v>0</v>
      </c>
      <c r="AM458">
        <v>0</v>
      </c>
      <c r="AN458">
        <v>0</v>
      </c>
      <c r="AO458">
        <v>0</v>
      </c>
      <c r="AP458"/>
      <c r="AQ458">
        <v>0</v>
      </c>
      <c r="AR458">
        <v>0</v>
      </c>
      <c r="AT458">
        <v>0</v>
      </c>
      <c r="AU458">
        <v>0</v>
      </c>
      <c r="AW458">
        <v>0</v>
      </c>
      <c r="AX458">
        <v>0</v>
      </c>
      <c r="AY458">
        <v>2240</v>
      </c>
      <c r="BC458" t="str">
        <f>T("9791137608023")</f>
        <v>9791137608023</v>
      </c>
      <c r="BE458" t="str">
        <f t="shared" si="68"/>
        <v>판타지 e북 &gt; 퓨전 판타지</v>
      </c>
    </row>
    <row r="459" spans="1:57" x14ac:dyDescent="0.3">
      <c r="A459">
        <v>2313021118</v>
      </c>
      <c r="B459">
        <v>2313021120</v>
      </c>
      <c r="C459" t="str">
        <f>T("[e북]지금, 덮치러 갑니다 (외전)")</f>
        <v>[e북]지금, 덮치러 갑니다 (외전)</v>
      </c>
      <c r="D459" t="str">
        <f>T("3")</f>
        <v>3</v>
      </c>
      <c r="E459" t="str">
        <f>T("먼나무")</f>
        <v>먼나무</v>
      </c>
      <c r="H459" t="str">
        <f>T("블레슈(Blesshuu)")</f>
        <v>블레슈(Blesshuu)</v>
      </c>
      <c r="I459" t="str">
        <f>T("[e북]지금, 덮치러 갑니다")</f>
        <v>[e북]지금, 덮치러 갑니다</v>
      </c>
      <c r="J459">
        <v>400</v>
      </c>
      <c r="K459">
        <v>3200</v>
      </c>
      <c r="L459">
        <v>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3200</v>
      </c>
      <c r="AH459">
        <v>8</v>
      </c>
      <c r="AI459">
        <v>0</v>
      </c>
      <c r="AJ459">
        <v>0</v>
      </c>
      <c r="AK459">
        <v>3200</v>
      </c>
      <c r="AL459">
        <v>0</v>
      </c>
      <c r="AM459">
        <v>0</v>
      </c>
      <c r="AN459">
        <v>0</v>
      </c>
      <c r="AO459">
        <v>0</v>
      </c>
      <c r="AP459"/>
      <c r="AQ459">
        <v>0</v>
      </c>
      <c r="AR459">
        <v>0</v>
      </c>
      <c r="AT459">
        <v>0</v>
      </c>
      <c r="AU459">
        <v>0</v>
      </c>
      <c r="AW459">
        <v>0</v>
      </c>
      <c r="AX459">
        <v>0</v>
      </c>
      <c r="AY459">
        <v>2240</v>
      </c>
      <c r="BC459" t="str">
        <f>T("9791137607217")</f>
        <v>9791137607217</v>
      </c>
      <c r="BE459" t="str">
        <f>T("로맨스 e북 &gt; 현대물")</f>
        <v>로맨스 e북 &gt; 현대물</v>
      </c>
    </row>
    <row r="460" spans="1:57" x14ac:dyDescent="0.3">
      <c r="A460">
        <v>2313017096</v>
      </c>
      <c r="B460">
        <v>2313017096</v>
      </c>
      <c r="C460" t="str">
        <f>T("[e북]욕망하다 1권")</f>
        <v>[e북]욕망하다 1권</v>
      </c>
      <c r="D460" t="str">
        <f>T("1")</f>
        <v>1</v>
      </c>
      <c r="E460" t="str">
        <f>T("라비니안느")</f>
        <v>라비니안느</v>
      </c>
      <c r="H460" t="str">
        <f>T("도서출판 태랑")</f>
        <v>도서출판 태랑</v>
      </c>
      <c r="I460" t="str">
        <f>T("[e북]욕망하다")</f>
        <v>[e북]욕망하다</v>
      </c>
      <c r="J460">
        <v>3100</v>
      </c>
      <c r="K460">
        <v>3100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3100</v>
      </c>
      <c r="AH460">
        <v>1</v>
      </c>
      <c r="AI460">
        <v>0</v>
      </c>
      <c r="AJ460">
        <v>0</v>
      </c>
      <c r="AK460">
        <v>3100</v>
      </c>
      <c r="AL460">
        <v>0</v>
      </c>
      <c r="AM460">
        <v>0</v>
      </c>
      <c r="AN460">
        <v>0</v>
      </c>
      <c r="AO460">
        <v>0</v>
      </c>
      <c r="AP460"/>
      <c r="AQ460">
        <v>0</v>
      </c>
      <c r="AR460">
        <v>0</v>
      </c>
      <c r="AT460">
        <v>0</v>
      </c>
      <c r="AU460">
        <v>0</v>
      </c>
      <c r="AW460">
        <v>0</v>
      </c>
      <c r="AX460">
        <v>0</v>
      </c>
      <c r="AY460">
        <v>2170</v>
      </c>
      <c r="BC460" t="str">
        <f>T("9791189627324")</f>
        <v>9791189627324</v>
      </c>
      <c r="BE460" t="str">
        <f>T("BL 소설 e북 &gt; 현대물")</f>
        <v>BL 소설 e북 &gt; 현대물</v>
      </c>
    </row>
    <row r="461" spans="1:57" x14ac:dyDescent="0.3">
      <c r="A461">
        <v>2313020108</v>
      </c>
      <c r="B461">
        <v>2313020170</v>
      </c>
      <c r="C461" t="str">
        <f>T("아빠는 마교대장 63화")</f>
        <v>아빠는 마교대장 63화</v>
      </c>
      <c r="D461" t="str">
        <f>T("63")</f>
        <v>63</v>
      </c>
      <c r="E461" t="str">
        <f>T("구땡")</f>
        <v>구땡</v>
      </c>
      <c r="H461" t="str">
        <f>T("스토리위즈")</f>
        <v>스토리위즈</v>
      </c>
      <c r="I461" t="str">
        <f>T("아빠는 마교대장")</f>
        <v>아빠는 마교대장</v>
      </c>
      <c r="J461">
        <v>100</v>
      </c>
      <c r="K461">
        <v>3100</v>
      </c>
      <c r="L461">
        <v>31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3100</v>
      </c>
      <c r="AH461">
        <v>31</v>
      </c>
      <c r="AI461">
        <v>0</v>
      </c>
      <c r="AJ461">
        <v>0</v>
      </c>
      <c r="AK461">
        <v>2900</v>
      </c>
      <c r="AL461">
        <v>0</v>
      </c>
      <c r="AM461">
        <v>240</v>
      </c>
      <c r="AN461">
        <v>-72</v>
      </c>
      <c r="AO461">
        <v>0</v>
      </c>
      <c r="AP461"/>
      <c r="AQ461">
        <v>0</v>
      </c>
      <c r="AR461">
        <v>0</v>
      </c>
      <c r="AS461">
        <v>240</v>
      </c>
      <c r="AT461">
        <v>-72</v>
      </c>
      <c r="AU461">
        <v>0</v>
      </c>
      <c r="AW461">
        <v>0</v>
      </c>
      <c r="AX461">
        <v>0</v>
      </c>
      <c r="AY461">
        <v>2147.6</v>
      </c>
      <c r="BC461" t="str">
        <f>T("9791137602076")</f>
        <v>9791137602076</v>
      </c>
      <c r="BE461" t="str">
        <f>T("판타지 웹소설 &gt; 무협 소설")</f>
        <v>판타지 웹소설 &gt; 무협 소설</v>
      </c>
    </row>
    <row r="462" spans="1:57" x14ac:dyDescent="0.3">
      <c r="A462">
        <v>2313020108</v>
      </c>
      <c r="B462">
        <v>2313020173</v>
      </c>
      <c r="C462" t="str">
        <f>T("아빠는 마교대장 66화")</f>
        <v>아빠는 마교대장 66화</v>
      </c>
      <c r="D462" t="str">
        <f>T("66")</f>
        <v>66</v>
      </c>
      <c r="E462" t="str">
        <f>T("구땡")</f>
        <v>구땡</v>
      </c>
      <c r="H462" t="str">
        <f>T("스토리위즈")</f>
        <v>스토리위즈</v>
      </c>
      <c r="I462" t="str">
        <f>T("아빠는 마교대장")</f>
        <v>아빠는 마교대장</v>
      </c>
      <c r="J462">
        <v>100</v>
      </c>
      <c r="K462">
        <v>3100</v>
      </c>
      <c r="L462">
        <v>31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3100</v>
      </c>
      <c r="AH462">
        <v>31</v>
      </c>
      <c r="AI462">
        <v>0</v>
      </c>
      <c r="AJ462">
        <v>0</v>
      </c>
      <c r="AK462">
        <v>2900</v>
      </c>
      <c r="AL462">
        <v>0</v>
      </c>
      <c r="AM462">
        <v>240</v>
      </c>
      <c r="AN462">
        <v>-72</v>
      </c>
      <c r="AO462">
        <v>0</v>
      </c>
      <c r="AP462"/>
      <c r="AQ462">
        <v>0</v>
      </c>
      <c r="AR462">
        <v>0</v>
      </c>
      <c r="AS462">
        <v>240</v>
      </c>
      <c r="AT462">
        <v>-72</v>
      </c>
      <c r="AU462">
        <v>0</v>
      </c>
      <c r="AW462">
        <v>0</v>
      </c>
      <c r="AX462">
        <v>0</v>
      </c>
      <c r="AY462">
        <v>2147.6</v>
      </c>
      <c r="BC462" t="str">
        <f>T("9791137602076")</f>
        <v>9791137602076</v>
      </c>
      <c r="BE462" t="str">
        <f>T("판타지 웹소설 &gt; 무협 소설")</f>
        <v>판타지 웹소설 &gt; 무협 소설</v>
      </c>
    </row>
    <row r="463" spans="1:57" x14ac:dyDescent="0.3">
      <c r="A463">
        <v>2313020108</v>
      </c>
      <c r="B463">
        <v>2313020174</v>
      </c>
      <c r="C463" t="str">
        <f>T("아빠는 마교대장 67화")</f>
        <v>아빠는 마교대장 67화</v>
      </c>
      <c r="D463" t="str">
        <f>T("67")</f>
        <v>67</v>
      </c>
      <c r="E463" t="str">
        <f>T("구땡")</f>
        <v>구땡</v>
      </c>
      <c r="H463" t="str">
        <f>T("스토리위즈")</f>
        <v>스토리위즈</v>
      </c>
      <c r="I463" t="str">
        <f>T("아빠는 마교대장")</f>
        <v>아빠는 마교대장</v>
      </c>
      <c r="J463">
        <v>100</v>
      </c>
      <c r="K463">
        <v>3100</v>
      </c>
      <c r="L463">
        <v>31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3100</v>
      </c>
      <c r="AH463">
        <v>31</v>
      </c>
      <c r="AI463">
        <v>0</v>
      </c>
      <c r="AJ463">
        <v>0</v>
      </c>
      <c r="AK463">
        <v>2800</v>
      </c>
      <c r="AL463">
        <v>0</v>
      </c>
      <c r="AM463">
        <v>360</v>
      </c>
      <c r="AN463">
        <v>-108</v>
      </c>
      <c r="AO463">
        <v>0</v>
      </c>
      <c r="AP463"/>
      <c r="AQ463">
        <v>0</v>
      </c>
      <c r="AR463">
        <v>0</v>
      </c>
      <c r="AS463">
        <v>360</v>
      </c>
      <c r="AT463">
        <v>-108</v>
      </c>
      <c r="AU463">
        <v>0</v>
      </c>
      <c r="AW463">
        <v>0</v>
      </c>
      <c r="AX463">
        <v>0</v>
      </c>
      <c r="AY463">
        <v>2136.4</v>
      </c>
      <c r="BC463" t="str">
        <f>T("9791137602076")</f>
        <v>9791137602076</v>
      </c>
      <c r="BE463" t="str">
        <f>T("판타지 웹소설 &gt; 무협 소설")</f>
        <v>판타지 웹소설 &gt; 무협 소설</v>
      </c>
    </row>
    <row r="464" spans="1:57" x14ac:dyDescent="0.3">
      <c r="A464">
        <v>2313020108</v>
      </c>
      <c r="B464">
        <v>2313020175</v>
      </c>
      <c r="C464" t="str">
        <f>T("아빠는 마교대장 68화")</f>
        <v>아빠는 마교대장 68화</v>
      </c>
      <c r="D464" t="str">
        <f>T("68")</f>
        <v>68</v>
      </c>
      <c r="E464" t="str">
        <f>T("구땡")</f>
        <v>구땡</v>
      </c>
      <c r="H464" t="str">
        <f>T("스토리위즈")</f>
        <v>스토리위즈</v>
      </c>
      <c r="I464" t="str">
        <f>T("아빠는 마교대장")</f>
        <v>아빠는 마교대장</v>
      </c>
      <c r="J464">
        <v>100</v>
      </c>
      <c r="K464">
        <v>3100</v>
      </c>
      <c r="L464">
        <v>31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3100</v>
      </c>
      <c r="AH464">
        <v>31</v>
      </c>
      <c r="AI464">
        <v>0</v>
      </c>
      <c r="AJ464">
        <v>0</v>
      </c>
      <c r="AK464">
        <v>2800</v>
      </c>
      <c r="AL464">
        <v>0</v>
      </c>
      <c r="AM464">
        <v>360</v>
      </c>
      <c r="AN464">
        <v>-108</v>
      </c>
      <c r="AO464">
        <v>0</v>
      </c>
      <c r="AP464"/>
      <c r="AQ464">
        <v>0</v>
      </c>
      <c r="AR464">
        <v>0</v>
      </c>
      <c r="AS464">
        <v>360</v>
      </c>
      <c r="AT464">
        <v>-108</v>
      </c>
      <c r="AU464">
        <v>0</v>
      </c>
      <c r="AW464">
        <v>0</v>
      </c>
      <c r="AX464">
        <v>0</v>
      </c>
      <c r="AY464">
        <v>2136.4</v>
      </c>
      <c r="BC464" t="str">
        <f>T("9791137602076")</f>
        <v>9791137602076</v>
      </c>
      <c r="BE464" t="str">
        <f>T("판타지 웹소설 &gt; 무협 소설")</f>
        <v>판타지 웹소설 &gt; 무협 소설</v>
      </c>
    </row>
    <row r="465" spans="1:58" x14ac:dyDescent="0.3">
      <c r="A465">
        <v>2313020108</v>
      </c>
      <c r="B465">
        <v>2313020179</v>
      </c>
      <c r="C465" t="str">
        <f>T("아빠는 마교대장 72화")</f>
        <v>아빠는 마교대장 72화</v>
      </c>
      <c r="D465" t="str">
        <f>T("72")</f>
        <v>72</v>
      </c>
      <c r="E465" t="str">
        <f>T("구땡")</f>
        <v>구땡</v>
      </c>
      <c r="H465" t="str">
        <f>T("스토리위즈")</f>
        <v>스토리위즈</v>
      </c>
      <c r="I465" t="str">
        <f>T("아빠는 마교대장")</f>
        <v>아빠는 마교대장</v>
      </c>
      <c r="J465">
        <v>100</v>
      </c>
      <c r="K465">
        <v>3100</v>
      </c>
      <c r="L465">
        <v>31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3100</v>
      </c>
      <c r="AH465">
        <v>31</v>
      </c>
      <c r="AI465">
        <v>0</v>
      </c>
      <c r="AJ465">
        <v>0</v>
      </c>
      <c r="AK465">
        <v>2900</v>
      </c>
      <c r="AL465">
        <v>0</v>
      </c>
      <c r="AM465">
        <v>240</v>
      </c>
      <c r="AN465">
        <v>-72</v>
      </c>
      <c r="AO465">
        <v>0</v>
      </c>
      <c r="AP465"/>
      <c r="AQ465">
        <v>0</v>
      </c>
      <c r="AR465">
        <v>0</v>
      </c>
      <c r="AS465">
        <v>240</v>
      </c>
      <c r="AT465">
        <v>-72</v>
      </c>
      <c r="AU465">
        <v>0</v>
      </c>
      <c r="AW465">
        <v>0</v>
      </c>
      <c r="AX465">
        <v>0</v>
      </c>
      <c r="AY465">
        <v>2147.6</v>
      </c>
      <c r="BC465" t="str">
        <f>T("9791137602076")</f>
        <v>9791137602076</v>
      </c>
      <c r="BE465" t="str">
        <f>T("판타지 웹소설 &gt; 무협 소설")</f>
        <v>판타지 웹소설 &gt; 무협 소설</v>
      </c>
    </row>
    <row r="466" spans="1:58" x14ac:dyDescent="0.3">
      <c r="A466">
        <v>2313016841</v>
      </c>
      <c r="B466">
        <v>2313016839</v>
      </c>
      <c r="C466" t="str">
        <f>T("[e북]꽃잎, 흩날리는 3권 (완결)")</f>
        <v>[e북]꽃잎, 흩날리는 3권 (완결)</v>
      </c>
      <c r="D466" t="str">
        <f>T("3")</f>
        <v>3</v>
      </c>
      <c r="E466" t="str">
        <f>T("마용출")</f>
        <v>마용출</v>
      </c>
      <c r="H466" t="str">
        <f t="shared" ref="H466:H472" si="69">T("도서출판 태랑")</f>
        <v>도서출판 태랑</v>
      </c>
      <c r="I466" t="str">
        <f>T("[e북]꽃잎, 흩날리는")</f>
        <v>[e북]꽃잎, 흩날리는</v>
      </c>
      <c r="J466">
        <v>3000</v>
      </c>
      <c r="K466">
        <v>3000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3000</v>
      </c>
      <c r="AH466">
        <v>1</v>
      </c>
      <c r="AI466">
        <v>0</v>
      </c>
      <c r="AJ466">
        <v>0</v>
      </c>
      <c r="AK466">
        <v>3000</v>
      </c>
      <c r="AL466">
        <v>0</v>
      </c>
      <c r="AM466">
        <v>0</v>
      </c>
      <c r="AN466">
        <v>0</v>
      </c>
      <c r="AO466">
        <v>0</v>
      </c>
      <c r="AP466"/>
      <c r="AQ466">
        <v>0</v>
      </c>
      <c r="AR466">
        <v>0</v>
      </c>
      <c r="AT466">
        <v>0</v>
      </c>
      <c r="AU466">
        <v>0</v>
      </c>
      <c r="AW466">
        <v>0</v>
      </c>
      <c r="AX466">
        <v>0</v>
      </c>
      <c r="AY466">
        <v>2100</v>
      </c>
      <c r="BC466" t="str">
        <f>T("9791164374830")</f>
        <v>9791164374830</v>
      </c>
      <c r="BE466" t="str">
        <f>T("BL 소설 e북 &gt; 역사/시대물")</f>
        <v>BL 소설 e북 &gt; 역사/시대물</v>
      </c>
    </row>
    <row r="467" spans="1:58" x14ac:dyDescent="0.3">
      <c r="A467">
        <v>2313016929</v>
      </c>
      <c r="B467">
        <v>2313016927</v>
      </c>
      <c r="C467" t="str">
        <f>T("[e북]월급 주는 남편 (외전증보판) 3권 (완결)")</f>
        <v>[e북]월급 주는 남편 (외전증보판) 3권 (완결)</v>
      </c>
      <c r="D467" t="str">
        <f>T("3")</f>
        <v>3</v>
      </c>
      <c r="E467" t="str">
        <f>T("블 루 스 카 이")</f>
        <v>블 루 스 카 이</v>
      </c>
      <c r="H467" t="str">
        <f t="shared" si="69"/>
        <v>도서출판 태랑</v>
      </c>
      <c r="I467" t="str">
        <f>T("[e북]월급 주는 남편 (외전증보판)")</f>
        <v>[e북]월급 주는 남편 (외전증보판)</v>
      </c>
      <c r="J467">
        <v>3000</v>
      </c>
      <c r="K467">
        <v>3000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3000</v>
      </c>
      <c r="AH467">
        <v>1</v>
      </c>
      <c r="AI467">
        <v>0</v>
      </c>
      <c r="AJ467">
        <v>0</v>
      </c>
      <c r="AK467">
        <v>3000</v>
      </c>
      <c r="AL467">
        <v>0</v>
      </c>
      <c r="AM467">
        <v>0</v>
      </c>
      <c r="AN467">
        <v>0</v>
      </c>
      <c r="AO467">
        <v>0</v>
      </c>
      <c r="AP467"/>
      <c r="AQ467">
        <v>0</v>
      </c>
      <c r="AR467">
        <v>0</v>
      </c>
      <c r="AT467">
        <v>0</v>
      </c>
      <c r="AU467">
        <v>0</v>
      </c>
      <c r="AW467">
        <v>0</v>
      </c>
      <c r="AX467">
        <v>0</v>
      </c>
      <c r="AY467">
        <v>2100</v>
      </c>
      <c r="BC467" t="str">
        <f>T("9791164373130")</f>
        <v>9791164373130</v>
      </c>
      <c r="BE467" t="str">
        <f>T("로맨스 e북 &gt; 현대물")</f>
        <v>로맨스 e북 &gt; 현대물</v>
      </c>
      <c r="BF467" t="str">
        <f>T("로맨스 e북 &gt; 19+")</f>
        <v>로맨스 e북 &gt; 19+</v>
      </c>
    </row>
    <row r="468" spans="1:58" x14ac:dyDescent="0.3">
      <c r="A468">
        <v>2313016929</v>
      </c>
      <c r="B468">
        <v>2313016928</v>
      </c>
      <c r="C468" t="str">
        <f>T("[e북]월급 주는 남편 (외전증보판) 2권")</f>
        <v>[e북]월급 주는 남편 (외전증보판) 2권</v>
      </c>
      <c r="D468" t="str">
        <f>T("2")</f>
        <v>2</v>
      </c>
      <c r="E468" t="str">
        <f>T("블 루 스 카 이")</f>
        <v>블 루 스 카 이</v>
      </c>
      <c r="H468" t="str">
        <f t="shared" si="69"/>
        <v>도서출판 태랑</v>
      </c>
      <c r="I468" t="str">
        <f>T("[e북]월급 주는 남편 (외전증보판)")</f>
        <v>[e북]월급 주는 남편 (외전증보판)</v>
      </c>
      <c r="J468">
        <v>3000</v>
      </c>
      <c r="K468">
        <v>3000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3000</v>
      </c>
      <c r="AH468">
        <v>1</v>
      </c>
      <c r="AI468">
        <v>0</v>
      </c>
      <c r="AJ468">
        <v>0</v>
      </c>
      <c r="AK468">
        <v>3000</v>
      </c>
      <c r="AL468">
        <v>0</v>
      </c>
      <c r="AM468">
        <v>0</v>
      </c>
      <c r="AN468">
        <v>0</v>
      </c>
      <c r="AO468">
        <v>0</v>
      </c>
      <c r="AP468"/>
      <c r="AQ468">
        <v>0</v>
      </c>
      <c r="AR468">
        <v>0</v>
      </c>
      <c r="AT468">
        <v>0</v>
      </c>
      <c r="AU468">
        <v>0</v>
      </c>
      <c r="AW468">
        <v>0</v>
      </c>
      <c r="AX468">
        <v>0</v>
      </c>
      <c r="AY468">
        <v>2100</v>
      </c>
      <c r="BC468" t="str">
        <f>T("9791164373123")</f>
        <v>9791164373123</v>
      </c>
      <c r="BE468" t="str">
        <f>T("로맨스 e북 &gt; 현대물")</f>
        <v>로맨스 e북 &gt; 현대물</v>
      </c>
      <c r="BF468" t="str">
        <f>T("로맨스 e북 &gt; 19+")</f>
        <v>로맨스 e북 &gt; 19+</v>
      </c>
    </row>
    <row r="469" spans="1:58" x14ac:dyDescent="0.3">
      <c r="A469">
        <v>2313016929</v>
      </c>
      <c r="B469">
        <v>2313016929</v>
      </c>
      <c r="C469" t="str">
        <f>T("[e북]월급 주는 남편 (외전증보판) 1권")</f>
        <v>[e북]월급 주는 남편 (외전증보판) 1권</v>
      </c>
      <c r="D469" t="str">
        <f>T("1")</f>
        <v>1</v>
      </c>
      <c r="E469" t="str">
        <f>T("블 루 스 카 이")</f>
        <v>블 루 스 카 이</v>
      </c>
      <c r="H469" t="str">
        <f t="shared" si="69"/>
        <v>도서출판 태랑</v>
      </c>
      <c r="I469" t="str">
        <f>T("[e북]월급 주는 남편 (외전증보판)")</f>
        <v>[e북]월급 주는 남편 (외전증보판)</v>
      </c>
      <c r="J469">
        <v>3000</v>
      </c>
      <c r="K469">
        <v>3000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3000</v>
      </c>
      <c r="AH469">
        <v>1</v>
      </c>
      <c r="AI469">
        <v>0</v>
      </c>
      <c r="AJ469">
        <v>0</v>
      </c>
      <c r="AK469">
        <v>3000</v>
      </c>
      <c r="AL469">
        <v>0</v>
      </c>
      <c r="AM469">
        <v>0</v>
      </c>
      <c r="AN469">
        <v>0</v>
      </c>
      <c r="AO469">
        <v>0</v>
      </c>
      <c r="AP469"/>
      <c r="AQ469">
        <v>0</v>
      </c>
      <c r="AR469">
        <v>0</v>
      </c>
      <c r="AT469">
        <v>0</v>
      </c>
      <c r="AU469">
        <v>0</v>
      </c>
      <c r="AW469">
        <v>0</v>
      </c>
      <c r="AX469">
        <v>0</v>
      </c>
      <c r="AY469">
        <v>2100</v>
      </c>
      <c r="BC469" t="str">
        <f>T("9791164373116")</f>
        <v>9791164373116</v>
      </c>
      <c r="BE469" t="str">
        <f>T("로맨스 e북 &gt; 현대물")</f>
        <v>로맨스 e북 &gt; 현대물</v>
      </c>
      <c r="BF469" t="str">
        <f>T("로맨스 e북 &gt; 19+")</f>
        <v>로맨스 e북 &gt; 19+</v>
      </c>
    </row>
    <row r="470" spans="1:58" x14ac:dyDescent="0.3">
      <c r="A470">
        <v>2313017048</v>
      </c>
      <c r="B470">
        <v>2313017048</v>
      </c>
      <c r="C470" t="str">
        <f>T("[e북]사랑을 놓치고 (외전증보판) 1권")</f>
        <v>[e북]사랑을 놓치고 (외전증보판) 1권</v>
      </c>
      <c r="D470" t="str">
        <f>T("1")</f>
        <v>1</v>
      </c>
      <c r="E470" t="str">
        <f>T("차홍주")</f>
        <v>차홍주</v>
      </c>
      <c r="H470" t="str">
        <f t="shared" si="69"/>
        <v>도서출판 태랑</v>
      </c>
      <c r="I470" t="str">
        <f>T("[e북]사랑을 놓치고 (외전증보판)")</f>
        <v>[e북]사랑을 놓치고 (외전증보판)</v>
      </c>
      <c r="J470">
        <v>3000</v>
      </c>
      <c r="K470">
        <v>3000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3000</v>
      </c>
      <c r="AH470">
        <v>1</v>
      </c>
      <c r="AI470">
        <v>0</v>
      </c>
      <c r="AJ470">
        <v>0</v>
      </c>
      <c r="AK470">
        <v>3000</v>
      </c>
      <c r="AL470">
        <v>0</v>
      </c>
      <c r="AM470">
        <v>0</v>
      </c>
      <c r="AN470">
        <v>0</v>
      </c>
      <c r="AO470">
        <v>0</v>
      </c>
      <c r="AP470"/>
      <c r="AQ470">
        <v>0</v>
      </c>
      <c r="AR470">
        <v>0</v>
      </c>
      <c r="AT470">
        <v>0</v>
      </c>
      <c r="AU470">
        <v>0</v>
      </c>
      <c r="AW470">
        <v>0</v>
      </c>
      <c r="AX470">
        <v>0</v>
      </c>
      <c r="AY470">
        <v>2100</v>
      </c>
      <c r="BC470" t="str">
        <f>T("9791164370672")</f>
        <v>9791164370672</v>
      </c>
      <c r="BE470" t="str">
        <f>T("로맨스 e북 &gt; 현대물")</f>
        <v>로맨스 e북 &gt; 현대물</v>
      </c>
      <c r="BF470" t="str">
        <f>T("로맨스 e북 &gt; 19+")</f>
        <v>로맨스 e북 &gt; 19+</v>
      </c>
    </row>
    <row r="471" spans="1:58" x14ac:dyDescent="0.3">
      <c r="A471">
        <v>2313017070</v>
      </c>
      <c r="B471">
        <v>2313017069</v>
      </c>
      <c r="C471" t="str">
        <f>T("[e북]아이 컨택 2권 (완결)")</f>
        <v>[e북]아이 컨택 2권 (완결)</v>
      </c>
      <c r="D471" t="str">
        <f>T("2")</f>
        <v>2</v>
      </c>
      <c r="E471" t="str">
        <f>T("모리미")</f>
        <v>모리미</v>
      </c>
      <c r="H471" t="str">
        <f t="shared" si="69"/>
        <v>도서출판 태랑</v>
      </c>
      <c r="I471" t="str">
        <f>T("[e북]아이 컨택")</f>
        <v>[e북]아이 컨택</v>
      </c>
      <c r="J471">
        <v>3000</v>
      </c>
      <c r="K471">
        <v>3000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3000</v>
      </c>
      <c r="AH471">
        <v>1</v>
      </c>
      <c r="AI471">
        <v>0</v>
      </c>
      <c r="AJ471">
        <v>0</v>
      </c>
      <c r="AK471">
        <v>3000</v>
      </c>
      <c r="AL471">
        <v>0</v>
      </c>
      <c r="AM471">
        <v>0</v>
      </c>
      <c r="AN471">
        <v>0</v>
      </c>
      <c r="AO471">
        <v>0</v>
      </c>
      <c r="AP471"/>
      <c r="AQ471">
        <v>0</v>
      </c>
      <c r="AR471">
        <v>0</v>
      </c>
      <c r="AT471">
        <v>0</v>
      </c>
      <c r="AU471">
        <v>0</v>
      </c>
      <c r="AW471">
        <v>0</v>
      </c>
      <c r="AX471">
        <v>0</v>
      </c>
      <c r="AY471">
        <v>2100</v>
      </c>
      <c r="BC471" t="str">
        <f>T("9791164370825")</f>
        <v>9791164370825</v>
      </c>
      <c r="BE471" t="str">
        <f>T("BL 소설 e북 &gt; 현대물")</f>
        <v>BL 소설 e북 &gt; 현대물</v>
      </c>
    </row>
    <row r="472" spans="1:58" x14ac:dyDescent="0.3">
      <c r="A472">
        <v>2313017070</v>
      </c>
      <c r="B472">
        <v>2313017070</v>
      </c>
      <c r="C472" t="str">
        <f>T("[e북]아이 컨택 1권")</f>
        <v>[e북]아이 컨택 1권</v>
      </c>
      <c r="D472" t="str">
        <f>T("1")</f>
        <v>1</v>
      </c>
      <c r="E472" t="str">
        <f>T("모리미")</f>
        <v>모리미</v>
      </c>
      <c r="H472" t="str">
        <f t="shared" si="69"/>
        <v>도서출판 태랑</v>
      </c>
      <c r="I472" t="str">
        <f>T("[e북]아이 컨택")</f>
        <v>[e북]아이 컨택</v>
      </c>
      <c r="J472">
        <v>3000</v>
      </c>
      <c r="K472">
        <v>3000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3000</v>
      </c>
      <c r="AH472">
        <v>1</v>
      </c>
      <c r="AI472">
        <v>0</v>
      </c>
      <c r="AJ472">
        <v>0</v>
      </c>
      <c r="AK472">
        <v>3000</v>
      </c>
      <c r="AL472">
        <v>0</v>
      </c>
      <c r="AM472">
        <v>0</v>
      </c>
      <c r="AN472">
        <v>0</v>
      </c>
      <c r="AO472">
        <v>0</v>
      </c>
      <c r="AP472"/>
      <c r="AQ472">
        <v>0</v>
      </c>
      <c r="AR472">
        <v>0</v>
      </c>
      <c r="AT472">
        <v>0</v>
      </c>
      <c r="AU472">
        <v>0</v>
      </c>
      <c r="AW472">
        <v>0</v>
      </c>
      <c r="AX472">
        <v>0</v>
      </c>
      <c r="AY472">
        <v>2100</v>
      </c>
      <c r="BC472" t="str">
        <f>T("9791164370818")</f>
        <v>9791164370818</v>
      </c>
      <c r="BE472" t="str">
        <f>T("BL 소설 e북 &gt; 현대물")</f>
        <v>BL 소설 e북 &gt; 현대물</v>
      </c>
    </row>
    <row r="473" spans="1:58" x14ac:dyDescent="0.3">
      <c r="A473">
        <v>2313020103</v>
      </c>
      <c r="B473">
        <v>2313020103</v>
      </c>
      <c r="C473" t="str">
        <f>T("[e북]혼자서는 못 해요 1권")</f>
        <v>[e북]혼자서는 못 해요 1권</v>
      </c>
      <c r="D473" t="str">
        <f>T("1")</f>
        <v>1</v>
      </c>
      <c r="E473" t="str">
        <f>T("몸서리")</f>
        <v>몸서리</v>
      </c>
      <c r="H473" t="str">
        <f>T("블레슈(Blesshuu)")</f>
        <v>블레슈(Blesshuu)</v>
      </c>
      <c r="I473" t="str">
        <f>T("[e북]혼자서는 못 해요")</f>
        <v>[e북]혼자서는 못 해요</v>
      </c>
      <c r="J473">
        <v>3000</v>
      </c>
      <c r="K473">
        <v>3000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3000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3600</v>
      </c>
      <c r="AN473">
        <v>-360</v>
      </c>
      <c r="AO473">
        <v>0</v>
      </c>
      <c r="AP473"/>
      <c r="AQ473">
        <v>0</v>
      </c>
      <c r="AR473">
        <v>0</v>
      </c>
      <c r="AS473">
        <v>3600</v>
      </c>
      <c r="AT473">
        <v>-360</v>
      </c>
      <c r="AU473">
        <v>0</v>
      </c>
      <c r="AW473">
        <v>0</v>
      </c>
      <c r="AX473">
        <v>0</v>
      </c>
      <c r="AY473">
        <v>2268</v>
      </c>
      <c r="BC473" t="str">
        <f>T("9791137605909")</f>
        <v>9791137605909</v>
      </c>
      <c r="BE473" t="str">
        <f>T("로맨스 e북 &gt; 현대물")</f>
        <v>로맨스 e북 &gt; 현대물</v>
      </c>
    </row>
    <row r="474" spans="1:58" x14ac:dyDescent="0.3">
      <c r="A474">
        <v>2313020103</v>
      </c>
      <c r="B474">
        <v>2313020104</v>
      </c>
      <c r="C474" t="str">
        <f>T("[e북]혼자서는 못 해요 2권")</f>
        <v>[e북]혼자서는 못 해요 2권</v>
      </c>
      <c r="D474" t="str">
        <f>T("2")</f>
        <v>2</v>
      </c>
      <c r="E474" t="str">
        <f>T("몸서리")</f>
        <v>몸서리</v>
      </c>
      <c r="H474" t="str">
        <f>T("블레슈(Blesshuu)")</f>
        <v>블레슈(Blesshuu)</v>
      </c>
      <c r="I474" t="str">
        <f>T("[e북]혼자서는 못 해요")</f>
        <v>[e북]혼자서는 못 해요</v>
      </c>
      <c r="J474">
        <v>3000</v>
      </c>
      <c r="K474">
        <v>3000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3000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3600</v>
      </c>
      <c r="AN474">
        <v>-360</v>
      </c>
      <c r="AO474">
        <v>0</v>
      </c>
      <c r="AP474"/>
      <c r="AQ474">
        <v>0</v>
      </c>
      <c r="AR474">
        <v>0</v>
      </c>
      <c r="AS474">
        <v>3600</v>
      </c>
      <c r="AT474">
        <v>-360</v>
      </c>
      <c r="AU474">
        <v>0</v>
      </c>
      <c r="AW474">
        <v>0</v>
      </c>
      <c r="AX474">
        <v>0</v>
      </c>
      <c r="AY474">
        <v>2268</v>
      </c>
      <c r="BC474" t="str">
        <f>T("9791137605916")</f>
        <v>9791137605916</v>
      </c>
      <c r="BE474" t="str">
        <f>T("로맨스 e북 &gt; 현대물")</f>
        <v>로맨스 e북 &gt; 현대물</v>
      </c>
    </row>
    <row r="475" spans="1:58" x14ac:dyDescent="0.3">
      <c r="A475">
        <v>2313020108</v>
      </c>
      <c r="B475">
        <v>2313020168</v>
      </c>
      <c r="C475" t="str">
        <f>T("아빠는 마교대장 61화")</f>
        <v>아빠는 마교대장 61화</v>
      </c>
      <c r="D475" t="str">
        <f>T("61")</f>
        <v>61</v>
      </c>
      <c r="E475" t="str">
        <f t="shared" ref="E475:E480" si="70">T("구땡")</f>
        <v>구땡</v>
      </c>
      <c r="H475" t="str">
        <f t="shared" ref="H475:H480" si="71">T("스토리위즈")</f>
        <v>스토리위즈</v>
      </c>
      <c r="I475" t="str">
        <f t="shared" ref="I475:I480" si="72">T("아빠는 마교대장")</f>
        <v>아빠는 마교대장</v>
      </c>
      <c r="J475">
        <v>100</v>
      </c>
      <c r="K475">
        <v>3000</v>
      </c>
      <c r="L475">
        <v>30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3000</v>
      </c>
      <c r="AH475">
        <v>30</v>
      </c>
      <c r="AI475">
        <v>0</v>
      </c>
      <c r="AJ475">
        <v>0</v>
      </c>
      <c r="AK475">
        <v>2800</v>
      </c>
      <c r="AL475">
        <v>0</v>
      </c>
      <c r="AM475">
        <v>240</v>
      </c>
      <c r="AN475">
        <v>-72</v>
      </c>
      <c r="AO475">
        <v>0</v>
      </c>
      <c r="AP475"/>
      <c r="AQ475">
        <v>0</v>
      </c>
      <c r="AR475">
        <v>0</v>
      </c>
      <c r="AS475">
        <v>240</v>
      </c>
      <c r="AT475">
        <v>-72</v>
      </c>
      <c r="AU475">
        <v>0</v>
      </c>
      <c r="AW475">
        <v>0</v>
      </c>
      <c r="AX475">
        <v>0</v>
      </c>
      <c r="AY475">
        <v>2077.6</v>
      </c>
      <c r="BC475" t="str">
        <f t="shared" ref="BC475:BC480" si="73">T("9791137602076")</f>
        <v>9791137602076</v>
      </c>
      <c r="BE475" t="str">
        <f t="shared" ref="BE475:BE480" si="74">T("판타지 웹소설 &gt; 무협 소설")</f>
        <v>판타지 웹소설 &gt; 무협 소설</v>
      </c>
    </row>
    <row r="476" spans="1:58" x14ac:dyDescent="0.3">
      <c r="A476">
        <v>2313020108</v>
      </c>
      <c r="B476">
        <v>2313020169</v>
      </c>
      <c r="C476" t="str">
        <f>T("아빠는 마교대장 62화")</f>
        <v>아빠는 마교대장 62화</v>
      </c>
      <c r="D476" t="str">
        <f>T("62")</f>
        <v>62</v>
      </c>
      <c r="E476" t="str">
        <f t="shared" si="70"/>
        <v>구땡</v>
      </c>
      <c r="H476" t="str">
        <f t="shared" si="71"/>
        <v>스토리위즈</v>
      </c>
      <c r="I476" t="str">
        <f t="shared" si="72"/>
        <v>아빠는 마교대장</v>
      </c>
      <c r="J476">
        <v>100</v>
      </c>
      <c r="K476">
        <v>3000</v>
      </c>
      <c r="L476">
        <v>30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3000</v>
      </c>
      <c r="AH476">
        <v>30</v>
      </c>
      <c r="AI476">
        <v>0</v>
      </c>
      <c r="AJ476">
        <v>0</v>
      </c>
      <c r="AK476">
        <v>2800</v>
      </c>
      <c r="AL476">
        <v>0</v>
      </c>
      <c r="AM476">
        <v>240</v>
      </c>
      <c r="AN476">
        <v>-72</v>
      </c>
      <c r="AO476">
        <v>0</v>
      </c>
      <c r="AP476"/>
      <c r="AQ476">
        <v>0</v>
      </c>
      <c r="AR476">
        <v>0</v>
      </c>
      <c r="AS476">
        <v>240</v>
      </c>
      <c r="AT476">
        <v>-72</v>
      </c>
      <c r="AU476">
        <v>0</v>
      </c>
      <c r="AW476">
        <v>0</v>
      </c>
      <c r="AX476">
        <v>0</v>
      </c>
      <c r="AY476">
        <v>2077.6</v>
      </c>
      <c r="BC476" t="str">
        <f t="shared" si="73"/>
        <v>9791137602076</v>
      </c>
      <c r="BE476" t="str">
        <f t="shared" si="74"/>
        <v>판타지 웹소설 &gt; 무협 소설</v>
      </c>
    </row>
    <row r="477" spans="1:58" x14ac:dyDescent="0.3">
      <c r="A477">
        <v>2313020108</v>
      </c>
      <c r="B477">
        <v>2313020178</v>
      </c>
      <c r="C477" t="str">
        <f>T("아빠는 마교대장 71화")</f>
        <v>아빠는 마교대장 71화</v>
      </c>
      <c r="D477" t="str">
        <f>T("71")</f>
        <v>71</v>
      </c>
      <c r="E477" t="str">
        <f t="shared" si="70"/>
        <v>구땡</v>
      </c>
      <c r="H477" t="str">
        <f t="shared" si="71"/>
        <v>스토리위즈</v>
      </c>
      <c r="I477" t="str">
        <f t="shared" si="72"/>
        <v>아빠는 마교대장</v>
      </c>
      <c r="J477">
        <v>100</v>
      </c>
      <c r="K477">
        <v>3000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3000</v>
      </c>
      <c r="AH477">
        <v>30</v>
      </c>
      <c r="AI477">
        <v>0</v>
      </c>
      <c r="AJ477">
        <v>0</v>
      </c>
      <c r="AK477">
        <v>2800</v>
      </c>
      <c r="AL477">
        <v>0</v>
      </c>
      <c r="AM477">
        <v>240</v>
      </c>
      <c r="AN477">
        <v>-72</v>
      </c>
      <c r="AO477">
        <v>0</v>
      </c>
      <c r="AP477"/>
      <c r="AQ477">
        <v>0</v>
      </c>
      <c r="AR477">
        <v>0</v>
      </c>
      <c r="AS477">
        <v>240</v>
      </c>
      <c r="AT477">
        <v>-72</v>
      </c>
      <c r="AU477">
        <v>0</v>
      </c>
      <c r="AW477">
        <v>0</v>
      </c>
      <c r="AX477">
        <v>0</v>
      </c>
      <c r="AY477">
        <v>2077.6</v>
      </c>
      <c r="BC477" t="str">
        <f t="shared" si="73"/>
        <v>9791137602076</v>
      </c>
      <c r="BE477" t="str">
        <f t="shared" si="74"/>
        <v>판타지 웹소설 &gt; 무협 소설</v>
      </c>
    </row>
    <row r="478" spans="1:58" x14ac:dyDescent="0.3">
      <c r="A478">
        <v>2313020108</v>
      </c>
      <c r="B478">
        <v>2313020180</v>
      </c>
      <c r="C478" t="str">
        <f>T("아빠는 마교대장 73화")</f>
        <v>아빠는 마교대장 73화</v>
      </c>
      <c r="D478" t="str">
        <f>T("73")</f>
        <v>73</v>
      </c>
      <c r="E478" t="str">
        <f t="shared" si="70"/>
        <v>구땡</v>
      </c>
      <c r="H478" t="str">
        <f t="shared" si="71"/>
        <v>스토리위즈</v>
      </c>
      <c r="I478" t="str">
        <f t="shared" si="72"/>
        <v>아빠는 마교대장</v>
      </c>
      <c r="J478">
        <v>100</v>
      </c>
      <c r="K478">
        <v>3000</v>
      </c>
      <c r="L478">
        <v>30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3000</v>
      </c>
      <c r="AH478">
        <v>30</v>
      </c>
      <c r="AI478">
        <v>0</v>
      </c>
      <c r="AJ478">
        <v>0</v>
      </c>
      <c r="AK478">
        <v>2800</v>
      </c>
      <c r="AL478">
        <v>0</v>
      </c>
      <c r="AM478">
        <v>240</v>
      </c>
      <c r="AN478">
        <v>-72</v>
      </c>
      <c r="AO478">
        <v>0</v>
      </c>
      <c r="AP478"/>
      <c r="AQ478">
        <v>0</v>
      </c>
      <c r="AR478">
        <v>0</v>
      </c>
      <c r="AS478">
        <v>240</v>
      </c>
      <c r="AT478">
        <v>-72</v>
      </c>
      <c r="AU478">
        <v>0</v>
      </c>
      <c r="AW478">
        <v>0</v>
      </c>
      <c r="AX478">
        <v>0</v>
      </c>
      <c r="AY478">
        <v>2077.6</v>
      </c>
      <c r="BC478" t="str">
        <f t="shared" si="73"/>
        <v>9791137602076</v>
      </c>
      <c r="BE478" t="str">
        <f t="shared" si="74"/>
        <v>판타지 웹소설 &gt; 무협 소설</v>
      </c>
    </row>
    <row r="479" spans="1:58" x14ac:dyDescent="0.3">
      <c r="A479">
        <v>2313020108</v>
      </c>
      <c r="B479">
        <v>2313020183</v>
      </c>
      <c r="C479" t="str">
        <f>T("아빠는 마교대장 76화")</f>
        <v>아빠는 마교대장 76화</v>
      </c>
      <c r="D479" t="str">
        <f>T("76")</f>
        <v>76</v>
      </c>
      <c r="E479" t="str">
        <f t="shared" si="70"/>
        <v>구땡</v>
      </c>
      <c r="H479" t="str">
        <f t="shared" si="71"/>
        <v>스토리위즈</v>
      </c>
      <c r="I479" t="str">
        <f t="shared" si="72"/>
        <v>아빠는 마교대장</v>
      </c>
      <c r="J479">
        <v>100</v>
      </c>
      <c r="K479">
        <v>3000</v>
      </c>
      <c r="L479">
        <v>30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3000</v>
      </c>
      <c r="AH479">
        <v>30</v>
      </c>
      <c r="AI479">
        <v>0</v>
      </c>
      <c r="AJ479">
        <v>0</v>
      </c>
      <c r="AK479">
        <v>2800</v>
      </c>
      <c r="AL479">
        <v>0</v>
      </c>
      <c r="AM479">
        <v>240</v>
      </c>
      <c r="AN479">
        <v>-72</v>
      </c>
      <c r="AO479">
        <v>0</v>
      </c>
      <c r="AP479"/>
      <c r="AQ479">
        <v>0</v>
      </c>
      <c r="AR479">
        <v>0</v>
      </c>
      <c r="AS479">
        <v>240</v>
      </c>
      <c r="AT479">
        <v>-72</v>
      </c>
      <c r="AU479">
        <v>0</v>
      </c>
      <c r="AW479">
        <v>0</v>
      </c>
      <c r="AX479">
        <v>0</v>
      </c>
      <c r="AY479">
        <v>2077.6</v>
      </c>
      <c r="BC479" t="str">
        <f t="shared" si="73"/>
        <v>9791137602076</v>
      </c>
      <c r="BE479" t="str">
        <f t="shared" si="74"/>
        <v>판타지 웹소설 &gt; 무협 소설</v>
      </c>
    </row>
    <row r="480" spans="1:58" x14ac:dyDescent="0.3">
      <c r="A480">
        <v>2313020108</v>
      </c>
      <c r="B480">
        <v>2313020306</v>
      </c>
      <c r="C480" t="str">
        <f>T("아빠는 마교대장 199화")</f>
        <v>아빠는 마교대장 199화</v>
      </c>
      <c r="D480" t="str">
        <f>T("199")</f>
        <v>199</v>
      </c>
      <c r="E480" t="str">
        <f t="shared" si="70"/>
        <v>구땡</v>
      </c>
      <c r="H480" t="str">
        <f t="shared" si="71"/>
        <v>스토리위즈</v>
      </c>
      <c r="I480" t="str">
        <f t="shared" si="72"/>
        <v>아빠는 마교대장</v>
      </c>
      <c r="J480">
        <v>100</v>
      </c>
      <c r="K480">
        <v>3000</v>
      </c>
      <c r="L480">
        <v>30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3000</v>
      </c>
      <c r="AH480">
        <v>30</v>
      </c>
      <c r="AI480">
        <v>0</v>
      </c>
      <c r="AJ480">
        <v>0</v>
      </c>
      <c r="AK480">
        <v>2600</v>
      </c>
      <c r="AL480">
        <v>0</v>
      </c>
      <c r="AM480">
        <v>480</v>
      </c>
      <c r="AN480">
        <v>-96</v>
      </c>
      <c r="AO480">
        <v>0</v>
      </c>
      <c r="AP480"/>
      <c r="AQ480">
        <v>0</v>
      </c>
      <c r="AR480">
        <v>0</v>
      </c>
      <c r="AS480">
        <v>480</v>
      </c>
      <c r="AT480">
        <v>-96</v>
      </c>
      <c r="AU480">
        <v>0</v>
      </c>
      <c r="AW480">
        <v>0</v>
      </c>
      <c r="AX480">
        <v>0</v>
      </c>
      <c r="AY480">
        <v>2088.8000000000002</v>
      </c>
      <c r="BC480" t="str">
        <f t="shared" si="73"/>
        <v>9791137602076</v>
      </c>
      <c r="BE480" t="str">
        <f t="shared" si="74"/>
        <v>판타지 웹소설 &gt; 무협 소설</v>
      </c>
    </row>
    <row r="481" spans="1:58" x14ac:dyDescent="0.3">
      <c r="A481">
        <v>2313016875</v>
      </c>
      <c r="B481">
        <v>2313016873</v>
      </c>
      <c r="C481" t="str">
        <f>T("[e북]사랑한다 윤혜영 (외전증보 삽화본) 3권 (완결)")</f>
        <v>[e북]사랑한다 윤혜영 (외전증보 삽화본) 3권 (완결)</v>
      </c>
      <c r="D481" t="str">
        <f>T("3")</f>
        <v>3</v>
      </c>
      <c r="E481" t="str">
        <f>T("블랙커피")</f>
        <v>블랙커피</v>
      </c>
      <c r="H481" t="str">
        <f>T("도서출판 태랑")</f>
        <v>도서출판 태랑</v>
      </c>
      <c r="I481" t="str">
        <f>T("[e북]사랑한다 윤혜영 (외전증보 삽화본)")</f>
        <v>[e북]사랑한다 윤혜영 (외전증보 삽화본)</v>
      </c>
      <c r="J481">
        <v>2900</v>
      </c>
      <c r="K481">
        <v>2900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2900</v>
      </c>
      <c r="AH481">
        <v>1</v>
      </c>
      <c r="AI481">
        <v>0</v>
      </c>
      <c r="AJ481">
        <v>0</v>
      </c>
      <c r="AK481">
        <v>2900</v>
      </c>
      <c r="AL481">
        <v>0</v>
      </c>
      <c r="AM481">
        <v>0</v>
      </c>
      <c r="AN481">
        <v>0</v>
      </c>
      <c r="AO481">
        <v>0</v>
      </c>
      <c r="AP481"/>
      <c r="AQ481">
        <v>0</v>
      </c>
      <c r="AR481">
        <v>0</v>
      </c>
      <c r="AT481">
        <v>0</v>
      </c>
      <c r="AU481">
        <v>0</v>
      </c>
      <c r="AW481">
        <v>0</v>
      </c>
      <c r="AX481">
        <v>0</v>
      </c>
      <c r="AY481">
        <v>2030</v>
      </c>
      <c r="BC481" t="str">
        <f>T("9791164373956")</f>
        <v>9791164373956</v>
      </c>
      <c r="BE481" t="str">
        <f>T("로맨스 e북 &gt; 현대물")</f>
        <v>로맨스 e북 &gt; 현대물</v>
      </c>
      <c r="BF481" t="str">
        <f>T("로맨스 e북 &gt; 19+")</f>
        <v>로맨스 e북 &gt; 19+</v>
      </c>
    </row>
    <row r="482" spans="1:58" x14ac:dyDescent="0.3">
      <c r="A482">
        <v>2313016875</v>
      </c>
      <c r="B482">
        <v>2313016874</v>
      </c>
      <c r="C482" t="str">
        <f>T("[e북]사랑한다 윤혜영 (외전증보 삽화본) 2권")</f>
        <v>[e북]사랑한다 윤혜영 (외전증보 삽화본) 2권</v>
      </c>
      <c r="D482" t="str">
        <f>T("2")</f>
        <v>2</v>
      </c>
      <c r="E482" t="str">
        <f>T("블랙커피")</f>
        <v>블랙커피</v>
      </c>
      <c r="H482" t="str">
        <f>T("도서출판 태랑")</f>
        <v>도서출판 태랑</v>
      </c>
      <c r="I482" t="str">
        <f>T("[e북]사랑한다 윤혜영 (외전증보 삽화본)")</f>
        <v>[e북]사랑한다 윤혜영 (외전증보 삽화본)</v>
      </c>
      <c r="J482">
        <v>2900</v>
      </c>
      <c r="K482">
        <v>2900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2900</v>
      </c>
      <c r="AH482">
        <v>1</v>
      </c>
      <c r="AI482">
        <v>0</v>
      </c>
      <c r="AJ482">
        <v>0</v>
      </c>
      <c r="AK482">
        <v>2900</v>
      </c>
      <c r="AL482">
        <v>0</v>
      </c>
      <c r="AM482">
        <v>0</v>
      </c>
      <c r="AN482">
        <v>0</v>
      </c>
      <c r="AO482">
        <v>0</v>
      </c>
      <c r="AP482"/>
      <c r="AQ482">
        <v>0</v>
      </c>
      <c r="AR482">
        <v>0</v>
      </c>
      <c r="AT482">
        <v>0</v>
      </c>
      <c r="AU482">
        <v>0</v>
      </c>
      <c r="AW482">
        <v>0</v>
      </c>
      <c r="AX482">
        <v>0</v>
      </c>
      <c r="AY482">
        <v>2030</v>
      </c>
      <c r="BC482" t="str">
        <f>T("9791164373949")</f>
        <v>9791164373949</v>
      </c>
      <c r="BE482" t="str">
        <f>T("로맨스 e북 &gt; 현대물")</f>
        <v>로맨스 e북 &gt; 현대물</v>
      </c>
      <c r="BF482" t="str">
        <f>T("로맨스 e북 &gt; 19+")</f>
        <v>로맨스 e북 &gt; 19+</v>
      </c>
    </row>
    <row r="483" spans="1:58" x14ac:dyDescent="0.3">
      <c r="A483">
        <v>2313016875</v>
      </c>
      <c r="B483">
        <v>2313016875</v>
      </c>
      <c r="C483" t="str">
        <f>T("[e북]사랑한다 윤혜영 (외전증보 삽화본) 1권")</f>
        <v>[e북]사랑한다 윤혜영 (외전증보 삽화본) 1권</v>
      </c>
      <c r="D483" t="str">
        <f>T("1")</f>
        <v>1</v>
      </c>
      <c r="E483" t="str">
        <f>T("블랙커피")</f>
        <v>블랙커피</v>
      </c>
      <c r="H483" t="str">
        <f>T("도서출판 태랑")</f>
        <v>도서출판 태랑</v>
      </c>
      <c r="I483" t="str">
        <f>T("[e북]사랑한다 윤혜영 (외전증보 삽화본)")</f>
        <v>[e북]사랑한다 윤혜영 (외전증보 삽화본)</v>
      </c>
      <c r="J483">
        <v>2900</v>
      </c>
      <c r="K483">
        <v>2900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2900</v>
      </c>
      <c r="AH483">
        <v>1</v>
      </c>
      <c r="AI483">
        <v>0</v>
      </c>
      <c r="AJ483">
        <v>0</v>
      </c>
      <c r="AK483">
        <v>2900</v>
      </c>
      <c r="AL483">
        <v>0</v>
      </c>
      <c r="AM483">
        <v>0</v>
      </c>
      <c r="AN483">
        <v>0</v>
      </c>
      <c r="AO483">
        <v>0</v>
      </c>
      <c r="AP483"/>
      <c r="AQ483">
        <v>0</v>
      </c>
      <c r="AR483">
        <v>0</v>
      </c>
      <c r="AT483">
        <v>0</v>
      </c>
      <c r="AU483">
        <v>0</v>
      </c>
      <c r="AW483">
        <v>0</v>
      </c>
      <c r="AX483">
        <v>0</v>
      </c>
      <c r="AY483">
        <v>2030</v>
      </c>
      <c r="BC483" t="str">
        <f>T("9791164373932")</f>
        <v>9791164373932</v>
      </c>
      <c r="BE483" t="str">
        <f>T("로맨스 e북 &gt; 현대물")</f>
        <v>로맨스 e북 &gt; 현대물</v>
      </c>
      <c r="BF483" t="str">
        <f>T("로맨스 e북 &gt; 19+")</f>
        <v>로맨스 e북 &gt; 19+</v>
      </c>
    </row>
    <row r="484" spans="1:58" x14ac:dyDescent="0.3">
      <c r="A484">
        <v>2313017039</v>
      </c>
      <c r="B484">
        <v>2313017038</v>
      </c>
      <c r="C484" t="str">
        <f>T("[e북]데빌 나이츠(DEVIL NIGHTS) 2권 (완결)")</f>
        <v>[e북]데빌 나이츠(DEVIL NIGHTS) 2권 (완결)</v>
      </c>
      <c r="D484" t="str">
        <f>T("2")</f>
        <v>2</v>
      </c>
      <c r="E484" t="str">
        <f>T("펌킨몬")</f>
        <v>펌킨몬</v>
      </c>
      <c r="H484" t="str">
        <f>T("도서출판 태랑")</f>
        <v>도서출판 태랑</v>
      </c>
      <c r="I484" t="str">
        <f>T("[e북]데빌 나이츠(DEVIL NIGHTS)")</f>
        <v>[e북]데빌 나이츠(DEVIL NIGHTS)</v>
      </c>
      <c r="J484">
        <v>2900</v>
      </c>
      <c r="K484">
        <v>2900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2900</v>
      </c>
      <c r="AH484">
        <v>1</v>
      </c>
      <c r="AI484">
        <v>0</v>
      </c>
      <c r="AJ484">
        <v>0</v>
      </c>
      <c r="AK484">
        <v>2900</v>
      </c>
      <c r="AL484">
        <v>0</v>
      </c>
      <c r="AM484">
        <v>0</v>
      </c>
      <c r="AN484">
        <v>0</v>
      </c>
      <c r="AO484">
        <v>0</v>
      </c>
      <c r="AP484"/>
      <c r="AQ484">
        <v>0</v>
      </c>
      <c r="AR484">
        <v>0</v>
      </c>
      <c r="AT484">
        <v>0</v>
      </c>
      <c r="AU484">
        <v>0</v>
      </c>
      <c r="AW484">
        <v>0</v>
      </c>
      <c r="AX484">
        <v>0</v>
      </c>
      <c r="AY484">
        <v>2030</v>
      </c>
      <c r="BC484" t="str">
        <f>T("9791164371372")</f>
        <v>9791164371372</v>
      </c>
      <c r="BE484" t="str">
        <f>T("BL 소설 e북 &gt; 판타지물")</f>
        <v>BL 소설 e북 &gt; 판타지물</v>
      </c>
      <c r="BF484" t="str">
        <f>T("BL 소설 e북 &gt; 역사/시대물")</f>
        <v>BL 소설 e북 &gt; 역사/시대물</v>
      </c>
    </row>
    <row r="485" spans="1:58" x14ac:dyDescent="0.3">
      <c r="A485">
        <v>2313017039</v>
      </c>
      <c r="B485">
        <v>2313017039</v>
      </c>
      <c r="C485" t="str">
        <f>T("[e북]데빌 나이츠(DEVIL NIGHTS) 1권")</f>
        <v>[e북]데빌 나이츠(DEVIL NIGHTS) 1권</v>
      </c>
      <c r="D485" t="str">
        <f>T("1")</f>
        <v>1</v>
      </c>
      <c r="E485" t="str">
        <f>T("펌킨몬")</f>
        <v>펌킨몬</v>
      </c>
      <c r="H485" t="str">
        <f>T("도서출판 태랑")</f>
        <v>도서출판 태랑</v>
      </c>
      <c r="I485" t="str">
        <f>T("[e북]데빌 나이츠(DEVIL NIGHTS)")</f>
        <v>[e북]데빌 나이츠(DEVIL NIGHTS)</v>
      </c>
      <c r="J485">
        <v>2900</v>
      </c>
      <c r="K485">
        <v>2900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2900</v>
      </c>
      <c r="AH485">
        <v>1</v>
      </c>
      <c r="AI485">
        <v>0</v>
      </c>
      <c r="AJ485">
        <v>0</v>
      </c>
      <c r="AK485">
        <v>2900</v>
      </c>
      <c r="AL485">
        <v>0</v>
      </c>
      <c r="AM485">
        <v>0</v>
      </c>
      <c r="AN485">
        <v>0</v>
      </c>
      <c r="AO485">
        <v>0</v>
      </c>
      <c r="AP485"/>
      <c r="AQ485">
        <v>0</v>
      </c>
      <c r="AR485">
        <v>0</v>
      </c>
      <c r="AT485">
        <v>0</v>
      </c>
      <c r="AU485">
        <v>0</v>
      </c>
      <c r="AW485">
        <v>0</v>
      </c>
      <c r="AX485">
        <v>0</v>
      </c>
      <c r="AY485">
        <v>2030</v>
      </c>
      <c r="BC485" t="str">
        <f>T("9791164371365")</f>
        <v>9791164371365</v>
      </c>
      <c r="BE485" t="str">
        <f>T("BL 소설 e북 &gt; 판타지물")</f>
        <v>BL 소설 e북 &gt; 판타지물</v>
      </c>
      <c r="BF485" t="str">
        <f>T("BL 소설 e북 &gt; 역사/시대물")</f>
        <v>BL 소설 e북 &gt; 역사/시대물</v>
      </c>
    </row>
    <row r="486" spans="1:58" x14ac:dyDescent="0.3">
      <c r="A486">
        <v>2313020108</v>
      </c>
      <c r="B486">
        <v>2313020171</v>
      </c>
      <c r="C486" t="str">
        <f>T("아빠는 마교대장 64화")</f>
        <v>아빠는 마교대장 64화</v>
      </c>
      <c r="D486" t="str">
        <f>T("64")</f>
        <v>64</v>
      </c>
      <c r="E486" t="str">
        <f t="shared" ref="E486:E494" si="75">T("구땡")</f>
        <v>구땡</v>
      </c>
      <c r="H486" t="str">
        <f t="shared" ref="H486:H494" si="76">T("스토리위즈")</f>
        <v>스토리위즈</v>
      </c>
      <c r="I486" t="str">
        <f t="shared" ref="I486:I494" si="77">T("아빠는 마교대장")</f>
        <v>아빠는 마교대장</v>
      </c>
      <c r="J486">
        <v>100</v>
      </c>
      <c r="K486">
        <v>2900</v>
      </c>
      <c r="L486">
        <v>29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2900</v>
      </c>
      <c r="AH486">
        <v>29</v>
      </c>
      <c r="AI486">
        <v>0</v>
      </c>
      <c r="AJ486">
        <v>0</v>
      </c>
      <c r="AK486">
        <v>2700</v>
      </c>
      <c r="AL486">
        <v>0</v>
      </c>
      <c r="AM486">
        <v>240</v>
      </c>
      <c r="AN486">
        <v>-72</v>
      </c>
      <c r="AO486">
        <v>0</v>
      </c>
      <c r="AP486"/>
      <c r="AQ486">
        <v>0</v>
      </c>
      <c r="AR486">
        <v>0</v>
      </c>
      <c r="AS486">
        <v>240</v>
      </c>
      <c r="AT486">
        <v>-72</v>
      </c>
      <c r="AU486">
        <v>0</v>
      </c>
      <c r="AW486">
        <v>0</v>
      </c>
      <c r="AX486">
        <v>0</v>
      </c>
      <c r="AY486">
        <v>2007.6</v>
      </c>
      <c r="BC486" t="str">
        <f t="shared" ref="BC486:BC494" si="78">T("9791137602076")</f>
        <v>9791137602076</v>
      </c>
      <c r="BE486" t="str">
        <f t="shared" ref="BE486:BE494" si="79">T("판타지 웹소설 &gt; 무협 소설")</f>
        <v>판타지 웹소설 &gt; 무협 소설</v>
      </c>
    </row>
    <row r="487" spans="1:58" x14ac:dyDescent="0.3">
      <c r="A487">
        <v>2313020108</v>
      </c>
      <c r="B487">
        <v>2313020172</v>
      </c>
      <c r="C487" t="str">
        <f>T("아빠는 마교대장 65화")</f>
        <v>아빠는 마교대장 65화</v>
      </c>
      <c r="D487" t="str">
        <f>T("65")</f>
        <v>65</v>
      </c>
      <c r="E487" t="str">
        <f t="shared" si="75"/>
        <v>구땡</v>
      </c>
      <c r="H487" t="str">
        <f t="shared" si="76"/>
        <v>스토리위즈</v>
      </c>
      <c r="I487" t="str">
        <f t="shared" si="77"/>
        <v>아빠는 마교대장</v>
      </c>
      <c r="J487">
        <v>100</v>
      </c>
      <c r="K487">
        <v>2900</v>
      </c>
      <c r="L487">
        <v>29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2900</v>
      </c>
      <c r="AH487">
        <v>29</v>
      </c>
      <c r="AI487">
        <v>0</v>
      </c>
      <c r="AJ487">
        <v>0</v>
      </c>
      <c r="AK487">
        <v>2700</v>
      </c>
      <c r="AL487">
        <v>0</v>
      </c>
      <c r="AM487">
        <v>240</v>
      </c>
      <c r="AN487">
        <v>-72</v>
      </c>
      <c r="AO487">
        <v>0</v>
      </c>
      <c r="AP487"/>
      <c r="AQ487">
        <v>0</v>
      </c>
      <c r="AR487">
        <v>0</v>
      </c>
      <c r="AS487">
        <v>240</v>
      </c>
      <c r="AT487">
        <v>-72</v>
      </c>
      <c r="AU487">
        <v>0</v>
      </c>
      <c r="AW487">
        <v>0</v>
      </c>
      <c r="AX487">
        <v>0</v>
      </c>
      <c r="AY487">
        <v>2007.6</v>
      </c>
      <c r="BC487" t="str">
        <f t="shared" si="78"/>
        <v>9791137602076</v>
      </c>
      <c r="BE487" t="str">
        <f t="shared" si="79"/>
        <v>판타지 웹소설 &gt; 무협 소설</v>
      </c>
    </row>
    <row r="488" spans="1:58" x14ac:dyDescent="0.3">
      <c r="A488">
        <v>2313020108</v>
      </c>
      <c r="B488">
        <v>2313020177</v>
      </c>
      <c r="C488" t="str">
        <f>T("아빠는 마교대장 70화")</f>
        <v>아빠는 마교대장 70화</v>
      </c>
      <c r="D488" t="str">
        <f>T("70")</f>
        <v>70</v>
      </c>
      <c r="E488" t="str">
        <f t="shared" si="75"/>
        <v>구땡</v>
      </c>
      <c r="H488" t="str">
        <f t="shared" si="76"/>
        <v>스토리위즈</v>
      </c>
      <c r="I488" t="str">
        <f t="shared" si="77"/>
        <v>아빠는 마교대장</v>
      </c>
      <c r="J488">
        <v>100</v>
      </c>
      <c r="K488">
        <v>2900</v>
      </c>
      <c r="L488">
        <v>29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2900</v>
      </c>
      <c r="AH488">
        <v>29</v>
      </c>
      <c r="AI488">
        <v>0</v>
      </c>
      <c r="AJ488">
        <v>0</v>
      </c>
      <c r="AK488">
        <v>2700</v>
      </c>
      <c r="AL488">
        <v>0</v>
      </c>
      <c r="AM488">
        <v>240</v>
      </c>
      <c r="AN488">
        <v>-72</v>
      </c>
      <c r="AO488">
        <v>0</v>
      </c>
      <c r="AP488"/>
      <c r="AQ488">
        <v>0</v>
      </c>
      <c r="AR488">
        <v>0</v>
      </c>
      <c r="AS488">
        <v>240</v>
      </c>
      <c r="AT488">
        <v>-72</v>
      </c>
      <c r="AU488">
        <v>0</v>
      </c>
      <c r="AW488">
        <v>0</v>
      </c>
      <c r="AX488">
        <v>0</v>
      </c>
      <c r="AY488">
        <v>2007.6</v>
      </c>
      <c r="BC488" t="str">
        <f t="shared" si="78"/>
        <v>9791137602076</v>
      </c>
      <c r="BE488" t="str">
        <f t="shared" si="79"/>
        <v>판타지 웹소설 &gt; 무협 소설</v>
      </c>
    </row>
    <row r="489" spans="1:58" x14ac:dyDescent="0.3">
      <c r="A489">
        <v>2313020108</v>
      </c>
      <c r="B489">
        <v>2313020181</v>
      </c>
      <c r="C489" t="str">
        <f>T("아빠는 마교대장 74화")</f>
        <v>아빠는 마교대장 74화</v>
      </c>
      <c r="D489" t="str">
        <f>T("74")</f>
        <v>74</v>
      </c>
      <c r="E489" t="str">
        <f t="shared" si="75"/>
        <v>구땡</v>
      </c>
      <c r="H489" t="str">
        <f t="shared" si="76"/>
        <v>스토리위즈</v>
      </c>
      <c r="I489" t="str">
        <f t="shared" si="77"/>
        <v>아빠는 마교대장</v>
      </c>
      <c r="J489">
        <v>100</v>
      </c>
      <c r="K489">
        <v>2900</v>
      </c>
      <c r="L489">
        <v>29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2900</v>
      </c>
      <c r="AH489">
        <v>29</v>
      </c>
      <c r="AI489">
        <v>0</v>
      </c>
      <c r="AJ489">
        <v>0</v>
      </c>
      <c r="AK489">
        <v>2700</v>
      </c>
      <c r="AL489">
        <v>0</v>
      </c>
      <c r="AM489">
        <v>240</v>
      </c>
      <c r="AN489">
        <v>-72</v>
      </c>
      <c r="AO489">
        <v>0</v>
      </c>
      <c r="AP489"/>
      <c r="AQ489">
        <v>0</v>
      </c>
      <c r="AR489">
        <v>0</v>
      </c>
      <c r="AS489">
        <v>240</v>
      </c>
      <c r="AT489">
        <v>-72</v>
      </c>
      <c r="AU489">
        <v>0</v>
      </c>
      <c r="AW489">
        <v>0</v>
      </c>
      <c r="AX489">
        <v>0</v>
      </c>
      <c r="AY489">
        <v>2007.6</v>
      </c>
      <c r="BC489" t="str">
        <f t="shared" si="78"/>
        <v>9791137602076</v>
      </c>
      <c r="BE489" t="str">
        <f t="shared" si="79"/>
        <v>판타지 웹소설 &gt; 무협 소설</v>
      </c>
    </row>
    <row r="490" spans="1:58" x14ac:dyDescent="0.3">
      <c r="A490">
        <v>2313020108</v>
      </c>
      <c r="B490">
        <v>2313020182</v>
      </c>
      <c r="C490" t="str">
        <f>T("아빠는 마교대장 75화")</f>
        <v>아빠는 마교대장 75화</v>
      </c>
      <c r="D490" t="str">
        <f>T("75")</f>
        <v>75</v>
      </c>
      <c r="E490" t="str">
        <f t="shared" si="75"/>
        <v>구땡</v>
      </c>
      <c r="H490" t="str">
        <f t="shared" si="76"/>
        <v>스토리위즈</v>
      </c>
      <c r="I490" t="str">
        <f t="shared" si="77"/>
        <v>아빠는 마교대장</v>
      </c>
      <c r="J490">
        <v>100</v>
      </c>
      <c r="K490">
        <v>2900</v>
      </c>
      <c r="L490">
        <v>29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2900</v>
      </c>
      <c r="AH490">
        <v>29</v>
      </c>
      <c r="AI490">
        <v>0</v>
      </c>
      <c r="AJ490">
        <v>0</v>
      </c>
      <c r="AK490">
        <v>2700</v>
      </c>
      <c r="AL490">
        <v>0</v>
      </c>
      <c r="AM490">
        <v>240</v>
      </c>
      <c r="AN490">
        <v>-72</v>
      </c>
      <c r="AO490">
        <v>0</v>
      </c>
      <c r="AP490"/>
      <c r="AQ490">
        <v>0</v>
      </c>
      <c r="AR490">
        <v>0</v>
      </c>
      <c r="AS490">
        <v>240</v>
      </c>
      <c r="AT490">
        <v>-72</v>
      </c>
      <c r="AU490">
        <v>0</v>
      </c>
      <c r="AW490">
        <v>0</v>
      </c>
      <c r="AX490">
        <v>0</v>
      </c>
      <c r="AY490">
        <v>2007.6</v>
      </c>
      <c r="BC490" t="str">
        <f t="shared" si="78"/>
        <v>9791137602076</v>
      </c>
      <c r="BE490" t="str">
        <f t="shared" si="79"/>
        <v>판타지 웹소설 &gt; 무협 소설</v>
      </c>
    </row>
    <row r="491" spans="1:58" x14ac:dyDescent="0.3">
      <c r="A491">
        <v>2313020108</v>
      </c>
      <c r="B491">
        <v>2313020184</v>
      </c>
      <c r="C491" t="str">
        <f>T("아빠는 마교대장 77화")</f>
        <v>아빠는 마교대장 77화</v>
      </c>
      <c r="D491" t="str">
        <f>T("77")</f>
        <v>77</v>
      </c>
      <c r="E491" t="str">
        <f t="shared" si="75"/>
        <v>구땡</v>
      </c>
      <c r="H491" t="str">
        <f t="shared" si="76"/>
        <v>스토리위즈</v>
      </c>
      <c r="I491" t="str">
        <f t="shared" si="77"/>
        <v>아빠는 마교대장</v>
      </c>
      <c r="J491">
        <v>100</v>
      </c>
      <c r="K491">
        <v>2900</v>
      </c>
      <c r="L491">
        <v>29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2900</v>
      </c>
      <c r="AH491">
        <v>29</v>
      </c>
      <c r="AI491">
        <v>0</v>
      </c>
      <c r="AJ491">
        <v>0</v>
      </c>
      <c r="AK491">
        <v>2700</v>
      </c>
      <c r="AL491">
        <v>0</v>
      </c>
      <c r="AM491">
        <v>240</v>
      </c>
      <c r="AN491">
        <v>-72</v>
      </c>
      <c r="AO491">
        <v>0</v>
      </c>
      <c r="AP491"/>
      <c r="AQ491">
        <v>0</v>
      </c>
      <c r="AR491">
        <v>0</v>
      </c>
      <c r="AS491">
        <v>240</v>
      </c>
      <c r="AT491">
        <v>-72</v>
      </c>
      <c r="AU491">
        <v>0</v>
      </c>
      <c r="AW491">
        <v>0</v>
      </c>
      <c r="AX491">
        <v>0</v>
      </c>
      <c r="AY491">
        <v>2007.6</v>
      </c>
      <c r="BC491" t="str">
        <f t="shared" si="78"/>
        <v>9791137602076</v>
      </c>
      <c r="BE491" t="str">
        <f t="shared" si="79"/>
        <v>판타지 웹소설 &gt; 무협 소설</v>
      </c>
    </row>
    <row r="492" spans="1:58" x14ac:dyDescent="0.3">
      <c r="A492">
        <v>2313020108</v>
      </c>
      <c r="B492">
        <v>2313020185</v>
      </c>
      <c r="C492" t="str">
        <f>T("아빠는 마교대장 78화")</f>
        <v>아빠는 마교대장 78화</v>
      </c>
      <c r="D492" t="str">
        <f>T("78")</f>
        <v>78</v>
      </c>
      <c r="E492" t="str">
        <f t="shared" si="75"/>
        <v>구땡</v>
      </c>
      <c r="H492" t="str">
        <f t="shared" si="76"/>
        <v>스토리위즈</v>
      </c>
      <c r="I492" t="str">
        <f t="shared" si="77"/>
        <v>아빠는 마교대장</v>
      </c>
      <c r="J492">
        <v>100</v>
      </c>
      <c r="K492">
        <v>2900</v>
      </c>
      <c r="L492">
        <v>29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2900</v>
      </c>
      <c r="AH492">
        <v>29</v>
      </c>
      <c r="AI492">
        <v>0</v>
      </c>
      <c r="AJ492">
        <v>0</v>
      </c>
      <c r="AK492">
        <v>2700</v>
      </c>
      <c r="AL492">
        <v>0</v>
      </c>
      <c r="AM492">
        <v>240</v>
      </c>
      <c r="AN492">
        <v>-72</v>
      </c>
      <c r="AO492">
        <v>0</v>
      </c>
      <c r="AP492"/>
      <c r="AQ492">
        <v>0</v>
      </c>
      <c r="AR492">
        <v>0</v>
      </c>
      <c r="AS492">
        <v>240</v>
      </c>
      <c r="AT492">
        <v>-72</v>
      </c>
      <c r="AU492">
        <v>0</v>
      </c>
      <c r="AW492">
        <v>0</v>
      </c>
      <c r="AX492">
        <v>0</v>
      </c>
      <c r="AY492">
        <v>2007.6</v>
      </c>
      <c r="BC492" t="str">
        <f t="shared" si="78"/>
        <v>9791137602076</v>
      </c>
      <c r="BE492" t="str">
        <f t="shared" si="79"/>
        <v>판타지 웹소설 &gt; 무협 소설</v>
      </c>
    </row>
    <row r="493" spans="1:58" x14ac:dyDescent="0.3">
      <c r="A493">
        <v>2313020108</v>
      </c>
      <c r="B493">
        <v>2313020186</v>
      </c>
      <c r="C493" t="str">
        <f>T("아빠는 마교대장 79화")</f>
        <v>아빠는 마교대장 79화</v>
      </c>
      <c r="D493" t="str">
        <f>T("79")</f>
        <v>79</v>
      </c>
      <c r="E493" t="str">
        <f t="shared" si="75"/>
        <v>구땡</v>
      </c>
      <c r="H493" t="str">
        <f t="shared" si="76"/>
        <v>스토리위즈</v>
      </c>
      <c r="I493" t="str">
        <f t="shared" si="77"/>
        <v>아빠는 마교대장</v>
      </c>
      <c r="J493">
        <v>100</v>
      </c>
      <c r="K493">
        <v>2900</v>
      </c>
      <c r="L493">
        <v>29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2900</v>
      </c>
      <c r="AH493">
        <v>29</v>
      </c>
      <c r="AI493">
        <v>0</v>
      </c>
      <c r="AJ493">
        <v>0</v>
      </c>
      <c r="AK493">
        <v>2700</v>
      </c>
      <c r="AL493">
        <v>0</v>
      </c>
      <c r="AM493">
        <v>240</v>
      </c>
      <c r="AN493">
        <v>-72</v>
      </c>
      <c r="AO493">
        <v>0</v>
      </c>
      <c r="AP493"/>
      <c r="AQ493">
        <v>0</v>
      </c>
      <c r="AR493">
        <v>0</v>
      </c>
      <c r="AS493">
        <v>240</v>
      </c>
      <c r="AT493">
        <v>-72</v>
      </c>
      <c r="AU493">
        <v>0</v>
      </c>
      <c r="AW493">
        <v>0</v>
      </c>
      <c r="AX493">
        <v>0</v>
      </c>
      <c r="AY493">
        <v>2007.6</v>
      </c>
      <c r="BC493" t="str">
        <f t="shared" si="78"/>
        <v>9791137602076</v>
      </c>
      <c r="BE493" t="str">
        <f t="shared" si="79"/>
        <v>판타지 웹소설 &gt; 무협 소설</v>
      </c>
    </row>
    <row r="494" spans="1:58" x14ac:dyDescent="0.3">
      <c r="A494">
        <v>2313020108</v>
      </c>
      <c r="B494">
        <v>2313020187</v>
      </c>
      <c r="C494" t="str">
        <f>T("아빠는 마교대장 80화")</f>
        <v>아빠는 마교대장 80화</v>
      </c>
      <c r="D494" t="str">
        <f>T("80")</f>
        <v>80</v>
      </c>
      <c r="E494" t="str">
        <f t="shared" si="75"/>
        <v>구땡</v>
      </c>
      <c r="H494" t="str">
        <f t="shared" si="76"/>
        <v>스토리위즈</v>
      </c>
      <c r="I494" t="str">
        <f t="shared" si="77"/>
        <v>아빠는 마교대장</v>
      </c>
      <c r="J494">
        <v>100</v>
      </c>
      <c r="K494">
        <v>2900</v>
      </c>
      <c r="L494">
        <v>29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2900</v>
      </c>
      <c r="AH494">
        <v>29</v>
      </c>
      <c r="AI494">
        <v>0</v>
      </c>
      <c r="AJ494">
        <v>0</v>
      </c>
      <c r="AK494">
        <v>2700</v>
      </c>
      <c r="AL494">
        <v>0</v>
      </c>
      <c r="AM494">
        <v>240</v>
      </c>
      <c r="AN494">
        <v>-72</v>
      </c>
      <c r="AO494">
        <v>0</v>
      </c>
      <c r="AP494"/>
      <c r="AQ494">
        <v>0</v>
      </c>
      <c r="AR494">
        <v>0</v>
      </c>
      <c r="AS494">
        <v>240</v>
      </c>
      <c r="AT494">
        <v>-72</v>
      </c>
      <c r="AU494">
        <v>0</v>
      </c>
      <c r="AW494">
        <v>0</v>
      </c>
      <c r="AX494">
        <v>0</v>
      </c>
      <c r="AY494">
        <v>2007.6</v>
      </c>
      <c r="BC494" t="str">
        <f t="shared" si="78"/>
        <v>9791137602076</v>
      </c>
      <c r="BE494" t="str">
        <f t="shared" si="79"/>
        <v>판타지 웹소설 &gt; 무협 소설</v>
      </c>
    </row>
    <row r="495" spans="1:58" x14ac:dyDescent="0.3">
      <c r="A495">
        <v>2313016983</v>
      </c>
      <c r="B495">
        <v>2313016982</v>
      </c>
      <c r="C495" t="str">
        <f>T("[e북]들이대지 마 2권 (완결)")</f>
        <v>[e북]들이대지 마 2권 (완결)</v>
      </c>
      <c r="D495" t="str">
        <f>T("2")</f>
        <v>2</v>
      </c>
      <c r="E495" t="str">
        <f>T("모리미")</f>
        <v>모리미</v>
      </c>
      <c r="H495" t="str">
        <f t="shared" ref="H495:H501" si="80">T("도서출판 태랑")</f>
        <v>도서출판 태랑</v>
      </c>
      <c r="I495" t="str">
        <f>T("[e북]들이대지 마")</f>
        <v>[e북]들이대지 마</v>
      </c>
      <c r="J495">
        <v>2800</v>
      </c>
      <c r="K495">
        <v>2800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2800</v>
      </c>
      <c r="AH495">
        <v>1</v>
      </c>
      <c r="AI495">
        <v>0</v>
      </c>
      <c r="AJ495">
        <v>0</v>
      </c>
      <c r="AK495">
        <v>2800</v>
      </c>
      <c r="AL495">
        <v>0</v>
      </c>
      <c r="AM495">
        <v>0</v>
      </c>
      <c r="AN495">
        <v>0</v>
      </c>
      <c r="AO495">
        <v>0</v>
      </c>
      <c r="AP495"/>
      <c r="AQ495">
        <v>0</v>
      </c>
      <c r="AR495">
        <v>0</v>
      </c>
      <c r="AT495">
        <v>0</v>
      </c>
      <c r="AU495">
        <v>0</v>
      </c>
      <c r="AW495">
        <v>0</v>
      </c>
      <c r="AX495">
        <v>0</v>
      </c>
      <c r="AY495">
        <v>1960</v>
      </c>
      <c r="BC495" t="str">
        <f>T("9791164372522")</f>
        <v>9791164372522</v>
      </c>
      <c r="BE495" t="str">
        <f>T("BL 소설 e북 &gt; 현대물")</f>
        <v>BL 소설 e북 &gt; 현대물</v>
      </c>
    </row>
    <row r="496" spans="1:58" x14ac:dyDescent="0.3">
      <c r="A496">
        <v>2313016983</v>
      </c>
      <c r="B496">
        <v>2313016983</v>
      </c>
      <c r="C496" t="str">
        <f>T("[e북]들이대지 마 1권")</f>
        <v>[e북]들이대지 마 1권</v>
      </c>
      <c r="D496" t="str">
        <f>T("1")</f>
        <v>1</v>
      </c>
      <c r="E496" t="str">
        <f>T("모리미")</f>
        <v>모리미</v>
      </c>
      <c r="H496" t="str">
        <f t="shared" si="80"/>
        <v>도서출판 태랑</v>
      </c>
      <c r="I496" t="str">
        <f>T("[e북]들이대지 마")</f>
        <v>[e북]들이대지 마</v>
      </c>
      <c r="J496">
        <v>2800</v>
      </c>
      <c r="K496">
        <v>2800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2800</v>
      </c>
      <c r="AH496">
        <v>1</v>
      </c>
      <c r="AI496">
        <v>0</v>
      </c>
      <c r="AJ496">
        <v>0</v>
      </c>
      <c r="AK496">
        <v>2800</v>
      </c>
      <c r="AL496">
        <v>0</v>
      </c>
      <c r="AM496">
        <v>0</v>
      </c>
      <c r="AN496">
        <v>0</v>
      </c>
      <c r="AO496">
        <v>0</v>
      </c>
      <c r="AP496"/>
      <c r="AQ496">
        <v>0</v>
      </c>
      <c r="AR496">
        <v>0</v>
      </c>
      <c r="AT496">
        <v>0</v>
      </c>
      <c r="AU496">
        <v>0</v>
      </c>
      <c r="AW496">
        <v>0</v>
      </c>
      <c r="AX496">
        <v>0</v>
      </c>
      <c r="AY496">
        <v>1960</v>
      </c>
      <c r="BC496" t="str">
        <f>T("9791164372515")</f>
        <v>9791164372515</v>
      </c>
      <c r="BE496" t="str">
        <f>T("BL 소설 e북 &gt; 현대물")</f>
        <v>BL 소설 e북 &gt; 현대물</v>
      </c>
    </row>
    <row r="497" spans="1:58" x14ac:dyDescent="0.3">
      <c r="A497">
        <v>2313017011</v>
      </c>
      <c r="B497">
        <v>2313017010</v>
      </c>
      <c r="C497" t="str">
        <f>T("[e북]친구의 고백 (외전증보판) 2권")</f>
        <v>[e북]친구의 고백 (외전증보판) 2권</v>
      </c>
      <c r="D497" t="str">
        <f>T("2")</f>
        <v>2</v>
      </c>
      <c r="E497" t="str">
        <f>T("빵양이")</f>
        <v>빵양이</v>
      </c>
      <c r="H497" t="str">
        <f t="shared" si="80"/>
        <v>도서출판 태랑</v>
      </c>
      <c r="I497" t="str">
        <f>T("[e북]친구의 고백 (외전증보판)")</f>
        <v>[e북]친구의 고백 (외전증보판)</v>
      </c>
      <c r="J497">
        <v>2800</v>
      </c>
      <c r="K497">
        <v>2800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2800</v>
      </c>
      <c r="AH497">
        <v>1</v>
      </c>
      <c r="AI497">
        <v>0</v>
      </c>
      <c r="AJ497">
        <v>0</v>
      </c>
      <c r="AK497">
        <v>2800</v>
      </c>
      <c r="AL497">
        <v>0</v>
      </c>
      <c r="AM497">
        <v>0</v>
      </c>
      <c r="AN497">
        <v>0</v>
      </c>
      <c r="AO497">
        <v>0</v>
      </c>
      <c r="AP497"/>
      <c r="AQ497">
        <v>0</v>
      </c>
      <c r="AR497">
        <v>0</v>
      </c>
      <c r="AT497">
        <v>0</v>
      </c>
      <c r="AU497">
        <v>0</v>
      </c>
      <c r="AW497">
        <v>0</v>
      </c>
      <c r="AX497">
        <v>0</v>
      </c>
      <c r="AY497">
        <v>1960</v>
      </c>
      <c r="BC497" t="str">
        <f>T("9791164371600")</f>
        <v>9791164371600</v>
      </c>
      <c r="BE497" t="str">
        <f>T("로맨스 e북 &gt; 현대물")</f>
        <v>로맨스 e북 &gt; 현대물</v>
      </c>
      <c r="BF497" t="str">
        <f>T("로맨스 e북 &gt; 19+")</f>
        <v>로맨스 e북 &gt; 19+</v>
      </c>
    </row>
    <row r="498" spans="1:58" x14ac:dyDescent="0.3">
      <c r="A498">
        <v>2313017102</v>
      </c>
      <c r="B498">
        <v>2313017101</v>
      </c>
      <c r="C498" t="str">
        <f>T("[e북]정혼자 2권 (완결)")</f>
        <v>[e북]정혼자 2권 (완결)</v>
      </c>
      <c r="D498" t="str">
        <f>T("2")</f>
        <v>2</v>
      </c>
      <c r="E498" t="str">
        <f>T("모리미")</f>
        <v>모리미</v>
      </c>
      <c r="H498" t="str">
        <f t="shared" si="80"/>
        <v>도서출판 태랑</v>
      </c>
      <c r="I498" t="str">
        <f>T("[e북]정혼자")</f>
        <v>[e북]정혼자</v>
      </c>
      <c r="J498">
        <v>2800</v>
      </c>
      <c r="K498">
        <v>2800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2800</v>
      </c>
      <c r="AH498">
        <v>1</v>
      </c>
      <c r="AI498">
        <v>0</v>
      </c>
      <c r="AJ498">
        <v>0</v>
      </c>
      <c r="AK498">
        <v>2800</v>
      </c>
      <c r="AL498">
        <v>0</v>
      </c>
      <c r="AM498">
        <v>0</v>
      </c>
      <c r="AN498">
        <v>0</v>
      </c>
      <c r="AO498">
        <v>0</v>
      </c>
      <c r="AP498"/>
      <c r="AQ498">
        <v>0</v>
      </c>
      <c r="AR498">
        <v>0</v>
      </c>
      <c r="AT498">
        <v>0</v>
      </c>
      <c r="AU498">
        <v>0</v>
      </c>
      <c r="AW498">
        <v>0</v>
      </c>
      <c r="AX498">
        <v>0</v>
      </c>
      <c r="AY498">
        <v>1960</v>
      </c>
      <c r="BC498" t="str">
        <f>T("9791189627881")</f>
        <v>9791189627881</v>
      </c>
      <c r="BE498" t="str">
        <f>T("BL 소설 e북 &gt; 현대물")</f>
        <v>BL 소설 e북 &gt; 현대물</v>
      </c>
    </row>
    <row r="499" spans="1:58" x14ac:dyDescent="0.3">
      <c r="A499">
        <v>2313017102</v>
      </c>
      <c r="B499">
        <v>2313017102</v>
      </c>
      <c r="C499" t="str">
        <f>T("[e북]정혼자 1권")</f>
        <v>[e북]정혼자 1권</v>
      </c>
      <c r="D499" t="str">
        <f>T("1")</f>
        <v>1</v>
      </c>
      <c r="E499" t="str">
        <f>T("모리미")</f>
        <v>모리미</v>
      </c>
      <c r="H499" t="str">
        <f t="shared" si="80"/>
        <v>도서출판 태랑</v>
      </c>
      <c r="I499" t="str">
        <f>T("[e북]정혼자")</f>
        <v>[e북]정혼자</v>
      </c>
      <c r="J499">
        <v>2800</v>
      </c>
      <c r="K499">
        <v>2800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2800</v>
      </c>
      <c r="AH499">
        <v>1</v>
      </c>
      <c r="AI499">
        <v>0</v>
      </c>
      <c r="AJ499">
        <v>0</v>
      </c>
      <c r="AK499">
        <v>2800</v>
      </c>
      <c r="AL499">
        <v>0</v>
      </c>
      <c r="AM499">
        <v>0</v>
      </c>
      <c r="AN499">
        <v>0</v>
      </c>
      <c r="AO499">
        <v>0</v>
      </c>
      <c r="AP499"/>
      <c r="AQ499">
        <v>0</v>
      </c>
      <c r="AR499">
        <v>0</v>
      </c>
      <c r="AT499">
        <v>0</v>
      </c>
      <c r="AU499">
        <v>0</v>
      </c>
      <c r="AW499">
        <v>0</v>
      </c>
      <c r="AX499">
        <v>0</v>
      </c>
      <c r="AY499">
        <v>1960</v>
      </c>
      <c r="BC499" t="str">
        <f>T("9791189627874")</f>
        <v>9791189627874</v>
      </c>
      <c r="BE499" t="str">
        <f>T("BL 소설 e북 &gt; 현대물")</f>
        <v>BL 소설 e북 &gt; 현대물</v>
      </c>
    </row>
    <row r="500" spans="1:58" x14ac:dyDescent="0.3">
      <c r="A500">
        <v>2313017152</v>
      </c>
      <c r="B500">
        <v>2313017151</v>
      </c>
      <c r="C500" t="str">
        <f>T("[e북]위층 아이 아빠 2권 (완결)")</f>
        <v>[e북]위층 아이 아빠 2권 (완결)</v>
      </c>
      <c r="D500" t="str">
        <f>T("2")</f>
        <v>2</v>
      </c>
      <c r="E500" t="str">
        <f>T("주이서")</f>
        <v>주이서</v>
      </c>
      <c r="H500" t="str">
        <f t="shared" si="80"/>
        <v>도서출판 태랑</v>
      </c>
      <c r="I500" t="str">
        <f>T("[e북]위층 아이 아빠")</f>
        <v>[e북]위층 아이 아빠</v>
      </c>
      <c r="J500">
        <v>2800</v>
      </c>
      <c r="K500">
        <v>2800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2800</v>
      </c>
      <c r="AH500">
        <v>1</v>
      </c>
      <c r="AI500">
        <v>0</v>
      </c>
      <c r="AJ500">
        <v>0</v>
      </c>
      <c r="AK500">
        <v>2800</v>
      </c>
      <c r="AL500">
        <v>0</v>
      </c>
      <c r="AM500">
        <v>0</v>
      </c>
      <c r="AN500">
        <v>0</v>
      </c>
      <c r="AO500">
        <v>0</v>
      </c>
      <c r="AP500"/>
      <c r="AQ500">
        <v>0</v>
      </c>
      <c r="AR500">
        <v>0</v>
      </c>
      <c r="AT500">
        <v>0</v>
      </c>
      <c r="AU500">
        <v>0</v>
      </c>
      <c r="AW500">
        <v>0</v>
      </c>
      <c r="AX500">
        <v>0</v>
      </c>
      <c r="AY500">
        <v>1960</v>
      </c>
      <c r="BC500" t="str">
        <f>T("9791189084356")</f>
        <v>9791189084356</v>
      </c>
      <c r="BE500" t="str">
        <f>T("BL 소설 e북 &gt; 현대물")</f>
        <v>BL 소설 e북 &gt; 현대물</v>
      </c>
    </row>
    <row r="501" spans="1:58" x14ac:dyDescent="0.3">
      <c r="A501">
        <v>2313017152</v>
      </c>
      <c r="B501">
        <v>2313017152</v>
      </c>
      <c r="C501" t="str">
        <f>T("[e북]위층 아이 아빠 1권")</f>
        <v>[e북]위층 아이 아빠 1권</v>
      </c>
      <c r="D501" t="str">
        <f>T("1")</f>
        <v>1</v>
      </c>
      <c r="E501" t="str">
        <f>T("주이서")</f>
        <v>주이서</v>
      </c>
      <c r="H501" t="str">
        <f t="shared" si="80"/>
        <v>도서출판 태랑</v>
      </c>
      <c r="I501" t="str">
        <f>T("[e북]위층 아이 아빠")</f>
        <v>[e북]위층 아이 아빠</v>
      </c>
      <c r="J501">
        <v>2800</v>
      </c>
      <c r="K501">
        <v>2800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2800</v>
      </c>
      <c r="AH501">
        <v>1</v>
      </c>
      <c r="AI501">
        <v>0</v>
      </c>
      <c r="AJ501">
        <v>0</v>
      </c>
      <c r="AK501">
        <v>2800</v>
      </c>
      <c r="AL501">
        <v>0</v>
      </c>
      <c r="AM501">
        <v>0</v>
      </c>
      <c r="AN501">
        <v>0</v>
      </c>
      <c r="AO501">
        <v>0</v>
      </c>
      <c r="AP501"/>
      <c r="AQ501">
        <v>0</v>
      </c>
      <c r="AR501">
        <v>0</v>
      </c>
      <c r="AT501">
        <v>0</v>
      </c>
      <c r="AU501">
        <v>0</v>
      </c>
      <c r="AW501">
        <v>0</v>
      </c>
      <c r="AX501">
        <v>0</v>
      </c>
      <c r="AY501">
        <v>1960</v>
      </c>
      <c r="BC501" t="str">
        <f>T("9791189084349")</f>
        <v>9791189084349</v>
      </c>
      <c r="BE501" t="str">
        <f>T("BL 소설 e북 &gt; 현대물")</f>
        <v>BL 소설 e북 &gt; 현대물</v>
      </c>
    </row>
    <row r="502" spans="1:58" x14ac:dyDescent="0.3">
      <c r="A502">
        <v>2313020108</v>
      </c>
      <c r="B502">
        <v>2313020207</v>
      </c>
      <c r="C502" t="str">
        <f>T("아빠는 마교대장 100화")</f>
        <v>아빠는 마교대장 100화</v>
      </c>
      <c r="D502" t="str">
        <f>T("100")</f>
        <v>100</v>
      </c>
      <c r="E502" t="str">
        <f>T("구땡")</f>
        <v>구땡</v>
      </c>
      <c r="H502" t="str">
        <f>T("스토리위즈")</f>
        <v>스토리위즈</v>
      </c>
      <c r="I502" t="str">
        <f>T("아빠는 마교대장")</f>
        <v>아빠는 마교대장</v>
      </c>
      <c r="J502">
        <v>100</v>
      </c>
      <c r="K502">
        <v>2800</v>
      </c>
      <c r="L502">
        <v>28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2800</v>
      </c>
      <c r="AH502">
        <v>28</v>
      </c>
      <c r="AI502">
        <v>0</v>
      </c>
      <c r="AJ502">
        <v>0</v>
      </c>
      <c r="AK502">
        <v>2500</v>
      </c>
      <c r="AL502">
        <v>0</v>
      </c>
      <c r="AM502">
        <v>360</v>
      </c>
      <c r="AN502">
        <v>-108</v>
      </c>
      <c r="AO502">
        <v>0</v>
      </c>
      <c r="AP502"/>
      <c r="AQ502">
        <v>0</v>
      </c>
      <c r="AR502">
        <v>0</v>
      </c>
      <c r="AS502">
        <v>360</v>
      </c>
      <c r="AT502">
        <v>-108</v>
      </c>
      <c r="AU502">
        <v>0</v>
      </c>
      <c r="AW502">
        <v>0</v>
      </c>
      <c r="AX502">
        <v>0</v>
      </c>
      <c r="AY502">
        <v>1926.4</v>
      </c>
      <c r="BC502" t="str">
        <f>T("9791137602076")</f>
        <v>9791137602076</v>
      </c>
      <c r="BE502" t="str">
        <f>T("판타지 웹소설 &gt; 무협 소설")</f>
        <v>판타지 웹소설 &gt; 무협 소설</v>
      </c>
    </row>
    <row r="503" spans="1:58" x14ac:dyDescent="0.3">
      <c r="A503">
        <v>2313018577</v>
      </c>
      <c r="B503">
        <v>2313018577</v>
      </c>
      <c r="C503" t="str">
        <f>T("[e북]나의 시고르자브종 1권")</f>
        <v>[e북]나의 시고르자브종 1권</v>
      </c>
      <c r="D503" t="str">
        <f>T("1")</f>
        <v>1</v>
      </c>
      <c r="E503" t="str">
        <f>T("두나래")</f>
        <v>두나래</v>
      </c>
      <c r="H503" t="str">
        <f>T("앰퍼샌드B")</f>
        <v>앰퍼샌드B</v>
      </c>
      <c r="I503" t="str">
        <f>T("[e북]나의 시고르자브종")</f>
        <v>[e북]나의 시고르자브종</v>
      </c>
      <c r="J503">
        <v>2700</v>
      </c>
      <c r="K503">
        <v>2700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2700</v>
      </c>
      <c r="AH503">
        <v>1</v>
      </c>
      <c r="AI503">
        <v>0</v>
      </c>
      <c r="AJ503">
        <v>0</v>
      </c>
      <c r="AK503">
        <v>60</v>
      </c>
      <c r="AL503">
        <v>0</v>
      </c>
      <c r="AM503">
        <v>3168</v>
      </c>
      <c r="AN503">
        <v>-316.8</v>
      </c>
      <c r="AO503">
        <v>0</v>
      </c>
      <c r="AP503"/>
      <c r="AQ503">
        <v>0</v>
      </c>
      <c r="AR503">
        <v>0</v>
      </c>
      <c r="AS503">
        <v>3168</v>
      </c>
      <c r="AT503">
        <v>-316.8</v>
      </c>
      <c r="AU503">
        <v>0</v>
      </c>
      <c r="AW503">
        <v>0</v>
      </c>
      <c r="AX503">
        <v>0</v>
      </c>
      <c r="AY503">
        <v>2037.84</v>
      </c>
      <c r="BC503" t="str">
        <f>T("9791137604247")</f>
        <v>9791137604247</v>
      </c>
      <c r="BE503" t="str">
        <f>T("BL 소설 e북 &gt; 현대물")</f>
        <v>BL 소설 e북 &gt; 현대물</v>
      </c>
    </row>
    <row r="504" spans="1:58" x14ac:dyDescent="0.3">
      <c r="A504">
        <v>2313018577</v>
      </c>
      <c r="B504">
        <v>2313018578</v>
      </c>
      <c r="C504" t="str">
        <f>T("[e북]나의 시고르자브종 2권")</f>
        <v>[e북]나의 시고르자브종 2권</v>
      </c>
      <c r="D504" t="str">
        <f>T("2")</f>
        <v>2</v>
      </c>
      <c r="E504" t="str">
        <f>T("두나래")</f>
        <v>두나래</v>
      </c>
      <c r="H504" t="str">
        <f>T("앰퍼샌드B")</f>
        <v>앰퍼샌드B</v>
      </c>
      <c r="I504" t="str">
        <f>T("[e북]나의 시고르자브종")</f>
        <v>[e북]나의 시고르자브종</v>
      </c>
      <c r="J504">
        <v>2700</v>
      </c>
      <c r="K504">
        <v>2700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2700</v>
      </c>
      <c r="AH504">
        <v>1</v>
      </c>
      <c r="AI504">
        <v>0</v>
      </c>
      <c r="AJ504">
        <v>0</v>
      </c>
      <c r="AK504">
        <v>2360</v>
      </c>
      <c r="AL504">
        <v>0</v>
      </c>
      <c r="AM504">
        <v>408</v>
      </c>
      <c r="AN504">
        <v>-40.799999999999997</v>
      </c>
      <c r="AO504">
        <v>0</v>
      </c>
      <c r="AP504"/>
      <c r="AQ504">
        <v>0</v>
      </c>
      <c r="AR504">
        <v>0</v>
      </c>
      <c r="AS504">
        <v>408</v>
      </c>
      <c r="AT504">
        <v>-40.799999999999997</v>
      </c>
      <c r="AU504">
        <v>0</v>
      </c>
      <c r="AW504">
        <v>0</v>
      </c>
      <c r="AX504">
        <v>0</v>
      </c>
      <c r="AY504">
        <v>1909.04</v>
      </c>
      <c r="BC504" t="str">
        <f>T("9791137604254")</f>
        <v>9791137604254</v>
      </c>
      <c r="BE504" t="str">
        <f>T("BL 소설 e북 &gt; 현대물")</f>
        <v>BL 소설 e북 &gt; 현대물</v>
      </c>
    </row>
    <row r="505" spans="1:58" x14ac:dyDescent="0.3">
      <c r="A505">
        <v>2313016841</v>
      </c>
      <c r="B505">
        <v>2313018580</v>
      </c>
      <c r="C505" t="str">
        <f>T("[e북]꽃잎, 흩날리는 (외전)")</f>
        <v>[e북]꽃잎, 흩날리는 (외전)</v>
      </c>
      <c r="D505" t="str">
        <f>T("4")</f>
        <v>4</v>
      </c>
      <c r="E505" t="str">
        <f>T("마용출")</f>
        <v>마용출</v>
      </c>
      <c r="H505" t="str">
        <f>T("도서출판 태랑")</f>
        <v>도서출판 태랑</v>
      </c>
      <c r="I505" t="str">
        <f>T("[e북]꽃잎, 흩날리는")</f>
        <v>[e북]꽃잎, 흩날리는</v>
      </c>
      <c r="J505">
        <v>2700</v>
      </c>
      <c r="K505">
        <v>2700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2700</v>
      </c>
      <c r="AH505">
        <v>1</v>
      </c>
      <c r="AI505">
        <v>0</v>
      </c>
      <c r="AJ505">
        <v>0</v>
      </c>
      <c r="AK505">
        <v>2700</v>
      </c>
      <c r="AL505">
        <v>0</v>
      </c>
      <c r="AM505">
        <v>0</v>
      </c>
      <c r="AN505">
        <v>0</v>
      </c>
      <c r="AO505">
        <v>0</v>
      </c>
      <c r="AP505"/>
      <c r="AQ505">
        <v>0</v>
      </c>
      <c r="AR505">
        <v>0</v>
      </c>
      <c r="AT505">
        <v>0</v>
      </c>
      <c r="AU505">
        <v>0</v>
      </c>
      <c r="AW505">
        <v>0</v>
      </c>
      <c r="AX505">
        <v>0</v>
      </c>
      <c r="AY505">
        <v>1890</v>
      </c>
      <c r="BC505" t="str">
        <f>T("9791164375226")</f>
        <v>9791164375226</v>
      </c>
      <c r="BE505" t="str">
        <f>T("BL 소설 e북 &gt; 역사/시대물")</f>
        <v>BL 소설 e북 &gt; 역사/시대물</v>
      </c>
    </row>
    <row r="506" spans="1:58" x14ac:dyDescent="0.3">
      <c r="A506">
        <v>2313020108</v>
      </c>
      <c r="B506">
        <v>2313020188</v>
      </c>
      <c r="C506" t="str">
        <f>T("아빠는 마교대장 81화")</f>
        <v>아빠는 마교대장 81화</v>
      </c>
      <c r="D506" t="str">
        <f>T("81")</f>
        <v>81</v>
      </c>
      <c r="E506" t="str">
        <f>T("구땡")</f>
        <v>구땡</v>
      </c>
      <c r="H506" t="str">
        <f>T("스토리위즈")</f>
        <v>스토리위즈</v>
      </c>
      <c r="I506" t="str">
        <f>T("아빠는 마교대장")</f>
        <v>아빠는 마교대장</v>
      </c>
      <c r="J506">
        <v>100</v>
      </c>
      <c r="K506">
        <v>2700</v>
      </c>
      <c r="L506">
        <v>27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2700</v>
      </c>
      <c r="AH506">
        <v>27</v>
      </c>
      <c r="AI506">
        <v>0</v>
      </c>
      <c r="AJ506">
        <v>0</v>
      </c>
      <c r="AK506">
        <v>2500</v>
      </c>
      <c r="AL506">
        <v>0</v>
      </c>
      <c r="AM506">
        <v>240</v>
      </c>
      <c r="AN506">
        <v>-72</v>
      </c>
      <c r="AO506">
        <v>0</v>
      </c>
      <c r="AP506"/>
      <c r="AQ506">
        <v>0</v>
      </c>
      <c r="AR506">
        <v>0</v>
      </c>
      <c r="AS506">
        <v>240</v>
      </c>
      <c r="AT506">
        <v>-72</v>
      </c>
      <c r="AU506">
        <v>0</v>
      </c>
      <c r="AW506">
        <v>0</v>
      </c>
      <c r="AX506">
        <v>0</v>
      </c>
      <c r="AY506">
        <v>1867.6</v>
      </c>
      <c r="BC506" t="str">
        <f>T("9791137602076")</f>
        <v>9791137602076</v>
      </c>
      <c r="BE506" t="str">
        <f>T("판타지 웹소설 &gt; 무협 소설")</f>
        <v>판타지 웹소설 &gt; 무협 소설</v>
      </c>
    </row>
    <row r="507" spans="1:58" x14ac:dyDescent="0.3">
      <c r="A507">
        <v>2313020108</v>
      </c>
      <c r="B507">
        <v>2313020190</v>
      </c>
      <c r="C507" t="str">
        <f>T("아빠는 마교대장 83화")</f>
        <v>아빠는 마교대장 83화</v>
      </c>
      <c r="D507" t="str">
        <f>T("83")</f>
        <v>83</v>
      </c>
      <c r="E507" t="str">
        <f>T("구땡")</f>
        <v>구땡</v>
      </c>
      <c r="H507" t="str">
        <f>T("스토리위즈")</f>
        <v>스토리위즈</v>
      </c>
      <c r="I507" t="str">
        <f>T("아빠는 마교대장")</f>
        <v>아빠는 마교대장</v>
      </c>
      <c r="J507">
        <v>100</v>
      </c>
      <c r="K507">
        <v>2700</v>
      </c>
      <c r="L507">
        <v>27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2700</v>
      </c>
      <c r="AH507">
        <v>27</v>
      </c>
      <c r="AI507">
        <v>0</v>
      </c>
      <c r="AJ507">
        <v>0</v>
      </c>
      <c r="AK507">
        <v>2500</v>
      </c>
      <c r="AL507">
        <v>0</v>
      </c>
      <c r="AM507">
        <v>240</v>
      </c>
      <c r="AN507">
        <v>-72</v>
      </c>
      <c r="AO507">
        <v>0</v>
      </c>
      <c r="AP507"/>
      <c r="AQ507">
        <v>0</v>
      </c>
      <c r="AR507">
        <v>0</v>
      </c>
      <c r="AS507">
        <v>240</v>
      </c>
      <c r="AT507">
        <v>-72</v>
      </c>
      <c r="AU507">
        <v>0</v>
      </c>
      <c r="AW507">
        <v>0</v>
      </c>
      <c r="AX507">
        <v>0</v>
      </c>
      <c r="AY507">
        <v>1867.6</v>
      </c>
      <c r="BC507" t="str">
        <f>T("9791137602076")</f>
        <v>9791137602076</v>
      </c>
      <c r="BE507" t="str">
        <f>T("판타지 웹소설 &gt; 무협 소설")</f>
        <v>판타지 웹소설 &gt; 무협 소설</v>
      </c>
    </row>
    <row r="508" spans="1:58" x14ac:dyDescent="0.3">
      <c r="A508">
        <v>2313020108</v>
      </c>
      <c r="B508">
        <v>2313020191</v>
      </c>
      <c r="C508" t="str">
        <f>T("아빠는 마교대장 84화")</f>
        <v>아빠는 마교대장 84화</v>
      </c>
      <c r="D508" t="str">
        <f>T("84")</f>
        <v>84</v>
      </c>
      <c r="E508" t="str">
        <f>T("구땡")</f>
        <v>구땡</v>
      </c>
      <c r="H508" t="str">
        <f>T("스토리위즈")</f>
        <v>스토리위즈</v>
      </c>
      <c r="I508" t="str">
        <f>T("아빠는 마교대장")</f>
        <v>아빠는 마교대장</v>
      </c>
      <c r="J508">
        <v>100</v>
      </c>
      <c r="K508">
        <v>2700</v>
      </c>
      <c r="L508">
        <v>27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2700</v>
      </c>
      <c r="AH508">
        <v>27</v>
      </c>
      <c r="AI508">
        <v>0</v>
      </c>
      <c r="AJ508">
        <v>0</v>
      </c>
      <c r="AK508">
        <v>2500</v>
      </c>
      <c r="AL508">
        <v>0</v>
      </c>
      <c r="AM508">
        <v>240</v>
      </c>
      <c r="AN508">
        <v>-72</v>
      </c>
      <c r="AO508">
        <v>0</v>
      </c>
      <c r="AP508"/>
      <c r="AQ508">
        <v>0</v>
      </c>
      <c r="AR508">
        <v>0</v>
      </c>
      <c r="AS508">
        <v>240</v>
      </c>
      <c r="AT508">
        <v>-72</v>
      </c>
      <c r="AU508">
        <v>0</v>
      </c>
      <c r="AW508">
        <v>0</v>
      </c>
      <c r="AX508">
        <v>0</v>
      </c>
      <c r="AY508">
        <v>1867.6</v>
      </c>
      <c r="BC508" t="str">
        <f>T("9791137602076")</f>
        <v>9791137602076</v>
      </c>
      <c r="BE508" t="str">
        <f>T("판타지 웹소설 &gt; 무협 소설")</f>
        <v>판타지 웹소설 &gt; 무협 소설</v>
      </c>
    </row>
    <row r="509" spans="1:58" x14ac:dyDescent="0.3">
      <c r="A509">
        <v>2313020108</v>
      </c>
      <c r="B509">
        <v>2313020192</v>
      </c>
      <c r="C509" t="str">
        <f>T("아빠는 마교대장 85화")</f>
        <v>아빠는 마교대장 85화</v>
      </c>
      <c r="D509" t="str">
        <f>T("85")</f>
        <v>85</v>
      </c>
      <c r="E509" t="str">
        <f>T("구땡")</f>
        <v>구땡</v>
      </c>
      <c r="H509" t="str">
        <f>T("스토리위즈")</f>
        <v>스토리위즈</v>
      </c>
      <c r="I509" t="str">
        <f>T("아빠는 마교대장")</f>
        <v>아빠는 마교대장</v>
      </c>
      <c r="J509">
        <v>100</v>
      </c>
      <c r="K509">
        <v>2700</v>
      </c>
      <c r="L509">
        <v>27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2700</v>
      </c>
      <c r="AH509">
        <v>27</v>
      </c>
      <c r="AI509">
        <v>0</v>
      </c>
      <c r="AJ509">
        <v>0</v>
      </c>
      <c r="AK509">
        <v>2500</v>
      </c>
      <c r="AL509">
        <v>0</v>
      </c>
      <c r="AM509">
        <v>240</v>
      </c>
      <c r="AN509">
        <v>-72</v>
      </c>
      <c r="AO509">
        <v>0</v>
      </c>
      <c r="AP509"/>
      <c r="AQ509">
        <v>0</v>
      </c>
      <c r="AR509">
        <v>0</v>
      </c>
      <c r="AS509">
        <v>240</v>
      </c>
      <c r="AT509">
        <v>-72</v>
      </c>
      <c r="AU509">
        <v>0</v>
      </c>
      <c r="AW509">
        <v>0</v>
      </c>
      <c r="AX509">
        <v>0</v>
      </c>
      <c r="AY509">
        <v>1867.6</v>
      </c>
      <c r="BC509" t="str">
        <f>T("9791137602076")</f>
        <v>9791137602076</v>
      </c>
      <c r="BE509" t="str">
        <f>T("판타지 웹소설 &gt; 무협 소설")</f>
        <v>판타지 웹소설 &gt; 무협 소설</v>
      </c>
    </row>
    <row r="510" spans="1:58" x14ac:dyDescent="0.3">
      <c r="A510">
        <v>2313020108</v>
      </c>
      <c r="B510">
        <v>2313020305</v>
      </c>
      <c r="C510" t="str">
        <f>T("아빠는 마교대장 198화")</f>
        <v>아빠는 마교대장 198화</v>
      </c>
      <c r="D510" t="str">
        <f>T("198")</f>
        <v>198</v>
      </c>
      <c r="E510" t="str">
        <f>T("구땡")</f>
        <v>구땡</v>
      </c>
      <c r="H510" t="str">
        <f>T("스토리위즈")</f>
        <v>스토리위즈</v>
      </c>
      <c r="I510" t="str">
        <f>T("아빠는 마교대장")</f>
        <v>아빠는 마교대장</v>
      </c>
      <c r="J510">
        <v>100</v>
      </c>
      <c r="K510">
        <v>2700</v>
      </c>
      <c r="L510">
        <v>27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2700</v>
      </c>
      <c r="AH510">
        <v>27</v>
      </c>
      <c r="AI510">
        <v>0</v>
      </c>
      <c r="AJ510">
        <v>0</v>
      </c>
      <c r="AK510">
        <v>2400</v>
      </c>
      <c r="AL510">
        <v>0</v>
      </c>
      <c r="AM510">
        <v>360</v>
      </c>
      <c r="AN510">
        <v>-60</v>
      </c>
      <c r="AO510">
        <v>0</v>
      </c>
      <c r="AP510"/>
      <c r="AQ510">
        <v>0</v>
      </c>
      <c r="AR510">
        <v>0</v>
      </c>
      <c r="AS510">
        <v>360</v>
      </c>
      <c r="AT510">
        <v>-60</v>
      </c>
      <c r="AU510">
        <v>0</v>
      </c>
      <c r="AW510">
        <v>0</v>
      </c>
      <c r="AX510">
        <v>0</v>
      </c>
      <c r="AY510">
        <v>1890</v>
      </c>
      <c r="BC510" t="str">
        <f>T("9791137602076")</f>
        <v>9791137602076</v>
      </c>
      <c r="BE510" t="str">
        <f>T("판타지 웹소설 &gt; 무협 소설")</f>
        <v>판타지 웹소설 &gt; 무협 소설</v>
      </c>
    </row>
    <row r="511" spans="1:58" x14ac:dyDescent="0.3">
      <c r="A511">
        <v>2313020582</v>
      </c>
      <c r="B511">
        <v>2313020584</v>
      </c>
      <c r="C511" t="str">
        <f>T("[e북]늑대가문의 신부 3권 (완결)")</f>
        <v>[e북]늑대가문의 신부 3권 (완결)</v>
      </c>
      <c r="D511" t="str">
        <f>T("3")</f>
        <v>3</v>
      </c>
      <c r="E511" t="str">
        <f>T("김정연")</f>
        <v>김정연</v>
      </c>
      <c r="H511" t="str">
        <f>T("블레슈(Blesshuu)")</f>
        <v>블레슈(Blesshuu)</v>
      </c>
      <c r="I511" t="str">
        <f>T("[e북]늑대가문의 신부")</f>
        <v>[e북]늑대가문의 신부</v>
      </c>
      <c r="J511">
        <v>2700</v>
      </c>
      <c r="K511">
        <v>2700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2700</v>
      </c>
      <c r="AH511">
        <v>1</v>
      </c>
      <c r="AI511">
        <v>0</v>
      </c>
      <c r="AJ511">
        <v>0</v>
      </c>
      <c r="AK511">
        <v>300</v>
      </c>
      <c r="AL511">
        <v>0</v>
      </c>
      <c r="AM511">
        <v>2880</v>
      </c>
      <c r="AN511">
        <v>-864</v>
      </c>
      <c r="AO511">
        <v>0</v>
      </c>
      <c r="AP511">
        <v>2880</v>
      </c>
      <c r="AQ511">
        <v>-864</v>
      </c>
      <c r="AR511">
        <v>0</v>
      </c>
      <c r="AT511">
        <v>0</v>
      </c>
      <c r="AU511">
        <v>0</v>
      </c>
      <c r="AW511">
        <v>0</v>
      </c>
      <c r="AX511">
        <v>0</v>
      </c>
      <c r="AY511">
        <v>1621.2</v>
      </c>
      <c r="BC511" t="str">
        <f>T("9791137607675")</f>
        <v>9791137607675</v>
      </c>
      <c r="BE511" t="str">
        <f>T("로맨스 e북 &gt; 역사/시대물")</f>
        <v>로맨스 e북 &gt; 역사/시대물</v>
      </c>
    </row>
    <row r="512" spans="1:58" x14ac:dyDescent="0.3">
      <c r="A512">
        <v>2313020108</v>
      </c>
      <c r="B512">
        <v>2313020189</v>
      </c>
      <c r="C512" t="str">
        <f>T("아빠는 마교대장 82화")</f>
        <v>아빠는 마교대장 82화</v>
      </c>
      <c r="D512" t="str">
        <f>T("82")</f>
        <v>82</v>
      </c>
      <c r="E512" t="str">
        <f t="shared" ref="E512:E523" si="81">T("구땡")</f>
        <v>구땡</v>
      </c>
      <c r="H512" t="str">
        <f t="shared" ref="H512:H523" si="82">T("스토리위즈")</f>
        <v>스토리위즈</v>
      </c>
      <c r="I512" t="str">
        <f t="shared" ref="I512:I523" si="83">T("아빠는 마교대장")</f>
        <v>아빠는 마교대장</v>
      </c>
      <c r="J512">
        <v>100</v>
      </c>
      <c r="K512">
        <v>2600</v>
      </c>
      <c r="L512">
        <v>26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2600</v>
      </c>
      <c r="AH512">
        <v>26</v>
      </c>
      <c r="AI512">
        <v>0</v>
      </c>
      <c r="AJ512">
        <v>0</v>
      </c>
      <c r="AK512">
        <v>2400</v>
      </c>
      <c r="AL512">
        <v>0</v>
      </c>
      <c r="AM512">
        <v>240</v>
      </c>
      <c r="AN512">
        <v>-72</v>
      </c>
      <c r="AO512">
        <v>0</v>
      </c>
      <c r="AP512"/>
      <c r="AQ512">
        <v>0</v>
      </c>
      <c r="AR512">
        <v>0</v>
      </c>
      <c r="AS512">
        <v>240</v>
      </c>
      <c r="AT512">
        <v>-72</v>
      </c>
      <c r="AU512">
        <v>0</v>
      </c>
      <c r="AW512">
        <v>0</v>
      </c>
      <c r="AX512">
        <v>0</v>
      </c>
      <c r="AY512">
        <v>1797.6</v>
      </c>
      <c r="BC512" t="str">
        <f t="shared" ref="BC512:BC523" si="84">T("9791137602076")</f>
        <v>9791137602076</v>
      </c>
      <c r="BE512" t="str">
        <f t="shared" ref="BE512:BE523" si="85">T("판타지 웹소설 &gt; 무협 소설")</f>
        <v>판타지 웹소설 &gt; 무협 소설</v>
      </c>
    </row>
    <row r="513" spans="1:57" x14ac:dyDescent="0.3">
      <c r="A513">
        <v>2313020108</v>
      </c>
      <c r="B513">
        <v>2313020193</v>
      </c>
      <c r="C513" t="str">
        <f>T("아빠는 마교대장 86화")</f>
        <v>아빠는 마교대장 86화</v>
      </c>
      <c r="D513" t="str">
        <f>T("86")</f>
        <v>86</v>
      </c>
      <c r="E513" t="str">
        <f t="shared" si="81"/>
        <v>구땡</v>
      </c>
      <c r="H513" t="str">
        <f t="shared" si="82"/>
        <v>스토리위즈</v>
      </c>
      <c r="I513" t="str">
        <f t="shared" si="83"/>
        <v>아빠는 마교대장</v>
      </c>
      <c r="J513">
        <v>100</v>
      </c>
      <c r="K513">
        <v>2600</v>
      </c>
      <c r="L513">
        <v>26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2600</v>
      </c>
      <c r="AH513">
        <v>26</v>
      </c>
      <c r="AI513">
        <v>0</v>
      </c>
      <c r="AJ513">
        <v>0</v>
      </c>
      <c r="AK513">
        <v>2400</v>
      </c>
      <c r="AL513">
        <v>0</v>
      </c>
      <c r="AM513">
        <v>240</v>
      </c>
      <c r="AN513">
        <v>-72</v>
      </c>
      <c r="AO513">
        <v>0</v>
      </c>
      <c r="AP513"/>
      <c r="AQ513">
        <v>0</v>
      </c>
      <c r="AR513">
        <v>0</v>
      </c>
      <c r="AS513">
        <v>240</v>
      </c>
      <c r="AT513">
        <v>-72</v>
      </c>
      <c r="AU513">
        <v>0</v>
      </c>
      <c r="AW513">
        <v>0</v>
      </c>
      <c r="AX513">
        <v>0</v>
      </c>
      <c r="AY513">
        <v>1797.6</v>
      </c>
      <c r="BC513" t="str">
        <f t="shared" si="84"/>
        <v>9791137602076</v>
      </c>
      <c r="BE513" t="str">
        <f t="shared" si="85"/>
        <v>판타지 웹소설 &gt; 무협 소설</v>
      </c>
    </row>
    <row r="514" spans="1:57" x14ac:dyDescent="0.3">
      <c r="A514">
        <v>2313020108</v>
      </c>
      <c r="B514">
        <v>2313020194</v>
      </c>
      <c r="C514" t="str">
        <f>T("아빠는 마교대장 87화")</f>
        <v>아빠는 마교대장 87화</v>
      </c>
      <c r="D514" t="str">
        <f>T("87")</f>
        <v>87</v>
      </c>
      <c r="E514" t="str">
        <f t="shared" si="81"/>
        <v>구땡</v>
      </c>
      <c r="H514" t="str">
        <f t="shared" si="82"/>
        <v>스토리위즈</v>
      </c>
      <c r="I514" t="str">
        <f t="shared" si="83"/>
        <v>아빠는 마교대장</v>
      </c>
      <c r="J514">
        <v>100</v>
      </c>
      <c r="K514">
        <v>2600</v>
      </c>
      <c r="L514">
        <v>26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2600</v>
      </c>
      <c r="AH514">
        <v>26</v>
      </c>
      <c r="AI514">
        <v>0</v>
      </c>
      <c r="AJ514">
        <v>0</v>
      </c>
      <c r="AK514">
        <v>2400</v>
      </c>
      <c r="AL514">
        <v>0</v>
      </c>
      <c r="AM514">
        <v>240</v>
      </c>
      <c r="AN514">
        <v>-72</v>
      </c>
      <c r="AO514">
        <v>0</v>
      </c>
      <c r="AP514"/>
      <c r="AQ514">
        <v>0</v>
      </c>
      <c r="AR514">
        <v>0</v>
      </c>
      <c r="AS514">
        <v>240</v>
      </c>
      <c r="AT514">
        <v>-72</v>
      </c>
      <c r="AU514">
        <v>0</v>
      </c>
      <c r="AW514">
        <v>0</v>
      </c>
      <c r="AX514">
        <v>0</v>
      </c>
      <c r="AY514">
        <v>1797.6</v>
      </c>
      <c r="BC514" t="str">
        <f t="shared" si="84"/>
        <v>9791137602076</v>
      </c>
      <c r="BE514" t="str">
        <f t="shared" si="85"/>
        <v>판타지 웹소설 &gt; 무협 소설</v>
      </c>
    </row>
    <row r="515" spans="1:57" x14ac:dyDescent="0.3">
      <c r="A515">
        <v>2313020108</v>
      </c>
      <c r="B515">
        <v>2313020197</v>
      </c>
      <c r="C515" t="str">
        <f>T("아빠는 마교대장 90화")</f>
        <v>아빠는 마교대장 90화</v>
      </c>
      <c r="D515" t="str">
        <f>T("90")</f>
        <v>90</v>
      </c>
      <c r="E515" t="str">
        <f t="shared" si="81"/>
        <v>구땡</v>
      </c>
      <c r="H515" t="str">
        <f t="shared" si="82"/>
        <v>스토리위즈</v>
      </c>
      <c r="I515" t="str">
        <f t="shared" si="83"/>
        <v>아빠는 마교대장</v>
      </c>
      <c r="J515">
        <v>100</v>
      </c>
      <c r="K515">
        <v>2600</v>
      </c>
      <c r="L515">
        <v>26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2600</v>
      </c>
      <c r="AH515">
        <v>26</v>
      </c>
      <c r="AI515">
        <v>0</v>
      </c>
      <c r="AJ515">
        <v>0</v>
      </c>
      <c r="AK515">
        <v>2400</v>
      </c>
      <c r="AL515">
        <v>0</v>
      </c>
      <c r="AM515">
        <v>240</v>
      </c>
      <c r="AN515">
        <v>-72</v>
      </c>
      <c r="AO515">
        <v>0</v>
      </c>
      <c r="AP515"/>
      <c r="AQ515">
        <v>0</v>
      </c>
      <c r="AR515">
        <v>0</v>
      </c>
      <c r="AS515">
        <v>240</v>
      </c>
      <c r="AT515">
        <v>-72</v>
      </c>
      <c r="AU515">
        <v>0</v>
      </c>
      <c r="AW515">
        <v>0</v>
      </c>
      <c r="AX515">
        <v>0</v>
      </c>
      <c r="AY515">
        <v>1797.6</v>
      </c>
      <c r="BC515" t="str">
        <f t="shared" si="84"/>
        <v>9791137602076</v>
      </c>
      <c r="BE515" t="str">
        <f t="shared" si="85"/>
        <v>판타지 웹소설 &gt; 무협 소설</v>
      </c>
    </row>
    <row r="516" spans="1:57" x14ac:dyDescent="0.3">
      <c r="A516">
        <v>2313020108</v>
      </c>
      <c r="B516">
        <v>2313020208</v>
      </c>
      <c r="C516" t="str">
        <f>T("아빠는 마교대장 101화")</f>
        <v>아빠는 마교대장 101화</v>
      </c>
      <c r="D516" t="str">
        <f>T("101")</f>
        <v>101</v>
      </c>
      <c r="E516" t="str">
        <f t="shared" si="81"/>
        <v>구땡</v>
      </c>
      <c r="H516" t="str">
        <f t="shared" si="82"/>
        <v>스토리위즈</v>
      </c>
      <c r="I516" t="str">
        <f t="shared" si="83"/>
        <v>아빠는 마교대장</v>
      </c>
      <c r="J516">
        <v>100</v>
      </c>
      <c r="K516">
        <v>2600</v>
      </c>
      <c r="L516">
        <v>26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2600</v>
      </c>
      <c r="AH516">
        <v>26</v>
      </c>
      <c r="AI516">
        <v>0</v>
      </c>
      <c r="AJ516">
        <v>0</v>
      </c>
      <c r="AK516">
        <v>2300</v>
      </c>
      <c r="AL516">
        <v>0</v>
      </c>
      <c r="AM516">
        <v>360</v>
      </c>
      <c r="AN516">
        <v>-108</v>
      </c>
      <c r="AO516">
        <v>0</v>
      </c>
      <c r="AP516"/>
      <c r="AQ516">
        <v>0</v>
      </c>
      <c r="AR516">
        <v>0</v>
      </c>
      <c r="AS516">
        <v>360</v>
      </c>
      <c r="AT516">
        <v>-108</v>
      </c>
      <c r="AU516">
        <v>0</v>
      </c>
      <c r="AW516">
        <v>0</v>
      </c>
      <c r="AX516">
        <v>0</v>
      </c>
      <c r="AY516">
        <v>1786.4</v>
      </c>
      <c r="BC516" t="str">
        <f t="shared" si="84"/>
        <v>9791137602076</v>
      </c>
      <c r="BE516" t="str">
        <f t="shared" si="85"/>
        <v>판타지 웹소설 &gt; 무협 소설</v>
      </c>
    </row>
    <row r="517" spans="1:57" x14ac:dyDescent="0.3">
      <c r="A517">
        <v>2313020108</v>
      </c>
      <c r="B517">
        <v>2313020210</v>
      </c>
      <c r="C517" t="str">
        <f>T("아빠는 마교대장 103화")</f>
        <v>아빠는 마교대장 103화</v>
      </c>
      <c r="D517" t="str">
        <f>T("103")</f>
        <v>103</v>
      </c>
      <c r="E517" t="str">
        <f t="shared" si="81"/>
        <v>구땡</v>
      </c>
      <c r="H517" t="str">
        <f t="shared" si="82"/>
        <v>스토리위즈</v>
      </c>
      <c r="I517" t="str">
        <f t="shared" si="83"/>
        <v>아빠는 마교대장</v>
      </c>
      <c r="J517">
        <v>100</v>
      </c>
      <c r="K517">
        <v>2600</v>
      </c>
      <c r="L517">
        <v>26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2600</v>
      </c>
      <c r="AH517">
        <v>26</v>
      </c>
      <c r="AI517">
        <v>0</v>
      </c>
      <c r="AJ517">
        <v>0</v>
      </c>
      <c r="AK517">
        <v>2300</v>
      </c>
      <c r="AL517">
        <v>0</v>
      </c>
      <c r="AM517">
        <v>360</v>
      </c>
      <c r="AN517">
        <v>-108</v>
      </c>
      <c r="AO517">
        <v>0</v>
      </c>
      <c r="AP517"/>
      <c r="AQ517">
        <v>0</v>
      </c>
      <c r="AR517">
        <v>0</v>
      </c>
      <c r="AS517">
        <v>360</v>
      </c>
      <c r="AT517">
        <v>-108</v>
      </c>
      <c r="AU517">
        <v>0</v>
      </c>
      <c r="AW517">
        <v>0</v>
      </c>
      <c r="AX517">
        <v>0</v>
      </c>
      <c r="AY517">
        <v>1786.4</v>
      </c>
      <c r="BC517" t="str">
        <f t="shared" si="84"/>
        <v>9791137602076</v>
      </c>
      <c r="BE517" t="str">
        <f t="shared" si="85"/>
        <v>판타지 웹소설 &gt; 무협 소설</v>
      </c>
    </row>
    <row r="518" spans="1:57" x14ac:dyDescent="0.3">
      <c r="A518">
        <v>2313020108</v>
      </c>
      <c r="B518">
        <v>2313020212</v>
      </c>
      <c r="C518" t="str">
        <f>T("아빠는 마교대장 105화")</f>
        <v>아빠는 마교대장 105화</v>
      </c>
      <c r="D518" t="str">
        <f>T("105")</f>
        <v>105</v>
      </c>
      <c r="E518" t="str">
        <f t="shared" si="81"/>
        <v>구땡</v>
      </c>
      <c r="H518" t="str">
        <f t="shared" si="82"/>
        <v>스토리위즈</v>
      </c>
      <c r="I518" t="str">
        <f t="shared" si="83"/>
        <v>아빠는 마교대장</v>
      </c>
      <c r="J518">
        <v>100</v>
      </c>
      <c r="K518">
        <v>2600</v>
      </c>
      <c r="L518">
        <v>26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2600</v>
      </c>
      <c r="AH518">
        <v>26</v>
      </c>
      <c r="AI518">
        <v>0</v>
      </c>
      <c r="AJ518">
        <v>0</v>
      </c>
      <c r="AK518">
        <v>2400</v>
      </c>
      <c r="AL518">
        <v>0</v>
      </c>
      <c r="AM518">
        <v>240</v>
      </c>
      <c r="AN518">
        <v>-72</v>
      </c>
      <c r="AO518">
        <v>0</v>
      </c>
      <c r="AP518"/>
      <c r="AQ518">
        <v>0</v>
      </c>
      <c r="AR518">
        <v>0</v>
      </c>
      <c r="AS518">
        <v>240</v>
      </c>
      <c r="AT518">
        <v>-72</v>
      </c>
      <c r="AU518">
        <v>0</v>
      </c>
      <c r="AW518">
        <v>0</v>
      </c>
      <c r="AX518">
        <v>0</v>
      </c>
      <c r="AY518">
        <v>1797.6</v>
      </c>
      <c r="BC518" t="str">
        <f t="shared" si="84"/>
        <v>9791137602076</v>
      </c>
      <c r="BE518" t="str">
        <f t="shared" si="85"/>
        <v>판타지 웹소설 &gt; 무협 소설</v>
      </c>
    </row>
    <row r="519" spans="1:57" x14ac:dyDescent="0.3">
      <c r="A519">
        <v>2313020108</v>
      </c>
      <c r="B519">
        <v>2313020217</v>
      </c>
      <c r="C519" t="str">
        <f>T("아빠는 마교대장 110화")</f>
        <v>아빠는 마교대장 110화</v>
      </c>
      <c r="D519" t="str">
        <f>T("110")</f>
        <v>110</v>
      </c>
      <c r="E519" t="str">
        <f t="shared" si="81"/>
        <v>구땡</v>
      </c>
      <c r="H519" t="str">
        <f t="shared" si="82"/>
        <v>스토리위즈</v>
      </c>
      <c r="I519" t="str">
        <f t="shared" si="83"/>
        <v>아빠는 마교대장</v>
      </c>
      <c r="J519">
        <v>100</v>
      </c>
      <c r="K519">
        <v>2600</v>
      </c>
      <c r="L519">
        <v>26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2600</v>
      </c>
      <c r="AH519">
        <v>26</v>
      </c>
      <c r="AI519">
        <v>0</v>
      </c>
      <c r="AJ519">
        <v>0</v>
      </c>
      <c r="AK519">
        <v>2400</v>
      </c>
      <c r="AL519">
        <v>0</v>
      </c>
      <c r="AM519">
        <v>240</v>
      </c>
      <c r="AN519">
        <v>-72</v>
      </c>
      <c r="AO519">
        <v>0</v>
      </c>
      <c r="AP519"/>
      <c r="AQ519">
        <v>0</v>
      </c>
      <c r="AR519">
        <v>0</v>
      </c>
      <c r="AS519">
        <v>240</v>
      </c>
      <c r="AT519">
        <v>-72</v>
      </c>
      <c r="AU519">
        <v>0</v>
      </c>
      <c r="AW519">
        <v>0</v>
      </c>
      <c r="AX519">
        <v>0</v>
      </c>
      <c r="AY519">
        <v>1797.6</v>
      </c>
      <c r="BC519" t="str">
        <f t="shared" si="84"/>
        <v>9791137602076</v>
      </c>
      <c r="BE519" t="str">
        <f t="shared" si="85"/>
        <v>판타지 웹소설 &gt; 무협 소설</v>
      </c>
    </row>
    <row r="520" spans="1:57" x14ac:dyDescent="0.3">
      <c r="A520">
        <v>2313020108</v>
      </c>
      <c r="B520">
        <v>2313020227</v>
      </c>
      <c r="C520" t="str">
        <f>T("아빠는 마교대장 120화")</f>
        <v>아빠는 마교대장 120화</v>
      </c>
      <c r="D520" t="str">
        <f>T("120")</f>
        <v>120</v>
      </c>
      <c r="E520" t="str">
        <f t="shared" si="81"/>
        <v>구땡</v>
      </c>
      <c r="H520" t="str">
        <f t="shared" si="82"/>
        <v>스토리위즈</v>
      </c>
      <c r="I520" t="str">
        <f t="shared" si="83"/>
        <v>아빠는 마교대장</v>
      </c>
      <c r="J520">
        <v>100</v>
      </c>
      <c r="K520">
        <v>2600</v>
      </c>
      <c r="L520">
        <v>26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2600</v>
      </c>
      <c r="AH520">
        <v>26</v>
      </c>
      <c r="AI520">
        <v>0</v>
      </c>
      <c r="AJ520">
        <v>0</v>
      </c>
      <c r="AK520">
        <v>2400</v>
      </c>
      <c r="AL520">
        <v>0</v>
      </c>
      <c r="AM520">
        <v>240</v>
      </c>
      <c r="AN520">
        <v>-72</v>
      </c>
      <c r="AO520">
        <v>0</v>
      </c>
      <c r="AP520"/>
      <c r="AQ520">
        <v>0</v>
      </c>
      <c r="AR520">
        <v>0</v>
      </c>
      <c r="AS520">
        <v>240</v>
      </c>
      <c r="AT520">
        <v>-72</v>
      </c>
      <c r="AU520">
        <v>0</v>
      </c>
      <c r="AW520">
        <v>0</v>
      </c>
      <c r="AX520">
        <v>0</v>
      </c>
      <c r="AY520">
        <v>1797.6</v>
      </c>
      <c r="BC520" t="str">
        <f t="shared" si="84"/>
        <v>9791137602076</v>
      </c>
      <c r="BE520" t="str">
        <f t="shared" si="85"/>
        <v>판타지 웹소설 &gt; 무협 소설</v>
      </c>
    </row>
    <row r="521" spans="1:57" x14ac:dyDescent="0.3">
      <c r="A521">
        <v>2313020108</v>
      </c>
      <c r="B521">
        <v>2313020257</v>
      </c>
      <c r="C521" t="str">
        <f>T("아빠는 마교대장 150화")</f>
        <v>아빠는 마교대장 150화</v>
      </c>
      <c r="D521" t="str">
        <f>T("150")</f>
        <v>150</v>
      </c>
      <c r="E521" t="str">
        <f t="shared" si="81"/>
        <v>구땡</v>
      </c>
      <c r="H521" t="str">
        <f t="shared" si="82"/>
        <v>스토리위즈</v>
      </c>
      <c r="I521" t="str">
        <f t="shared" si="83"/>
        <v>아빠는 마교대장</v>
      </c>
      <c r="J521">
        <v>100</v>
      </c>
      <c r="K521">
        <v>2600</v>
      </c>
      <c r="L521">
        <v>26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2600</v>
      </c>
      <c r="AH521">
        <v>26</v>
      </c>
      <c r="AI521">
        <v>0</v>
      </c>
      <c r="AJ521">
        <v>0</v>
      </c>
      <c r="AK521">
        <v>2300</v>
      </c>
      <c r="AL521">
        <v>0</v>
      </c>
      <c r="AM521">
        <v>360</v>
      </c>
      <c r="AN521">
        <v>-84</v>
      </c>
      <c r="AO521">
        <v>0</v>
      </c>
      <c r="AP521"/>
      <c r="AQ521">
        <v>0</v>
      </c>
      <c r="AR521">
        <v>0</v>
      </c>
      <c r="AS521">
        <v>360</v>
      </c>
      <c r="AT521">
        <v>-84</v>
      </c>
      <c r="AU521">
        <v>0</v>
      </c>
      <c r="AW521">
        <v>0</v>
      </c>
      <c r="AX521">
        <v>0</v>
      </c>
      <c r="AY521">
        <v>1803.2</v>
      </c>
      <c r="BC521" t="str">
        <f t="shared" si="84"/>
        <v>9791137602076</v>
      </c>
      <c r="BE521" t="str">
        <f t="shared" si="85"/>
        <v>판타지 웹소설 &gt; 무협 소설</v>
      </c>
    </row>
    <row r="522" spans="1:57" x14ac:dyDescent="0.3">
      <c r="A522">
        <v>2313020108</v>
      </c>
      <c r="B522">
        <v>2313020258</v>
      </c>
      <c r="C522" t="str">
        <f>T("아빠는 마교대장 151화")</f>
        <v>아빠는 마교대장 151화</v>
      </c>
      <c r="D522" t="str">
        <f>T("151")</f>
        <v>151</v>
      </c>
      <c r="E522" t="str">
        <f t="shared" si="81"/>
        <v>구땡</v>
      </c>
      <c r="H522" t="str">
        <f t="shared" si="82"/>
        <v>스토리위즈</v>
      </c>
      <c r="I522" t="str">
        <f t="shared" si="83"/>
        <v>아빠는 마교대장</v>
      </c>
      <c r="J522">
        <v>100</v>
      </c>
      <c r="K522">
        <v>2600</v>
      </c>
      <c r="L522">
        <v>26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2600</v>
      </c>
      <c r="AH522">
        <v>26</v>
      </c>
      <c r="AI522">
        <v>0</v>
      </c>
      <c r="AJ522">
        <v>0</v>
      </c>
      <c r="AK522">
        <v>2300</v>
      </c>
      <c r="AL522">
        <v>0</v>
      </c>
      <c r="AM522">
        <v>360</v>
      </c>
      <c r="AN522">
        <v>-84</v>
      </c>
      <c r="AO522">
        <v>0</v>
      </c>
      <c r="AP522"/>
      <c r="AQ522">
        <v>0</v>
      </c>
      <c r="AR522">
        <v>0</v>
      </c>
      <c r="AS522">
        <v>360</v>
      </c>
      <c r="AT522">
        <v>-84</v>
      </c>
      <c r="AU522">
        <v>0</v>
      </c>
      <c r="AW522">
        <v>0</v>
      </c>
      <c r="AX522">
        <v>0</v>
      </c>
      <c r="AY522">
        <v>1803.2</v>
      </c>
      <c r="BC522" t="str">
        <f t="shared" si="84"/>
        <v>9791137602076</v>
      </c>
      <c r="BE522" t="str">
        <f t="shared" si="85"/>
        <v>판타지 웹소설 &gt; 무협 소설</v>
      </c>
    </row>
    <row r="523" spans="1:57" x14ac:dyDescent="0.3">
      <c r="A523">
        <v>2313020108</v>
      </c>
      <c r="B523">
        <v>2313020287</v>
      </c>
      <c r="C523" t="str">
        <f>T("아빠는 마교대장 180화")</f>
        <v>아빠는 마교대장 180화</v>
      </c>
      <c r="D523" t="str">
        <f>T("180")</f>
        <v>180</v>
      </c>
      <c r="E523" t="str">
        <f t="shared" si="81"/>
        <v>구땡</v>
      </c>
      <c r="H523" t="str">
        <f t="shared" si="82"/>
        <v>스토리위즈</v>
      </c>
      <c r="I523" t="str">
        <f t="shared" si="83"/>
        <v>아빠는 마교대장</v>
      </c>
      <c r="J523">
        <v>100</v>
      </c>
      <c r="K523">
        <v>2600</v>
      </c>
      <c r="L523">
        <v>26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2600</v>
      </c>
      <c r="AH523">
        <v>26</v>
      </c>
      <c r="AI523">
        <v>0</v>
      </c>
      <c r="AJ523">
        <v>0</v>
      </c>
      <c r="AK523">
        <v>2300</v>
      </c>
      <c r="AL523">
        <v>0</v>
      </c>
      <c r="AM523">
        <v>360</v>
      </c>
      <c r="AN523">
        <v>-84</v>
      </c>
      <c r="AO523">
        <v>0</v>
      </c>
      <c r="AP523"/>
      <c r="AQ523">
        <v>0</v>
      </c>
      <c r="AR523">
        <v>0</v>
      </c>
      <c r="AS523">
        <v>360</v>
      </c>
      <c r="AT523">
        <v>-84</v>
      </c>
      <c r="AU523">
        <v>0</v>
      </c>
      <c r="AW523">
        <v>0</v>
      </c>
      <c r="AX523">
        <v>0</v>
      </c>
      <c r="AY523">
        <v>1803.2</v>
      </c>
      <c r="BC523" t="str">
        <f t="shared" si="84"/>
        <v>9791137602076</v>
      </c>
      <c r="BE523" t="str">
        <f t="shared" si="85"/>
        <v>판타지 웹소설 &gt; 무협 소설</v>
      </c>
    </row>
    <row r="524" spans="1:57" x14ac:dyDescent="0.3">
      <c r="A524">
        <v>2313019810</v>
      </c>
      <c r="B524">
        <v>2313019810</v>
      </c>
      <c r="C524" t="str">
        <f>T("[e북]대표님께 매우 진심인 편 1권")</f>
        <v>[e북]대표님께 매우 진심인 편 1권</v>
      </c>
      <c r="D524" t="str">
        <f>T("1")</f>
        <v>1</v>
      </c>
      <c r="E524" t="str">
        <f>T("블루문")</f>
        <v>블루문</v>
      </c>
      <c r="H524" t="str">
        <f>T("블레슈(Blesshuu)")</f>
        <v>블레슈(Blesshuu)</v>
      </c>
      <c r="I524" t="str">
        <f>T("[e북]대표님께 매우 진심인 편")</f>
        <v>[e북]대표님께 매우 진심인 편</v>
      </c>
      <c r="J524">
        <v>2500</v>
      </c>
      <c r="K524">
        <v>2500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2500</v>
      </c>
      <c r="AH524">
        <v>1</v>
      </c>
      <c r="AI524">
        <v>0</v>
      </c>
      <c r="AJ524">
        <v>0</v>
      </c>
      <c r="AK524">
        <v>2500</v>
      </c>
      <c r="AL524">
        <v>0</v>
      </c>
      <c r="AM524">
        <v>0</v>
      </c>
      <c r="AN524">
        <v>0</v>
      </c>
      <c r="AO524">
        <v>0</v>
      </c>
      <c r="AP524"/>
      <c r="AQ524">
        <v>0</v>
      </c>
      <c r="AR524">
        <v>0</v>
      </c>
      <c r="AT524">
        <v>0</v>
      </c>
      <c r="AU524">
        <v>0</v>
      </c>
      <c r="AW524">
        <v>0</v>
      </c>
      <c r="AX524">
        <v>0</v>
      </c>
      <c r="AY524">
        <v>1750</v>
      </c>
      <c r="BC524" t="str">
        <f>T("9791137605732")</f>
        <v>9791137605732</v>
      </c>
      <c r="BE524" t="str">
        <f>T("로맨스 e북 &gt; 현대물")</f>
        <v>로맨스 e북 &gt; 현대물</v>
      </c>
    </row>
    <row r="525" spans="1:57" x14ac:dyDescent="0.3">
      <c r="A525">
        <v>2313019810</v>
      </c>
      <c r="B525">
        <v>2313019811</v>
      </c>
      <c r="C525" t="str">
        <f>T("[e북]대표님께 매우 진심인 편 2권")</f>
        <v>[e북]대표님께 매우 진심인 편 2권</v>
      </c>
      <c r="D525" t="str">
        <f>T("2")</f>
        <v>2</v>
      </c>
      <c r="E525" t="str">
        <f>T("블루문")</f>
        <v>블루문</v>
      </c>
      <c r="H525" t="str">
        <f>T("블레슈(Blesshuu)")</f>
        <v>블레슈(Blesshuu)</v>
      </c>
      <c r="I525" t="str">
        <f>T("[e북]대표님께 매우 진심인 편")</f>
        <v>[e북]대표님께 매우 진심인 편</v>
      </c>
      <c r="J525">
        <v>2500</v>
      </c>
      <c r="K525">
        <v>2500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2500</v>
      </c>
      <c r="AH525">
        <v>1</v>
      </c>
      <c r="AI525">
        <v>0</v>
      </c>
      <c r="AJ525">
        <v>0</v>
      </c>
      <c r="AK525">
        <v>2500</v>
      </c>
      <c r="AL525">
        <v>0</v>
      </c>
      <c r="AM525">
        <v>0</v>
      </c>
      <c r="AN525">
        <v>0</v>
      </c>
      <c r="AO525">
        <v>0</v>
      </c>
      <c r="AP525"/>
      <c r="AQ525">
        <v>0</v>
      </c>
      <c r="AR525">
        <v>0</v>
      </c>
      <c r="AT525">
        <v>0</v>
      </c>
      <c r="AU525">
        <v>0</v>
      </c>
      <c r="AW525">
        <v>0</v>
      </c>
      <c r="AX525">
        <v>0</v>
      </c>
      <c r="AY525">
        <v>1750</v>
      </c>
      <c r="BC525" t="str">
        <f>T("9791137605749")</f>
        <v>9791137605749</v>
      </c>
      <c r="BE525" t="str">
        <f>T("로맨스 e북 &gt; 현대물")</f>
        <v>로맨스 e북 &gt; 현대물</v>
      </c>
    </row>
    <row r="526" spans="1:57" x14ac:dyDescent="0.3">
      <c r="A526">
        <v>2313019810</v>
      </c>
      <c r="B526">
        <v>2313019812</v>
      </c>
      <c r="C526" t="str">
        <f>T("[e북]대표님께 매우 진심인 편 3권")</f>
        <v>[e북]대표님께 매우 진심인 편 3권</v>
      </c>
      <c r="D526" t="str">
        <f>T("3")</f>
        <v>3</v>
      </c>
      <c r="E526" t="str">
        <f>T("블루문")</f>
        <v>블루문</v>
      </c>
      <c r="H526" t="str">
        <f>T("블레슈(Blesshuu)")</f>
        <v>블레슈(Blesshuu)</v>
      </c>
      <c r="I526" t="str">
        <f>T("[e북]대표님께 매우 진심인 편")</f>
        <v>[e북]대표님께 매우 진심인 편</v>
      </c>
      <c r="J526">
        <v>2500</v>
      </c>
      <c r="K526">
        <v>2500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2500</v>
      </c>
      <c r="AH526">
        <v>1</v>
      </c>
      <c r="AI526">
        <v>0</v>
      </c>
      <c r="AJ526">
        <v>0</v>
      </c>
      <c r="AK526">
        <v>2500</v>
      </c>
      <c r="AL526">
        <v>0</v>
      </c>
      <c r="AM526">
        <v>0</v>
      </c>
      <c r="AN526">
        <v>0</v>
      </c>
      <c r="AO526">
        <v>0</v>
      </c>
      <c r="AP526"/>
      <c r="AQ526">
        <v>0</v>
      </c>
      <c r="AR526">
        <v>0</v>
      </c>
      <c r="AT526">
        <v>0</v>
      </c>
      <c r="AU526">
        <v>0</v>
      </c>
      <c r="AW526">
        <v>0</v>
      </c>
      <c r="AX526">
        <v>0</v>
      </c>
      <c r="AY526">
        <v>1750</v>
      </c>
      <c r="BC526" t="str">
        <f>T("9791137605756")</f>
        <v>9791137605756</v>
      </c>
      <c r="BE526" t="str">
        <f>T("로맨스 e북 &gt; 현대물")</f>
        <v>로맨스 e북 &gt; 현대물</v>
      </c>
    </row>
    <row r="527" spans="1:57" x14ac:dyDescent="0.3">
      <c r="A527">
        <v>2313019810</v>
      </c>
      <c r="B527">
        <v>2313019813</v>
      </c>
      <c r="C527" t="str">
        <f>T("[e북]대표님께 매우 진심인 편 4권 (완결)")</f>
        <v>[e북]대표님께 매우 진심인 편 4권 (완결)</v>
      </c>
      <c r="D527" t="str">
        <f>T("4")</f>
        <v>4</v>
      </c>
      <c r="E527" t="str">
        <f>T("블루문")</f>
        <v>블루문</v>
      </c>
      <c r="H527" t="str">
        <f>T("블레슈(Blesshuu)")</f>
        <v>블레슈(Blesshuu)</v>
      </c>
      <c r="I527" t="str">
        <f>T("[e북]대표님께 매우 진심인 편")</f>
        <v>[e북]대표님께 매우 진심인 편</v>
      </c>
      <c r="J527">
        <v>2500</v>
      </c>
      <c r="K527">
        <v>2500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2500</v>
      </c>
      <c r="AH527">
        <v>1</v>
      </c>
      <c r="AI527">
        <v>0</v>
      </c>
      <c r="AJ527">
        <v>0</v>
      </c>
      <c r="AK527">
        <v>2500</v>
      </c>
      <c r="AL527">
        <v>0</v>
      </c>
      <c r="AM527">
        <v>0</v>
      </c>
      <c r="AN527">
        <v>0</v>
      </c>
      <c r="AO527">
        <v>0</v>
      </c>
      <c r="AP527"/>
      <c r="AQ527">
        <v>0</v>
      </c>
      <c r="AR527">
        <v>0</v>
      </c>
      <c r="AT527">
        <v>0</v>
      </c>
      <c r="AU527">
        <v>0</v>
      </c>
      <c r="AW527">
        <v>0</v>
      </c>
      <c r="AX527">
        <v>0</v>
      </c>
      <c r="AY527">
        <v>1750</v>
      </c>
      <c r="BC527" t="str">
        <f>T("9791137605763")</f>
        <v>9791137605763</v>
      </c>
      <c r="BE527" t="str">
        <f>T("로맨스 e북 &gt; 현대물")</f>
        <v>로맨스 e북 &gt; 현대물</v>
      </c>
    </row>
    <row r="528" spans="1:57" x14ac:dyDescent="0.3">
      <c r="A528">
        <v>2313020108</v>
      </c>
      <c r="B528">
        <v>2313020195</v>
      </c>
      <c r="C528" t="str">
        <f>T("아빠는 마교대장 88화")</f>
        <v>아빠는 마교대장 88화</v>
      </c>
      <c r="D528" t="str">
        <f>T("88")</f>
        <v>88</v>
      </c>
      <c r="E528" t="str">
        <f t="shared" ref="E528:E559" si="86">T("구땡")</f>
        <v>구땡</v>
      </c>
      <c r="H528" t="str">
        <f t="shared" ref="H528:H559" si="87">T("스토리위즈")</f>
        <v>스토리위즈</v>
      </c>
      <c r="I528" t="str">
        <f t="shared" ref="I528:I559" si="88">T("아빠는 마교대장")</f>
        <v>아빠는 마교대장</v>
      </c>
      <c r="J528">
        <v>100</v>
      </c>
      <c r="K528">
        <v>2500</v>
      </c>
      <c r="L528">
        <v>25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2500</v>
      </c>
      <c r="AH528">
        <v>25</v>
      </c>
      <c r="AI528">
        <v>0</v>
      </c>
      <c r="AJ528">
        <v>0</v>
      </c>
      <c r="AK528">
        <v>2300</v>
      </c>
      <c r="AL528">
        <v>0</v>
      </c>
      <c r="AM528">
        <v>240</v>
      </c>
      <c r="AN528">
        <v>-72</v>
      </c>
      <c r="AO528">
        <v>0</v>
      </c>
      <c r="AP528"/>
      <c r="AQ528">
        <v>0</v>
      </c>
      <c r="AR528">
        <v>0</v>
      </c>
      <c r="AS528">
        <v>240</v>
      </c>
      <c r="AT528">
        <v>-72</v>
      </c>
      <c r="AU528">
        <v>0</v>
      </c>
      <c r="AW528">
        <v>0</v>
      </c>
      <c r="AX528">
        <v>0</v>
      </c>
      <c r="AY528">
        <v>1727.6</v>
      </c>
      <c r="BC528" t="str">
        <f t="shared" ref="BC528:BC559" si="89">T("9791137602076")</f>
        <v>9791137602076</v>
      </c>
      <c r="BE528" t="str">
        <f t="shared" ref="BE528:BE559" si="90">T("판타지 웹소설 &gt; 무협 소설")</f>
        <v>판타지 웹소설 &gt; 무협 소설</v>
      </c>
    </row>
    <row r="529" spans="1:57" x14ac:dyDescent="0.3">
      <c r="A529">
        <v>2313020108</v>
      </c>
      <c r="B529">
        <v>2313020196</v>
      </c>
      <c r="C529" t="str">
        <f>T("아빠는 마교대장 89화")</f>
        <v>아빠는 마교대장 89화</v>
      </c>
      <c r="D529" t="str">
        <f>T("89")</f>
        <v>89</v>
      </c>
      <c r="E529" t="str">
        <f t="shared" si="86"/>
        <v>구땡</v>
      </c>
      <c r="H529" t="str">
        <f t="shared" si="87"/>
        <v>스토리위즈</v>
      </c>
      <c r="I529" t="str">
        <f t="shared" si="88"/>
        <v>아빠는 마교대장</v>
      </c>
      <c r="J529">
        <v>100</v>
      </c>
      <c r="K529">
        <v>2500</v>
      </c>
      <c r="L529">
        <v>25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2500</v>
      </c>
      <c r="AH529">
        <v>25</v>
      </c>
      <c r="AI529">
        <v>0</v>
      </c>
      <c r="AJ529">
        <v>0</v>
      </c>
      <c r="AK529">
        <v>2300</v>
      </c>
      <c r="AL529">
        <v>0</v>
      </c>
      <c r="AM529">
        <v>240</v>
      </c>
      <c r="AN529">
        <v>-72</v>
      </c>
      <c r="AO529">
        <v>0</v>
      </c>
      <c r="AP529"/>
      <c r="AQ529">
        <v>0</v>
      </c>
      <c r="AR529">
        <v>0</v>
      </c>
      <c r="AS529">
        <v>240</v>
      </c>
      <c r="AT529">
        <v>-72</v>
      </c>
      <c r="AU529">
        <v>0</v>
      </c>
      <c r="AW529">
        <v>0</v>
      </c>
      <c r="AX529">
        <v>0</v>
      </c>
      <c r="AY529">
        <v>1727.6</v>
      </c>
      <c r="BC529" t="str">
        <f t="shared" si="89"/>
        <v>9791137602076</v>
      </c>
      <c r="BE529" t="str">
        <f t="shared" si="90"/>
        <v>판타지 웹소설 &gt; 무협 소설</v>
      </c>
    </row>
    <row r="530" spans="1:57" x14ac:dyDescent="0.3">
      <c r="A530">
        <v>2313020108</v>
      </c>
      <c r="B530">
        <v>2313020198</v>
      </c>
      <c r="C530" t="str">
        <f>T("아빠는 마교대장 91화")</f>
        <v>아빠는 마교대장 91화</v>
      </c>
      <c r="D530" t="str">
        <f>T("91")</f>
        <v>91</v>
      </c>
      <c r="E530" t="str">
        <f t="shared" si="86"/>
        <v>구땡</v>
      </c>
      <c r="H530" t="str">
        <f t="shared" si="87"/>
        <v>스토리위즈</v>
      </c>
      <c r="I530" t="str">
        <f t="shared" si="88"/>
        <v>아빠는 마교대장</v>
      </c>
      <c r="J530">
        <v>100</v>
      </c>
      <c r="K530">
        <v>2500</v>
      </c>
      <c r="L530">
        <v>25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2500</v>
      </c>
      <c r="AH530">
        <v>25</v>
      </c>
      <c r="AI530">
        <v>0</v>
      </c>
      <c r="AJ530">
        <v>0</v>
      </c>
      <c r="AK530">
        <v>2300</v>
      </c>
      <c r="AL530">
        <v>0</v>
      </c>
      <c r="AM530">
        <v>240</v>
      </c>
      <c r="AN530">
        <v>-72</v>
      </c>
      <c r="AO530">
        <v>0</v>
      </c>
      <c r="AP530"/>
      <c r="AQ530">
        <v>0</v>
      </c>
      <c r="AR530">
        <v>0</v>
      </c>
      <c r="AS530">
        <v>240</v>
      </c>
      <c r="AT530">
        <v>-72</v>
      </c>
      <c r="AU530">
        <v>0</v>
      </c>
      <c r="AW530">
        <v>0</v>
      </c>
      <c r="AX530">
        <v>0</v>
      </c>
      <c r="AY530">
        <v>1727.6</v>
      </c>
      <c r="BC530" t="str">
        <f t="shared" si="89"/>
        <v>9791137602076</v>
      </c>
      <c r="BE530" t="str">
        <f t="shared" si="90"/>
        <v>판타지 웹소설 &gt; 무협 소설</v>
      </c>
    </row>
    <row r="531" spans="1:57" x14ac:dyDescent="0.3">
      <c r="A531">
        <v>2313020108</v>
      </c>
      <c r="B531">
        <v>2313020200</v>
      </c>
      <c r="C531" t="str">
        <f>T("아빠는 마교대장 93화")</f>
        <v>아빠는 마교대장 93화</v>
      </c>
      <c r="D531" t="str">
        <f>T("93")</f>
        <v>93</v>
      </c>
      <c r="E531" t="str">
        <f t="shared" si="86"/>
        <v>구땡</v>
      </c>
      <c r="H531" t="str">
        <f t="shared" si="87"/>
        <v>스토리위즈</v>
      </c>
      <c r="I531" t="str">
        <f t="shared" si="88"/>
        <v>아빠는 마교대장</v>
      </c>
      <c r="J531">
        <v>100</v>
      </c>
      <c r="K531">
        <v>2500</v>
      </c>
      <c r="L531">
        <v>25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2500</v>
      </c>
      <c r="AH531">
        <v>25</v>
      </c>
      <c r="AI531">
        <v>0</v>
      </c>
      <c r="AJ531">
        <v>0</v>
      </c>
      <c r="AK531">
        <v>2300</v>
      </c>
      <c r="AL531">
        <v>0</v>
      </c>
      <c r="AM531">
        <v>240</v>
      </c>
      <c r="AN531">
        <v>-72</v>
      </c>
      <c r="AO531">
        <v>0</v>
      </c>
      <c r="AP531"/>
      <c r="AQ531">
        <v>0</v>
      </c>
      <c r="AR531">
        <v>0</v>
      </c>
      <c r="AS531">
        <v>240</v>
      </c>
      <c r="AT531">
        <v>-72</v>
      </c>
      <c r="AU531">
        <v>0</v>
      </c>
      <c r="AW531">
        <v>0</v>
      </c>
      <c r="AX531">
        <v>0</v>
      </c>
      <c r="AY531">
        <v>1727.6</v>
      </c>
      <c r="BC531" t="str">
        <f t="shared" si="89"/>
        <v>9791137602076</v>
      </c>
      <c r="BE531" t="str">
        <f t="shared" si="90"/>
        <v>판타지 웹소설 &gt; 무협 소설</v>
      </c>
    </row>
    <row r="532" spans="1:57" x14ac:dyDescent="0.3">
      <c r="A532">
        <v>2313020108</v>
      </c>
      <c r="B532">
        <v>2313020201</v>
      </c>
      <c r="C532" t="str">
        <f>T("아빠는 마교대장 94화")</f>
        <v>아빠는 마교대장 94화</v>
      </c>
      <c r="D532" t="str">
        <f>T("94")</f>
        <v>94</v>
      </c>
      <c r="E532" t="str">
        <f t="shared" si="86"/>
        <v>구땡</v>
      </c>
      <c r="H532" t="str">
        <f t="shared" si="87"/>
        <v>스토리위즈</v>
      </c>
      <c r="I532" t="str">
        <f t="shared" si="88"/>
        <v>아빠는 마교대장</v>
      </c>
      <c r="J532">
        <v>100</v>
      </c>
      <c r="K532">
        <v>2500</v>
      </c>
      <c r="L532">
        <v>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2500</v>
      </c>
      <c r="AH532">
        <v>25</v>
      </c>
      <c r="AI532">
        <v>0</v>
      </c>
      <c r="AJ532">
        <v>0</v>
      </c>
      <c r="AK532">
        <v>2300</v>
      </c>
      <c r="AL532">
        <v>0</v>
      </c>
      <c r="AM532">
        <v>240</v>
      </c>
      <c r="AN532">
        <v>-72</v>
      </c>
      <c r="AO532">
        <v>0</v>
      </c>
      <c r="AP532"/>
      <c r="AQ532">
        <v>0</v>
      </c>
      <c r="AR532">
        <v>0</v>
      </c>
      <c r="AS532">
        <v>240</v>
      </c>
      <c r="AT532">
        <v>-72</v>
      </c>
      <c r="AU532">
        <v>0</v>
      </c>
      <c r="AW532">
        <v>0</v>
      </c>
      <c r="AX532">
        <v>0</v>
      </c>
      <c r="AY532">
        <v>1727.6</v>
      </c>
      <c r="BC532" t="str">
        <f t="shared" si="89"/>
        <v>9791137602076</v>
      </c>
      <c r="BE532" t="str">
        <f t="shared" si="90"/>
        <v>판타지 웹소설 &gt; 무협 소설</v>
      </c>
    </row>
    <row r="533" spans="1:57" x14ac:dyDescent="0.3">
      <c r="A533">
        <v>2313020108</v>
      </c>
      <c r="B533">
        <v>2313020202</v>
      </c>
      <c r="C533" t="str">
        <f>T("아빠는 마교대장 95화")</f>
        <v>아빠는 마교대장 95화</v>
      </c>
      <c r="D533" t="str">
        <f>T("95")</f>
        <v>95</v>
      </c>
      <c r="E533" t="str">
        <f t="shared" si="86"/>
        <v>구땡</v>
      </c>
      <c r="H533" t="str">
        <f t="shared" si="87"/>
        <v>스토리위즈</v>
      </c>
      <c r="I533" t="str">
        <f t="shared" si="88"/>
        <v>아빠는 마교대장</v>
      </c>
      <c r="J533">
        <v>100</v>
      </c>
      <c r="K533">
        <v>2500</v>
      </c>
      <c r="L533">
        <v>25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2500</v>
      </c>
      <c r="AH533">
        <v>25</v>
      </c>
      <c r="AI533">
        <v>0</v>
      </c>
      <c r="AJ533">
        <v>0</v>
      </c>
      <c r="AK533">
        <v>2300</v>
      </c>
      <c r="AL533">
        <v>0</v>
      </c>
      <c r="AM533">
        <v>240</v>
      </c>
      <c r="AN533">
        <v>-72</v>
      </c>
      <c r="AO533">
        <v>0</v>
      </c>
      <c r="AP533"/>
      <c r="AQ533">
        <v>0</v>
      </c>
      <c r="AR533">
        <v>0</v>
      </c>
      <c r="AS533">
        <v>240</v>
      </c>
      <c r="AT533">
        <v>-72</v>
      </c>
      <c r="AU533">
        <v>0</v>
      </c>
      <c r="AW533">
        <v>0</v>
      </c>
      <c r="AX533">
        <v>0</v>
      </c>
      <c r="AY533">
        <v>1727.6</v>
      </c>
      <c r="BC533" t="str">
        <f t="shared" si="89"/>
        <v>9791137602076</v>
      </c>
      <c r="BE533" t="str">
        <f t="shared" si="90"/>
        <v>판타지 웹소설 &gt; 무협 소설</v>
      </c>
    </row>
    <row r="534" spans="1:57" x14ac:dyDescent="0.3">
      <c r="A534">
        <v>2313020108</v>
      </c>
      <c r="B534">
        <v>2313020203</v>
      </c>
      <c r="C534" t="str">
        <f>T("아빠는 마교대장 96화")</f>
        <v>아빠는 마교대장 96화</v>
      </c>
      <c r="D534" t="str">
        <f>T("96")</f>
        <v>96</v>
      </c>
      <c r="E534" t="str">
        <f t="shared" si="86"/>
        <v>구땡</v>
      </c>
      <c r="H534" t="str">
        <f t="shared" si="87"/>
        <v>스토리위즈</v>
      </c>
      <c r="I534" t="str">
        <f t="shared" si="88"/>
        <v>아빠는 마교대장</v>
      </c>
      <c r="J534">
        <v>100</v>
      </c>
      <c r="K534">
        <v>2500</v>
      </c>
      <c r="L534">
        <v>25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2500</v>
      </c>
      <c r="AH534">
        <v>25</v>
      </c>
      <c r="AI534">
        <v>0</v>
      </c>
      <c r="AJ534">
        <v>0</v>
      </c>
      <c r="AK534">
        <v>2300</v>
      </c>
      <c r="AL534">
        <v>0</v>
      </c>
      <c r="AM534">
        <v>240</v>
      </c>
      <c r="AN534">
        <v>-72</v>
      </c>
      <c r="AO534">
        <v>0</v>
      </c>
      <c r="AP534"/>
      <c r="AQ534">
        <v>0</v>
      </c>
      <c r="AR534">
        <v>0</v>
      </c>
      <c r="AS534">
        <v>240</v>
      </c>
      <c r="AT534">
        <v>-72</v>
      </c>
      <c r="AU534">
        <v>0</v>
      </c>
      <c r="AW534">
        <v>0</v>
      </c>
      <c r="AX534">
        <v>0</v>
      </c>
      <c r="AY534">
        <v>1727.6</v>
      </c>
      <c r="BC534" t="str">
        <f t="shared" si="89"/>
        <v>9791137602076</v>
      </c>
      <c r="BE534" t="str">
        <f t="shared" si="90"/>
        <v>판타지 웹소설 &gt; 무협 소설</v>
      </c>
    </row>
    <row r="535" spans="1:57" x14ac:dyDescent="0.3">
      <c r="A535">
        <v>2313020108</v>
      </c>
      <c r="B535">
        <v>2313020209</v>
      </c>
      <c r="C535" t="str">
        <f>T("아빠는 마교대장 102화")</f>
        <v>아빠는 마교대장 102화</v>
      </c>
      <c r="D535" t="str">
        <f>T("102")</f>
        <v>102</v>
      </c>
      <c r="E535" t="str">
        <f t="shared" si="86"/>
        <v>구땡</v>
      </c>
      <c r="H535" t="str">
        <f t="shared" si="87"/>
        <v>스토리위즈</v>
      </c>
      <c r="I535" t="str">
        <f t="shared" si="88"/>
        <v>아빠는 마교대장</v>
      </c>
      <c r="J535">
        <v>100</v>
      </c>
      <c r="K535">
        <v>2500</v>
      </c>
      <c r="L535">
        <v>25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2500</v>
      </c>
      <c r="AH535">
        <v>25</v>
      </c>
      <c r="AI535">
        <v>0</v>
      </c>
      <c r="AJ535">
        <v>0</v>
      </c>
      <c r="AK535">
        <v>2200</v>
      </c>
      <c r="AL535">
        <v>0</v>
      </c>
      <c r="AM535">
        <v>360</v>
      </c>
      <c r="AN535">
        <v>-108</v>
      </c>
      <c r="AO535">
        <v>0</v>
      </c>
      <c r="AP535"/>
      <c r="AQ535">
        <v>0</v>
      </c>
      <c r="AR535">
        <v>0</v>
      </c>
      <c r="AS535">
        <v>360</v>
      </c>
      <c r="AT535">
        <v>-108</v>
      </c>
      <c r="AU535">
        <v>0</v>
      </c>
      <c r="AW535">
        <v>0</v>
      </c>
      <c r="AX535">
        <v>0</v>
      </c>
      <c r="AY535">
        <v>1716.4</v>
      </c>
      <c r="BC535" t="str">
        <f t="shared" si="89"/>
        <v>9791137602076</v>
      </c>
      <c r="BE535" t="str">
        <f t="shared" si="90"/>
        <v>판타지 웹소설 &gt; 무협 소설</v>
      </c>
    </row>
    <row r="536" spans="1:57" x14ac:dyDescent="0.3">
      <c r="A536">
        <v>2313020108</v>
      </c>
      <c r="B536">
        <v>2313020213</v>
      </c>
      <c r="C536" t="str">
        <f>T("아빠는 마교대장 106화")</f>
        <v>아빠는 마교대장 106화</v>
      </c>
      <c r="D536" t="str">
        <f>T("106")</f>
        <v>106</v>
      </c>
      <c r="E536" t="str">
        <f t="shared" si="86"/>
        <v>구땡</v>
      </c>
      <c r="H536" t="str">
        <f t="shared" si="87"/>
        <v>스토리위즈</v>
      </c>
      <c r="I536" t="str">
        <f t="shared" si="88"/>
        <v>아빠는 마교대장</v>
      </c>
      <c r="J536">
        <v>100</v>
      </c>
      <c r="K536">
        <v>2500</v>
      </c>
      <c r="L536">
        <v>25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2500</v>
      </c>
      <c r="AH536">
        <v>25</v>
      </c>
      <c r="AI536">
        <v>0</v>
      </c>
      <c r="AJ536">
        <v>0</v>
      </c>
      <c r="AK536">
        <v>2300</v>
      </c>
      <c r="AL536">
        <v>0</v>
      </c>
      <c r="AM536">
        <v>240</v>
      </c>
      <c r="AN536">
        <v>-72</v>
      </c>
      <c r="AO536">
        <v>0</v>
      </c>
      <c r="AP536"/>
      <c r="AQ536">
        <v>0</v>
      </c>
      <c r="AR536">
        <v>0</v>
      </c>
      <c r="AS536">
        <v>240</v>
      </c>
      <c r="AT536">
        <v>-72</v>
      </c>
      <c r="AU536">
        <v>0</v>
      </c>
      <c r="AW536">
        <v>0</v>
      </c>
      <c r="AX536">
        <v>0</v>
      </c>
      <c r="AY536">
        <v>1727.6</v>
      </c>
      <c r="BC536" t="str">
        <f t="shared" si="89"/>
        <v>9791137602076</v>
      </c>
      <c r="BE536" t="str">
        <f t="shared" si="90"/>
        <v>판타지 웹소설 &gt; 무협 소설</v>
      </c>
    </row>
    <row r="537" spans="1:57" x14ac:dyDescent="0.3">
      <c r="A537">
        <v>2313020108</v>
      </c>
      <c r="B537">
        <v>2313020214</v>
      </c>
      <c r="C537" t="str">
        <f>T("아빠는 마교대장 107화")</f>
        <v>아빠는 마교대장 107화</v>
      </c>
      <c r="D537" t="str">
        <f>T("107")</f>
        <v>107</v>
      </c>
      <c r="E537" t="str">
        <f t="shared" si="86"/>
        <v>구땡</v>
      </c>
      <c r="H537" t="str">
        <f t="shared" si="87"/>
        <v>스토리위즈</v>
      </c>
      <c r="I537" t="str">
        <f t="shared" si="88"/>
        <v>아빠는 마교대장</v>
      </c>
      <c r="J537">
        <v>100</v>
      </c>
      <c r="K537">
        <v>2500</v>
      </c>
      <c r="L537">
        <v>25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2500</v>
      </c>
      <c r="AH537">
        <v>25</v>
      </c>
      <c r="AI537">
        <v>0</v>
      </c>
      <c r="AJ537">
        <v>0</v>
      </c>
      <c r="AK537">
        <v>2300</v>
      </c>
      <c r="AL537">
        <v>0</v>
      </c>
      <c r="AM537">
        <v>240</v>
      </c>
      <c r="AN537">
        <v>-72</v>
      </c>
      <c r="AO537">
        <v>0</v>
      </c>
      <c r="AP537"/>
      <c r="AQ537">
        <v>0</v>
      </c>
      <c r="AR537">
        <v>0</v>
      </c>
      <c r="AS537">
        <v>240</v>
      </c>
      <c r="AT537">
        <v>-72</v>
      </c>
      <c r="AU537">
        <v>0</v>
      </c>
      <c r="AW537">
        <v>0</v>
      </c>
      <c r="AX537">
        <v>0</v>
      </c>
      <c r="AY537">
        <v>1727.6</v>
      </c>
      <c r="BC537" t="str">
        <f t="shared" si="89"/>
        <v>9791137602076</v>
      </c>
      <c r="BE537" t="str">
        <f t="shared" si="90"/>
        <v>판타지 웹소설 &gt; 무협 소설</v>
      </c>
    </row>
    <row r="538" spans="1:57" x14ac:dyDescent="0.3">
      <c r="A538">
        <v>2313020108</v>
      </c>
      <c r="B538">
        <v>2313020215</v>
      </c>
      <c r="C538" t="str">
        <f>T("아빠는 마교대장 108화")</f>
        <v>아빠는 마교대장 108화</v>
      </c>
      <c r="D538" t="str">
        <f>T("108")</f>
        <v>108</v>
      </c>
      <c r="E538" t="str">
        <f t="shared" si="86"/>
        <v>구땡</v>
      </c>
      <c r="H538" t="str">
        <f t="shared" si="87"/>
        <v>스토리위즈</v>
      </c>
      <c r="I538" t="str">
        <f t="shared" si="88"/>
        <v>아빠는 마교대장</v>
      </c>
      <c r="J538">
        <v>100</v>
      </c>
      <c r="K538">
        <v>2500</v>
      </c>
      <c r="L538">
        <v>25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2500</v>
      </c>
      <c r="AH538">
        <v>25</v>
      </c>
      <c r="AI538">
        <v>0</v>
      </c>
      <c r="AJ538">
        <v>0</v>
      </c>
      <c r="AK538">
        <v>2300</v>
      </c>
      <c r="AL538">
        <v>0</v>
      </c>
      <c r="AM538">
        <v>240</v>
      </c>
      <c r="AN538">
        <v>-72</v>
      </c>
      <c r="AO538">
        <v>0</v>
      </c>
      <c r="AP538"/>
      <c r="AQ538">
        <v>0</v>
      </c>
      <c r="AR538">
        <v>0</v>
      </c>
      <c r="AS538">
        <v>240</v>
      </c>
      <c r="AT538">
        <v>-72</v>
      </c>
      <c r="AU538">
        <v>0</v>
      </c>
      <c r="AW538">
        <v>0</v>
      </c>
      <c r="AX538">
        <v>0</v>
      </c>
      <c r="AY538">
        <v>1727.6</v>
      </c>
      <c r="BC538" t="str">
        <f t="shared" si="89"/>
        <v>9791137602076</v>
      </c>
      <c r="BE538" t="str">
        <f t="shared" si="90"/>
        <v>판타지 웹소설 &gt; 무협 소설</v>
      </c>
    </row>
    <row r="539" spans="1:57" x14ac:dyDescent="0.3">
      <c r="A539">
        <v>2313020108</v>
      </c>
      <c r="B539">
        <v>2313020216</v>
      </c>
      <c r="C539" t="str">
        <f>T("아빠는 마교대장 109화")</f>
        <v>아빠는 마교대장 109화</v>
      </c>
      <c r="D539" t="str">
        <f>T("109")</f>
        <v>109</v>
      </c>
      <c r="E539" t="str">
        <f t="shared" si="86"/>
        <v>구땡</v>
      </c>
      <c r="H539" t="str">
        <f t="shared" si="87"/>
        <v>스토리위즈</v>
      </c>
      <c r="I539" t="str">
        <f t="shared" si="88"/>
        <v>아빠는 마교대장</v>
      </c>
      <c r="J539">
        <v>100</v>
      </c>
      <c r="K539">
        <v>2500</v>
      </c>
      <c r="L539">
        <v>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2500</v>
      </c>
      <c r="AH539">
        <v>25</v>
      </c>
      <c r="AI539">
        <v>0</v>
      </c>
      <c r="AJ539">
        <v>0</v>
      </c>
      <c r="AK539">
        <v>2300</v>
      </c>
      <c r="AL539">
        <v>0</v>
      </c>
      <c r="AM539">
        <v>240</v>
      </c>
      <c r="AN539">
        <v>-72</v>
      </c>
      <c r="AO539">
        <v>0</v>
      </c>
      <c r="AP539"/>
      <c r="AQ539">
        <v>0</v>
      </c>
      <c r="AR539">
        <v>0</v>
      </c>
      <c r="AS539">
        <v>240</v>
      </c>
      <c r="AT539">
        <v>-72</v>
      </c>
      <c r="AU539">
        <v>0</v>
      </c>
      <c r="AW539">
        <v>0</v>
      </c>
      <c r="AX539">
        <v>0</v>
      </c>
      <c r="AY539">
        <v>1727.6</v>
      </c>
      <c r="BC539" t="str">
        <f t="shared" si="89"/>
        <v>9791137602076</v>
      </c>
      <c r="BE539" t="str">
        <f t="shared" si="90"/>
        <v>판타지 웹소설 &gt; 무협 소설</v>
      </c>
    </row>
    <row r="540" spans="1:57" x14ac:dyDescent="0.3">
      <c r="A540">
        <v>2313020108</v>
      </c>
      <c r="B540">
        <v>2313020218</v>
      </c>
      <c r="C540" t="str">
        <f>T("아빠는 마교대장 111화")</f>
        <v>아빠는 마교대장 111화</v>
      </c>
      <c r="D540" t="str">
        <f>T("111")</f>
        <v>111</v>
      </c>
      <c r="E540" t="str">
        <f t="shared" si="86"/>
        <v>구땡</v>
      </c>
      <c r="H540" t="str">
        <f t="shared" si="87"/>
        <v>스토리위즈</v>
      </c>
      <c r="I540" t="str">
        <f t="shared" si="88"/>
        <v>아빠는 마교대장</v>
      </c>
      <c r="J540">
        <v>100</v>
      </c>
      <c r="K540">
        <v>2500</v>
      </c>
      <c r="L540">
        <v>25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2500</v>
      </c>
      <c r="AH540">
        <v>25</v>
      </c>
      <c r="AI540">
        <v>0</v>
      </c>
      <c r="AJ540">
        <v>0</v>
      </c>
      <c r="AK540">
        <v>2300</v>
      </c>
      <c r="AL540">
        <v>0</v>
      </c>
      <c r="AM540">
        <v>240</v>
      </c>
      <c r="AN540">
        <v>-72</v>
      </c>
      <c r="AO540">
        <v>0</v>
      </c>
      <c r="AP540"/>
      <c r="AQ540">
        <v>0</v>
      </c>
      <c r="AR540">
        <v>0</v>
      </c>
      <c r="AS540">
        <v>240</v>
      </c>
      <c r="AT540">
        <v>-72</v>
      </c>
      <c r="AU540">
        <v>0</v>
      </c>
      <c r="AW540">
        <v>0</v>
      </c>
      <c r="AX540">
        <v>0</v>
      </c>
      <c r="AY540">
        <v>1727.6</v>
      </c>
      <c r="BC540" t="str">
        <f t="shared" si="89"/>
        <v>9791137602076</v>
      </c>
      <c r="BE540" t="str">
        <f t="shared" si="90"/>
        <v>판타지 웹소설 &gt; 무협 소설</v>
      </c>
    </row>
    <row r="541" spans="1:57" x14ac:dyDescent="0.3">
      <c r="A541">
        <v>2313020108</v>
      </c>
      <c r="B541">
        <v>2313020219</v>
      </c>
      <c r="C541" t="str">
        <f>T("아빠는 마교대장 112화")</f>
        <v>아빠는 마교대장 112화</v>
      </c>
      <c r="D541" t="str">
        <f>T("112")</f>
        <v>112</v>
      </c>
      <c r="E541" t="str">
        <f t="shared" si="86"/>
        <v>구땡</v>
      </c>
      <c r="H541" t="str">
        <f t="shared" si="87"/>
        <v>스토리위즈</v>
      </c>
      <c r="I541" t="str">
        <f t="shared" si="88"/>
        <v>아빠는 마교대장</v>
      </c>
      <c r="J541">
        <v>100</v>
      </c>
      <c r="K541">
        <v>2500</v>
      </c>
      <c r="L541">
        <v>25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2500</v>
      </c>
      <c r="AH541">
        <v>25</v>
      </c>
      <c r="AI541">
        <v>0</v>
      </c>
      <c r="AJ541">
        <v>0</v>
      </c>
      <c r="AK541">
        <v>2300</v>
      </c>
      <c r="AL541">
        <v>0</v>
      </c>
      <c r="AM541">
        <v>240</v>
      </c>
      <c r="AN541">
        <v>-72</v>
      </c>
      <c r="AO541">
        <v>0</v>
      </c>
      <c r="AP541"/>
      <c r="AQ541">
        <v>0</v>
      </c>
      <c r="AR541">
        <v>0</v>
      </c>
      <c r="AS541">
        <v>240</v>
      </c>
      <c r="AT541">
        <v>-72</v>
      </c>
      <c r="AU541">
        <v>0</v>
      </c>
      <c r="AW541">
        <v>0</v>
      </c>
      <c r="AX541">
        <v>0</v>
      </c>
      <c r="AY541">
        <v>1727.6</v>
      </c>
      <c r="BC541" t="str">
        <f t="shared" si="89"/>
        <v>9791137602076</v>
      </c>
      <c r="BE541" t="str">
        <f t="shared" si="90"/>
        <v>판타지 웹소설 &gt; 무협 소설</v>
      </c>
    </row>
    <row r="542" spans="1:57" x14ac:dyDescent="0.3">
      <c r="A542">
        <v>2313020108</v>
      </c>
      <c r="B542">
        <v>2313020220</v>
      </c>
      <c r="C542" t="str">
        <f>T("아빠는 마교대장 113화")</f>
        <v>아빠는 마교대장 113화</v>
      </c>
      <c r="D542" t="str">
        <f>T("113")</f>
        <v>113</v>
      </c>
      <c r="E542" t="str">
        <f t="shared" si="86"/>
        <v>구땡</v>
      </c>
      <c r="H542" t="str">
        <f t="shared" si="87"/>
        <v>스토리위즈</v>
      </c>
      <c r="I542" t="str">
        <f t="shared" si="88"/>
        <v>아빠는 마교대장</v>
      </c>
      <c r="J542">
        <v>100</v>
      </c>
      <c r="K542">
        <v>2500</v>
      </c>
      <c r="L542">
        <v>25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2500</v>
      </c>
      <c r="AH542">
        <v>25</v>
      </c>
      <c r="AI542">
        <v>0</v>
      </c>
      <c r="AJ542">
        <v>0</v>
      </c>
      <c r="AK542">
        <v>2300</v>
      </c>
      <c r="AL542">
        <v>0</v>
      </c>
      <c r="AM542">
        <v>240</v>
      </c>
      <c r="AN542">
        <v>-72</v>
      </c>
      <c r="AO542">
        <v>0</v>
      </c>
      <c r="AP542"/>
      <c r="AQ542">
        <v>0</v>
      </c>
      <c r="AR542">
        <v>0</v>
      </c>
      <c r="AS542">
        <v>240</v>
      </c>
      <c r="AT542">
        <v>-72</v>
      </c>
      <c r="AU542">
        <v>0</v>
      </c>
      <c r="AW542">
        <v>0</v>
      </c>
      <c r="AX542">
        <v>0</v>
      </c>
      <c r="AY542">
        <v>1727.6</v>
      </c>
      <c r="BC542" t="str">
        <f t="shared" si="89"/>
        <v>9791137602076</v>
      </c>
      <c r="BE542" t="str">
        <f t="shared" si="90"/>
        <v>판타지 웹소설 &gt; 무협 소설</v>
      </c>
    </row>
    <row r="543" spans="1:57" x14ac:dyDescent="0.3">
      <c r="A543">
        <v>2313020108</v>
      </c>
      <c r="B543">
        <v>2313020222</v>
      </c>
      <c r="C543" t="str">
        <f>T("아빠는 마교대장 115화")</f>
        <v>아빠는 마교대장 115화</v>
      </c>
      <c r="D543" t="str">
        <f>T("115")</f>
        <v>115</v>
      </c>
      <c r="E543" t="str">
        <f t="shared" si="86"/>
        <v>구땡</v>
      </c>
      <c r="H543" t="str">
        <f t="shared" si="87"/>
        <v>스토리위즈</v>
      </c>
      <c r="I543" t="str">
        <f t="shared" si="88"/>
        <v>아빠는 마교대장</v>
      </c>
      <c r="J543">
        <v>100</v>
      </c>
      <c r="K543">
        <v>2500</v>
      </c>
      <c r="L543">
        <v>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2500</v>
      </c>
      <c r="AH543">
        <v>25</v>
      </c>
      <c r="AI543">
        <v>0</v>
      </c>
      <c r="AJ543">
        <v>0</v>
      </c>
      <c r="AK543">
        <v>2300</v>
      </c>
      <c r="AL543">
        <v>0</v>
      </c>
      <c r="AM543">
        <v>240</v>
      </c>
      <c r="AN543">
        <v>-72</v>
      </c>
      <c r="AO543">
        <v>0</v>
      </c>
      <c r="AP543"/>
      <c r="AQ543">
        <v>0</v>
      </c>
      <c r="AR543">
        <v>0</v>
      </c>
      <c r="AS543">
        <v>240</v>
      </c>
      <c r="AT543">
        <v>-72</v>
      </c>
      <c r="AU543">
        <v>0</v>
      </c>
      <c r="AW543">
        <v>0</v>
      </c>
      <c r="AX543">
        <v>0</v>
      </c>
      <c r="AY543">
        <v>1727.6</v>
      </c>
      <c r="BC543" t="str">
        <f t="shared" si="89"/>
        <v>9791137602076</v>
      </c>
      <c r="BE543" t="str">
        <f t="shared" si="90"/>
        <v>판타지 웹소설 &gt; 무협 소설</v>
      </c>
    </row>
    <row r="544" spans="1:57" x14ac:dyDescent="0.3">
      <c r="A544">
        <v>2313020108</v>
      </c>
      <c r="B544">
        <v>2313020223</v>
      </c>
      <c r="C544" t="str">
        <f>T("아빠는 마교대장 116화")</f>
        <v>아빠는 마교대장 116화</v>
      </c>
      <c r="D544" t="str">
        <f>T("116")</f>
        <v>116</v>
      </c>
      <c r="E544" t="str">
        <f t="shared" si="86"/>
        <v>구땡</v>
      </c>
      <c r="H544" t="str">
        <f t="shared" si="87"/>
        <v>스토리위즈</v>
      </c>
      <c r="I544" t="str">
        <f t="shared" si="88"/>
        <v>아빠는 마교대장</v>
      </c>
      <c r="J544">
        <v>100</v>
      </c>
      <c r="K544">
        <v>2500</v>
      </c>
      <c r="L544">
        <v>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2500</v>
      </c>
      <c r="AH544">
        <v>25</v>
      </c>
      <c r="AI544">
        <v>0</v>
      </c>
      <c r="AJ544">
        <v>0</v>
      </c>
      <c r="AK544">
        <v>2300</v>
      </c>
      <c r="AL544">
        <v>0</v>
      </c>
      <c r="AM544">
        <v>240</v>
      </c>
      <c r="AN544">
        <v>-72</v>
      </c>
      <c r="AO544">
        <v>0</v>
      </c>
      <c r="AP544"/>
      <c r="AQ544">
        <v>0</v>
      </c>
      <c r="AR544">
        <v>0</v>
      </c>
      <c r="AS544">
        <v>240</v>
      </c>
      <c r="AT544">
        <v>-72</v>
      </c>
      <c r="AU544">
        <v>0</v>
      </c>
      <c r="AW544">
        <v>0</v>
      </c>
      <c r="AX544">
        <v>0</v>
      </c>
      <c r="AY544">
        <v>1727.6</v>
      </c>
      <c r="BC544" t="str">
        <f t="shared" si="89"/>
        <v>9791137602076</v>
      </c>
      <c r="BE544" t="str">
        <f t="shared" si="90"/>
        <v>판타지 웹소설 &gt; 무협 소설</v>
      </c>
    </row>
    <row r="545" spans="1:57" x14ac:dyDescent="0.3">
      <c r="A545">
        <v>2313020108</v>
      </c>
      <c r="B545">
        <v>2313020225</v>
      </c>
      <c r="C545" t="str">
        <f>T("아빠는 마교대장 118화")</f>
        <v>아빠는 마교대장 118화</v>
      </c>
      <c r="D545" t="str">
        <f>T("118")</f>
        <v>118</v>
      </c>
      <c r="E545" t="str">
        <f t="shared" si="86"/>
        <v>구땡</v>
      </c>
      <c r="H545" t="str">
        <f t="shared" si="87"/>
        <v>스토리위즈</v>
      </c>
      <c r="I545" t="str">
        <f t="shared" si="88"/>
        <v>아빠는 마교대장</v>
      </c>
      <c r="J545">
        <v>100</v>
      </c>
      <c r="K545">
        <v>2500</v>
      </c>
      <c r="L545">
        <v>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2500</v>
      </c>
      <c r="AH545">
        <v>25</v>
      </c>
      <c r="AI545">
        <v>0</v>
      </c>
      <c r="AJ545">
        <v>0</v>
      </c>
      <c r="AK545">
        <v>2300</v>
      </c>
      <c r="AL545">
        <v>0</v>
      </c>
      <c r="AM545">
        <v>240</v>
      </c>
      <c r="AN545">
        <v>-72</v>
      </c>
      <c r="AO545">
        <v>0</v>
      </c>
      <c r="AP545"/>
      <c r="AQ545">
        <v>0</v>
      </c>
      <c r="AR545">
        <v>0</v>
      </c>
      <c r="AS545">
        <v>240</v>
      </c>
      <c r="AT545">
        <v>-72</v>
      </c>
      <c r="AU545">
        <v>0</v>
      </c>
      <c r="AW545">
        <v>0</v>
      </c>
      <c r="AX545">
        <v>0</v>
      </c>
      <c r="AY545">
        <v>1727.6</v>
      </c>
      <c r="BC545" t="str">
        <f t="shared" si="89"/>
        <v>9791137602076</v>
      </c>
      <c r="BE545" t="str">
        <f t="shared" si="90"/>
        <v>판타지 웹소설 &gt; 무협 소설</v>
      </c>
    </row>
    <row r="546" spans="1:57" x14ac:dyDescent="0.3">
      <c r="A546">
        <v>2313020108</v>
      </c>
      <c r="B546">
        <v>2313020226</v>
      </c>
      <c r="C546" t="str">
        <f>T("아빠는 마교대장 119화")</f>
        <v>아빠는 마교대장 119화</v>
      </c>
      <c r="D546" t="str">
        <f>T("119")</f>
        <v>119</v>
      </c>
      <c r="E546" t="str">
        <f t="shared" si="86"/>
        <v>구땡</v>
      </c>
      <c r="H546" t="str">
        <f t="shared" si="87"/>
        <v>스토리위즈</v>
      </c>
      <c r="I546" t="str">
        <f t="shared" si="88"/>
        <v>아빠는 마교대장</v>
      </c>
      <c r="J546">
        <v>100</v>
      </c>
      <c r="K546">
        <v>2500</v>
      </c>
      <c r="L546">
        <v>25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2500</v>
      </c>
      <c r="AH546">
        <v>25</v>
      </c>
      <c r="AI546">
        <v>0</v>
      </c>
      <c r="AJ546">
        <v>0</v>
      </c>
      <c r="AK546">
        <v>2300</v>
      </c>
      <c r="AL546">
        <v>0</v>
      </c>
      <c r="AM546">
        <v>240</v>
      </c>
      <c r="AN546">
        <v>-72</v>
      </c>
      <c r="AO546">
        <v>0</v>
      </c>
      <c r="AP546"/>
      <c r="AQ546">
        <v>0</v>
      </c>
      <c r="AR546">
        <v>0</v>
      </c>
      <c r="AS546">
        <v>240</v>
      </c>
      <c r="AT546">
        <v>-72</v>
      </c>
      <c r="AU546">
        <v>0</v>
      </c>
      <c r="AW546">
        <v>0</v>
      </c>
      <c r="AX546">
        <v>0</v>
      </c>
      <c r="AY546">
        <v>1727.6</v>
      </c>
      <c r="BC546" t="str">
        <f t="shared" si="89"/>
        <v>9791137602076</v>
      </c>
      <c r="BE546" t="str">
        <f t="shared" si="90"/>
        <v>판타지 웹소설 &gt; 무협 소설</v>
      </c>
    </row>
    <row r="547" spans="1:57" x14ac:dyDescent="0.3">
      <c r="A547">
        <v>2313020108</v>
      </c>
      <c r="B547">
        <v>2313020229</v>
      </c>
      <c r="C547" t="str">
        <f>T("아빠는 마교대장 122화")</f>
        <v>아빠는 마교대장 122화</v>
      </c>
      <c r="D547" t="str">
        <f>T("122")</f>
        <v>122</v>
      </c>
      <c r="E547" t="str">
        <f t="shared" si="86"/>
        <v>구땡</v>
      </c>
      <c r="H547" t="str">
        <f t="shared" si="87"/>
        <v>스토리위즈</v>
      </c>
      <c r="I547" t="str">
        <f t="shared" si="88"/>
        <v>아빠는 마교대장</v>
      </c>
      <c r="J547">
        <v>100</v>
      </c>
      <c r="K547">
        <v>2500</v>
      </c>
      <c r="L547">
        <v>25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2500</v>
      </c>
      <c r="AH547">
        <v>25</v>
      </c>
      <c r="AI547">
        <v>0</v>
      </c>
      <c r="AJ547">
        <v>0</v>
      </c>
      <c r="AK547">
        <v>2300</v>
      </c>
      <c r="AL547">
        <v>0</v>
      </c>
      <c r="AM547">
        <v>240</v>
      </c>
      <c r="AN547">
        <v>-48</v>
      </c>
      <c r="AO547">
        <v>0</v>
      </c>
      <c r="AP547"/>
      <c r="AQ547">
        <v>0</v>
      </c>
      <c r="AR547">
        <v>0</v>
      </c>
      <c r="AS547">
        <v>240</v>
      </c>
      <c r="AT547">
        <v>-48</v>
      </c>
      <c r="AU547">
        <v>0</v>
      </c>
      <c r="AW547">
        <v>0</v>
      </c>
      <c r="AX547">
        <v>0</v>
      </c>
      <c r="AY547">
        <v>1744.4</v>
      </c>
      <c r="BC547" t="str">
        <f t="shared" si="89"/>
        <v>9791137602076</v>
      </c>
      <c r="BE547" t="str">
        <f t="shared" si="90"/>
        <v>판타지 웹소설 &gt; 무협 소설</v>
      </c>
    </row>
    <row r="548" spans="1:57" x14ac:dyDescent="0.3">
      <c r="A548">
        <v>2313020108</v>
      </c>
      <c r="B548">
        <v>2313020230</v>
      </c>
      <c r="C548" t="str">
        <f>T("아빠는 마교대장 123화")</f>
        <v>아빠는 마교대장 123화</v>
      </c>
      <c r="D548" t="str">
        <f>T("123")</f>
        <v>123</v>
      </c>
      <c r="E548" t="str">
        <f t="shared" si="86"/>
        <v>구땡</v>
      </c>
      <c r="H548" t="str">
        <f t="shared" si="87"/>
        <v>스토리위즈</v>
      </c>
      <c r="I548" t="str">
        <f t="shared" si="88"/>
        <v>아빠는 마교대장</v>
      </c>
      <c r="J548">
        <v>100</v>
      </c>
      <c r="K548">
        <v>2500</v>
      </c>
      <c r="L548">
        <v>25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2500</v>
      </c>
      <c r="AH548">
        <v>25</v>
      </c>
      <c r="AI548">
        <v>0</v>
      </c>
      <c r="AJ548">
        <v>0</v>
      </c>
      <c r="AK548">
        <v>2300</v>
      </c>
      <c r="AL548">
        <v>0</v>
      </c>
      <c r="AM548">
        <v>240</v>
      </c>
      <c r="AN548">
        <v>-48</v>
      </c>
      <c r="AO548">
        <v>0</v>
      </c>
      <c r="AP548"/>
      <c r="AQ548">
        <v>0</v>
      </c>
      <c r="AR548">
        <v>0</v>
      </c>
      <c r="AS548">
        <v>240</v>
      </c>
      <c r="AT548">
        <v>-48</v>
      </c>
      <c r="AU548">
        <v>0</v>
      </c>
      <c r="AW548">
        <v>0</v>
      </c>
      <c r="AX548">
        <v>0</v>
      </c>
      <c r="AY548">
        <v>1744.4</v>
      </c>
      <c r="BC548" t="str">
        <f t="shared" si="89"/>
        <v>9791137602076</v>
      </c>
      <c r="BE548" t="str">
        <f t="shared" si="90"/>
        <v>판타지 웹소설 &gt; 무협 소설</v>
      </c>
    </row>
    <row r="549" spans="1:57" x14ac:dyDescent="0.3">
      <c r="A549">
        <v>2313020108</v>
      </c>
      <c r="B549">
        <v>2313020250</v>
      </c>
      <c r="C549" t="str">
        <f>T("아빠는 마교대장 143화")</f>
        <v>아빠는 마교대장 143화</v>
      </c>
      <c r="D549" t="str">
        <f>T("143")</f>
        <v>143</v>
      </c>
      <c r="E549" t="str">
        <f t="shared" si="86"/>
        <v>구땡</v>
      </c>
      <c r="H549" t="str">
        <f t="shared" si="87"/>
        <v>스토리위즈</v>
      </c>
      <c r="I549" t="str">
        <f t="shared" si="88"/>
        <v>아빠는 마교대장</v>
      </c>
      <c r="J549">
        <v>100</v>
      </c>
      <c r="K549">
        <v>2500</v>
      </c>
      <c r="L549">
        <v>25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2500</v>
      </c>
      <c r="AH549">
        <v>25</v>
      </c>
      <c r="AI549">
        <v>0</v>
      </c>
      <c r="AJ549">
        <v>0</v>
      </c>
      <c r="AK549">
        <v>2300</v>
      </c>
      <c r="AL549">
        <v>0</v>
      </c>
      <c r="AM549">
        <v>240</v>
      </c>
      <c r="AN549">
        <v>-48</v>
      </c>
      <c r="AO549">
        <v>0</v>
      </c>
      <c r="AP549"/>
      <c r="AQ549">
        <v>0</v>
      </c>
      <c r="AR549">
        <v>0</v>
      </c>
      <c r="AS549">
        <v>240</v>
      </c>
      <c r="AT549">
        <v>-48</v>
      </c>
      <c r="AU549">
        <v>0</v>
      </c>
      <c r="AW549">
        <v>0</v>
      </c>
      <c r="AX549">
        <v>0</v>
      </c>
      <c r="AY549">
        <v>1744.4</v>
      </c>
      <c r="BC549" t="str">
        <f t="shared" si="89"/>
        <v>9791137602076</v>
      </c>
      <c r="BE549" t="str">
        <f t="shared" si="90"/>
        <v>판타지 웹소설 &gt; 무협 소설</v>
      </c>
    </row>
    <row r="550" spans="1:57" x14ac:dyDescent="0.3">
      <c r="A550">
        <v>2313020108</v>
      </c>
      <c r="B550">
        <v>2313020251</v>
      </c>
      <c r="C550" t="str">
        <f>T("아빠는 마교대장 144화")</f>
        <v>아빠는 마교대장 144화</v>
      </c>
      <c r="D550" t="str">
        <f>T("144")</f>
        <v>144</v>
      </c>
      <c r="E550" t="str">
        <f t="shared" si="86"/>
        <v>구땡</v>
      </c>
      <c r="H550" t="str">
        <f t="shared" si="87"/>
        <v>스토리위즈</v>
      </c>
      <c r="I550" t="str">
        <f t="shared" si="88"/>
        <v>아빠는 마교대장</v>
      </c>
      <c r="J550">
        <v>100</v>
      </c>
      <c r="K550">
        <v>2500</v>
      </c>
      <c r="L550">
        <v>25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2500</v>
      </c>
      <c r="AH550">
        <v>25</v>
      </c>
      <c r="AI550">
        <v>0</v>
      </c>
      <c r="AJ550">
        <v>0</v>
      </c>
      <c r="AK550">
        <v>2300</v>
      </c>
      <c r="AL550">
        <v>0</v>
      </c>
      <c r="AM550">
        <v>240</v>
      </c>
      <c r="AN550">
        <v>-48</v>
      </c>
      <c r="AO550">
        <v>0</v>
      </c>
      <c r="AP550"/>
      <c r="AQ550">
        <v>0</v>
      </c>
      <c r="AR550">
        <v>0</v>
      </c>
      <c r="AS550">
        <v>240</v>
      </c>
      <c r="AT550">
        <v>-48</v>
      </c>
      <c r="AU550">
        <v>0</v>
      </c>
      <c r="AW550">
        <v>0</v>
      </c>
      <c r="AX550">
        <v>0</v>
      </c>
      <c r="AY550">
        <v>1744.4</v>
      </c>
      <c r="BC550" t="str">
        <f t="shared" si="89"/>
        <v>9791137602076</v>
      </c>
      <c r="BE550" t="str">
        <f t="shared" si="90"/>
        <v>판타지 웹소설 &gt; 무협 소설</v>
      </c>
    </row>
    <row r="551" spans="1:57" x14ac:dyDescent="0.3">
      <c r="A551">
        <v>2313020108</v>
      </c>
      <c r="B551">
        <v>2313020252</v>
      </c>
      <c r="C551" t="str">
        <f>T("아빠는 마교대장 145화")</f>
        <v>아빠는 마교대장 145화</v>
      </c>
      <c r="D551" t="str">
        <f>T("145")</f>
        <v>145</v>
      </c>
      <c r="E551" t="str">
        <f t="shared" si="86"/>
        <v>구땡</v>
      </c>
      <c r="H551" t="str">
        <f t="shared" si="87"/>
        <v>스토리위즈</v>
      </c>
      <c r="I551" t="str">
        <f t="shared" si="88"/>
        <v>아빠는 마교대장</v>
      </c>
      <c r="J551">
        <v>100</v>
      </c>
      <c r="K551">
        <v>2500</v>
      </c>
      <c r="L551">
        <v>25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2500</v>
      </c>
      <c r="AH551">
        <v>25</v>
      </c>
      <c r="AI551">
        <v>0</v>
      </c>
      <c r="AJ551">
        <v>0</v>
      </c>
      <c r="AK551">
        <v>2300</v>
      </c>
      <c r="AL551">
        <v>0</v>
      </c>
      <c r="AM551">
        <v>240</v>
      </c>
      <c r="AN551">
        <v>-48</v>
      </c>
      <c r="AO551">
        <v>0</v>
      </c>
      <c r="AP551"/>
      <c r="AQ551">
        <v>0</v>
      </c>
      <c r="AR551">
        <v>0</v>
      </c>
      <c r="AS551">
        <v>240</v>
      </c>
      <c r="AT551">
        <v>-48</v>
      </c>
      <c r="AU551">
        <v>0</v>
      </c>
      <c r="AW551">
        <v>0</v>
      </c>
      <c r="AX551">
        <v>0</v>
      </c>
      <c r="AY551">
        <v>1744.4</v>
      </c>
      <c r="BC551" t="str">
        <f t="shared" si="89"/>
        <v>9791137602076</v>
      </c>
      <c r="BE551" t="str">
        <f t="shared" si="90"/>
        <v>판타지 웹소설 &gt; 무협 소설</v>
      </c>
    </row>
    <row r="552" spans="1:57" x14ac:dyDescent="0.3">
      <c r="A552">
        <v>2313020108</v>
      </c>
      <c r="B552">
        <v>2313020253</v>
      </c>
      <c r="C552" t="str">
        <f>T("아빠는 마교대장 146화")</f>
        <v>아빠는 마교대장 146화</v>
      </c>
      <c r="D552" t="str">
        <f>T("146")</f>
        <v>146</v>
      </c>
      <c r="E552" t="str">
        <f t="shared" si="86"/>
        <v>구땡</v>
      </c>
      <c r="H552" t="str">
        <f t="shared" si="87"/>
        <v>스토리위즈</v>
      </c>
      <c r="I552" t="str">
        <f t="shared" si="88"/>
        <v>아빠는 마교대장</v>
      </c>
      <c r="J552">
        <v>100</v>
      </c>
      <c r="K552">
        <v>2500</v>
      </c>
      <c r="L552">
        <v>25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2500</v>
      </c>
      <c r="AH552">
        <v>25</v>
      </c>
      <c r="AI552">
        <v>0</v>
      </c>
      <c r="AJ552">
        <v>0</v>
      </c>
      <c r="AK552">
        <v>2300</v>
      </c>
      <c r="AL552">
        <v>0</v>
      </c>
      <c r="AM552">
        <v>240</v>
      </c>
      <c r="AN552">
        <v>-48</v>
      </c>
      <c r="AO552">
        <v>0</v>
      </c>
      <c r="AP552"/>
      <c r="AQ552">
        <v>0</v>
      </c>
      <c r="AR552">
        <v>0</v>
      </c>
      <c r="AS552">
        <v>240</v>
      </c>
      <c r="AT552">
        <v>-48</v>
      </c>
      <c r="AU552">
        <v>0</v>
      </c>
      <c r="AW552">
        <v>0</v>
      </c>
      <c r="AX552">
        <v>0</v>
      </c>
      <c r="AY552">
        <v>1744.4</v>
      </c>
      <c r="BC552" t="str">
        <f t="shared" si="89"/>
        <v>9791137602076</v>
      </c>
      <c r="BE552" t="str">
        <f t="shared" si="90"/>
        <v>판타지 웹소설 &gt; 무협 소설</v>
      </c>
    </row>
    <row r="553" spans="1:57" x14ac:dyDescent="0.3">
      <c r="A553">
        <v>2313020108</v>
      </c>
      <c r="B553">
        <v>2313020254</v>
      </c>
      <c r="C553" t="str">
        <f>T("아빠는 마교대장 147화")</f>
        <v>아빠는 마교대장 147화</v>
      </c>
      <c r="D553" t="str">
        <f>T("147")</f>
        <v>147</v>
      </c>
      <c r="E553" t="str">
        <f t="shared" si="86"/>
        <v>구땡</v>
      </c>
      <c r="H553" t="str">
        <f t="shared" si="87"/>
        <v>스토리위즈</v>
      </c>
      <c r="I553" t="str">
        <f t="shared" si="88"/>
        <v>아빠는 마교대장</v>
      </c>
      <c r="J553">
        <v>100</v>
      </c>
      <c r="K553">
        <v>2500</v>
      </c>
      <c r="L553">
        <v>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2500</v>
      </c>
      <c r="AH553">
        <v>25</v>
      </c>
      <c r="AI553">
        <v>0</v>
      </c>
      <c r="AJ553">
        <v>0</v>
      </c>
      <c r="AK553">
        <v>2300</v>
      </c>
      <c r="AL553">
        <v>0</v>
      </c>
      <c r="AM553">
        <v>240</v>
      </c>
      <c r="AN553">
        <v>-48</v>
      </c>
      <c r="AO553">
        <v>0</v>
      </c>
      <c r="AP553"/>
      <c r="AQ553">
        <v>0</v>
      </c>
      <c r="AR553">
        <v>0</v>
      </c>
      <c r="AS553">
        <v>240</v>
      </c>
      <c r="AT553">
        <v>-48</v>
      </c>
      <c r="AU553">
        <v>0</v>
      </c>
      <c r="AW553">
        <v>0</v>
      </c>
      <c r="AX553">
        <v>0</v>
      </c>
      <c r="AY553">
        <v>1744.4</v>
      </c>
      <c r="BC553" t="str">
        <f t="shared" si="89"/>
        <v>9791137602076</v>
      </c>
      <c r="BE553" t="str">
        <f t="shared" si="90"/>
        <v>판타지 웹소설 &gt; 무협 소설</v>
      </c>
    </row>
    <row r="554" spans="1:57" x14ac:dyDescent="0.3">
      <c r="A554">
        <v>2313020108</v>
      </c>
      <c r="B554">
        <v>2313020256</v>
      </c>
      <c r="C554" t="str">
        <f>T("아빠는 마교대장 149화")</f>
        <v>아빠는 마교대장 149화</v>
      </c>
      <c r="D554" t="str">
        <f>T("149")</f>
        <v>149</v>
      </c>
      <c r="E554" t="str">
        <f t="shared" si="86"/>
        <v>구땡</v>
      </c>
      <c r="H554" t="str">
        <f t="shared" si="87"/>
        <v>스토리위즈</v>
      </c>
      <c r="I554" t="str">
        <f t="shared" si="88"/>
        <v>아빠는 마교대장</v>
      </c>
      <c r="J554">
        <v>100</v>
      </c>
      <c r="K554">
        <v>2500</v>
      </c>
      <c r="L554">
        <v>25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2500</v>
      </c>
      <c r="AH554">
        <v>25</v>
      </c>
      <c r="AI554">
        <v>0</v>
      </c>
      <c r="AJ554">
        <v>0</v>
      </c>
      <c r="AK554">
        <v>2300</v>
      </c>
      <c r="AL554">
        <v>0</v>
      </c>
      <c r="AM554">
        <v>240</v>
      </c>
      <c r="AN554">
        <v>-48</v>
      </c>
      <c r="AO554">
        <v>0</v>
      </c>
      <c r="AP554"/>
      <c r="AQ554">
        <v>0</v>
      </c>
      <c r="AR554">
        <v>0</v>
      </c>
      <c r="AS554">
        <v>240</v>
      </c>
      <c r="AT554">
        <v>-48</v>
      </c>
      <c r="AU554">
        <v>0</v>
      </c>
      <c r="AW554">
        <v>0</v>
      </c>
      <c r="AX554">
        <v>0</v>
      </c>
      <c r="AY554">
        <v>1744.4</v>
      </c>
      <c r="BC554" t="str">
        <f t="shared" si="89"/>
        <v>9791137602076</v>
      </c>
      <c r="BE554" t="str">
        <f t="shared" si="90"/>
        <v>판타지 웹소설 &gt; 무협 소설</v>
      </c>
    </row>
    <row r="555" spans="1:57" x14ac:dyDescent="0.3">
      <c r="A555">
        <v>2313020108</v>
      </c>
      <c r="B555">
        <v>2313020261</v>
      </c>
      <c r="C555" t="str">
        <f>T("아빠는 마교대장 154화")</f>
        <v>아빠는 마교대장 154화</v>
      </c>
      <c r="D555" t="str">
        <f>T("154")</f>
        <v>154</v>
      </c>
      <c r="E555" t="str">
        <f t="shared" si="86"/>
        <v>구땡</v>
      </c>
      <c r="H555" t="str">
        <f t="shared" si="87"/>
        <v>스토리위즈</v>
      </c>
      <c r="I555" t="str">
        <f t="shared" si="88"/>
        <v>아빠는 마교대장</v>
      </c>
      <c r="J555">
        <v>100</v>
      </c>
      <c r="K555">
        <v>2500</v>
      </c>
      <c r="L555">
        <v>25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2500</v>
      </c>
      <c r="AH555">
        <v>25</v>
      </c>
      <c r="AI555">
        <v>0</v>
      </c>
      <c r="AJ555">
        <v>0</v>
      </c>
      <c r="AK555">
        <v>2200</v>
      </c>
      <c r="AL555">
        <v>0</v>
      </c>
      <c r="AM555">
        <v>360</v>
      </c>
      <c r="AN555">
        <v>-84</v>
      </c>
      <c r="AO555">
        <v>0</v>
      </c>
      <c r="AP555"/>
      <c r="AQ555">
        <v>0</v>
      </c>
      <c r="AR555">
        <v>0</v>
      </c>
      <c r="AS555">
        <v>360</v>
      </c>
      <c r="AT555">
        <v>-84</v>
      </c>
      <c r="AU555">
        <v>0</v>
      </c>
      <c r="AW555">
        <v>0</v>
      </c>
      <c r="AX555">
        <v>0</v>
      </c>
      <c r="AY555">
        <v>1733.2</v>
      </c>
      <c r="BC555" t="str">
        <f t="shared" si="89"/>
        <v>9791137602076</v>
      </c>
      <c r="BE555" t="str">
        <f t="shared" si="90"/>
        <v>판타지 웹소설 &gt; 무협 소설</v>
      </c>
    </row>
    <row r="556" spans="1:57" x14ac:dyDescent="0.3">
      <c r="A556">
        <v>2313020108</v>
      </c>
      <c r="B556">
        <v>2313020262</v>
      </c>
      <c r="C556" t="str">
        <f>T("아빠는 마교대장 155화")</f>
        <v>아빠는 마교대장 155화</v>
      </c>
      <c r="D556" t="str">
        <f>T("155")</f>
        <v>155</v>
      </c>
      <c r="E556" t="str">
        <f t="shared" si="86"/>
        <v>구땡</v>
      </c>
      <c r="H556" t="str">
        <f t="shared" si="87"/>
        <v>스토리위즈</v>
      </c>
      <c r="I556" t="str">
        <f t="shared" si="88"/>
        <v>아빠는 마교대장</v>
      </c>
      <c r="J556">
        <v>100</v>
      </c>
      <c r="K556">
        <v>2500</v>
      </c>
      <c r="L556">
        <v>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2500</v>
      </c>
      <c r="AH556">
        <v>25</v>
      </c>
      <c r="AI556">
        <v>0</v>
      </c>
      <c r="AJ556">
        <v>0</v>
      </c>
      <c r="AK556">
        <v>2200</v>
      </c>
      <c r="AL556">
        <v>0</v>
      </c>
      <c r="AM556">
        <v>360</v>
      </c>
      <c r="AN556">
        <v>-84</v>
      </c>
      <c r="AO556">
        <v>0</v>
      </c>
      <c r="AP556"/>
      <c r="AQ556">
        <v>0</v>
      </c>
      <c r="AR556">
        <v>0</v>
      </c>
      <c r="AS556">
        <v>360</v>
      </c>
      <c r="AT556">
        <v>-84</v>
      </c>
      <c r="AU556">
        <v>0</v>
      </c>
      <c r="AW556">
        <v>0</v>
      </c>
      <c r="AX556">
        <v>0</v>
      </c>
      <c r="AY556">
        <v>1733.2</v>
      </c>
      <c r="BC556" t="str">
        <f t="shared" si="89"/>
        <v>9791137602076</v>
      </c>
      <c r="BE556" t="str">
        <f t="shared" si="90"/>
        <v>판타지 웹소설 &gt; 무협 소설</v>
      </c>
    </row>
    <row r="557" spans="1:57" x14ac:dyDescent="0.3">
      <c r="A557">
        <v>2313020108</v>
      </c>
      <c r="B557">
        <v>2313020263</v>
      </c>
      <c r="C557" t="str">
        <f>T("아빠는 마교대장 156화")</f>
        <v>아빠는 마교대장 156화</v>
      </c>
      <c r="D557" t="str">
        <f>T("156")</f>
        <v>156</v>
      </c>
      <c r="E557" t="str">
        <f t="shared" si="86"/>
        <v>구땡</v>
      </c>
      <c r="H557" t="str">
        <f t="shared" si="87"/>
        <v>스토리위즈</v>
      </c>
      <c r="I557" t="str">
        <f t="shared" si="88"/>
        <v>아빠는 마교대장</v>
      </c>
      <c r="J557">
        <v>100</v>
      </c>
      <c r="K557">
        <v>2500</v>
      </c>
      <c r="L557">
        <v>25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2500</v>
      </c>
      <c r="AH557">
        <v>25</v>
      </c>
      <c r="AI557">
        <v>0</v>
      </c>
      <c r="AJ557">
        <v>0</v>
      </c>
      <c r="AK557">
        <v>2200</v>
      </c>
      <c r="AL557">
        <v>0</v>
      </c>
      <c r="AM557">
        <v>360</v>
      </c>
      <c r="AN557">
        <v>-84</v>
      </c>
      <c r="AO557">
        <v>0</v>
      </c>
      <c r="AP557"/>
      <c r="AQ557">
        <v>0</v>
      </c>
      <c r="AR557">
        <v>0</v>
      </c>
      <c r="AS557">
        <v>360</v>
      </c>
      <c r="AT557">
        <v>-84</v>
      </c>
      <c r="AU557">
        <v>0</v>
      </c>
      <c r="AW557">
        <v>0</v>
      </c>
      <c r="AX557">
        <v>0</v>
      </c>
      <c r="AY557">
        <v>1733.2</v>
      </c>
      <c r="BC557" t="str">
        <f t="shared" si="89"/>
        <v>9791137602076</v>
      </c>
      <c r="BE557" t="str">
        <f t="shared" si="90"/>
        <v>판타지 웹소설 &gt; 무협 소설</v>
      </c>
    </row>
    <row r="558" spans="1:57" x14ac:dyDescent="0.3">
      <c r="A558">
        <v>2313020108</v>
      </c>
      <c r="B558">
        <v>2313020288</v>
      </c>
      <c r="C558" t="str">
        <f>T("아빠는 마교대장 181화")</f>
        <v>아빠는 마교대장 181화</v>
      </c>
      <c r="D558" t="str">
        <f>T("181")</f>
        <v>181</v>
      </c>
      <c r="E558" t="str">
        <f t="shared" si="86"/>
        <v>구땡</v>
      </c>
      <c r="H558" t="str">
        <f t="shared" si="87"/>
        <v>스토리위즈</v>
      </c>
      <c r="I558" t="str">
        <f t="shared" si="88"/>
        <v>아빠는 마교대장</v>
      </c>
      <c r="J558">
        <v>100</v>
      </c>
      <c r="K558">
        <v>2500</v>
      </c>
      <c r="L558">
        <v>25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2500</v>
      </c>
      <c r="AH558">
        <v>25</v>
      </c>
      <c r="AI558">
        <v>0</v>
      </c>
      <c r="AJ558">
        <v>0</v>
      </c>
      <c r="AK558">
        <v>2300</v>
      </c>
      <c r="AL558">
        <v>0</v>
      </c>
      <c r="AM558">
        <v>240</v>
      </c>
      <c r="AN558">
        <v>-48</v>
      </c>
      <c r="AO558">
        <v>0</v>
      </c>
      <c r="AP558"/>
      <c r="AQ558">
        <v>0</v>
      </c>
      <c r="AR558">
        <v>0</v>
      </c>
      <c r="AS558">
        <v>240</v>
      </c>
      <c r="AT558">
        <v>-48</v>
      </c>
      <c r="AU558">
        <v>0</v>
      </c>
      <c r="AW558">
        <v>0</v>
      </c>
      <c r="AX558">
        <v>0</v>
      </c>
      <c r="AY558">
        <v>1744.4</v>
      </c>
      <c r="BC558" t="str">
        <f t="shared" si="89"/>
        <v>9791137602076</v>
      </c>
      <c r="BE558" t="str">
        <f t="shared" si="90"/>
        <v>판타지 웹소설 &gt; 무협 소설</v>
      </c>
    </row>
    <row r="559" spans="1:57" x14ac:dyDescent="0.3">
      <c r="A559">
        <v>2313020108</v>
      </c>
      <c r="B559">
        <v>2313020304</v>
      </c>
      <c r="C559" t="str">
        <f>T("아빠는 마교대장 197화")</f>
        <v>아빠는 마교대장 197화</v>
      </c>
      <c r="D559" t="str">
        <f>T("197")</f>
        <v>197</v>
      </c>
      <c r="E559" t="str">
        <f t="shared" si="86"/>
        <v>구땡</v>
      </c>
      <c r="H559" t="str">
        <f t="shared" si="87"/>
        <v>스토리위즈</v>
      </c>
      <c r="I559" t="str">
        <f t="shared" si="88"/>
        <v>아빠는 마교대장</v>
      </c>
      <c r="J559">
        <v>100</v>
      </c>
      <c r="K559">
        <v>2500</v>
      </c>
      <c r="L559">
        <v>25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2500</v>
      </c>
      <c r="AH559">
        <v>25</v>
      </c>
      <c r="AI559">
        <v>0</v>
      </c>
      <c r="AJ559">
        <v>0</v>
      </c>
      <c r="AK559">
        <v>2300</v>
      </c>
      <c r="AL559">
        <v>0</v>
      </c>
      <c r="AM559">
        <v>240</v>
      </c>
      <c r="AN559">
        <v>-48</v>
      </c>
      <c r="AO559">
        <v>0</v>
      </c>
      <c r="AP559"/>
      <c r="AQ559">
        <v>0</v>
      </c>
      <c r="AR559">
        <v>0</v>
      </c>
      <c r="AS559">
        <v>240</v>
      </c>
      <c r="AT559">
        <v>-48</v>
      </c>
      <c r="AU559">
        <v>0</v>
      </c>
      <c r="AW559">
        <v>0</v>
      </c>
      <c r="AX559">
        <v>0</v>
      </c>
      <c r="AY559">
        <v>1744.4</v>
      </c>
      <c r="BC559" t="str">
        <f t="shared" si="89"/>
        <v>9791137602076</v>
      </c>
      <c r="BE559" t="str">
        <f t="shared" si="90"/>
        <v>판타지 웹소설 &gt; 무협 소설</v>
      </c>
    </row>
    <row r="560" spans="1:57" x14ac:dyDescent="0.3">
      <c r="A560">
        <v>2313011919</v>
      </c>
      <c r="B560">
        <v>2313011919</v>
      </c>
      <c r="C560" t="str">
        <f>T("[e북]임신부터 할까요? 1권")</f>
        <v>[e북]임신부터 할까요? 1권</v>
      </c>
      <c r="D560" t="str">
        <f>T("1")</f>
        <v>1</v>
      </c>
      <c r="E560" t="str">
        <f>T("온서")</f>
        <v>온서</v>
      </c>
      <c r="H560" t="str">
        <f t="shared" ref="H560:H565" si="91">T("블레슈(Blesshuu)")</f>
        <v>블레슈(Blesshuu)</v>
      </c>
      <c r="I560" t="str">
        <f>T("[e북]임신부터 할까요?")</f>
        <v>[e북]임신부터 할까요?</v>
      </c>
      <c r="J560">
        <v>2400</v>
      </c>
      <c r="K560">
        <v>2400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2400</v>
      </c>
      <c r="AH560">
        <v>1</v>
      </c>
      <c r="AI560">
        <v>0</v>
      </c>
      <c r="AJ560">
        <v>0</v>
      </c>
      <c r="AK560">
        <v>2400</v>
      </c>
      <c r="AL560">
        <v>0</v>
      </c>
      <c r="AM560">
        <v>0</v>
      </c>
      <c r="AN560">
        <v>0</v>
      </c>
      <c r="AO560">
        <v>0</v>
      </c>
      <c r="AP560"/>
      <c r="AQ560">
        <v>0</v>
      </c>
      <c r="AR560">
        <v>0</v>
      </c>
      <c r="AT560">
        <v>0</v>
      </c>
      <c r="AU560">
        <v>0</v>
      </c>
      <c r="AW560">
        <v>0</v>
      </c>
      <c r="AX560">
        <v>0</v>
      </c>
      <c r="AY560">
        <v>1680</v>
      </c>
      <c r="BC560" t="str">
        <f>T("9791137600423")</f>
        <v>9791137600423</v>
      </c>
      <c r="BE560" t="str">
        <f>T("로맨스 e북 &gt; 현대물")</f>
        <v>로맨스 e북 &gt; 현대물</v>
      </c>
    </row>
    <row r="561" spans="1:58" x14ac:dyDescent="0.3">
      <c r="A561">
        <v>2313011931</v>
      </c>
      <c r="B561">
        <v>2313011931</v>
      </c>
      <c r="C561" t="str">
        <f>T("[e북]공작가의 남루한 신부 1권")</f>
        <v>[e북]공작가의 남루한 신부 1권</v>
      </c>
      <c r="D561" t="str">
        <f>T("1")</f>
        <v>1</v>
      </c>
      <c r="E561" t="str">
        <f>T("무성매직")</f>
        <v>무성매직</v>
      </c>
      <c r="H561" t="str">
        <f t="shared" si="91"/>
        <v>블레슈(Blesshuu)</v>
      </c>
      <c r="I561" t="str">
        <f>T("[e북]공작가의 남루한 신부")</f>
        <v>[e북]공작가의 남루한 신부</v>
      </c>
      <c r="J561">
        <v>2400</v>
      </c>
      <c r="K561">
        <v>2400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2400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2880</v>
      </c>
      <c r="AN561">
        <v>-288</v>
      </c>
      <c r="AO561">
        <v>0</v>
      </c>
      <c r="AP561"/>
      <c r="AQ561">
        <v>0</v>
      </c>
      <c r="AR561">
        <v>0</v>
      </c>
      <c r="AS561">
        <v>2880</v>
      </c>
      <c r="AT561">
        <v>-288</v>
      </c>
      <c r="AU561">
        <v>0</v>
      </c>
      <c r="AW561">
        <v>0</v>
      </c>
      <c r="AX561">
        <v>0</v>
      </c>
      <c r="AY561">
        <v>1814.4</v>
      </c>
      <c r="BC561" t="str">
        <f>T("9791137600751")</f>
        <v>9791137600751</v>
      </c>
      <c r="BE561" t="str">
        <f>T("로판 e북 &gt; 서양풍 로판")</f>
        <v>로판 e북 &gt; 서양풍 로판</v>
      </c>
    </row>
    <row r="562" spans="1:58" x14ac:dyDescent="0.3">
      <c r="A562">
        <v>2313011931</v>
      </c>
      <c r="B562">
        <v>2313011932</v>
      </c>
      <c r="C562" t="str">
        <f>T("[e북]공작가의 남루한 신부 2권")</f>
        <v>[e북]공작가의 남루한 신부 2권</v>
      </c>
      <c r="D562" t="str">
        <f>T("2")</f>
        <v>2</v>
      </c>
      <c r="E562" t="str">
        <f>T("무성매직")</f>
        <v>무성매직</v>
      </c>
      <c r="H562" t="str">
        <f t="shared" si="91"/>
        <v>블레슈(Blesshuu)</v>
      </c>
      <c r="I562" t="str">
        <f>T("[e북]공작가의 남루한 신부")</f>
        <v>[e북]공작가의 남루한 신부</v>
      </c>
      <c r="J562">
        <v>2400</v>
      </c>
      <c r="K562">
        <v>2400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2400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2880</v>
      </c>
      <c r="AN562">
        <v>-288</v>
      </c>
      <c r="AO562">
        <v>0</v>
      </c>
      <c r="AP562"/>
      <c r="AQ562">
        <v>0</v>
      </c>
      <c r="AR562">
        <v>0</v>
      </c>
      <c r="AS562">
        <v>2880</v>
      </c>
      <c r="AT562">
        <v>-288</v>
      </c>
      <c r="AU562">
        <v>0</v>
      </c>
      <c r="AW562">
        <v>0</v>
      </c>
      <c r="AX562">
        <v>0</v>
      </c>
      <c r="AY562">
        <v>1814.4</v>
      </c>
      <c r="BC562" t="str">
        <f>T("9791137600768")</f>
        <v>9791137600768</v>
      </c>
      <c r="BE562" t="str">
        <f>T("로판 e북 &gt; 서양풍 로판")</f>
        <v>로판 e북 &gt; 서양풍 로판</v>
      </c>
    </row>
    <row r="563" spans="1:58" x14ac:dyDescent="0.3">
      <c r="A563">
        <v>2313011931</v>
      </c>
      <c r="B563">
        <v>2313011933</v>
      </c>
      <c r="C563" t="str">
        <f>T("[e북]공작가의 남루한 신부 3권")</f>
        <v>[e북]공작가의 남루한 신부 3권</v>
      </c>
      <c r="D563" t="str">
        <f>T("3")</f>
        <v>3</v>
      </c>
      <c r="E563" t="str">
        <f>T("무성매직")</f>
        <v>무성매직</v>
      </c>
      <c r="H563" t="str">
        <f t="shared" si="91"/>
        <v>블레슈(Blesshuu)</v>
      </c>
      <c r="I563" t="str">
        <f>T("[e북]공작가의 남루한 신부")</f>
        <v>[e북]공작가의 남루한 신부</v>
      </c>
      <c r="J563">
        <v>2400</v>
      </c>
      <c r="K563">
        <v>2400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2400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2880</v>
      </c>
      <c r="AN563">
        <v>-288</v>
      </c>
      <c r="AO563">
        <v>0</v>
      </c>
      <c r="AP563"/>
      <c r="AQ563">
        <v>0</v>
      </c>
      <c r="AR563">
        <v>0</v>
      </c>
      <c r="AS563">
        <v>2880</v>
      </c>
      <c r="AT563">
        <v>-288</v>
      </c>
      <c r="AU563">
        <v>0</v>
      </c>
      <c r="AW563">
        <v>0</v>
      </c>
      <c r="AX563">
        <v>0</v>
      </c>
      <c r="AY563">
        <v>1814.4</v>
      </c>
      <c r="BC563" t="str">
        <f>T("9791137600775")</f>
        <v>9791137600775</v>
      </c>
      <c r="BE563" t="str">
        <f>T("로판 e북 &gt; 서양풍 로판")</f>
        <v>로판 e북 &gt; 서양풍 로판</v>
      </c>
    </row>
    <row r="564" spans="1:58" x14ac:dyDescent="0.3">
      <c r="A564">
        <v>2313011931</v>
      </c>
      <c r="B564">
        <v>2313011934</v>
      </c>
      <c r="C564" t="str">
        <f>T("[e북]공작가의 남루한 신부 4권")</f>
        <v>[e북]공작가의 남루한 신부 4권</v>
      </c>
      <c r="D564" t="str">
        <f>T("4")</f>
        <v>4</v>
      </c>
      <c r="E564" t="str">
        <f>T("무성매직")</f>
        <v>무성매직</v>
      </c>
      <c r="H564" t="str">
        <f t="shared" si="91"/>
        <v>블레슈(Blesshuu)</v>
      </c>
      <c r="I564" t="str">
        <f>T("[e북]공작가의 남루한 신부")</f>
        <v>[e북]공작가의 남루한 신부</v>
      </c>
      <c r="J564">
        <v>2400</v>
      </c>
      <c r="K564">
        <v>2400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2400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2880</v>
      </c>
      <c r="AN564">
        <v>-288</v>
      </c>
      <c r="AO564">
        <v>0</v>
      </c>
      <c r="AP564"/>
      <c r="AQ564">
        <v>0</v>
      </c>
      <c r="AR564">
        <v>0</v>
      </c>
      <c r="AS564">
        <v>2880</v>
      </c>
      <c r="AT564">
        <v>-288</v>
      </c>
      <c r="AU564">
        <v>0</v>
      </c>
      <c r="AW564">
        <v>0</v>
      </c>
      <c r="AX564">
        <v>0</v>
      </c>
      <c r="AY564">
        <v>1814.4</v>
      </c>
      <c r="BC564" t="str">
        <f>T("9791137600782")</f>
        <v>9791137600782</v>
      </c>
      <c r="BE564" t="str">
        <f>T("로판 e북 &gt; 서양풍 로판")</f>
        <v>로판 e북 &gt; 서양풍 로판</v>
      </c>
    </row>
    <row r="565" spans="1:58" x14ac:dyDescent="0.3">
      <c r="A565">
        <v>2313011931</v>
      </c>
      <c r="B565">
        <v>2313011935</v>
      </c>
      <c r="C565" t="str">
        <f>T("[e북]공작가의 남루한 신부 5권 (완결)")</f>
        <v>[e북]공작가의 남루한 신부 5권 (완결)</v>
      </c>
      <c r="D565" t="str">
        <f>T("5")</f>
        <v>5</v>
      </c>
      <c r="E565" t="str">
        <f>T("무성매직")</f>
        <v>무성매직</v>
      </c>
      <c r="H565" t="str">
        <f t="shared" si="91"/>
        <v>블레슈(Blesshuu)</v>
      </c>
      <c r="I565" t="str">
        <f>T("[e북]공작가의 남루한 신부")</f>
        <v>[e북]공작가의 남루한 신부</v>
      </c>
      <c r="J565">
        <v>2400</v>
      </c>
      <c r="K565">
        <v>2400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2400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2880</v>
      </c>
      <c r="AN565">
        <v>-288</v>
      </c>
      <c r="AO565">
        <v>0</v>
      </c>
      <c r="AP565"/>
      <c r="AQ565">
        <v>0</v>
      </c>
      <c r="AR565">
        <v>0</v>
      </c>
      <c r="AS565">
        <v>2880</v>
      </c>
      <c r="AT565">
        <v>-288</v>
      </c>
      <c r="AU565">
        <v>0</v>
      </c>
      <c r="AW565">
        <v>0</v>
      </c>
      <c r="AX565">
        <v>0</v>
      </c>
      <c r="AY565">
        <v>1814.4</v>
      </c>
      <c r="BC565" t="str">
        <f>T("9791137600799")</f>
        <v>9791137600799</v>
      </c>
      <c r="BE565" t="str">
        <f>T("로판 e북 &gt; 서양풍 로판")</f>
        <v>로판 e북 &gt; 서양풍 로판</v>
      </c>
    </row>
    <row r="566" spans="1:58" x14ac:dyDescent="0.3">
      <c r="A566">
        <v>2313016857</v>
      </c>
      <c r="B566">
        <v>2313016842</v>
      </c>
      <c r="C566" t="str">
        <f>T("[e북]소투스 SOTUS (특별 외전)")</f>
        <v>[e북]소투스 SOTUS (특별 외전)</v>
      </c>
      <c r="D566" t="str">
        <f>T("4")</f>
        <v>4</v>
      </c>
      <c r="E566" t="str">
        <f>T("BitterSweet")</f>
        <v>BitterSweet</v>
      </c>
      <c r="H566" t="str">
        <f>T("도서출판 태랑")</f>
        <v>도서출판 태랑</v>
      </c>
      <c r="I566" t="str">
        <f>T("[e북]소투스 (SOTUS)")</f>
        <v>[e북]소투스 (SOTUS)</v>
      </c>
      <c r="J566">
        <v>300</v>
      </c>
      <c r="K566">
        <v>2400</v>
      </c>
      <c r="L566">
        <v>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2400</v>
      </c>
      <c r="AH566">
        <v>8</v>
      </c>
      <c r="AI566">
        <v>0</v>
      </c>
      <c r="AJ566">
        <v>0</v>
      </c>
      <c r="AK566">
        <v>2400</v>
      </c>
      <c r="AL566">
        <v>0</v>
      </c>
      <c r="AM566">
        <v>0</v>
      </c>
      <c r="AN566">
        <v>0</v>
      </c>
      <c r="AO566">
        <v>0</v>
      </c>
      <c r="AP566"/>
      <c r="AQ566">
        <v>0</v>
      </c>
      <c r="AR566">
        <v>0</v>
      </c>
      <c r="AT566">
        <v>0</v>
      </c>
      <c r="AU566">
        <v>0</v>
      </c>
      <c r="AW566">
        <v>0</v>
      </c>
      <c r="AX566">
        <v>0</v>
      </c>
      <c r="AY566">
        <v>1680</v>
      </c>
      <c r="BC566" t="str">
        <f>T("9791164374731")</f>
        <v>9791164374731</v>
      </c>
      <c r="BE566" t="str">
        <f>T("BL 소설 e북 &gt; 해외 소설")</f>
        <v>BL 소설 e북 &gt; 해외 소설</v>
      </c>
    </row>
    <row r="567" spans="1:58" x14ac:dyDescent="0.3">
      <c r="A567">
        <v>2313016897</v>
      </c>
      <c r="B567">
        <v>2313016897</v>
      </c>
      <c r="C567" t="str">
        <f>T("[e북]선택된 남자 1권")</f>
        <v>[e북]선택된 남자 1권</v>
      </c>
      <c r="D567" t="str">
        <f>T("1")</f>
        <v>1</v>
      </c>
      <c r="E567" t="str">
        <f>T("모리미")</f>
        <v>모리미</v>
      </c>
      <c r="H567" t="str">
        <f>T("도서출판 태랑")</f>
        <v>도서출판 태랑</v>
      </c>
      <c r="I567" t="str">
        <f>T("[e북]선택된 남자")</f>
        <v>[e북]선택된 남자</v>
      </c>
      <c r="J567">
        <v>2400</v>
      </c>
      <c r="K567">
        <v>2400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2400</v>
      </c>
      <c r="AH567">
        <v>1</v>
      </c>
      <c r="AI567">
        <v>0</v>
      </c>
      <c r="AJ567">
        <v>0</v>
      </c>
      <c r="AK567">
        <v>2400</v>
      </c>
      <c r="AL567">
        <v>0</v>
      </c>
      <c r="AM567">
        <v>0</v>
      </c>
      <c r="AN567">
        <v>0</v>
      </c>
      <c r="AO567">
        <v>0</v>
      </c>
      <c r="AP567"/>
      <c r="AQ567">
        <v>0</v>
      </c>
      <c r="AR567">
        <v>0</v>
      </c>
      <c r="AT567">
        <v>0</v>
      </c>
      <c r="AU567">
        <v>0</v>
      </c>
      <c r="AW567">
        <v>0</v>
      </c>
      <c r="AX567">
        <v>0</v>
      </c>
      <c r="AY567">
        <v>1680</v>
      </c>
      <c r="BC567" t="str">
        <f>T("9791164374168")</f>
        <v>9791164374168</v>
      </c>
      <c r="BE567" t="str">
        <f>T("BL 소설 e북 &gt; 현대물")</f>
        <v>BL 소설 e북 &gt; 현대물</v>
      </c>
    </row>
    <row r="568" spans="1:58" x14ac:dyDescent="0.3">
      <c r="A568">
        <v>2313016973</v>
      </c>
      <c r="B568">
        <v>2313016917</v>
      </c>
      <c r="C568" t="str">
        <f>T("[e북]On the air (외전)")</f>
        <v>[e북]On the air (외전)</v>
      </c>
      <c r="D568" t="str">
        <f>T("3")</f>
        <v>3</v>
      </c>
      <c r="E568" t="str">
        <f>T("DION(디온)")</f>
        <v>DION(디온)</v>
      </c>
      <c r="H568" t="str">
        <f>T("도서출판 태랑")</f>
        <v>도서출판 태랑</v>
      </c>
      <c r="I568" t="str">
        <f>T("[e북]온 디 에어 (On the air)")</f>
        <v>[e북]온 디 에어 (On the air)</v>
      </c>
      <c r="J568">
        <v>1200</v>
      </c>
      <c r="K568">
        <v>2400</v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2400</v>
      </c>
      <c r="AH568">
        <v>2</v>
      </c>
      <c r="AI568">
        <v>0</v>
      </c>
      <c r="AJ568">
        <v>0</v>
      </c>
      <c r="AK568">
        <v>2400</v>
      </c>
      <c r="AL568">
        <v>0</v>
      </c>
      <c r="AM568">
        <v>0</v>
      </c>
      <c r="AN568">
        <v>0</v>
      </c>
      <c r="AO568">
        <v>0</v>
      </c>
      <c r="AP568"/>
      <c r="AQ568">
        <v>0</v>
      </c>
      <c r="AR568">
        <v>0</v>
      </c>
      <c r="AT568">
        <v>0</v>
      </c>
      <c r="AU568">
        <v>0</v>
      </c>
      <c r="AW568">
        <v>0</v>
      </c>
      <c r="AX568">
        <v>0</v>
      </c>
      <c r="AY568">
        <v>1680</v>
      </c>
      <c r="BC568" t="str">
        <f>T("9791164373635")</f>
        <v>9791164373635</v>
      </c>
      <c r="BE568" t="str">
        <f>T("BL 소설 e북 &gt; 현대물")</f>
        <v>BL 소설 e북 &gt; 현대물</v>
      </c>
    </row>
    <row r="569" spans="1:58" x14ac:dyDescent="0.3">
      <c r="A569">
        <v>2313020095</v>
      </c>
      <c r="B569">
        <v>2313020098</v>
      </c>
      <c r="C569" t="str">
        <f>T("[e북]결혼의 함정 (특별외전)")</f>
        <v>[e북]결혼의 함정 (특별외전)</v>
      </c>
      <c r="D569" t="str">
        <f>T("4")</f>
        <v>4</v>
      </c>
      <c r="E569" t="str">
        <f>T("블랙커피")</f>
        <v>블랙커피</v>
      </c>
      <c r="H569" t="str">
        <f>T("도서출판 태랑")</f>
        <v>도서출판 태랑</v>
      </c>
      <c r="I569" t="str">
        <f>T("[e북]결혼의 함정")</f>
        <v>[e북]결혼의 함정</v>
      </c>
      <c r="J569">
        <v>300</v>
      </c>
      <c r="K569">
        <v>2400</v>
      </c>
      <c r="L569">
        <v>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2400</v>
      </c>
      <c r="AH569">
        <v>8</v>
      </c>
      <c r="AI569">
        <v>0</v>
      </c>
      <c r="AJ569">
        <v>0</v>
      </c>
      <c r="AK569">
        <v>2400</v>
      </c>
      <c r="AL569">
        <v>0</v>
      </c>
      <c r="AM569">
        <v>0</v>
      </c>
      <c r="AN569">
        <v>0</v>
      </c>
      <c r="AO569">
        <v>0</v>
      </c>
      <c r="AP569"/>
      <c r="AQ569">
        <v>0</v>
      </c>
      <c r="AR569">
        <v>0</v>
      </c>
      <c r="AT569">
        <v>0</v>
      </c>
      <c r="AU569">
        <v>0</v>
      </c>
      <c r="AW569">
        <v>0</v>
      </c>
      <c r="AX569">
        <v>0</v>
      </c>
      <c r="AY569">
        <v>1680</v>
      </c>
      <c r="BC569" t="str">
        <f>T("9791137606951")</f>
        <v>9791137606951</v>
      </c>
      <c r="BE569" t="str">
        <f>T("로맨스 e북 &gt; 현대물")</f>
        <v>로맨스 e북 &gt; 현대물</v>
      </c>
      <c r="BF569" t="str">
        <f>T("로맨스 e북 &gt; 19+")</f>
        <v>로맨스 e북 &gt; 19+</v>
      </c>
    </row>
    <row r="570" spans="1:58" x14ac:dyDescent="0.3">
      <c r="A570">
        <v>2313020108</v>
      </c>
      <c r="B570">
        <v>2313020199</v>
      </c>
      <c r="C570" t="str">
        <f>T("아빠는 마교대장 92화")</f>
        <v>아빠는 마교대장 92화</v>
      </c>
      <c r="D570" t="str">
        <f>T("92")</f>
        <v>92</v>
      </c>
      <c r="E570" t="str">
        <f t="shared" ref="E570:E633" si="92">T("구땡")</f>
        <v>구땡</v>
      </c>
      <c r="H570" t="str">
        <f t="shared" ref="H570:H633" si="93">T("스토리위즈")</f>
        <v>스토리위즈</v>
      </c>
      <c r="I570" t="str">
        <f t="shared" ref="I570:I633" si="94">T("아빠는 마교대장")</f>
        <v>아빠는 마교대장</v>
      </c>
      <c r="J570">
        <v>100</v>
      </c>
      <c r="K570">
        <v>2400</v>
      </c>
      <c r="L570">
        <v>24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2400</v>
      </c>
      <c r="AH570">
        <v>24</v>
      </c>
      <c r="AI570">
        <v>0</v>
      </c>
      <c r="AJ570">
        <v>0</v>
      </c>
      <c r="AK570">
        <v>2200</v>
      </c>
      <c r="AL570">
        <v>0</v>
      </c>
      <c r="AM570">
        <v>240</v>
      </c>
      <c r="AN570">
        <v>-72</v>
      </c>
      <c r="AO570">
        <v>0</v>
      </c>
      <c r="AP570"/>
      <c r="AQ570">
        <v>0</v>
      </c>
      <c r="AR570">
        <v>0</v>
      </c>
      <c r="AS570">
        <v>240</v>
      </c>
      <c r="AT570">
        <v>-72</v>
      </c>
      <c r="AU570">
        <v>0</v>
      </c>
      <c r="AW570">
        <v>0</v>
      </c>
      <c r="AX570">
        <v>0</v>
      </c>
      <c r="AY570">
        <v>1657.6</v>
      </c>
      <c r="BC570" t="str">
        <f t="shared" ref="BC570:BC633" si="95">T("9791137602076")</f>
        <v>9791137602076</v>
      </c>
      <c r="BE570" t="str">
        <f t="shared" ref="BE570:BE633" si="96">T("판타지 웹소설 &gt; 무협 소설")</f>
        <v>판타지 웹소설 &gt; 무협 소설</v>
      </c>
    </row>
    <row r="571" spans="1:58" x14ac:dyDescent="0.3">
      <c r="A571">
        <v>2313020108</v>
      </c>
      <c r="B571">
        <v>2313020204</v>
      </c>
      <c r="C571" t="str">
        <f>T("아빠는 마교대장 97화")</f>
        <v>아빠는 마교대장 97화</v>
      </c>
      <c r="D571" t="str">
        <f>T("97")</f>
        <v>97</v>
      </c>
      <c r="E571" t="str">
        <f t="shared" si="92"/>
        <v>구땡</v>
      </c>
      <c r="H571" t="str">
        <f t="shared" si="93"/>
        <v>스토리위즈</v>
      </c>
      <c r="I571" t="str">
        <f t="shared" si="94"/>
        <v>아빠는 마교대장</v>
      </c>
      <c r="J571">
        <v>100</v>
      </c>
      <c r="K571">
        <v>2400</v>
      </c>
      <c r="L571">
        <v>24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2400</v>
      </c>
      <c r="AH571">
        <v>24</v>
      </c>
      <c r="AI571">
        <v>0</v>
      </c>
      <c r="AJ571">
        <v>0</v>
      </c>
      <c r="AK571">
        <v>2300</v>
      </c>
      <c r="AL571">
        <v>0</v>
      </c>
      <c r="AM571">
        <v>120</v>
      </c>
      <c r="AN571">
        <v>-36</v>
      </c>
      <c r="AO571">
        <v>0</v>
      </c>
      <c r="AP571"/>
      <c r="AQ571">
        <v>0</v>
      </c>
      <c r="AR571">
        <v>0</v>
      </c>
      <c r="AS571">
        <v>120</v>
      </c>
      <c r="AT571">
        <v>-36</v>
      </c>
      <c r="AU571">
        <v>0</v>
      </c>
      <c r="AW571">
        <v>0</v>
      </c>
      <c r="AX571">
        <v>0</v>
      </c>
      <c r="AY571">
        <v>1668.8</v>
      </c>
      <c r="BC571" t="str">
        <f t="shared" si="95"/>
        <v>9791137602076</v>
      </c>
      <c r="BE571" t="str">
        <f t="shared" si="96"/>
        <v>판타지 웹소설 &gt; 무협 소설</v>
      </c>
    </row>
    <row r="572" spans="1:58" x14ac:dyDescent="0.3">
      <c r="A572">
        <v>2313020108</v>
      </c>
      <c r="B572">
        <v>2313020205</v>
      </c>
      <c r="C572" t="str">
        <f>T("아빠는 마교대장 98화")</f>
        <v>아빠는 마교대장 98화</v>
      </c>
      <c r="D572" t="str">
        <f>T("98")</f>
        <v>98</v>
      </c>
      <c r="E572" t="str">
        <f t="shared" si="92"/>
        <v>구땡</v>
      </c>
      <c r="H572" t="str">
        <f t="shared" si="93"/>
        <v>스토리위즈</v>
      </c>
      <c r="I572" t="str">
        <f t="shared" si="94"/>
        <v>아빠는 마교대장</v>
      </c>
      <c r="J572">
        <v>100</v>
      </c>
      <c r="K572">
        <v>2400</v>
      </c>
      <c r="L572">
        <v>24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2400</v>
      </c>
      <c r="AH572">
        <v>24</v>
      </c>
      <c r="AI572">
        <v>0</v>
      </c>
      <c r="AJ572">
        <v>0</v>
      </c>
      <c r="AK572">
        <v>2300</v>
      </c>
      <c r="AL572">
        <v>0</v>
      </c>
      <c r="AM572">
        <v>120</v>
      </c>
      <c r="AN572">
        <v>-36</v>
      </c>
      <c r="AO572">
        <v>0</v>
      </c>
      <c r="AP572"/>
      <c r="AQ572">
        <v>0</v>
      </c>
      <c r="AR572">
        <v>0</v>
      </c>
      <c r="AS572">
        <v>120</v>
      </c>
      <c r="AT572">
        <v>-36</v>
      </c>
      <c r="AU572">
        <v>0</v>
      </c>
      <c r="AW572">
        <v>0</v>
      </c>
      <c r="AX572">
        <v>0</v>
      </c>
      <c r="AY572">
        <v>1668.8</v>
      </c>
      <c r="BC572" t="str">
        <f t="shared" si="95"/>
        <v>9791137602076</v>
      </c>
      <c r="BE572" t="str">
        <f t="shared" si="96"/>
        <v>판타지 웹소설 &gt; 무협 소설</v>
      </c>
    </row>
    <row r="573" spans="1:58" x14ac:dyDescent="0.3">
      <c r="A573">
        <v>2313020108</v>
      </c>
      <c r="B573">
        <v>2313020206</v>
      </c>
      <c r="C573" t="str">
        <f>T("아빠는 마교대장 99화")</f>
        <v>아빠는 마교대장 99화</v>
      </c>
      <c r="D573" t="str">
        <f>T("99")</f>
        <v>99</v>
      </c>
      <c r="E573" t="str">
        <f t="shared" si="92"/>
        <v>구땡</v>
      </c>
      <c r="H573" t="str">
        <f t="shared" si="93"/>
        <v>스토리위즈</v>
      </c>
      <c r="I573" t="str">
        <f t="shared" si="94"/>
        <v>아빠는 마교대장</v>
      </c>
      <c r="J573">
        <v>100</v>
      </c>
      <c r="K573">
        <v>2400</v>
      </c>
      <c r="L573">
        <v>24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2400</v>
      </c>
      <c r="AH573">
        <v>24</v>
      </c>
      <c r="AI573">
        <v>0</v>
      </c>
      <c r="AJ573">
        <v>0</v>
      </c>
      <c r="AK573">
        <v>2200</v>
      </c>
      <c r="AL573">
        <v>0</v>
      </c>
      <c r="AM573">
        <v>240</v>
      </c>
      <c r="AN573">
        <v>-72</v>
      </c>
      <c r="AO573">
        <v>0</v>
      </c>
      <c r="AP573"/>
      <c r="AQ573">
        <v>0</v>
      </c>
      <c r="AR573">
        <v>0</v>
      </c>
      <c r="AS573">
        <v>240</v>
      </c>
      <c r="AT573">
        <v>-72</v>
      </c>
      <c r="AU573">
        <v>0</v>
      </c>
      <c r="AW573">
        <v>0</v>
      </c>
      <c r="AX573">
        <v>0</v>
      </c>
      <c r="AY573">
        <v>1657.6</v>
      </c>
      <c r="BC573" t="str">
        <f t="shared" si="95"/>
        <v>9791137602076</v>
      </c>
      <c r="BE573" t="str">
        <f t="shared" si="96"/>
        <v>판타지 웹소설 &gt; 무협 소설</v>
      </c>
    </row>
    <row r="574" spans="1:58" x14ac:dyDescent="0.3">
      <c r="A574">
        <v>2313020108</v>
      </c>
      <c r="B574">
        <v>2313020211</v>
      </c>
      <c r="C574" t="str">
        <f>T("아빠는 마교대장 104화")</f>
        <v>아빠는 마교대장 104화</v>
      </c>
      <c r="D574" t="str">
        <f>T("104")</f>
        <v>104</v>
      </c>
      <c r="E574" t="str">
        <f t="shared" si="92"/>
        <v>구땡</v>
      </c>
      <c r="H574" t="str">
        <f t="shared" si="93"/>
        <v>스토리위즈</v>
      </c>
      <c r="I574" t="str">
        <f t="shared" si="94"/>
        <v>아빠는 마교대장</v>
      </c>
      <c r="J574">
        <v>100</v>
      </c>
      <c r="K574">
        <v>2400</v>
      </c>
      <c r="L574">
        <v>24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2400</v>
      </c>
      <c r="AH574">
        <v>24</v>
      </c>
      <c r="AI574">
        <v>0</v>
      </c>
      <c r="AJ574">
        <v>0</v>
      </c>
      <c r="AK574">
        <v>2200</v>
      </c>
      <c r="AL574">
        <v>0</v>
      </c>
      <c r="AM574">
        <v>240</v>
      </c>
      <c r="AN574">
        <v>-72</v>
      </c>
      <c r="AO574">
        <v>0</v>
      </c>
      <c r="AP574"/>
      <c r="AQ574">
        <v>0</v>
      </c>
      <c r="AR574">
        <v>0</v>
      </c>
      <c r="AS574">
        <v>240</v>
      </c>
      <c r="AT574">
        <v>-72</v>
      </c>
      <c r="AU574">
        <v>0</v>
      </c>
      <c r="AW574">
        <v>0</v>
      </c>
      <c r="AX574">
        <v>0</v>
      </c>
      <c r="AY574">
        <v>1657.6</v>
      </c>
      <c r="BC574" t="str">
        <f t="shared" si="95"/>
        <v>9791137602076</v>
      </c>
      <c r="BE574" t="str">
        <f t="shared" si="96"/>
        <v>판타지 웹소설 &gt; 무협 소설</v>
      </c>
    </row>
    <row r="575" spans="1:58" x14ac:dyDescent="0.3">
      <c r="A575">
        <v>2313020108</v>
      </c>
      <c r="B575">
        <v>2313020221</v>
      </c>
      <c r="C575" t="str">
        <f>T("아빠는 마교대장 114화")</f>
        <v>아빠는 마교대장 114화</v>
      </c>
      <c r="D575" t="str">
        <f>T("114")</f>
        <v>114</v>
      </c>
      <c r="E575" t="str">
        <f t="shared" si="92"/>
        <v>구땡</v>
      </c>
      <c r="H575" t="str">
        <f t="shared" si="93"/>
        <v>스토리위즈</v>
      </c>
      <c r="I575" t="str">
        <f t="shared" si="94"/>
        <v>아빠는 마교대장</v>
      </c>
      <c r="J575">
        <v>100</v>
      </c>
      <c r="K575">
        <v>2400</v>
      </c>
      <c r="L575">
        <v>24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2400</v>
      </c>
      <c r="AH575">
        <v>24</v>
      </c>
      <c r="AI575">
        <v>0</v>
      </c>
      <c r="AJ575">
        <v>0</v>
      </c>
      <c r="AK575">
        <v>2300</v>
      </c>
      <c r="AL575">
        <v>0</v>
      </c>
      <c r="AM575">
        <v>120</v>
      </c>
      <c r="AN575">
        <v>-36</v>
      </c>
      <c r="AO575">
        <v>0</v>
      </c>
      <c r="AP575"/>
      <c r="AQ575">
        <v>0</v>
      </c>
      <c r="AR575">
        <v>0</v>
      </c>
      <c r="AS575">
        <v>120</v>
      </c>
      <c r="AT575">
        <v>-36</v>
      </c>
      <c r="AU575">
        <v>0</v>
      </c>
      <c r="AW575">
        <v>0</v>
      </c>
      <c r="AX575">
        <v>0</v>
      </c>
      <c r="AY575">
        <v>1668.8</v>
      </c>
      <c r="BC575" t="str">
        <f t="shared" si="95"/>
        <v>9791137602076</v>
      </c>
      <c r="BE575" t="str">
        <f t="shared" si="96"/>
        <v>판타지 웹소설 &gt; 무협 소설</v>
      </c>
    </row>
    <row r="576" spans="1:58" x14ac:dyDescent="0.3">
      <c r="A576">
        <v>2313020108</v>
      </c>
      <c r="B576">
        <v>2313020224</v>
      </c>
      <c r="C576" t="str">
        <f>T("아빠는 마교대장 117화")</f>
        <v>아빠는 마교대장 117화</v>
      </c>
      <c r="D576" t="str">
        <f>T("117")</f>
        <v>117</v>
      </c>
      <c r="E576" t="str">
        <f t="shared" si="92"/>
        <v>구땡</v>
      </c>
      <c r="H576" t="str">
        <f t="shared" si="93"/>
        <v>스토리위즈</v>
      </c>
      <c r="I576" t="str">
        <f t="shared" si="94"/>
        <v>아빠는 마교대장</v>
      </c>
      <c r="J576">
        <v>100</v>
      </c>
      <c r="K576">
        <v>2400</v>
      </c>
      <c r="L576">
        <v>24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2400</v>
      </c>
      <c r="AH576">
        <v>24</v>
      </c>
      <c r="AI576">
        <v>0</v>
      </c>
      <c r="AJ576">
        <v>0</v>
      </c>
      <c r="AK576">
        <v>2200</v>
      </c>
      <c r="AL576">
        <v>0</v>
      </c>
      <c r="AM576">
        <v>240</v>
      </c>
      <c r="AN576">
        <v>-72</v>
      </c>
      <c r="AO576">
        <v>0</v>
      </c>
      <c r="AP576"/>
      <c r="AQ576">
        <v>0</v>
      </c>
      <c r="AR576">
        <v>0</v>
      </c>
      <c r="AS576">
        <v>240</v>
      </c>
      <c r="AT576">
        <v>-72</v>
      </c>
      <c r="AU576">
        <v>0</v>
      </c>
      <c r="AW576">
        <v>0</v>
      </c>
      <c r="AX576">
        <v>0</v>
      </c>
      <c r="AY576">
        <v>1657.6</v>
      </c>
      <c r="BC576" t="str">
        <f t="shared" si="95"/>
        <v>9791137602076</v>
      </c>
      <c r="BE576" t="str">
        <f t="shared" si="96"/>
        <v>판타지 웹소설 &gt; 무협 소설</v>
      </c>
    </row>
    <row r="577" spans="1:57" x14ac:dyDescent="0.3">
      <c r="A577">
        <v>2313020108</v>
      </c>
      <c r="B577">
        <v>2313020228</v>
      </c>
      <c r="C577" t="str">
        <f>T("아빠는 마교대장 121화")</f>
        <v>아빠는 마교대장 121화</v>
      </c>
      <c r="D577" t="str">
        <f>T("121")</f>
        <v>121</v>
      </c>
      <c r="E577" t="str">
        <f t="shared" si="92"/>
        <v>구땡</v>
      </c>
      <c r="H577" t="str">
        <f t="shared" si="93"/>
        <v>스토리위즈</v>
      </c>
      <c r="I577" t="str">
        <f t="shared" si="94"/>
        <v>아빠는 마교대장</v>
      </c>
      <c r="J577">
        <v>100</v>
      </c>
      <c r="K577">
        <v>2400</v>
      </c>
      <c r="L577">
        <v>24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2400</v>
      </c>
      <c r="AH577">
        <v>24</v>
      </c>
      <c r="AI577">
        <v>0</v>
      </c>
      <c r="AJ577">
        <v>0</v>
      </c>
      <c r="AK577">
        <v>2290</v>
      </c>
      <c r="AL577">
        <v>0</v>
      </c>
      <c r="AM577">
        <v>132</v>
      </c>
      <c r="AN577">
        <v>-37.200000000000003</v>
      </c>
      <c r="AO577">
        <v>0</v>
      </c>
      <c r="AP577"/>
      <c r="AQ577">
        <v>0</v>
      </c>
      <c r="AR577">
        <v>0</v>
      </c>
      <c r="AS577">
        <v>132</v>
      </c>
      <c r="AT577">
        <v>-37.200000000000003</v>
      </c>
      <c r="AU577">
        <v>0</v>
      </c>
      <c r="AW577">
        <v>0</v>
      </c>
      <c r="AX577">
        <v>0</v>
      </c>
      <c r="AY577">
        <v>1669.36</v>
      </c>
      <c r="BC577" t="str">
        <f t="shared" si="95"/>
        <v>9791137602076</v>
      </c>
      <c r="BE577" t="str">
        <f t="shared" si="96"/>
        <v>판타지 웹소설 &gt; 무협 소설</v>
      </c>
    </row>
    <row r="578" spans="1:57" x14ac:dyDescent="0.3">
      <c r="A578">
        <v>2313020108</v>
      </c>
      <c r="B578">
        <v>2313020232</v>
      </c>
      <c r="C578" t="str">
        <f>T("아빠는 마교대장 125화")</f>
        <v>아빠는 마교대장 125화</v>
      </c>
      <c r="D578" t="str">
        <f>T("125")</f>
        <v>125</v>
      </c>
      <c r="E578" t="str">
        <f t="shared" si="92"/>
        <v>구땡</v>
      </c>
      <c r="H578" t="str">
        <f t="shared" si="93"/>
        <v>스토리위즈</v>
      </c>
      <c r="I578" t="str">
        <f t="shared" si="94"/>
        <v>아빠는 마교대장</v>
      </c>
      <c r="J578">
        <v>100</v>
      </c>
      <c r="K578">
        <v>2400</v>
      </c>
      <c r="L578">
        <v>24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2400</v>
      </c>
      <c r="AH578">
        <v>24</v>
      </c>
      <c r="AI578">
        <v>0</v>
      </c>
      <c r="AJ578">
        <v>0</v>
      </c>
      <c r="AK578">
        <v>2200</v>
      </c>
      <c r="AL578">
        <v>0</v>
      </c>
      <c r="AM578">
        <v>240</v>
      </c>
      <c r="AN578">
        <v>-48</v>
      </c>
      <c r="AO578">
        <v>0</v>
      </c>
      <c r="AP578"/>
      <c r="AQ578">
        <v>0</v>
      </c>
      <c r="AR578">
        <v>0</v>
      </c>
      <c r="AS578">
        <v>240</v>
      </c>
      <c r="AT578">
        <v>-48</v>
      </c>
      <c r="AU578">
        <v>0</v>
      </c>
      <c r="AW578">
        <v>0</v>
      </c>
      <c r="AX578">
        <v>0</v>
      </c>
      <c r="AY578">
        <v>1674.4</v>
      </c>
      <c r="BC578" t="str">
        <f t="shared" si="95"/>
        <v>9791137602076</v>
      </c>
      <c r="BE578" t="str">
        <f t="shared" si="96"/>
        <v>판타지 웹소설 &gt; 무협 소설</v>
      </c>
    </row>
    <row r="579" spans="1:57" x14ac:dyDescent="0.3">
      <c r="A579">
        <v>2313020108</v>
      </c>
      <c r="B579">
        <v>2313020233</v>
      </c>
      <c r="C579" t="str">
        <f>T("아빠는 마교대장 126화")</f>
        <v>아빠는 마교대장 126화</v>
      </c>
      <c r="D579" t="str">
        <f>T("126")</f>
        <v>126</v>
      </c>
      <c r="E579" t="str">
        <f t="shared" si="92"/>
        <v>구땡</v>
      </c>
      <c r="H579" t="str">
        <f t="shared" si="93"/>
        <v>스토리위즈</v>
      </c>
      <c r="I579" t="str">
        <f t="shared" si="94"/>
        <v>아빠는 마교대장</v>
      </c>
      <c r="J579">
        <v>100</v>
      </c>
      <c r="K579">
        <v>2400</v>
      </c>
      <c r="L579">
        <v>24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2400</v>
      </c>
      <c r="AH579">
        <v>24</v>
      </c>
      <c r="AI579">
        <v>0</v>
      </c>
      <c r="AJ579">
        <v>0</v>
      </c>
      <c r="AK579">
        <v>2200</v>
      </c>
      <c r="AL579">
        <v>0</v>
      </c>
      <c r="AM579">
        <v>240</v>
      </c>
      <c r="AN579">
        <v>-48</v>
      </c>
      <c r="AO579">
        <v>0</v>
      </c>
      <c r="AP579"/>
      <c r="AQ579">
        <v>0</v>
      </c>
      <c r="AR579">
        <v>0</v>
      </c>
      <c r="AS579">
        <v>240</v>
      </c>
      <c r="AT579">
        <v>-48</v>
      </c>
      <c r="AU579">
        <v>0</v>
      </c>
      <c r="AW579">
        <v>0</v>
      </c>
      <c r="AX579">
        <v>0</v>
      </c>
      <c r="AY579">
        <v>1674.4</v>
      </c>
      <c r="BC579" t="str">
        <f t="shared" si="95"/>
        <v>9791137602076</v>
      </c>
      <c r="BE579" t="str">
        <f t="shared" si="96"/>
        <v>판타지 웹소설 &gt; 무협 소설</v>
      </c>
    </row>
    <row r="580" spans="1:57" x14ac:dyDescent="0.3">
      <c r="A580">
        <v>2313020108</v>
      </c>
      <c r="B580">
        <v>2313020234</v>
      </c>
      <c r="C580" t="str">
        <f>T("아빠는 마교대장 127화")</f>
        <v>아빠는 마교대장 127화</v>
      </c>
      <c r="D580" t="str">
        <f>T("127")</f>
        <v>127</v>
      </c>
      <c r="E580" t="str">
        <f t="shared" si="92"/>
        <v>구땡</v>
      </c>
      <c r="H580" t="str">
        <f t="shared" si="93"/>
        <v>스토리위즈</v>
      </c>
      <c r="I580" t="str">
        <f t="shared" si="94"/>
        <v>아빠는 마교대장</v>
      </c>
      <c r="J580">
        <v>100</v>
      </c>
      <c r="K580">
        <v>2400</v>
      </c>
      <c r="L580">
        <v>24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2400</v>
      </c>
      <c r="AH580">
        <v>24</v>
      </c>
      <c r="AI580">
        <v>0</v>
      </c>
      <c r="AJ580">
        <v>0</v>
      </c>
      <c r="AK580">
        <v>2200</v>
      </c>
      <c r="AL580">
        <v>0</v>
      </c>
      <c r="AM580">
        <v>240</v>
      </c>
      <c r="AN580">
        <v>-48</v>
      </c>
      <c r="AO580">
        <v>0</v>
      </c>
      <c r="AP580"/>
      <c r="AQ580">
        <v>0</v>
      </c>
      <c r="AR580">
        <v>0</v>
      </c>
      <c r="AS580">
        <v>240</v>
      </c>
      <c r="AT580">
        <v>-48</v>
      </c>
      <c r="AU580">
        <v>0</v>
      </c>
      <c r="AW580">
        <v>0</v>
      </c>
      <c r="AX580">
        <v>0</v>
      </c>
      <c r="AY580">
        <v>1674.4</v>
      </c>
      <c r="BC580" t="str">
        <f t="shared" si="95"/>
        <v>9791137602076</v>
      </c>
      <c r="BE580" t="str">
        <f t="shared" si="96"/>
        <v>판타지 웹소설 &gt; 무협 소설</v>
      </c>
    </row>
    <row r="581" spans="1:57" x14ac:dyDescent="0.3">
      <c r="A581">
        <v>2313020108</v>
      </c>
      <c r="B581">
        <v>2313020235</v>
      </c>
      <c r="C581" t="str">
        <f>T("아빠는 마교대장 128화")</f>
        <v>아빠는 마교대장 128화</v>
      </c>
      <c r="D581" t="str">
        <f>T("128")</f>
        <v>128</v>
      </c>
      <c r="E581" t="str">
        <f t="shared" si="92"/>
        <v>구땡</v>
      </c>
      <c r="H581" t="str">
        <f t="shared" si="93"/>
        <v>스토리위즈</v>
      </c>
      <c r="I581" t="str">
        <f t="shared" si="94"/>
        <v>아빠는 마교대장</v>
      </c>
      <c r="J581">
        <v>100</v>
      </c>
      <c r="K581">
        <v>2400</v>
      </c>
      <c r="L581">
        <v>24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2400</v>
      </c>
      <c r="AH581">
        <v>24</v>
      </c>
      <c r="AI581">
        <v>0</v>
      </c>
      <c r="AJ581">
        <v>0</v>
      </c>
      <c r="AK581">
        <v>2200</v>
      </c>
      <c r="AL581">
        <v>0</v>
      </c>
      <c r="AM581">
        <v>240</v>
      </c>
      <c r="AN581">
        <v>-48</v>
      </c>
      <c r="AO581">
        <v>0</v>
      </c>
      <c r="AP581"/>
      <c r="AQ581">
        <v>0</v>
      </c>
      <c r="AR581">
        <v>0</v>
      </c>
      <c r="AS581">
        <v>240</v>
      </c>
      <c r="AT581">
        <v>-48</v>
      </c>
      <c r="AU581">
        <v>0</v>
      </c>
      <c r="AW581">
        <v>0</v>
      </c>
      <c r="AX581">
        <v>0</v>
      </c>
      <c r="AY581">
        <v>1674.4</v>
      </c>
      <c r="BC581" t="str">
        <f t="shared" si="95"/>
        <v>9791137602076</v>
      </c>
      <c r="BE581" t="str">
        <f t="shared" si="96"/>
        <v>판타지 웹소설 &gt; 무협 소설</v>
      </c>
    </row>
    <row r="582" spans="1:57" x14ac:dyDescent="0.3">
      <c r="A582">
        <v>2313020108</v>
      </c>
      <c r="B582">
        <v>2313020236</v>
      </c>
      <c r="C582" t="str">
        <f>T("아빠는 마교대장 129화")</f>
        <v>아빠는 마교대장 129화</v>
      </c>
      <c r="D582" t="str">
        <f>T("129")</f>
        <v>129</v>
      </c>
      <c r="E582" t="str">
        <f t="shared" si="92"/>
        <v>구땡</v>
      </c>
      <c r="H582" t="str">
        <f t="shared" si="93"/>
        <v>스토리위즈</v>
      </c>
      <c r="I582" t="str">
        <f t="shared" si="94"/>
        <v>아빠는 마교대장</v>
      </c>
      <c r="J582">
        <v>100</v>
      </c>
      <c r="K582">
        <v>2400</v>
      </c>
      <c r="L582">
        <v>24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2400</v>
      </c>
      <c r="AH582">
        <v>24</v>
      </c>
      <c r="AI582">
        <v>0</v>
      </c>
      <c r="AJ582">
        <v>0</v>
      </c>
      <c r="AK582">
        <v>2200</v>
      </c>
      <c r="AL582">
        <v>0</v>
      </c>
      <c r="AM582">
        <v>240</v>
      </c>
      <c r="AN582">
        <v>-48</v>
      </c>
      <c r="AO582">
        <v>0</v>
      </c>
      <c r="AP582"/>
      <c r="AQ582">
        <v>0</v>
      </c>
      <c r="AR582">
        <v>0</v>
      </c>
      <c r="AS582">
        <v>240</v>
      </c>
      <c r="AT582">
        <v>-48</v>
      </c>
      <c r="AU582">
        <v>0</v>
      </c>
      <c r="AW582">
        <v>0</v>
      </c>
      <c r="AX582">
        <v>0</v>
      </c>
      <c r="AY582">
        <v>1674.4</v>
      </c>
      <c r="BC582" t="str">
        <f t="shared" si="95"/>
        <v>9791137602076</v>
      </c>
      <c r="BE582" t="str">
        <f t="shared" si="96"/>
        <v>판타지 웹소설 &gt; 무협 소설</v>
      </c>
    </row>
    <row r="583" spans="1:57" x14ac:dyDescent="0.3">
      <c r="A583">
        <v>2313020108</v>
      </c>
      <c r="B583">
        <v>2313020237</v>
      </c>
      <c r="C583" t="str">
        <f>T("아빠는 마교대장 130화")</f>
        <v>아빠는 마교대장 130화</v>
      </c>
      <c r="D583" t="str">
        <f>T("130")</f>
        <v>130</v>
      </c>
      <c r="E583" t="str">
        <f t="shared" si="92"/>
        <v>구땡</v>
      </c>
      <c r="H583" t="str">
        <f t="shared" si="93"/>
        <v>스토리위즈</v>
      </c>
      <c r="I583" t="str">
        <f t="shared" si="94"/>
        <v>아빠는 마교대장</v>
      </c>
      <c r="J583">
        <v>100</v>
      </c>
      <c r="K583">
        <v>2400</v>
      </c>
      <c r="L583">
        <v>24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2400</v>
      </c>
      <c r="AH583">
        <v>24</v>
      </c>
      <c r="AI583">
        <v>0</v>
      </c>
      <c r="AJ583">
        <v>0</v>
      </c>
      <c r="AK583">
        <v>2200</v>
      </c>
      <c r="AL583">
        <v>0</v>
      </c>
      <c r="AM583">
        <v>240</v>
      </c>
      <c r="AN583">
        <v>-48</v>
      </c>
      <c r="AO583">
        <v>0</v>
      </c>
      <c r="AP583"/>
      <c r="AQ583">
        <v>0</v>
      </c>
      <c r="AR583">
        <v>0</v>
      </c>
      <c r="AS583">
        <v>240</v>
      </c>
      <c r="AT583">
        <v>-48</v>
      </c>
      <c r="AU583">
        <v>0</v>
      </c>
      <c r="AW583">
        <v>0</v>
      </c>
      <c r="AX583">
        <v>0</v>
      </c>
      <c r="AY583">
        <v>1674.4</v>
      </c>
      <c r="BC583" t="str">
        <f t="shared" si="95"/>
        <v>9791137602076</v>
      </c>
      <c r="BE583" t="str">
        <f t="shared" si="96"/>
        <v>판타지 웹소설 &gt; 무협 소설</v>
      </c>
    </row>
    <row r="584" spans="1:57" x14ac:dyDescent="0.3">
      <c r="A584">
        <v>2313020108</v>
      </c>
      <c r="B584">
        <v>2313020238</v>
      </c>
      <c r="C584" t="str">
        <f>T("아빠는 마교대장 131화")</f>
        <v>아빠는 마교대장 131화</v>
      </c>
      <c r="D584" t="str">
        <f>T("131")</f>
        <v>131</v>
      </c>
      <c r="E584" t="str">
        <f t="shared" si="92"/>
        <v>구땡</v>
      </c>
      <c r="H584" t="str">
        <f t="shared" si="93"/>
        <v>스토리위즈</v>
      </c>
      <c r="I584" t="str">
        <f t="shared" si="94"/>
        <v>아빠는 마교대장</v>
      </c>
      <c r="J584">
        <v>100</v>
      </c>
      <c r="K584">
        <v>2400</v>
      </c>
      <c r="L584">
        <v>24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2400</v>
      </c>
      <c r="AH584">
        <v>24</v>
      </c>
      <c r="AI584">
        <v>0</v>
      </c>
      <c r="AJ584">
        <v>0</v>
      </c>
      <c r="AK584">
        <v>2200</v>
      </c>
      <c r="AL584">
        <v>0</v>
      </c>
      <c r="AM584">
        <v>240</v>
      </c>
      <c r="AN584">
        <v>-48</v>
      </c>
      <c r="AO584">
        <v>0</v>
      </c>
      <c r="AP584"/>
      <c r="AQ584">
        <v>0</v>
      </c>
      <c r="AR584">
        <v>0</v>
      </c>
      <c r="AS584">
        <v>240</v>
      </c>
      <c r="AT584">
        <v>-48</v>
      </c>
      <c r="AU584">
        <v>0</v>
      </c>
      <c r="AW584">
        <v>0</v>
      </c>
      <c r="AX584">
        <v>0</v>
      </c>
      <c r="AY584">
        <v>1674.4</v>
      </c>
      <c r="BC584" t="str">
        <f t="shared" si="95"/>
        <v>9791137602076</v>
      </c>
      <c r="BE584" t="str">
        <f t="shared" si="96"/>
        <v>판타지 웹소설 &gt; 무협 소설</v>
      </c>
    </row>
    <row r="585" spans="1:57" x14ac:dyDescent="0.3">
      <c r="A585">
        <v>2313020108</v>
      </c>
      <c r="B585">
        <v>2313020239</v>
      </c>
      <c r="C585" t="str">
        <f>T("아빠는 마교대장 132화")</f>
        <v>아빠는 마교대장 132화</v>
      </c>
      <c r="D585" t="str">
        <f>T("132")</f>
        <v>132</v>
      </c>
      <c r="E585" t="str">
        <f t="shared" si="92"/>
        <v>구땡</v>
      </c>
      <c r="H585" t="str">
        <f t="shared" si="93"/>
        <v>스토리위즈</v>
      </c>
      <c r="I585" t="str">
        <f t="shared" si="94"/>
        <v>아빠는 마교대장</v>
      </c>
      <c r="J585">
        <v>100</v>
      </c>
      <c r="K585">
        <v>2400</v>
      </c>
      <c r="L585">
        <v>24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2400</v>
      </c>
      <c r="AH585">
        <v>24</v>
      </c>
      <c r="AI585">
        <v>0</v>
      </c>
      <c r="AJ585">
        <v>0</v>
      </c>
      <c r="AK585">
        <v>2200</v>
      </c>
      <c r="AL585">
        <v>0</v>
      </c>
      <c r="AM585">
        <v>240</v>
      </c>
      <c r="AN585">
        <v>-48</v>
      </c>
      <c r="AO585">
        <v>0</v>
      </c>
      <c r="AP585"/>
      <c r="AQ585">
        <v>0</v>
      </c>
      <c r="AR585">
        <v>0</v>
      </c>
      <c r="AS585">
        <v>240</v>
      </c>
      <c r="AT585">
        <v>-48</v>
      </c>
      <c r="AU585">
        <v>0</v>
      </c>
      <c r="AW585">
        <v>0</v>
      </c>
      <c r="AX585">
        <v>0</v>
      </c>
      <c r="AY585">
        <v>1674.4</v>
      </c>
      <c r="BC585" t="str">
        <f t="shared" si="95"/>
        <v>9791137602076</v>
      </c>
      <c r="BE585" t="str">
        <f t="shared" si="96"/>
        <v>판타지 웹소설 &gt; 무협 소설</v>
      </c>
    </row>
    <row r="586" spans="1:57" x14ac:dyDescent="0.3">
      <c r="A586">
        <v>2313020108</v>
      </c>
      <c r="B586">
        <v>2313020241</v>
      </c>
      <c r="C586" t="str">
        <f>T("아빠는 마교대장 134화")</f>
        <v>아빠는 마교대장 134화</v>
      </c>
      <c r="D586" t="str">
        <f>T("134")</f>
        <v>134</v>
      </c>
      <c r="E586" t="str">
        <f t="shared" si="92"/>
        <v>구땡</v>
      </c>
      <c r="H586" t="str">
        <f t="shared" si="93"/>
        <v>스토리위즈</v>
      </c>
      <c r="I586" t="str">
        <f t="shared" si="94"/>
        <v>아빠는 마교대장</v>
      </c>
      <c r="J586">
        <v>100</v>
      </c>
      <c r="K586">
        <v>2400</v>
      </c>
      <c r="L586">
        <v>24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2400</v>
      </c>
      <c r="AH586">
        <v>24</v>
      </c>
      <c r="AI586">
        <v>0</v>
      </c>
      <c r="AJ586">
        <v>0</v>
      </c>
      <c r="AK586">
        <v>2200</v>
      </c>
      <c r="AL586">
        <v>0</v>
      </c>
      <c r="AM586">
        <v>240</v>
      </c>
      <c r="AN586">
        <v>-48</v>
      </c>
      <c r="AO586">
        <v>0</v>
      </c>
      <c r="AP586"/>
      <c r="AQ586">
        <v>0</v>
      </c>
      <c r="AR586">
        <v>0</v>
      </c>
      <c r="AS586">
        <v>240</v>
      </c>
      <c r="AT586">
        <v>-48</v>
      </c>
      <c r="AU586">
        <v>0</v>
      </c>
      <c r="AW586">
        <v>0</v>
      </c>
      <c r="AX586">
        <v>0</v>
      </c>
      <c r="AY586">
        <v>1674.4</v>
      </c>
      <c r="BC586" t="str">
        <f t="shared" si="95"/>
        <v>9791137602076</v>
      </c>
      <c r="BE586" t="str">
        <f t="shared" si="96"/>
        <v>판타지 웹소설 &gt; 무협 소설</v>
      </c>
    </row>
    <row r="587" spans="1:57" x14ac:dyDescent="0.3">
      <c r="A587">
        <v>2313020108</v>
      </c>
      <c r="B587">
        <v>2313020244</v>
      </c>
      <c r="C587" t="str">
        <f>T("아빠는 마교대장 137화")</f>
        <v>아빠는 마교대장 137화</v>
      </c>
      <c r="D587" t="str">
        <f>T("137")</f>
        <v>137</v>
      </c>
      <c r="E587" t="str">
        <f t="shared" si="92"/>
        <v>구땡</v>
      </c>
      <c r="H587" t="str">
        <f t="shared" si="93"/>
        <v>스토리위즈</v>
      </c>
      <c r="I587" t="str">
        <f t="shared" si="94"/>
        <v>아빠는 마교대장</v>
      </c>
      <c r="J587">
        <v>100</v>
      </c>
      <c r="K587">
        <v>2400</v>
      </c>
      <c r="L587">
        <v>24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2400</v>
      </c>
      <c r="AH587">
        <v>24</v>
      </c>
      <c r="AI587">
        <v>0</v>
      </c>
      <c r="AJ587">
        <v>0</v>
      </c>
      <c r="AK587">
        <v>2200</v>
      </c>
      <c r="AL587">
        <v>0</v>
      </c>
      <c r="AM587">
        <v>240</v>
      </c>
      <c r="AN587">
        <v>-48</v>
      </c>
      <c r="AO587">
        <v>0</v>
      </c>
      <c r="AP587"/>
      <c r="AQ587">
        <v>0</v>
      </c>
      <c r="AR587">
        <v>0</v>
      </c>
      <c r="AS587">
        <v>240</v>
      </c>
      <c r="AT587">
        <v>-48</v>
      </c>
      <c r="AU587">
        <v>0</v>
      </c>
      <c r="AW587">
        <v>0</v>
      </c>
      <c r="AX587">
        <v>0</v>
      </c>
      <c r="AY587">
        <v>1674.4</v>
      </c>
      <c r="BC587" t="str">
        <f t="shared" si="95"/>
        <v>9791137602076</v>
      </c>
      <c r="BE587" t="str">
        <f t="shared" si="96"/>
        <v>판타지 웹소설 &gt; 무협 소설</v>
      </c>
    </row>
    <row r="588" spans="1:57" x14ac:dyDescent="0.3">
      <c r="A588">
        <v>2313020108</v>
      </c>
      <c r="B588">
        <v>2313020245</v>
      </c>
      <c r="C588" t="str">
        <f>T("아빠는 마교대장 138화")</f>
        <v>아빠는 마교대장 138화</v>
      </c>
      <c r="D588" t="str">
        <f>T("138")</f>
        <v>138</v>
      </c>
      <c r="E588" t="str">
        <f t="shared" si="92"/>
        <v>구땡</v>
      </c>
      <c r="H588" t="str">
        <f t="shared" si="93"/>
        <v>스토리위즈</v>
      </c>
      <c r="I588" t="str">
        <f t="shared" si="94"/>
        <v>아빠는 마교대장</v>
      </c>
      <c r="J588">
        <v>100</v>
      </c>
      <c r="K588">
        <v>2400</v>
      </c>
      <c r="L588">
        <v>24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2400</v>
      </c>
      <c r="AH588">
        <v>24</v>
      </c>
      <c r="AI588">
        <v>0</v>
      </c>
      <c r="AJ588">
        <v>0</v>
      </c>
      <c r="AK588">
        <v>2200</v>
      </c>
      <c r="AL588">
        <v>0</v>
      </c>
      <c r="AM588">
        <v>240</v>
      </c>
      <c r="AN588">
        <v>-48</v>
      </c>
      <c r="AO588">
        <v>0</v>
      </c>
      <c r="AP588"/>
      <c r="AQ588">
        <v>0</v>
      </c>
      <c r="AR588">
        <v>0</v>
      </c>
      <c r="AS588">
        <v>240</v>
      </c>
      <c r="AT588">
        <v>-48</v>
      </c>
      <c r="AU588">
        <v>0</v>
      </c>
      <c r="AW588">
        <v>0</v>
      </c>
      <c r="AX588">
        <v>0</v>
      </c>
      <c r="AY588">
        <v>1674.4</v>
      </c>
      <c r="BC588" t="str">
        <f t="shared" si="95"/>
        <v>9791137602076</v>
      </c>
      <c r="BE588" t="str">
        <f t="shared" si="96"/>
        <v>판타지 웹소설 &gt; 무협 소설</v>
      </c>
    </row>
    <row r="589" spans="1:57" x14ac:dyDescent="0.3">
      <c r="A589">
        <v>2313020108</v>
      </c>
      <c r="B589">
        <v>2313020246</v>
      </c>
      <c r="C589" t="str">
        <f>T("아빠는 마교대장 139화")</f>
        <v>아빠는 마교대장 139화</v>
      </c>
      <c r="D589" t="str">
        <f>T("139")</f>
        <v>139</v>
      </c>
      <c r="E589" t="str">
        <f t="shared" si="92"/>
        <v>구땡</v>
      </c>
      <c r="H589" t="str">
        <f t="shared" si="93"/>
        <v>스토리위즈</v>
      </c>
      <c r="I589" t="str">
        <f t="shared" si="94"/>
        <v>아빠는 마교대장</v>
      </c>
      <c r="J589">
        <v>100</v>
      </c>
      <c r="K589">
        <v>2400</v>
      </c>
      <c r="L589">
        <v>24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2400</v>
      </c>
      <c r="AH589">
        <v>24</v>
      </c>
      <c r="AI589">
        <v>0</v>
      </c>
      <c r="AJ589">
        <v>0</v>
      </c>
      <c r="AK589">
        <v>2200</v>
      </c>
      <c r="AL589">
        <v>0</v>
      </c>
      <c r="AM589">
        <v>240</v>
      </c>
      <c r="AN589">
        <v>-48</v>
      </c>
      <c r="AO589">
        <v>0</v>
      </c>
      <c r="AP589"/>
      <c r="AQ589">
        <v>0</v>
      </c>
      <c r="AR589">
        <v>0</v>
      </c>
      <c r="AS589">
        <v>240</v>
      </c>
      <c r="AT589">
        <v>-48</v>
      </c>
      <c r="AU589">
        <v>0</v>
      </c>
      <c r="AW589">
        <v>0</v>
      </c>
      <c r="AX589">
        <v>0</v>
      </c>
      <c r="AY589">
        <v>1674.4</v>
      </c>
      <c r="BC589" t="str">
        <f t="shared" si="95"/>
        <v>9791137602076</v>
      </c>
      <c r="BE589" t="str">
        <f t="shared" si="96"/>
        <v>판타지 웹소설 &gt; 무협 소설</v>
      </c>
    </row>
    <row r="590" spans="1:57" x14ac:dyDescent="0.3">
      <c r="A590">
        <v>2313020108</v>
      </c>
      <c r="B590">
        <v>2313020247</v>
      </c>
      <c r="C590" t="str">
        <f>T("아빠는 마교대장 140화")</f>
        <v>아빠는 마교대장 140화</v>
      </c>
      <c r="D590" t="str">
        <f>T("140")</f>
        <v>140</v>
      </c>
      <c r="E590" t="str">
        <f t="shared" si="92"/>
        <v>구땡</v>
      </c>
      <c r="H590" t="str">
        <f t="shared" si="93"/>
        <v>스토리위즈</v>
      </c>
      <c r="I590" t="str">
        <f t="shared" si="94"/>
        <v>아빠는 마교대장</v>
      </c>
      <c r="J590">
        <v>100</v>
      </c>
      <c r="K590">
        <v>2400</v>
      </c>
      <c r="L590">
        <v>24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2400</v>
      </c>
      <c r="AH590">
        <v>24</v>
      </c>
      <c r="AI590">
        <v>0</v>
      </c>
      <c r="AJ590">
        <v>0</v>
      </c>
      <c r="AK590">
        <v>2200</v>
      </c>
      <c r="AL590">
        <v>0</v>
      </c>
      <c r="AM590">
        <v>240</v>
      </c>
      <c r="AN590">
        <v>-48</v>
      </c>
      <c r="AO590">
        <v>0</v>
      </c>
      <c r="AP590"/>
      <c r="AQ590">
        <v>0</v>
      </c>
      <c r="AR590">
        <v>0</v>
      </c>
      <c r="AS590">
        <v>240</v>
      </c>
      <c r="AT590">
        <v>-48</v>
      </c>
      <c r="AU590">
        <v>0</v>
      </c>
      <c r="AW590">
        <v>0</v>
      </c>
      <c r="AX590">
        <v>0</v>
      </c>
      <c r="AY590">
        <v>1674.4</v>
      </c>
      <c r="BC590" t="str">
        <f t="shared" si="95"/>
        <v>9791137602076</v>
      </c>
      <c r="BE590" t="str">
        <f t="shared" si="96"/>
        <v>판타지 웹소설 &gt; 무협 소설</v>
      </c>
    </row>
    <row r="591" spans="1:57" x14ac:dyDescent="0.3">
      <c r="A591">
        <v>2313020108</v>
      </c>
      <c r="B591">
        <v>2313020248</v>
      </c>
      <c r="C591" t="str">
        <f>T("아빠는 마교대장 141화")</f>
        <v>아빠는 마교대장 141화</v>
      </c>
      <c r="D591" t="str">
        <f>T("141")</f>
        <v>141</v>
      </c>
      <c r="E591" t="str">
        <f t="shared" si="92"/>
        <v>구땡</v>
      </c>
      <c r="H591" t="str">
        <f t="shared" si="93"/>
        <v>스토리위즈</v>
      </c>
      <c r="I591" t="str">
        <f t="shared" si="94"/>
        <v>아빠는 마교대장</v>
      </c>
      <c r="J591">
        <v>100</v>
      </c>
      <c r="K591">
        <v>2400</v>
      </c>
      <c r="L591">
        <v>24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2400</v>
      </c>
      <c r="AH591">
        <v>24</v>
      </c>
      <c r="AI591">
        <v>0</v>
      </c>
      <c r="AJ591">
        <v>0</v>
      </c>
      <c r="AK591">
        <v>2200</v>
      </c>
      <c r="AL591">
        <v>0</v>
      </c>
      <c r="AM591">
        <v>240</v>
      </c>
      <c r="AN591">
        <v>-48</v>
      </c>
      <c r="AO591">
        <v>0</v>
      </c>
      <c r="AP591"/>
      <c r="AQ591">
        <v>0</v>
      </c>
      <c r="AR591">
        <v>0</v>
      </c>
      <c r="AS591">
        <v>240</v>
      </c>
      <c r="AT591">
        <v>-48</v>
      </c>
      <c r="AU591">
        <v>0</v>
      </c>
      <c r="AW591">
        <v>0</v>
      </c>
      <c r="AX591">
        <v>0</v>
      </c>
      <c r="AY591">
        <v>1674.4</v>
      </c>
      <c r="BC591" t="str">
        <f t="shared" si="95"/>
        <v>9791137602076</v>
      </c>
      <c r="BE591" t="str">
        <f t="shared" si="96"/>
        <v>판타지 웹소설 &gt; 무협 소설</v>
      </c>
    </row>
    <row r="592" spans="1:57" x14ac:dyDescent="0.3">
      <c r="A592">
        <v>2313020108</v>
      </c>
      <c r="B592">
        <v>2313020249</v>
      </c>
      <c r="C592" t="str">
        <f>T("아빠는 마교대장 142화")</f>
        <v>아빠는 마교대장 142화</v>
      </c>
      <c r="D592" t="str">
        <f>T("142")</f>
        <v>142</v>
      </c>
      <c r="E592" t="str">
        <f t="shared" si="92"/>
        <v>구땡</v>
      </c>
      <c r="H592" t="str">
        <f t="shared" si="93"/>
        <v>스토리위즈</v>
      </c>
      <c r="I592" t="str">
        <f t="shared" si="94"/>
        <v>아빠는 마교대장</v>
      </c>
      <c r="J592">
        <v>100</v>
      </c>
      <c r="K592">
        <v>2400</v>
      </c>
      <c r="L592">
        <v>24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2400</v>
      </c>
      <c r="AH592">
        <v>24</v>
      </c>
      <c r="AI592">
        <v>0</v>
      </c>
      <c r="AJ592">
        <v>0</v>
      </c>
      <c r="AK592">
        <v>2200</v>
      </c>
      <c r="AL592">
        <v>0</v>
      </c>
      <c r="AM592">
        <v>240</v>
      </c>
      <c r="AN592">
        <v>-48</v>
      </c>
      <c r="AO592">
        <v>0</v>
      </c>
      <c r="AP592"/>
      <c r="AQ592">
        <v>0</v>
      </c>
      <c r="AR592">
        <v>0</v>
      </c>
      <c r="AS592">
        <v>240</v>
      </c>
      <c r="AT592">
        <v>-48</v>
      </c>
      <c r="AU592">
        <v>0</v>
      </c>
      <c r="AW592">
        <v>0</v>
      </c>
      <c r="AX592">
        <v>0</v>
      </c>
      <c r="AY592">
        <v>1674.4</v>
      </c>
      <c r="BC592" t="str">
        <f t="shared" si="95"/>
        <v>9791137602076</v>
      </c>
      <c r="BE592" t="str">
        <f t="shared" si="96"/>
        <v>판타지 웹소설 &gt; 무협 소설</v>
      </c>
    </row>
    <row r="593" spans="1:57" x14ac:dyDescent="0.3">
      <c r="A593">
        <v>2313020108</v>
      </c>
      <c r="B593">
        <v>2313020255</v>
      </c>
      <c r="C593" t="str">
        <f>T("아빠는 마교대장 148화")</f>
        <v>아빠는 마교대장 148화</v>
      </c>
      <c r="D593" t="str">
        <f>T("148")</f>
        <v>148</v>
      </c>
      <c r="E593" t="str">
        <f t="shared" si="92"/>
        <v>구땡</v>
      </c>
      <c r="H593" t="str">
        <f t="shared" si="93"/>
        <v>스토리위즈</v>
      </c>
      <c r="I593" t="str">
        <f t="shared" si="94"/>
        <v>아빠는 마교대장</v>
      </c>
      <c r="J593">
        <v>100</v>
      </c>
      <c r="K593">
        <v>2400</v>
      </c>
      <c r="L593">
        <v>24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2400</v>
      </c>
      <c r="AH593">
        <v>24</v>
      </c>
      <c r="AI593">
        <v>0</v>
      </c>
      <c r="AJ593">
        <v>0</v>
      </c>
      <c r="AK593">
        <v>2200</v>
      </c>
      <c r="AL593">
        <v>0</v>
      </c>
      <c r="AM593">
        <v>240</v>
      </c>
      <c r="AN593">
        <v>-48</v>
      </c>
      <c r="AO593">
        <v>0</v>
      </c>
      <c r="AP593"/>
      <c r="AQ593">
        <v>0</v>
      </c>
      <c r="AR593">
        <v>0</v>
      </c>
      <c r="AS593">
        <v>240</v>
      </c>
      <c r="AT593">
        <v>-48</v>
      </c>
      <c r="AU593">
        <v>0</v>
      </c>
      <c r="AW593">
        <v>0</v>
      </c>
      <c r="AX593">
        <v>0</v>
      </c>
      <c r="AY593">
        <v>1674.4</v>
      </c>
      <c r="BC593" t="str">
        <f t="shared" si="95"/>
        <v>9791137602076</v>
      </c>
      <c r="BE593" t="str">
        <f t="shared" si="96"/>
        <v>판타지 웹소설 &gt; 무협 소설</v>
      </c>
    </row>
    <row r="594" spans="1:57" x14ac:dyDescent="0.3">
      <c r="A594">
        <v>2313020108</v>
      </c>
      <c r="B594">
        <v>2313020259</v>
      </c>
      <c r="C594" t="str">
        <f>T("아빠는 마교대장 152화")</f>
        <v>아빠는 마교대장 152화</v>
      </c>
      <c r="D594" t="str">
        <f>T("152")</f>
        <v>152</v>
      </c>
      <c r="E594" t="str">
        <f t="shared" si="92"/>
        <v>구땡</v>
      </c>
      <c r="H594" t="str">
        <f t="shared" si="93"/>
        <v>스토리위즈</v>
      </c>
      <c r="I594" t="str">
        <f t="shared" si="94"/>
        <v>아빠는 마교대장</v>
      </c>
      <c r="J594">
        <v>100</v>
      </c>
      <c r="K594">
        <v>2400</v>
      </c>
      <c r="L594">
        <v>24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2400</v>
      </c>
      <c r="AH594">
        <v>24</v>
      </c>
      <c r="AI594">
        <v>0</v>
      </c>
      <c r="AJ594">
        <v>0</v>
      </c>
      <c r="AK594">
        <v>2200</v>
      </c>
      <c r="AL594">
        <v>0</v>
      </c>
      <c r="AM594">
        <v>240</v>
      </c>
      <c r="AN594">
        <v>-72</v>
      </c>
      <c r="AO594">
        <v>0</v>
      </c>
      <c r="AP594"/>
      <c r="AQ594">
        <v>0</v>
      </c>
      <c r="AR594">
        <v>0</v>
      </c>
      <c r="AS594">
        <v>240</v>
      </c>
      <c r="AT594">
        <v>-72</v>
      </c>
      <c r="AU594">
        <v>0</v>
      </c>
      <c r="AW594">
        <v>0</v>
      </c>
      <c r="AX594">
        <v>0</v>
      </c>
      <c r="AY594">
        <v>1657.6</v>
      </c>
      <c r="BC594" t="str">
        <f t="shared" si="95"/>
        <v>9791137602076</v>
      </c>
      <c r="BE594" t="str">
        <f t="shared" si="96"/>
        <v>판타지 웹소설 &gt; 무협 소설</v>
      </c>
    </row>
    <row r="595" spans="1:57" x14ac:dyDescent="0.3">
      <c r="A595">
        <v>2313020108</v>
      </c>
      <c r="B595">
        <v>2313020260</v>
      </c>
      <c r="C595" t="str">
        <f>T("아빠는 마교대장 153화")</f>
        <v>아빠는 마교대장 153화</v>
      </c>
      <c r="D595" t="str">
        <f>T("153")</f>
        <v>153</v>
      </c>
      <c r="E595" t="str">
        <f t="shared" si="92"/>
        <v>구땡</v>
      </c>
      <c r="H595" t="str">
        <f t="shared" si="93"/>
        <v>스토리위즈</v>
      </c>
      <c r="I595" t="str">
        <f t="shared" si="94"/>
        <v>아빠는 마교대장</v>
      </c>
      <c r="J595">
        <v>100</v>
      </c>
      <c r="K595">
        <v>2400</v>
      </c>
      <c r="L595">
        <v>24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2400</v>
      </c>
      <c r="AH595">
        <v>24</v>
      </c>
      <c r="AI595">
        <v>0</v>
      </c>
      <c r="AJ595">
        <v>0</v>
      </c>
      <c r="AK595">
        <v>2100</v>
      </c>
      <c r="AL595">
        <v>0</v>
      </c>
      <c r="AM595">
        <v>360</v>
      </c>
      <c r="AN595">
        <v>-84</v>
      </c>
      <c r="AO595">
        <v>0</v>
      </c>
      <c r="AP595"/>
      <c r="AQ595">
        <v>0</v>
      </c>
      <c r="AR595">
        <v>0</v>
      </c>
      <c r="AS595">
        <v>360</v>
      </c>
      <c r="AT595">
        <v>-84</v>
      </c>
      <c r="AU595">
        <v>0</v>
      </c>
      <c r="AW595">
        <v>0</v>
      </c>
      <c r="AX595">
        <v>0</v>
      </c>
      <c r="AY595">
        <v>1663.2</v>
      </c>
      <c r="BC595" t="str">
        <f t="shared" si="95"/>
        <v>9791137602076</v>
      </c>
      <c r="BE595" t="str">
        <f t="shared" si="96"/>
        <v>판타지 웹소설 &gt; 무협 소설</v>
      </c>
    </row>
    <row r="596" spans="1:57" x14ac:dyDescent="0.3">
      <c r="A596">
        <v>2313020108</v>
      </c>
      <c r="B596">
        <v>2313020265</v>
      </c>
      <c r="C596" t="str">
        <f>T("아빠는 마교대장 158화")</f>
        <v>아빠는 마교대장 158화</v>
      </c>
      <c r="D596" t="str">
        <f>T("158")</f>
        <v>158</v>
      </c>
      <c r="E596" t="str">
        <f t="shared" si="92"/>
        <v>구땡</v>
      </c>
      <c r="H596" t="str">
        <f t="shared" si="93"/>
        <v>스토리위즈</v>
      </c>
      <c r="I596" t="str">
        <f t="shared" si="94"/>
        <v>아빠는 마교대장</v>
      </c>
      <c r="J596">
        <v>100</v>
      </c>
      <c r="K596">
        <v>2400</v>
      </c>
      <c r="L596">
        <v>24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2400</v>
      </c>
      <c r="AH596">
        <v>24</v>
      </c>
      <c r="AI596">
        <v>0</v>
      </c>
      <c r="AJ596">
        <v>0</v>
      </c>
      <c r="AK596">
        <v>2200</v>
      </c>
      <c r="AL596">
        <v>0</v>
      </c>
      <c r="AM596">
        <v>240</v>
      </c>
      <c r="AN596">
        <v>-48</v>
      </c>
      <c r="AO596">
        <v>0</v>
      </c>
      <c r="AP596"/>
      <c r="AQ596">
        <v>0</v>
      </c>
      <c r="AR596">
        <v>0</v>
      </c>
      <c r="AS596">
        <v>240</v>
      </c>
      <c r="AT596">
        <v>-48</v>
      </c>
      <c r="AU596">
        <v>0</v>
      </c>
      <c r="AW596">
        <v>0</v>
      </c>
      <c r="AX596">
        <v>0</v>
      </c>
      <c r="AY596">
        <v>1674.4</v>
      </c>
      <c r="BC596" t="str">
        <f t="shared" si="95"/>
        <v>9791137602076</v>
      </c>
      <c r="BE596" t="str">
        <f t="shared" si="96"/>
        <v>판타지 웹소설 &gt; 무협 소설</v>
      </c>
    </row>
    <row r="597" spans="1:57" x14ac:dyDescent="0.3">
      <c r="A597">
        <v>2313020108</v>
      </c>
      <c r="B597">
        <v>2313020267</v>
      </c>
      <c r="C597" t="str">
        <f>T("아빠는 마교대장 160화")</f>
        <v>아빠는 마교대장 160화</v>
      </c>
      <c r="D597" t="str">
        <f>T("160")</f>
        <v>160</v>
      </c>
      <c r="E597" t="str">
        <f t="shared" si="92"/>
        <v>구땡</v>
      </c>
      <c r="H597" t="str">
        <f t="shared" si="93"/>
        <v>스토리위즈</v>
      </c>
      <c r="I597" t="str">
        <f t="shared" si="94"/>
        <v>아빠는 마교대장</v>
      </c>
      <c r="J597">
        <v>100</v>
      </c>
      <c r="K597">
        <v>2400</v>
      </c>
      <c r="L597">
        <v>24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2400</v>
      </c>
      <c r="AH597">
        <v>24</v>
      </c>
      <c r="AI597">
        <v>0</v>
      </c>
      <c r="AJ597">
        <v>0</v>
      </c>
      <c r="AK597">
        <v>2200</v>
      </c>
      <c r="AL597">
        <v>0</v>
      </c>
      <c r="AM597">
        <v>240</v>
      </c>
      <c r="AN597">
        <v>-48</v>
      </c>
      <c r="AO597">
        <v>0</v>
      </c>
      <c r="AP597"/>
      <c r="AQ597">
        <v>0</v>
      </c>
      <c r="AR597">
        <v>0</v>
      </c>
      <c r="AS597">
        <v>240</v>
      </c>
      <c r="AT597">
        <v>-48</v>
      </c>
      <c r="AU597">
        <v>0</v>
      </c>
      <c r="AW597">
        <v>0</v>
      </c>
      <c r="AX597">
        <v>0</v>
      </c>
      <c r="AY597">
        <v>1674.4</v>
      </c>
      <c r="BC597" t="str">
        <f t="shared" si="95"/>
        <v>9791137602076</v>
      </c>
      <c r="BE597" t="str">
        <f t="shared" si="96"/>
        <v>판타지 웹소설 &gt; 무협 소설</v>
      </c>
    </row>
    <row r="598" spans="1:57" x14ac:dyDescent="0.3">
      <c r="A598">
        <v>2313020108</v>
      </c>
      <c r="B598">
        <v>2313020268</v>
      </c>
      <c r="C598" t="str">
        <f>T("아빠는 마교대장 161화")</f>
        <v>아빠는 마교대장 161화</v>
      </c>
      <c r="D598" t="str">
        <f>T("161")</f>
        <v>161</v>
      </c>
      <c r="E598" t="str">
        <f t="shared" si="92"/>
        <v>구땡</v>
      </c>
      <c r="H598" t="str">
        <f t="shared" si="93"/>
        <v>스토리위즈</v>
      </c>
      <c r="I598" t="str">
        <f t="shared" si="94"/>
        <v>아빠는 마교대장</v>
      </c>
      <c r="J598">
        <v>100</v>
      </c>
      <c r="K598">
        <v>2400</v>
      </c>
      <c r="L598">
        <v>24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2400</v>
      </c>
      <c r="AH598">
        <v>24</v>
      </c>
      <c r="AI598">
        <v>0</v>
      </c>
      <c r="AJ598">
        <v>0</v>
      </c>
      <c r="AK598">
        <v>2200</v>
      </c>
      <c r="AL598">
        <v>0</v>
      </c>
      <c r="AM598">
        <v>240</v>
      </c>
      <c r="AN598">
        <v>-48</v>
      </c>
      <c r="AO598">
        <v>0</v>
      </c>
      <c r="AP598"/>
      <c r="AQ598">
        <v>0</v>
      </c>
      <c r="AR598">
        <v>0</v>
      </c>
      <c r="AS598">
        <v>240</v>
      </c>
      <c r="AT598">
        <v>-48</v>
      </c>
      <c r="AU598">
        <v>0</v>
      </c>
      <c r="AW598">
        <v>0</v>
      </c>
      <c r="AX598">
        <v>0</v>
      </c>
      <c r="AY598">
        <v>1674.4</v>
      </c>
      <c r="BC598" t="str">
        <f t="shared" si="95"/>
        <v>9791137602076</v>
      </c>
      <c r="BE598" t="str">
        <f t="shared" si="96"/>
        <v>판타지 웹소설 &gt; 무협 소설</v>
      </c>
    </row>
    <row r="599" spans="1:57" x14ac:dyDescent="0.3">
      <c r="A599">
        <v>2313020108</v>
      </c>
      <c r="B599">
        <v>2313020269</v>
      </c>
      <c r="C599" t="str">
        <f>T("아빠는 마교대장 162화")</f>
        <v>아빠는 마교대장 162화</v>
      </c>
      <c r="D599" t="str">
        <f>T("162")</f>
        <v>162</v>
      </c>
      <c r="E599" t="str">
        <f t="shared" si="92"/>
        <v>구땡</v>
      </c>
      <c r="H599" t="str">
        <f t="shared" si="93"/>
        <v>스토리위즈</v>
      </c>
      <c r="I599" t="str">
        <f t="shared" si="94"/>
        <v>아빠는 마교대장</v>
      </c>
      <c r="J599">
        <v>100</v>
      </c>
      <c r="K599">
        <v>2400</v>
      </c>
      <c r="L599">
        <v>24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2400</v>
      </c>
      <c r="AH599">
        <v>24</v>
      </c>
      <c r="AI599">
        <v>0</v>
      </c>
      <c r="AJ599">
        <v>0</v>
      </c>
      <c r="AK599">
        <v>2200</v>
      </c>
      <c r="AL599">
        <v>0</v>
      </c>
      <c r="AM599">
        <v>240</v>
      </c>
      <c r="AN599">
        <v>-48</v>
      </c>
      <c r="AO599">
        <v>0</v>
      </c>
      <c r="AP599"/>
      <c r="AQ599">
        <v>0</v>
      </c>
      <c r="AR599">
        <v>0</v>
      </c>
      <c r="AS599">
        <v>240</v>
      </c>
      <c r="AT599">
        <v>-48</v>
      </c>
      <c r="AU599">
        <v>0</v>
      </c>
      <c r="AW599">
        <v>0</v>
      </c>
      <c r="AX599">
        <v>0</v>
      </c>
      <c r="AY599">
        <v>1674.4</v>
      </c>
      <c r="BC599" t="str">
        <f t="shared" si="95"/>
        <v>9791137602076</v>
      </c>
      <c r="BE599" t="str">
        <f t="shared" si="96"/>
        <v>판타지 웹소설 &gt; 무협 소설</v>
      </c>
    </row>
    <row r="600" spans="1:57" x14ac:dyDescent="0.3">
      <c r="A600">
        <v>2313020108</v>
      </c>
      <c r="B600">
        <v>2313020270</v>
      </c>
      <c r="C600" t="str">
        <f>T("아빠는 마교대장 163화")</f>
        <v>아빠는 마교대장 163화</v>
      </c>
      <c r="D600" t="str">
        <f>T("163")</f>
        <v>163</v>
      </c>
      <c r="E600" t="str">
        <f t="shared" si="92"/>
        <v>구땡</v>
      </c>
      <c r="H600" t="str">
        <f t="shared" si="93"/>
        <v>스토리위즈</v>
      </c>
      <c r="I600" t="str">
        <f t="shared" si="94"/>
        <v>아빠는 마교대장</v>
      </c>
      <c r="J600">
        <v>100</v>
      </c>
      <c r="K600">
        <v>2400</v>
      </c>
      <c r="L600">
        <v>24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2400</v>
      </c>
      <c r="AH600">
        <v>24</v>
      </c>
      <c r="AI600">
        <v>0</v>
      </c>
      <c r="AJ600">
        <v>0</v>
      </c>
      <c r="AK600">
        <v>2200</v>
      </c>
      <c r="AL600">
        <v>0</v>
      </c>
      <c r="AM600">
        <v>240</v>
      </c>
      <c r="AN600">
        <v>-48</v>
      </c>
      <c r="AO600">
        <v>0</v>
      </c>
      <c r="AP600"/>
      <c r="AQ600">
        <v>0</v>
      </c>
      <c r="AR600">
        <v>0</v>
      </c>
      <c r="AS600">
        <v>240</v>
      </c>
      <c r="AT600">
        <v>-48</v>
      </c>
      <c r="AU600">
        <v>0</v>
      </c>
      <c r="AW600">
        <v>0</v>
      </c>
      <c r="AX600">
        <v>0</v>
      </c>
      <c r="AY600">
        <v>1674.4</v>
      </c>
      <c r="BC600" t="str">
        <f t="shared" si="95"/>
        <v>9791137602076</v>
      </c>
      <c r="BE600" t="str">
        <f t="shared" si="96"/>
        <v>판타지 웹소설 &gt; 무협 소설</v>
      </c>
    </row>
    <row r="601" spans="1:57" x14ac:dyDescent="0.3">
      <c r="A601">
        <v>2313020108</v>
      </c>
      <c r="B601">
        <v>2313020271</v>
      </c>
      <c r="C601" t="str">
        <f>T("아빠는 마교대장 164화")</f>
        <v>아빠는 마교대장 164화</v>
      </c>
      <c r="D601" t="str">
        <f>T("164")</f>
        <v>164</v>
      </c>
      <c r="E601" t="str">
        <f t="shared" si="92"/>
        <v>구땡</v>
      </c>
      <c r="H601" t="str">
        <f t="shared" si="93"/>
        <v>스토리위즈</v>
      </c>
      <c r="I601" t="str">
        <f t="shared" si="94"/>
        <v>아빠는 마교대장</v>
      </c>
      <c r="J601">
        <v>100</v>
      </c>
      <c r="K601">
        <v>2400</v>
      </c>
      <c r="L601">
        <v>24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2400</v>
      </c>
      <c r="AH601">
        <v>24</v>
      </c>
      <c r="AI601">
        <v>0</v>
      </c>
      <c r="AJ601">
        <v>0</v>
      </c>
      <c r="AK601">
        <v>2200</v>
      </c>
      <c r="AL601">
        <v>0</v>
      </c>
      <c r="AM601">
        <v>240</v>
      </c>
      <c r="AN601">
        <v>-48</v>
      </c>
      <c r="AO601">
        <v>0</v>
      </c>
      <c r="AP601"/>
      <c r="AQ601">
        <v>0</v>
      </c>
      <c r="AR601">
        <v>0</v>
      </c>
      <c r="AS601">
        <v>240</v>
      </c>
      <c r="AT601">
        <v>-48</v>
      </c>
      <c r="AU601">
        <v>0</v>
      </c>
      <c r="AW601">
        <v>0</v>
      </c>
      <c r="AX601">
        <v>0</v>
      </c>
      <c r="AY601">
        <v>1674.4</v>
      </c>
      <c r="BC601" t="str">
        <f t="shared" si="95"/>
        <v>9791137602076</v>
      </c>
      <c r="BE601" t="str">
        <f t="shared" si="96"/>
        <v>판타지 웹소설 &gt; 무협 소설</v>
      </c>
    </row>
    <row r="602" spans="1:57" x14ac:dyDescent="0.3">
      <c r="A602">
        <v>2313020108</v>
      </c>
      <c r="B602">
        <v>2313020272</v>
      </c>
      <c r="C602" t="str">
        <f>T("아빠는 마교대장 165화")</f>
        <v>아빠는 마교대장 165화</v>
      </c>
      <c r="D602" t="str">
        <f>T("165")</f>
        <v>165</v>
      </c>
      <c r="E602" t="str">
        <f t="shared" si="92"/>
        <v>구땡</v>
      </c>
      <c r="H602" t="str">
        <f t="shared" si="93"/>
        <v>스토리위즈</v>
      </c>
      <c r="I602" t="str">
        <f t="shared" si="94"/>
        <v>아빠는 마교대장</v>
      </c>
      <c r="J602">
        <v>100</v>
      </c>
      <c r="K602">
        <v>2400</v>
      </c>
      <c r="L602">
        <v>24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2400</v>
      </c>
      <c r="AH602">
        <v>24</v>
      </c>
      <c r="AI602">
        <v>0</v>
      </c>
      <c r="AJ602">
        <v>0</v>
      </c>
      <c r="AK602">
        <v>2200</v>
      </c>
      <c r="AL602">
        <v>0</v>
      </c>
      <c r="AM602">
        <v>240</v>
      </c>
      <c r="AN602">
        <v>-48</v>
      </c>
      <c r="AO602">
        <v>0</v>
      </c>
      <c r="AP602"/>
      <c r="AQ602">
        <v>0</v>
      </c>
      <c r="AR602">
        <v>0</v>
      </c>
      <c r="AS602">
        <v>240</v>
      </c>
      <c r="AT602">
        <v>-48</v>
      </c>
      <c r="AU602">
        <v>0</v>
      </c>
      <c r="AW602">
        <v>0</v>
      </c>
      <c r="AX602">
        <v>0</v>
      </c>
      <c r="AY602">
        <v>1674.4</v>
      </c>
      <c r="BC602" t="str">
        <f t="shared" si="95"/>
        <v>9791137602076</v>
      </c>
      <c r="BE602" t="str">
        <f t="shared" si="96"/>
        <v>판타지 웹소설 &gt; 무협 소설</v>
      </c>
    </row>
    <row r="603" spans="1:57" x14ac:dyDescent="0.3">
      <c r="A603">
        <v>2313020108</v>
      </c>
      <c r="B603">
        <v>2313020273</v>
      </c>
      <c r="C603" t="str">
        <f>T("아빠는 마교대장 166화")</f>
        <v>아빠는 마교대장 166화</v>
      </c>
      <c r="D603" t="str">
        <f>T("166")</f>
        <v>166</v>
      </c>
      <c r="E603" t="str">
        <f t="shared" si="92"/>
        <v>구땡</v>
      </c>
      <c r="H603" t="str">
        <f t="shared" si="93"/>
        <v>스토리위즈</v>
      </c>
      <c r="I603" t="str">
        <f t="shared" si="94"/>
        <v>아빠는 마교대장</v>
      </c>
      <c r="J603">
        <v>100</v>
      </c>
      <c r="K603">
        <v>2400</v>
      </c>
      <c r="L603">
        <v>24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2400</v>
      </c>
      <c r="AH603">
        <v>24</v>
      </c>
      <c r="AI603">
        <v>0</v>
      </c>
      <c r="AJ603">
        <v>0</v>
      </c>
      <c r="AK603">
        <v>2200</v>
      </c>
      <c r="AL603">
        <v>0</v>
      </c>
      <c r="AM603">
        <v>240</v>
      </c>
      <c r="AN603">
        <v>-48</v>
      </c>
      <c r="AO603">
        <v>0</v>
      </c>
      <c r="AP603"/>
      <c r="AQ603">
        <v>0</v>
      </c>
      <c r="AR603">
        <v>0</v>
      </c>
      <c r="AS603">
        <v>240</v>
      </c>
      <c r="AT603">
        <v>-48</v>
      </c>
      <c r="AU603">
        <v>0</v>
      </c>
      <c r="AW603">
        <v>0</v>
      </c>
      <c r="AX603">
        <v>0</v>
      </c>
      <c r="AY603">
        <v>1674.4</v>
      </c>
      <c r="BC603" t="str">
        <f t="shared" si="95"/>
        <v>9791137602076</v>
      </c>
      <c r="BE603" t="str">
        <f t="shared" si="96"/>
        <v>판타지 웹소설 &gt; 무협 소설</v>
      </c>
    </row>
    <row r="604" spans="1:57" x14ac:dyDescent="0.3">
      <c r="A604">
        <v>2313020108</v>
      </c>
      <c r="B604">
        <v>2313020275</v>
      </c>
      <c r="C604" t="str">
        <f>T("아빠는 마교대장 168화")</f>
        <v>아빠는 마교대장 168화</v>
      </c>
      <c r="D604" t="str">
        <f>T("168")</f>
        <v>168</v>
      </c>
      <c r="E604" t="str">
        <f t="shared" si="92"/>
        <v>구땡</v>
      </c>
      <c r="H604" t="str">
        <f t="shared" si="93"/>
        <v>스토리위즈</v>
      </c>
      <c r="I604" t="str">
        <f t="shared" si="94"/>
        <v>아빠는 마교대장</v>
      </c>
      <c r="J604">
        <v>100</v>
      </c>
      <c r="K604">
        <v>2400</v>
      </c>
      <c r="L604">
        <v>24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2400</v>
      </c>
      <c r="AH604">
        <v>24</v>
      </c>
      <c r="AI604">
        <v>0</v>
      </c>
      <c r="AJ604">
        <v>0</v>
      </c>
      <c r="AK604">
        <v>2200</v>
      </c>
      <c r="AL604">
        <v>0</v>
      </c>
      <c r="AM604">
        <v>240</v>
      </c>
      <c r="AN604">
        <v>-48</v>
      </c>
      <c r="AO604">
        <v>0</v>
      </c>
      <c r="AP604"/>
      <c r="AQ604">
        <v>0</v>
      </c>
      <c r="AR604">
        <v>0</v>
      </c>
      <c r="AS604">
        <v>240</v>
      </c>
      <c r="AT604">
        <v>-48</v>
      </c>
      <c r="AU604">
        <v>0</v>
      </c>
      <c r="AW604">
        <v>0</v>
      </c>
      <c r="AX604">
        <v>0</v>
      </c>
      <c r="AY604">
        <v>1674.4</v>
      </c>
      <c r="BC604" t="str">
        <f t="shared" si="95"/>
        <v>9791137602076</v>
      </c>
      <c r="BE604" t="str">
        <f t="shared" si="96"/>
        <v>판타지 웹소설 &gt; 무협 소설</v>
      </c>
    </row>
    <row r="605" spans="1:57" x14ac:dyDescent="0.3">
      <c r="A605">
        <v>2313020108</v>
      </c>
      <c r="B605">
        <v>2313020276</v>
      </c>
      <c r="C605" t="str">
        <f>T("아빠는 마교대장 169화")</f>
        <v>아빠는 마교대장 169화</v>
      </c>
      <c r="D605" t="str">
        <f>T("169")</f>
        <v>169</v>
      </c>
      <c r="E605" t="str">
        <f t="shared" si="92"/>
        <v>구땡</v>
      </c>
      <c r="H605" t="str">
        <f t="shared" si="93"/>
        <v>스토리위즈</v>
      </c>
      <c r="I605" t="str">
        <f t="shared" si="94"/>
        <v>아빠는 마교대장</v>
      </c>
      <c r="J605">
        <v>100</v>
      </c>
      <c r="K605">
        <v>2400</v>
      </c>
      <c r="L605">
        <v>24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2400</v>
      </c>
      <c r="AH605">
        <v>24</v>
      </c>
      <c r="AI605">
        <v>0</v>
      </c>
      <c r="AJ605">
        <v>0</v>
      </c>
      <c r="AK605">
        <v>2200</v>
      </c>
      <c r="AL605">
        <v>0</v>
      </c>
      <c r="AM605">
        <v>240</v>
      </c>
      <c r="AN605">
        <v>-48</v>
      </c>
      <c r="AO605">
        <v>0</v>
      </c>
      <c r="AP605"/>
      <c r="AQ605">
        <v>0</v>
      </c>
      <c r="AR605">
        <v>0</v>
      </c>
      <c r="AS605">
        <v>240</v>
      </c>
      <c r="AT605">
        <v>-48</v>
      </c>
      <c r="AU605">
        <v>0</v>
      </c>
      <c r="AW605">
        <v>0</v>
      </c>
      <c r="AX605">
        <v>0</v>
      </c>
      <c r="AY605">
        <v>1674.4</v>
      </c>
      <c r="BC605" t="str">
        <f t="shared" si="95"/>
        <v>9791137602076</v>
      </c>
      <c r="BE605" t="str">
        <f t="shared" si="96"/>
        <v>판타지 웹소설 &gt; 무협 소설</v>
      </c>
    </row>
    <row r="606" spans="1:57" x14ac:dyDescent="0.3">
      <c r="A606">
        <v>2313020108</v>
      </c>
      <c r="B606">
        <v>2313020277</v>
      </c>
      <c r="C606" t="str">
        <f>T("아빠는 마교대장 170화")</f>
        <v>아빠는 마교대장 170화</v>
      </c>
      <c r="D606" t="str">
        <f>T("170")</f>
        <v>170</v>
      </c>
      <c r="E606" t="str">
        <f t="shared" si="92"/>
        <v>구땡</v>
      </c>
      <c r="H606" t="str">
        <f t="shared" si="93"/>
        <v>스토리위즈</v>
      </c>
      <c r="I606" t="str">
        <f t="shared" si="94"/>
        <v>아빠는 마교대장</v>
      </c>
      <c r="J606">
        <v>100</v>
      </c>
      <c r="K606">
        <v>2400</v>
      </c>
      <c r="L606">
        <v>24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2400</v>
      </c>
      <c r="AH606">
        <v>24</v>
      </c>
      <c r="AI606">
        <v>0</v>
      </c>
      <c r="AJ606">
        <v>0</v>
      </c>
      <c r="AK606">
        <v>2200</v>
      </c>
      <c r="AL606">
        <v>0</v>
      </c>
      <c r="AM606">
        <v>240</v>
      </c>
      <c r="AN606">
        <v>-48</v>
      </c>
      <c r="AO606">
        <v>0</v>
      </c>
      <c r="AP606"/>
      <c r="AQ606">
        <v>0</v>
      </c>
      <c r="AR606">
        <v>0</v>
      </c>
      <c r="AS606">
        <v>240</v>
      </c>
      <c r="AT606">
        <v>-48</v>
      </c>
      <c r="AU606">
        <v>0</v>
      </c>
      <c r="AW606">
        <v>0</v>
      </c>
      <c r="AX606">
        <v>0</v>
      </c>
      <c r="AY606">
        <v>1674.4</v>
      </c>
      <c r="BC606" t="str">
        <f t="shared" si="95"/>
        <v>9791137602076</v>
      </c>
      <c r="BE606" t="str">
        <f t="shared" si="96"/>
        <v>판타지 웹소설 &gt; 무협 소설</v>
      </c>
    </row>
    <row r="607" spans="1:57" x14ac:dyDescent="0.3">
      <c r="A607">
        <v>2313020108</v>
      </c>
      <c r="B607">
        <v>2313020278</v>
      </c>
      <c r="C607" t="str">
        <f>T("아빠는 마교대장 171화")</f>
        <v>아빠는 마교대장 171화</v>
      </c>
      <c r="D607" t="str">
        <f>T("171")</f>
        <v>171</v>
      </c>
      <c r="E607" t="str">
        <f t="shared" si="92"/>
        <v>구땡</v>
      </c>
      <c r="H607" t="str">
        <f t="shared" si="93"/>
        <v>스토리위즈</v>
      </c>
      <c r="I607" t="str">
        <f t="shared" si="94"/>
        <v>아빠는 마교대장</v>
      </c>
      <c r="J607">
        <v>100</v>
      </c>
      <c r="K607">
        <v>2400</v>
      </c>
      <c r="L607">
        <v>24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2400</v>
      </c>
      <c r="AH607">
        <v>24</v>
      </c>
      <c r="AI607">
        <v>0</v>
      </c>
      <c r="AJ607">
        <v>0</v>
      </c>
      <c r="AK607">
        <v>2200</v>
      </c>
      <c r="AL607">
        <v>0</v>
      </c>
      <c r="AM607">
        <v>240</v>
      </c>
      <c r="AN607">
        <v>-48</v>
      </c>
      <c r="AO607">
        <v>0</v>
      </c>
      <c r="AP607"/>
      <c r="AQ607">
        <v>0</v>
      </c>
      <c r="AR607">
        <v>0</v>
      </c>
      <c r="AS607">
        <v>240</v>
      </c>
      <c r="AT607">
        <v>-48</v>
      </c>
      <c r="AU607">
        <v>0</v>
      </c>
      <c r="AW607">
        <v>0</v>
      </c>
      <c r="AX607">
        <v>0</v>
      </c>
      <c r="AY607">
        <v>1674.4</v>
      </c>
      <c r="BC607" t="str">
        <f t="shared" si="95"/>
        <v>9791137602076</v>
      </c>
      <c r="BE607" t="str">
        <f t="shared" si="96"/>
        <v>판타지 웹소설 &gt; 무협 소설</v>
      </c>
    </row>
    <row r="608" spans="1:57" x14ac:dyDescent="0.3">
      <c r="A608">
        <v>2313020108</v>
      </c>
      <c r="B608">
        <v>2313020279</v>
      </c>
      <c r="C608" t="str">
        <f>T("아빠는 마교대장 172화")</f>
        <v>아빠는 마교대장 172화</v>
      </c>
      <c r="D608" t="str">
        <f>T("172")</f>
        <v>172</v>
      </c>
      <c r="E608" t="str">
        <f t="shared" si="92"/>
        <v>구땡</v>
      </c>
      <c r="H608" t="str">
        <f t="shared" si="93"/>
        <v>스토리위즈</v>
      </c>
      <c r="I608" t="str">
        <f t="shared" si="94"/>
        <v>아빠는 마교대장</v>
      </c>
      <c r="J608">
        <v>100</v>
      </c>
      <c r="K608">
        <v>2400</v>
      </c>
      <c r="L608">
        <v>24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2400</v>
      </c>
      <c r="AH608">
        <v>24</v>
      </c>
      <c r="AI608">
        <v>0</v>
      </c>
      <c r="AJ608">
        <v>0</v>
      </c>
      <c r="AK608">
        <v>2200</v>
      </c>
      <c r="AL608">
        <v>0</v>
      </c>
      <c r="AM608">
        <v>240</v>
      </c>
      <c r="AN608">
        <v>-48</v>
      </c>
      <c r="AO608">
        <v>0</v>
      </c>
      <c r="AP608"/>
      <c r="AQ608">
        <v>0</v>
      </c>
      <c r="AR608">
        <v>0</v>
      </c>
      <c r="AS608">
        <v>240</v>
      </c>
      <c r="AT608">
        <v>-48</v>
      </c>
      <c r="AU608">
        <v>0</v>
      </c>
      <c r="AW608">
        <v>0</v>
      </c>
      <c r="AX608">
        <v>0</v>
      </c>
      <c r="AY608">
        <v>1674.4</v>
      </c>
      <c r="BC608" t="str">
        <f t="shared" si="95"/>
        <v>9791137602076</v>
      </c>
      <c r="BE608" t="str">
        <f t="shared" si="96"/>
        <v>판타지 웹소설 &gt; 무협 소설</v>
      </c>
    </row>
    <row r="609" spans="1:57" x14ac:dyDescent="0.3">
      <c r="A609">
        <v>2313020108</v>
      </c>
      <c r="B609">
        <v>2313020281</v>
      </c>
      <c r="C609" t="str">
        <f>T("아빠는 마교대장 174화")</f>
        <v>아빠는 마교대장 174화</v>
      </c>
      <c r="D609" t="str">
        <f>T("174")</f>
        <v>174</v>
      </c>
      <c r="E609" t="str">
        <f t="shared" si="92"/>
        <v>구땡</v>
      </c>
      <c r="H609" t="str">
        <f t="shared" si="93"/>
        <v>스토리위즈</v>
      </c>
      <c r="I609" t="str">
        <f t="shared" si="94"/>
        <v>아빠는 마교대장</v>
      </c>
      <c r="J609">
        <v>100</v>
      </c>
      <c r="K609">
        <v>2400</v>
      </c>
      <c r="L609">
        <v>24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2400</v>
      </c>
      <c r="AH609">
        <v>24</v>
      </c>
      <c r="AI609">
        <v>0</v>
      </c>
      <c r="AJ609">
        <v>0</v>
      </c>
      <c r="AK609">
        <v>2200</v>
      </c>
      <c r="AL609">
        <v>0</v>
      </c>
      <c r="AM609">
        <v>240</v>
      </c>
      <c r="AN609">
        <v>-48</v>
      </c>
      <c r="AO609">
        <v>0</v>
      </c>
      <c r="AP609"/>
      <c r="AQ609">
        <v>0</v>
      </c>
      <c r="AR609">
        <v>0</v>
      </c>
      <c r="AS609">
        <v>240</v>
      </c>
      <c r="AT609">
        <v>-48</v>
      </c>
      <c r="AU609">
        <v>0</v>
      </c>
      <c r="AW609">
        <v>0</v>
      </c>
      <c r="AX609">
        <v>0</v>
      </c>
      <c r="AY609">
        <v>1674.4</v>
      </c>
      <c r="BC609" t="str">
        <f t="shared" si="95"/>
        <v>9791137602076</v>
      </c>
      <c r="BE609" t="str">
        <f t="shared" si="96"/>
        <v>판타지 웹소설 &gt; 무협 소설</v>
      </c>
    </row>
    <row r="610" spans="1:57" x14ac:dyDescent="0.3">
      <c r="A610">
        <v>2313020108</v>
      </c>
      <c r="B610">
        <v>2313020282</v>
      </c>
      <c r="C610" t="str">
        <f>T("아빠는 마교대장 175화")</f>
        <v>아빠는 마교대장 175화</v>
      </c>
      <c r="D610" t="str">
        <f>T("175")</f>
        <v>175</v>
      </c>
      <c r="E610" t="str">
        <f t="shared" si="92"/>
        <v>구땡</v>
      </c>
      <c r="H610" t="str">
        <f t="shared" si="93"/>
        <v>스토리위즈</v>
      </c>
      <c r="I610" t="str">
        <f t="shared" si="94"/>
        <v>아빠는 마교대장</v>
      </c>
      <c r="J610">
        <v>100</v>
      </c>
      <c r="K610">
        <v>2400</v>
      </c>
      <c r="L610">
        <v>24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2400</v>
      </c>
      <c r="AH610">
        <v>24</v>
      </c>
      <c r="AI610">
        <v>0</v>
      </c>
      <c r="AJ610">
        <v>0</v>
      </c>
      <c r="AK610">
        <v>2200</v>
      </c>
      <c r="AL610">
        <v>0</v>
      </c>
      <c r="AM610">
        <v>240</v>
      </c>
      <c r="AN610">
        <v>-48</v>
      </c>
      <c r="AO610">
        <v>0</v>
      </c>
      <c r="AP610"/>
      <c r="AQ610">
        <v>0</v>
      </c>
      <c r="AR610">
        <v>0</v>
      </c>
      <c r="AS610">
        <v>240</v>
      </c>
      <c r="AT610">
        <v>-48</v>
      </c>
      <c r="AU610">
        <v>0</v>
      </c>
      <c r="AW610">
        <v>0</v>
      </c>
      <c r="AX610">
        <v>0</v>
      </c>
      <c r="AY610">
        <v>1674.4</v>
      </c>
      <c r="BC610" t="str">
        <f t="shared" si="95"/>
        <v>9791137602076</v>
      </c>
      <c r="BE610" t="str">
        <f t="shared" si="96"/>
        <v>판타지 웹소설 &gt; 무협 소설</v>
      </c>
    </row>
    <row r="611" spans="1:57" x14ac:dyDescent="0.3">
      <c r="A611">
        <v>2313020108</v>
      </c>
      <c r="B611">
        <v>2313020283</v>
      </c>
      <c r="C611" t="str">
        <f>T("아빠는 마교대장 176화")</f>
        <v>아빠는 마교대장 176화</v>
      </c>
      <c r="D611" t="str">
        <f>T("176")</f>
        <v>176</v>
      </c>
      <c r="E611" t="str">
        <f t="shared" si="92"/>
        <v>구땡</v>
      </c>
      <c r="H611" t="str">
        <f t="shared" si="93"/>
        <v>스토리위즈</v>
      </c>
      <c r="I611" t="str">
        <f t="shared" si="94"/>
        <v>아빠는 마교대장</v>
      </c>
      <c r="J611">
        <v>100</v>
      </c>
      <c r="K611">
        <v>2400</v>
      </c>
      <c r="L611">
        <v>24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2400</v>
      </c>
      <c r="AH611">
        <v>24</v>
      </c>
      <c r="AI611">
        <v>0</v>
      </c>
      <c r="AJ611">
        <v>0</v>
      </c>
      <c r="AK611">
        <v>2200</v>
      </c>
      <c r="AL611">
        <v>0</v>
      </c>
      <c r="AM611">
        <v>240</v>
      </c>
      <c r="AN611">
        <v>-48</v>
      </c>
      <c r="AO611">
        <v>0</v>
      </c>
      <c r="AP611"/>
      <c r="AQ611">
        <v>0</v>
      </c>
      <c r="AR611">
        <v>0</v>
      </c>
      <c r="AS611">
        <v>240</v>
      </c>
      <c r="AT611">
        <v>-48</v>
      </c>
      <c r="AU611">
        <v>0</v>
      </c>
      <c r="AW611">
        <v>0</v>
      </c>
      <c r="AX611">
        <v>0</v>
      </c>
      <c r="AY611">
        <v>1674.4</v>
      </c>
      <c r="BC611" t="str">
        <f t="shared" si="95"/>
        <v>9791137602076</v>
      </c>
      <c r="BE611" t="str">
        <f t="shared" si="96"/>
        <v>판타지 웹소설 &gt; 무협 소설</v>
      </c>
    </row>
    <row r="612" spans="1:57" x14ac:dyDescent="0.3">
      <c r="A612">
        <v>2313020108</v>
      </c>
      <c r="B612">
        <v>2313020284</v>
      </c>
      <c r="C612" t="str">
        <f>T("아빠는 마교대장 177화")</f>
        <v>아빠는 마교대장 177화</v>
      </c>
      <c r="D612" t="str">
        <f>T("177")</f>
        <v>177</v>
      </c>
      <c r="E612" t="str">
        <f t="shared" si="92"/>
        <v>구땡</v>
      </c>
      <c r="H612" t="str">
        <f t="shared" si="93"/>
        <v>스토리위즈</v>
      </c>
      <c r="I612" t="str">
        <f t="shared" si="94"/>
        <v>아빠는 마교대장</v>
      </c>
      <c r="J612">
        <v>100</v>
      </c>
      <c r="K612">
        <v>2400</v>
      </c>
      <c r="L612">
        <v>24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2400</v>
      </c>
      <c r="AH612">
        <v>24</v>
      </c>
      <c r="AI612">
        <v>0</v>
      </c>
      <c r="AJ612">
        <v>0</v>
      </c>
      <c r="AK612">
        <v>2200</v>
      </c>
      <c r="AL612">
        <v>0</v>
      </c>
      <c r="AM612">
        <v>240</v>
      </c>
      <c r="AN612">
        <v>-48</v>
      </c>
      <c r="AO612">
        <v>0</v>
      </c>
      <c r="AP612"/>
      <c r="AQ612">
        <v>0</v>
      </c>
      <c r="AR612">
        <v>0</v>
      </c>
      <c r="AS612">
        <v>240</v>
      </c>
      <c r="AT612">
        <v>-48</v>
      </c>
      <c r="AU612">
        <v>0</v>
      </c>
      <c r="AW612">
        <v>0</v>
      </c>
      <c r="AX612">
        <v>0</v>
      </c>
      <c r="AY612">
        <v>1674.4</v>
      </c>
      <c r="BC612" t="str">
        <f t="shared" si="95"/>
        <v>9791137602076</v>
      </c>
      <c r="BE612" t="str">
        <f t="shared" si="96"/>
        <v>판타지 웹소설 &gt; 무협 소설</v>
      </c>
    </row>
    <row r="613" spans="1:57" x14ac:dyDescent="0.3">
      <c r="A613">
        <v>2313020108</v>
      </c>
      <c r="B613">
        <v>2313020285</v>
      </c>
      <c r="C613" t="str">
        <f>T("아빠는 마교대장 178화")</f>
        <v>아빠는 마교대장 178화</v>
      </c>
      <c r="D613" t="str">
        <f>T("178")</f>
        <v>178</v>
      </c>
      <c r="E613" t="str">
        <f t="shared" si="92"/>
        <v>구땡</v>
      </c>
      <c r="H613" t="str">
        <f t="shared" si="93"/>
        <v>스토리위즈</v>
      </c>
      <c r="I613" t="str">
        <f t="shared" si="94"/>
        <v>아빠는 마교대장</v>
      </c>
      <c r="J613">
        <v>100</v>
      </c>
      <c r="K613">
        <v>2400</v>
      </c>
      <c r="L613">
        <v>24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2400</v>
      </c>
      <c r="AH613">
        <v>24</v>
      </c>
      <c r="AI613">
        <v>0</v>
      </c>
      <c r="AJ613">
        <v>0</v>
      </c>
      <c r="AK613">
        <v>2200</v>
      </c>
      <c r="AL613">
        <v>0</v>
      </c>
      <c r="AM613">
        <v>240</v>
      </c>
      <c r="AN613">
        <v>-48</v>
      </c>
      <c r="AO613">
        <v>0</v>
      </c>
      <c r="AP613"/>
      <c r="AQ613">
        <v>0</v>
      </c>
      <c r="AR613">
        <v>0</v>
      </c>
      <c r="AS613">
        <v>240</v>
      </c>
      <c r="AT613">
        <v>-48</v>
      </c>
      <c r="AU613">
        <v>0</v>
      </c>
      <c r="AW613">
        <v>0</v>
      </c>
      <c r="AX613">
        <v>0</v>
      </c>
      <c r="AY613">
        <v>1674.4</v>
      </c>
      <c r="BC613" t="str">
        <f t="shared" si="95"/>
        <v>9791137602076</v>
      </c>
      <c r="BE613" t="str">
        <f t="shared" si="96"/>
        <v>판타지 웹소설 &gt; 무협 소설</v>
      </c>
    </row>
    <row r="614" spans="1:57" x14ac:dyDescent="0.3">
      <c r="A614">
        <v>2313020108</v>
      </c>
      <c r="B614">
        <v>2313020286</v>
      </c>
      <c r="C614" t="str">
        <f>T("아빠는 마교대장 179화")</f>
        <v>아빠는 마교대장 179화</v>
      </c>
      <c r="D614" t="str">
        <f>T("179")</f>
        <v>179</v>
      </c>
      <c r="E614" t="str">
        <f t="shared" si="92"/>
        <v>구땡</v>
      </c>
      <c r="H614" t="str">
        <f t="shared" si="93"/>
        <v>스토리위즈</v>
      </c>
      <c r="I614" t="str">
        <f t="shared" si="94"/>
        <v>아빠는 마교대장</v>
      </c>
      <c r="J614">
        <v>100</v>
      </c>
      <c r="K614">
        <v>2400</v>
      </c>
      <c r="L614">
        <v>24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2400</v>
      </c>
      <c r="AH614">
        <v>24</v>
      </c>
      <c r="AI614">
        <v>0</v>
      </c>
      <c r="AJ614">
        <v>0</v>
      </c>
      <c r="AK614">
        <v>2200</v>
      </c>
      <c r="AL614">
        <v>0</v>
      </c>
      <c r="AM614">
        <v>240</v>
      </c>
      <c r="AN614">
        <v>-48</v>
      </c>
      <c r="AO614">
        <v>0</v>
      </c>
      <c r="AP614"/>
      <c r="AQ614">
        <v>0</v>
      </c>
      <c r="AR614">
        <v>0</v>
      </c>
      <c r="AS614">
        <v>240</v>
      </c>
      <c r="AT614">
        <v>-48</v>
      </c>
      <c r="AU614">
        <v>0</v>
      </c>
      <c r="AW614">
        <v>0</v>
      </c>
      <c r="AX614">
        <v>0</v>
      </c>
      <c r="AY614">
        <v>1674.4</v>
      </c>
      <c r="BC614" t="str">
        <f t="shared" si="95"/>
        <v>9791137602076</v>
      </c>
      <c r="BE614" t="str">
        <f t="shared" si="96"/>
        <v>판타지 웹소설 &gt; 무협 소설</v>
      </c>
    </row>
    <row r="615" spans="1:57" x14ac:dyDescent="0.3">
      <c r="A615">
        <v>2313020108</v>
      </c>
      <c r="B615">
        <v>2313020290</v>
      </c>
      <c r="C615" t="str">
        <f>T("아빠는 마교대장 183화")</f>
        <v>아빠는 마교대장 183화</v>
      </c>
      <c r="D615" t="str">
        <f>T("183")</f>
        <v>183</v>
      </c>
      <c r="E615" t="str">
        <f t="shared" si="92"/>
        <v>구땡</v>
      </c>
      <c r="H615" t="str">
        <f t="shared" si="93"/>
        <v>스토리위즈</v>
      </c>
      <c r="I615" t="str">
        <f t="shared" si="94"/>
        <v>아빠는 마교대장</v>
      </c>
      <c r="J615">
        <v>100</v>
      </c>
      <c r="K615">
        <v>2400</v>
      </c>
      <c r="L615">
        <v>24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2400</v>
      </c>
      <c r="AH615">
        <v>24</v>
      </c>
      <c r="AI615">
        <v>0</v>
      </c>
      <c r="AJ615">
        <v>0</v>
      </c>
      <c r="AK615">
        <v>2200</v>
      </c>
      <c r="AL615">
        <v>0</v>
      </c>
      <c r="AM615">
        <v>240</v>
      </c>
      <c r="AN615">
        <v>-48</v>
      </c>
      <c r="AO615">
        <v>0</v>
      </c>
      <c r="AP615"/>
      <c r="AQ615">
        <v>0</v>
      </c>
      <c r="AR615">
        <v>0</v>
      </c>
      <c r="AS615">
        <v>240</v>
      </c>
      <c r="AT615">
        <v>-48</v>
      </c>
      <c r="AU615">
        <v>0</v>
      </c>
      <c r="AW615">
        <v>0</v>
      </c>
      <c r="AX615">
        <v>0</v>
      </c>
      <c r="AY615">
        <v>1674.4</v>
      </c>
      <c r="BC615" t="str">
        <f t="shared" si="95"/>
        <v>9791137602076</v>
      </c>
      <c r="BE615" t="str">
        <f t="shared" si="96"/>
        <v>판타지 웹소설 &gt; 무협 소설</v>
      </c>
    </row>
    <row r="616" spans="1:57" x14ac:dyDescent="0.3">
      <c r="A616">
        <v>2313020108</v>
      </c>
      <c r="B616">
        <v>2313020291</v>
      </c>
      <c r="C616" t="str">
        <f>T("아빠는 마교대장 184화")</f>
        <v>아빠는 마교대장 184화</v>
      </c>
      <c r="D616" t="str">
        <f>T("184")</f>
        <v>184</v>
      </c>
      <c r="E616" t="str">
        <f t="shared" si="92"/>
        <v>구땡</v>
      </c>
      <c r="H616" t="str">
        <f t="shared" si="93"/>
        <v>스토리위즈</v>
      </c>
      <c r="I616" t="str">
        <f t="shared" si="94"/>
        <v>아빠는 마교대장</v>
      </c>
      <c r="J616">
        <v>100</v>
      </c>
      <c r="K616">
        <v>2400</v>
      </c>
      <c r="L616">
        <v>24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2400</v>
      </c>
      <c r="AH616">
        <v>24</v>
      </c>
      <c r="AI616">
        <v>0</v>
      </c>
      <c r="AJ616">
        <v>0</v>
      </c>
      <c r="AK616">
        <v>2200</v>
      </c>
      <c r="AL616">
        <v>0</v>
      </c>
      <c r="AM616">
        <v>240</v>
      </c>
      <c r="AN616">
        <v>-48</v>
      </c>
      <c r="AO616">
        <v>0</v>
      </c>
      <c r="AP616"/>
      <c r="AQ616">
        <v>0</v>
      </c>
      <c r="AR616">
        <v>0</v>
      </c>
      <c r="AS616">
        <v>240</v>
      </c>
      <c r="AT616">
        <v>-48</v>
      </c>
      <c r="AU616">
        <v>0</v>
      </c>
      <c r="AW616">
        <v>0</v>
      </c>
      <c r="AX616">
        <v>0</v>
      </c>
      <c r="AY616">
        <v>1674.4</v>
      </c>
      <c r="BC616" t="str">
        <f t="shared" si="95"/>
        <v>9791137602076</v>
      </c>
      <c r="BE616" t="str">
        <f t="shared" si="96"/>
        <v>판타지 웹소설 &gt; 무협 소설</v>
      </c>
    </row>
    <row r="617" spans="1:57" x14ac:dyDescent="0.3">
      <c r="A617">
        <v>2313020108</v>
      </c>
      <c r="B617">
        <v>2313020231</v>
      </c>
      <c r="C617" t="str">
        <f>T("아빠는 마교대장 124화")</f>
        <v>아빠는 마교대장 124화</v>
      </c>
      <c r="D617" t="str">
        <f>T("124")</f>
        <v>124</v>
      </c>
      <c r="E617" t="str">
        <f t="shared" si="92"/>
        <v>구땡</v>
      </c>
      <c r="H617" t="str">
        <f t="shared" si="93"/>
        <v>스토리위즈</v>
      </c>
      <c r="I617" t="str">
        <f t="shared" si="94"/>
        <v>아빠는 마교대장</v>
      </c>
      <c r="J617">
        <v>100</v>
      </c>
      <c r="K617">
        <v>2300</v>
      </c>
      <c r="L617">
        <v>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2300</v>
      </c>
      <c r="AH617">
        <v>23</v>
      </c>
      <c r="AI617">
        <v>0</v>
      </c>
      <c r="AJ617">
        <v>0</v>
      </c>
      <c r="AK617">
        <v>2100</v>
      </c>
      <c r="AL617">
        <v>0</v>
      </c>
      <c r="AM617">
        <v>240</v>
      </c>
      <c r="AN617">
        <v>-48</v>
      </c>
      <c r="AO617">
        <v>0</v>
      </c>
      <c r="AP617"/>
      <c r="AQ617">
        <v>0</v>
      </c>
      <c r="AR617">
        <v>0</v>
      </c>
      <c r="AS617">
        <v>240</v>
      </c>
      <c r="AT617">
        <v>-48</v>
      </c>
      <c r="AU617">
        <v>0</v>
      </c>
      <c r="AW617">
        <v>0</v>
      </c>
      <c r="AX617">
        <v>0</v>
      </c>
      <c r="AY617">
        <v>1604.4</v>
      </c>
      <c r="BC617" t="str">
        <f t="shared" si="95"/>
        <v>9791137602076</v>
      </c>
      <c r="BE617" t="str">
        <f t="shared" si="96"/>
        <v>판타지 웹소설 &gt; 무협 소설</v>
      </c>
    </row>
    <row r="618" spans="1:57" x14ac:dyDescent="0.3">
      <c r="A618">
        <v>2313020108</v>
      </c>
      <c r="B618">
        <v>2313020240</v>
      </c>
      <c r="C618" t="str">
        <f>T("아빠는 마교대장 133화")</f>
        <v>아빠는 마교대장 133화</v>
      </c>
      <c r="D618" t="str">
        <f>T("133")</f>
        <v>133</v>
      </c>
      <c r="E618" t="str">
        <f t="shared" si="92"/>
        <v>구땡</v>
      </c>
      <c r="H618" t="str">
        <f t="shared" si="93"/>
        <v>스토리위즈</v>
      </c>
      <c r="I618" t="str">
        <f t="shared" si="94"/>
        <v>아빠는 마교대장</v>
      </c>
      <c r="J618">
        <v>100</v>
      </c>
      <c r="K618">
        <v>2300</v>
      </c>
      <c r="L618">
        <v>23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2300</v>
      </c>
      <c r="AH618">
        <v>23</v>
      </c>
      <c r="AI618">
        <v>0</v>
      </c>
      <c r="AJ618">
        <v>0</v>
      </c>
      <c r="AK618">
        <v>2100</v>
      </c>
      <c r="AL618">
        <v>0</v>
      </c>
      <c r="AM618">
        <v>240</v>
      </c>
      <c r="AN618">
        <v>-48</v>
      </c>
      <c r="AO618">
        <v>0</v>
      </c>
      <c r="AP618"/>
      <c r="AQ618">
        <v>0</v>
      </c>
      <c r="AR618">
        <v>0</v>
      </c>
      <c r="AS618">
        <v>240</v>
      </c>
      <c r="AT618">
        <v>-48</v>
      </c>
      <c r="AU618">
        <v>0</v>
      </c>
      <c r="AW618">
        <v>0</v>
      </c>
      <c r="AX618">
        <v>0</v>
      </c>
      <c r="AY618">
        <v>1604.4</v>
      </c>
      <c r="BC618" t="str">
        <f t="shared" si="95"/>
        <v>9791137602076</v>
      </c>
      <c r="BE618" t="str">
        <f t="shared" si="96"/>
        <v>판타지 웹소설 &gt; 무협 소설</v>
      </c>
    </row>
    <row r="619" spans="1:57" x14ac:dyDescent="0.3">
      <c r="A619">
        <v>2313020108</v>
      </c>
      <c r="B619">
        <v>2313020242</v>
      </c>
      <c r="C619" t="str">
        <f>T("아빠는 마교대장 135화")</f>
        <v>아빠는 마교대장 135화</v>
      </c>
      <c r="D619" t="str">
        <f>T("135")</f>
        <v>135</v>
      </c>
      <c r="E619" t="str">
        <f t="shared" si="92"/>
        <v>구땡</v>
      </c>
      <c r="H619" t="str">
        <f t="shared" si="93"/>
        <v>스토리위즈</v>
      </c>
      <c r="I619" t="str">
        <f t="shared" si="94"/>
        <v>아빠는 마교대장</v>
      </c>
      <c r="J619">
        <v>100</v>
      </c>
      <c r="K619">
        <v>2300</v>
      </c>
      <c r="L619">
        <v>23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2300</v>
      </c>
      <c r="AH619">
        <v>23</v>
      </c>
      <c r="AI619">
        <v>0</v>
      </c>
      <c r="AJ619">
        <v>0</v>
      </c>
      <c r="AK619">
        <v>2200</v>
      </c>
      <c r="AL619">
        <v>0</v>
      </c>
      <c r="AM619">
        <v>120</v>
      </c>
      <c r="AN619">
        <v>-12</v>
      </c>
      <c r="AO619">
        <v>0</v>
      </c>
      <c r="AP619"/>
      <c r="AQ619">
        <v>0</v>
      </c>
      <c r="AR619">
        <v>0</v>
      </c>
      <c r="AS619">
        <v>120</v>
      </c>
      <c r="AT619">
        <v>-12</v>
      </c>
      <c r="AU619">
        <v>0</v>
      </c>
      <c r="AW619">
        <v>0</v>
      </c>
      <c r="AX619">
        <v>0</v>
      </c>
      <c r="AY619">
        <v>1615.6</v>
      </c>
      <c r="BC619" t="str">
        <f t="shared" si="95"/>
        <v>9791137602076</v>
      </c>
      <c r="BE619" t="str">
        <f t="shared" si="96"/>
        <v>판타지 웹소설 &gt; 무협 소설</v>
      </c>
    </row>
    <row r="620" spans="1:57" x14ac:dyDescent="0.3">
      <c r="A620">
        <v>2313020108</v>
      </c>
      <c r="B620">
        <v>2313020264</v>
      </c>
      <c r="C620" t="str">
        <f>T("아빠는 마교대장 157화")</f>
        <v>아빠는 마교대장 157화</v>
      </c>
      <c r="D620" t="str">
        <f>T("157")</f>
        <v>157</v>
      </c>
      <c r="E620" t="str">
        <f t="shared" si="92"/>
        <v>구땡</v>
      </c>
      <c r="H620" t="str">
        <f t="shared" si="93"/>
        <v>스토리위즈</v>
      </c>
      <c r="I620" t="str">
        <f t="shared" si="94"/>
        <v>아빠는 마교대장</v>
      </c>
      <c r="J620">
        <v>100</v>
      </c>
      <c r="K620">
        <v>2300</v>
      </c>
      <c r="L620">
        <v>23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2300</v>
      </c>
      <c r="AH620">
        <v>23</v>
      </c>
      <c r="AI620">
        <v>0</v>
      </c>
      <c r="AJ620">
        <v>0</v>
      </c>
      <c r="AK620">
        <v>2200</v>
      </c>
      <c r="AL620">
        <v>0</v>
      </c>
      <c r="AM620">
        <v>120</v>
      </c>
      <c r="AN620">
        <v>-36</v>
      </c>
      <c r="AO620">
        <v>0</v>
      </c>
      <c r="AP620"/>
      <c r="AQ620">
        <v>0</v>
      </c>
      <c r="AR620">
        <v>0</v>
      </c>
      <c r="AS620">
        <v>120</v>
      </c>
      <c r="AT620">
        <v>-36</v>
      </c>
      <c r="AU620">
        <v>0</v>
      </c>
      <c r="AW620">
        <v>0</v>
      </c>
      <c r="AX620">
        <v>0</v>
      </c>
      <c r="AY620">
        <v>1598.8</v>
      </c>
      <c r="BC620" t="str">
        <f t="shared" si="95"/>
        <v>9791137602076</v>
      </c>
      <c r="BE620" t="str">
        <f t="shared" si="96"/>
        <v>판타지 웹소설 &gt; 무협 소설</v>
      </c>
    </row>
    <row r="621" spans="1:57" x14ac:dyDescent="0.3">
      <c r="A621">
        <v>2313020108</v>
      </c>
      <c r="B621">
        <v>2313020266</v>
      </c>
      <c r="C621" t="str">
        <f>T("아빠는 마교대장 159화")</f>
        <v>아빠는 마교대장 159화</v>
      </c>
      <c r="D621" t="str">
        <f>T("159")</f>
        <v>159</v>
      </c>
      <c r="E621" t="str">
        <f t="shared" si="92"/>
        <v>구땡</v>
      </c>
      <c r="H621" t="str">
        <f t="shared" si="93"/>
        <v>스토리위즈</v>
      </c>
      <c r="I621" t="str">
        <f t="shared" si="94"/>
        <v>아빠는 마교대장</v>
      </c>
      <c r="J621">
        <v>100</v>
      </c>
      <c r="K621">
        <v>2300</v>
      </c>
      <c r="L621">
        <v>23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2300</v>
      </c>
      <c r="AH621">
        <v>23</v>
      </c>
      <c r="AI621">
        <v>0</v>
      </c>
      <c r="AJ621">
        <v>0</v>
      </c>
      <c r="AK621">
        <v>2100</v>
      </c>
      <c r="AL621">
        <v>0</v>
      </c>
      <c r="AM621">
        <v>240</v>
      </c>
      <c r="AN621">
        <v>-48</v>
      </c>
      <c r="AO621">
        <v>0</v>
      </c>
      <c r="AP621"/>
      <c r="AQ621">
        <v>0</v>
      </c>
      <c r="AR621">
        <v>0</v>
      </c>
      <c r="AS621">
        <v>240</v>
      </c>
      <c r="AT621">
        <v>-48</v>
      </c>
      <c r="AU621">
        <v>0</v>
      </c>
      <c r="AW621">
        <v>0</v>
      </c>
      <c r="AX621">
        <v>0</v>
      </c>
      <c r="AY621">
        <v>1604.4</v>
      </c>
      <c r="BC621" t="str">
        <f t="shared" si="95"/>
        <v>9791137602076</v>
      </c>
      <c r="BE621" t="str">
        <f t="shared" si="96"/>
        <v>판타지 웹소설 &gt; 무협 소설</v>
      </c>
    </row>
    <row r="622" spans="1:57" x14ac:dyDescent="0.3">
      <c r="A622">
        <v>2313020108</v>
      </c>
      <c r="B622">
        <v>2313020274</v>
      </c>
      <c r="C622" t="str">
        <f>T("아빠는 마교대장 167화")</f>
        <v>아빠는 마교대장 167화</v>
      </c>
      <c r="D622" t="str">
        <f>T("167")</f>
        <v>167</v>
      </c>
      <c r="E622" t="str">
        <f t="shared" si="92"/>
        <v>구땡</v>
      </c>
      <c r="H622" t="str">
        <f t="shared" si="93"/>
        <v>스토리위즈</v>
      </c>
      <c r="I622" t="str">
        <f t="shared" si="94"/>
        <v>아빠는 마교대장</v>
      </c>
      <c r="J622">
        <v>100</v>
      </c>
      <c r="K622">
        <v>2300</v>
      </c>
      <c r="L622">
        <v>23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2300</v>
      </c>
      <c r="AH622">
        <v>23</v>
      </c>
      <c r="AI622">
        <v>0</v>
      </c>
      <c r="AJ622">
        <v>0</v>
      </c>
      <c r="AK622">
        <v>2100</v>
      </c>
      <c r="AL622">
        <v>0</v>
      </c>
      <c r="AM622">
        <v>240</v>
      </c>
      <c r="AN622">
        <v>-48</v>
      </c>
      <c r="AO622">
        <v>0</v>
      </c>
      <c r="AP622"/>
      <c r="AQ622">
        <v>0</v>
      </c>
      <c r="AR622">
        <v>0</v>
      </c>
      <c r="AS622">
        <v>240</v>
      </c>
      <c r="AT622">
        <v>-48</v>
      </c>
      <c r="AU622">
        <v>0</v>
      </c>
      <c r="AW622">
        <v>0</v>
      </c>
      <c r="AX622">
        <v>0</v>
      </c>
      <c r="AY622">
        <v>1604.4</v>
      </c>
      <c r="BC622" t="str">
        <f t="shared" si="95"/>
        <v>9791137602076</v>
      </c>
      <c r="BE622" t="str">
        <f t="shared" si="96"/>
        <v>판타지 웹소설 &gt; 무협 소설</v>
      </c>
    </row>
    <row r="623" spans="1:57" x14ac:dyDescent="0.3">
      <c r="A623">
        <v>2313020108</v>
      </c>
      <c r="B623">
        <v>2313020280</v>
      </c>
      <c r="C623" t="str">
        <f>T("아빠는 마교대장 173화")</f>
        <v>아빠는 마교대장 173화</v>
      </c>
      <c r="D623" t="str">
        <f>T("173")</f>
        <v>173</v>
      </c>
      <c r="E623" t="str">
        <f t="shared" si="92"/>
        <v>구땡</v>
      </c>
      <c r="H623" t="str">
        <f t="shared" si="93"/>
        <v>스토리위즈</v>
      </c>
      <c r="I623" t="str">
        <f t="shared" si="94"/>
        <v>아빠는 마교대장</v>
      </c>
      <c r="J623">
        <v>100</v>
      </c>
      <c r="K623">
        <v>2300</v>
      </c>
      <c r="L623">
        <v>23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2300</v>
      </c>
      <c r="AH623">
        <v>23</v>
      </c>
      <c r="AI623">
        <v>0</v>
      </c>
      <c r="AJ623">
        <v>0</v>
      </c>
      <c r="AK623">
        <v>2200</v>
      </c>
      <c r="AL623">
        <v>0</v>
      </c>
      <c r="AM623">
        <v>120</v>
      </c>
      <c r="AN623">
        <v>-36</v>
      </c>
      <c r="AO623">
        <v>0</v>
      </c>
      <c r="AP623"/>
      <c r="AQ623">
        <v>0</v>
      </c>
      <c r="AR623">
        <v>0</v>
      </c>
      <c r="AS623">
        <v>120</v>
      </c>
      <c r="AT623">
        <v>-36</v>
      </c>
      <c r="AU623">
        <v>0</v>
      </c>
      <c r="AW623">
        <v>0</v>
      </c>
      <c r="AX623">
        <v>0</v>
      </c>
      <c r="AY623">
        <v>1598.8</v>
      </c>
      <c r="BC623" t="str">
        <f t="shared" si="95"/>
        <v>9791137602076</v>
      </c>
      <c r="BE623" t="str">
        <f t="shared" si="96"/>
        <v>판타지 웹소설 &gt; 무협 소설</v>
      </c>
    </row>
    <row r="624" spans="1:57" x14ac:dyDescent="0.3">
      <c r="A624">
        <v>2313020108</v>
      </c>
      <c r="B624">
        <v>2313020289</v>
      </c>
      <c r="C624" t="str">
        <f>T("아빠는 마교대장 182화")</f>
        <v>아빠는 마교대장 182화</v>
      </c>
      <c r="D624" t="str">
        <f>T("182")</f>
        <v>182</v>
      </c>
      <c r="E624" t="str">
        <f t="shared" si="92"/>
        <v>구땡</v>
      </c>
      <c r="H624" t="str">
        <f t="shared" si="93"/>
        <v>스토리위즈</v>
      </c>
      <c r="I624" t="str">
        <f t="shared" si="94"/>
        <v>아빠는 마교대장</v>
      </c>
      <c r="J624">
        <v>100</v>
      </c>
      <c r="K624">
        <v>2300</v>
      </c>
      <c r="L624">
        <v>23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2300</v>
      </c>
      <c r="AH624">
        <v>23</v>
      </c>
      <c r="AI624">
        <v>0</v>
      </c>
      <c r="AJ624">
        <v>0</v>
      </c>
      <c r="AK624">
        <v>2100</v>
      </c>
      <c r="AL624">
        <v>0</v>
      </c>
      <c r="AM624">
        <v>240</v>
      </c>
      <c r="AN624">
        <v>-48</v>
      </c>
      <c r="AO624">
        <v>0</v>
      </c>
      <c r="AP624"/>
      <c r="AQ624">
        <v>0</v>
      </c>
      <c r="AR624">
        <v>0</v>
      </c>
      <c r="AS624">
        <v>240</v>
      </c>
      <c r="AT624">
        <v>-48</v>
      </c>
      <c r="AU624">
        <v>0</v>
      </c>
      <c r="AW624">
        <v>0</v>
      </c>
      <c r="AX624">
        <v>0</v>
      </c>
      <c r="AY624">
        <v>1604.4</v>
      </c>
      <c r="BC624" t="str">
        <f t="shared" si="95"/>
        <v>9791137602076</v>
      </c>
      <c r="BE624" t="str">
        <f t="shared" si="96"/>
        <v>판타지 웹소설 &gt; 무협 소설</v>
      </c>
    </row>
    <row r="625" spans="1:58" x14ac:dyDescent="0.3">
      <c r="A625">
        <v>2313020108</v>
      </c>
      <c r="B625">
        <v>2313020292</v>
      </c>
      <c r="C625" t="str">
        <f>T("아빠는 마교대장 185화")</f>
        <v>아빠는 마교대장 185화</v>
      </c>
      <c r="D625" t="str">
        <f>T("185")</f>
        <v>185</v>
      </c>
      <c r="E625" t="str">
        <f t="shared" si="92"/>
        <v>구땡</v>
      </c>
      <c r="H625" t="str">
        <f t="shared" si="93"/>
        <v>스토리위즈</v>
      </c>
      <c r="I625" t="str">
        <f t="shared" si="94"/>
        <v>아빠는 마교대장</v>
      </c>
      <c r="J625">
        <v>100</v>
      </c>
      <c r="K625">
        <v>2300</v>
      </c>
      <c r="L625">
        <v>23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2300</v>
      </c>
      <c r="AH625">
        <v>23</v>
      </c>
      <c r="AI625">
        <v>0</v>
      </c>
      <c r="AJ625">
        <v>0</v>
      </c>
      <c r="AK625">
        <v>2200</v>
      </c>
      <c r="AL625">
        <v>0</v>
      </c>
      <c r="AM625">
        <v>120</v>
      </c>
      <c r="AN625">
        <v>-12</v>
      </c>
      <c r="AO625">
        <v>0</v>
      </c>
      <c r="AP625"/>
      <c r="AQ625">
        <v>0</v>
      </c>
      <c r="AR625">
        <v>0</v>
      </c>
      <c r="AS625">
        <v>120</v>
      </c>
      <c r="AT625">
        <v>-12</v>
      </c>
      <c r="AU625">
        <v>0</v>
      </c>
      <c r="AW625">
        <v>0</v>
      </c>
      <c r="AX625">
        <v>0</v>
      </c>
      <c r="AY625">
        <v>1615.6</v>
      </c>
      <c r="BC625" t="str">
        <f t="shared" si="95"/>
        <v>9791137602076</v>
      </c>
      <c r="BE625" t="str">
        <f t="shared" si="96"/>
        <v>판타지 웹소설 &gt; 무협 소설</v>
      </c>
    </row>
    <row r="626" spans="1:58" x14ac:dyDescent="0.3">
      <c r="A626">
        <v>2313020108</v>
      </c>
      <c r="B626">
        <v>2313020293</v>
      </c>
      <c r="C626" t="str">
        <f>T("아빠는 마교대장 186화")</f>
        <v>아빠는 마교대장 186화</v>
      </c>
      <c r="D626" t="str">
        <f>T("186")</f>
        <v>186</v>
      </c>
      <c r="E626" t="str">
        <f t="shared" si="92"/>
        <v>구땡</v>
      </c>
      <c r="H626" t="str">
        <f t="shared" si="93"/>
        <v>스토리위즈</v>
      </c>
      <c r="I626" t="str">
        <f t="shared" si="94"/>
        <v>아빠는 마교대장</v>
      </c>
      <c r="J626">
        <v>100</v>
      </c>
      <c r="K626">
        <v>2300</v>
      </c>
      <c r="L626">
        <v>23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2300</v>
      </c>
      <c r="AH626">
        <v>23</v>
      </c>
      <c r="AI626">
        <v>0</v>
      </c>
      <c r="AJ626">
        <v>0</v>
      </c>
      <c r="AK626">
        <v>2100</v>
      </c>
      <c r="AL626">
        <v>0</v>
      </c>
      <c r="AM626">
        <v>240</v>
      </c>
      <c r="AN626">
        <v>-48</v>
      </c>
      <c r="AO626">
        <v>0</v>
      </c>
      <c r="AP626"/>
      <c r="AQ626">
        <v>0</v>
      </c>
      <c r="AR626">
        <v>0</v>
      </c>
      <c r="AS626">
        <v>240</v>
      </c>
      <c r="AT626">
        <v>-48</v>
      </c>
      <c r="AU626">
        <v>0</v>
      </c>
      <c r="AW626">
        <v>0</v>
      </c>
      <c r="AX626">
        <v>0</v>
      </c>
      <c r="AY626">
        <v>1604.4</v>
      </c>
      <c r="BC626" t="str">
        <f t="shared" si="95"/>
        <v>9791137602076</v>
      </c>
      <c r="BE626" t="str">
        <f t="shared" si="96"/>
        <v>판타지 웹소설 &gt; 무협 소설</v>
      </c>
    </row>
    <row r="627" spans="1:58" x14ac:dyDescent="0.3">
      <c r="A627">
        <v>2313020108</v>
      </c>
      <c r="B627">
        <v>2313020298</v>
      </c>
      <c r="C627" t="str">
        <f>T("아빠는 마교대장 191화")</f>
        <v>아빠는 마교대장 191화</v>
      </c>
      <c r="D627" t="str">
        <f>T("191")</f>
        <v>191</v>
      </c>
      <c r="E627" t="str">
        <f t="shared" si="92"/>
        <v>구땡</v>
      </c>
      <c r="H627" t="str">
        <f t="shared" si="93"/>
        <v>스토리위즈</v>
      </c>
      <c r="I627" t="str">
        <f t="shared" si="94"/>
        <v>아빠는 마교대장</v>
      </c>
      <c r="J627">
        <v>100</v>
      </c>
      <c r="K627">
        <v>2300</v>
      </c>
      <c r="L627">
        <v>23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2300</v>
      </c>
      <c r="AH627">
        <v>23</v>
      </c>
      <c r="AI627">
        <v>0</v>
      </c>
      <c r="AJ627">
        <v>0</v>
      </c>
      <c r="AK627">
        <v>2100</v>
      </c>
      <c r="AL627">
        <v>0</v>
      </c>
      <c r="AM627">
        <v>240</v>
      </c>
      <c r="AN627">
        <v>-48</v>
      </c>
      <c r="AO627">
        <v>0</v>
      </c>
      <c r="AP627"/>
      <c r="AQ627">
        <v>0</v>
      </c>
      <c r="AR627">
        <v>0</v>
      </c>
      <c r="AS627">
        <v>240</v>
      </c>
      <c r="AT627">
        <v>-48</v>
      </c>
      <c r="AU627">
        <v>0</v>
      </c>
      <c r="AW627">
        <v>0</v>
      </c>
      <c r="AX627">
        <v>0</v>
      </c>
      <c r="AY627">
        <v>1604.4</v>
      </c>
      <c r="BC627" t="str">
        <f t="shared" si="95"/>
        <v>9791137602076</v>
      </c>
      <c r="BE627" t="str">
        <f t="shared" si="96"/>
        <v>판타지 웹소설 &gt; 무협 소설</v>
      </c>
    </row>
    <row r="628" spans="1:58" x14ac:dyDescent="0.3">
      <c r="A628">
        <v>2313020108</v>
      </c>
      <c r="B628">
        <v>2313020299</v>
      </c>
      <c r="C628" t="str">
        <f>T("아빠는 마교대장 192화")</f>
        <v>아빠는 마교대장 192화</v>
      </c>
      <c r="D628" t="str">
        <f>T("192")</f>
        <v>192</v>
      </c>
      <c r="E628" t="str">
        <f t="shared" si="92"/>
        <v>구땡</v>
      </c>
      <c r="H628" t="str">
        <f t="shared" si="93"/>
        <v>스토리위즈</v>
      </c>
      <c r="I628" t="str">
        <f t="shared" si="94"/>
        <v>아빠는 마교대장</v>
      </c>
      <c r="J628">
        <v>100</v>
      </c>
      <c r="K628">
        <v>2300</v>
      </c>
      <c r="L628">
        <v>23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2300</v>
      </c>
      <c r="AH628">
        <v>23</v>
      </c>
      <c r="AI628">
        <v>0</v>
      </c>
      <c r="AJ628">
        <v>0</v>
      </c>
      <c r="AK628">
        <v>2100</v>
      </c>
      <c r="AL628">
        <v>0</v>
      </c>
      <c r="AM628">
        <v>240</v>
      </c>
      <c r="AN628">
        <v>-48</v>
      </c>
      <c r="AO628">
        <v>0</v>
      </c>
      <c r="AP628"/>
      <c r="AQ628">
        <v>0</v>
      </c>
      <c r="AR628">
        <v>0</v>
      </c>
      <c r="AS628">
        <v>240</v>
      </c>
      <c r="AT628">
        <v>-48</v>
      </c>
      <c r="AU628">
        <v>0</v>
      </c>
      <c r="AW628">
        <v>0</v>
      </c>
      <c r="AX628">
        <v>0</v>
      </c>
      <c r="AY628">
        <v>1604.4</v>
      </c>
      <c r="BC628" t="str">
        <f t="shared" si="95"/>
        <v>9791137602076</v>
      </c>
      <c r="BE628" t="str">
        <f t="shared" si="96"/>
        <v>판타지 웹소설 &gt; 무협 소설</v>
      </c>
    </row>
    <row r="629" spans="1:58" x14ac:dyDescent="0.3">
      <c r="A629">
        <v>2313020108</v>
      </c>
      <c r="B629">
        <v>2313020300</v>
      </c>
      <c r="C629" t="str">
        <f>T("아빠는 마교대장 193화")</f>
        <v>아빠는 마교대장 193화</v>
      </c>
      <c r="D629" t="str">
        <f>T("193")</f>
        <v>193</v>
      </c>
      <c r="E629" t="str">
        <f t="shared" si="92"/>
        <v>구땡</v>
      </c>
      <c r="H629" t="str">
        <f t="shared" si="93"/>
        <v>스토리위즈</v>
      </c>
      <c r="I629" t="str">
        <f t="shared" si="94"/>
        <v>아빠는 마교대장</v>
      </c>
      <c r="J629">
        <v>100</v>
      </c>
      <c r="K629">
        <v>2300</v>
      </c>
      <c r="L629">
        <v>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2300</v>
      </c>
      <c r="AH629">
        <v>23</v>
      </c>
      <c r="AI629">
        <v>0</v>
      </c>
      <c r="AJ629">
        <v>0</v>
      </c>
      <c r="AK629">
        <v>2100</v>
      </c>
      <c r="AL629">
        <v>0</v>
      </c>
      <c r="AM629">
        <v>240</v>
      </c>
      <c r="AN629">
        <v>-48</v>
      </c>
      <c r="AO629">
        <v>0</v>
      </c>
      <c r="AP629"/>
      <c r="AQ629">
        <v>0</v>
      </c>
      <c r="AR629">
        <v>0</v>
      </c>
      <c r="AS629">
        <v>240</v>
      </c>
      <c r="AT629">
        <v>-48</v>
      </c>
      <c r="AU629">
        <v>0</v>
      </c>
      <c r="AW629">
        <v>0</v>
      </c>
      <c r="AX629">
        <v>0</v>
      </c>
      <c r="AY629">
        <v>1604.4</v>
      </c>
      <c r="BC629" t="str">
        <f t="shared" si="95"/>
        <v>9791137602076</v>
      </c>
      <c r="BE629" t="str">
        <f t="shared" si="96"/>
        <v>판타지 웹소설 &gt; 무협 소설</v>
      </c>
    </row>
    <row r="630" spans="1:58" x14ac:dyDescent="0.3">
      <c r="A630">
        <v>2313020108</v>
      </c>
      <c r="B630">
        <v>2313020302</v>
      </c>
      <c r="C630" t="str">
        <f>T("아빠는 마교대장 195화")</f>
        <v>아빠는 마교대장 195화</v>
      </c>
      <c r="D630" t="str">
        <f>T("195")</f>
        <v>195</v>
      </c>
      <c r="E630" t="str">
        <f t="shared" si="92"/>
        <v>구땡</v>
      </c>
      <c r="H630" t="str">
        <f t="shared" si="93"/>
        <v>스토리위즈</v>
      </c>
      <c r="I630" t="str">
        <f t="shared" si="94"/>
        <v>아빠는 마교대장</v>
      </c>
      <c r="J630">
        <v>100</v>
      </c>
      <c r="K630">
        <v>2300</v>
      </c>
      <c r="L630">
        <v>23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2300</v>
      </c>
      <c r="AH630">
        <v>23</v>
      </c>
      <c r="AI630">
        <v>0</v>
      </c>
      <c r="AJ630">
        <v>0</v>
      </c>
      <c r="AK630">
        <v>2000</v>
      </c>
      <c r="AL630">
        <v>0</v>
      </c>
      <c r="AM630">
        <v>360</v>
      </c>
      <c r="AN630">
        <v>-84</v>
      </c>
      <c r="AO630">
        <v>0</v>
      </c>
      <c r="AP630"/>
      <c r="AQ630">
        <v>0</v>
      </c>
      <c r="AR630">
        <v>0</v>
      </c>
      <c r="AS630">
        <v>360</v>
      </c>
      <c r="AT630">
        <v>-84</v>
      </c>
      <c r="AU630">
        <v>0</v>
      </c>
      <c r="AW630">
        <v>0</v>
      </c>
      <c r="AX630">
        <v>0</v>
      </c>
      <c r="AY630">
        <v>1593.2</v>
      </c>
      <c r="BC630" t="str">
        <f t="shared" si="95"/>
        <v>9791137602076</v>
      </c>
      <c r="BE630" t="str">
        <f t="shared" si="96"/>
        <v>판타지 웹소설 &gt; 무협 소설</v>
      </c>
    </row>
    <row r="631" spans="1:58" x14ac:dyDescent="0.3">
      <c r="A631">
        <v>2313020108</v>
      </c>
      <c r="B631">
        <v>2313020303</v>
      </c>
      <c r="C631" t="str">
        <f>T("아빠는 마교대장 196화")</f>
        <v>아빠는 마교대장 196화</v>
      </c>
      <c r="D631" t="str">
        <f>T("196")</f>
        <v>196</v>
      </c>
      <c r="E631" t="str">
        <f t="shared" si="92"/>
        <v>구땡</v>
      </c>
      <c r="H631" t="str">
        <f t="shared" si="93"/>
        <v>스토리위즈</v>
      </c>
      <c r="I631" t="str">
        <f t="shared" si="94"/>
        <v>아빠는 마교대장</v>
      </c>
      <c r="J631">
        <v>100</v>
      </c>
      <c r="K631">
        <v>2300</v>
      </c>
      <c r="L631">
        <v>23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2300</v>
      </c>
      <c r="AH631">
        <v>23</v>
      </c>
      <c r="AI631">
        <v>0</v>
      </c>
      <c r="AJ631">
        <v>0</v>
      </c>
      <c r="AK631">
        <v>2100</v>
      </c>
      <c r="AL631">
        <v>0</v>
      </c>
      <c r="AM631">
        <v>240</v>
      </c>
      <c r="AN631">
        <v>-48</v>
      </c>
      <c r="AO631">
        <v>0</v>
      </c>
      <c r="AP631"/>
      <c r="AQ631">
        <v>0</v>
      </c>
      <c r="AR631">
        <v>0</v>
      </c>
      <c r="AS631">
        <v>240</v>
      </c>
      <c r="AT631">
        <v>-48</v>
      </c>
      <c r="AU631">
        <v>0</v>
      </c>
      <c r="AW631">
        <v>0</v>
      </c>
      <c r="AX631">
        <v>0</v>
      </c>
      <c r="AY631">
        <v>1604.4</v>
      </c>
      <c r="BC631" t="str">
        <f t="shared" si="95"/>
        <v>9791137602076</v>
      </c>
      <c r="BE631" t="str">
        <f t="shared" si="96"/>
        <v>판타지 웹소설 &gt; 무협 소설</v>
      </c>
    </row>
    <row r="632" spans="1:58" x14ac:dyDescent="0.3">
      <c r="A632">
        <v>2313020108</v>
      </c>
      <c r="B632">
        <v>2313020294</v>
      </c>
      <c r="C632" t="str">
        <f>T("아빠는 마교대장 187화")</f>
        <v>아빠는 마교대장 187화</v>
      </c>
      <c r="D632" t="str">
        <f>T("187")</f>
        <v>187</v>
      </c>
      <c r="E632" t="str">
        <f t="shared" si="92"/>
        <v>구땡</v>
      </c>
      <c r="H632" t="str">
        <f t="shared" si="93"/>
        <v>스토리위즈</v>
      </c>
      <c r="I632" t="str">
        <f t="shared" si="94"/>
        <v>아빠는 마교대장</v>
      </c>
      <c r="J632">
        <v>100</v>
      </c>
      <c r="K632">
        <v>2200</v>
      </c>
      <c r="L632">
        <v>22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2200</v>
      </c>
      <c r="AH632">
        <v>22</v>
      </c>
      <c r="AI632">
        <v>0</v>
      </c>
      <c r="AJ632">
        <v>0</v>
      </c>
      <c r="AK632">
        <v>2000</v>
      </c>
      <c r="AL632">
        <v>0</v>
      </c>
      <c r="AM632">
        <v>240</v>
      </c>
      <c r="AN632">
        <v>-48</v>
      </c>
      <c r="AO632">
        <v>0</v>
      </c>
      <c r="AP632"/>
      <c r="AQ632">
        <v>0</v>
      </c>
      <c r="AR632">
        <v>0</v>
      </c>
      <c r="AS632">
        <v>240</v>
      </c>
      <c r="AT632">
        <v>-48</v>
      </c>
      <c r="AU632">
        <v>0</v>
      </c>
      <c r="AW632">
        <v>0</v>
      </c>
      <c r="AX632">
        <v>0</v>
      </c>
      <c r="AY632">
        <v>1534.4</v>
      </c>
      <c r="BC632" t="str">
        <f t="shared" si="95"/>
        <v>9791137602076</v>
      </c>
      <c r="BE632" t="str">
        <f t="shared" si="96"/>
        <v>판타지 웹소설 &gt; 무협 소설</v>
      </c>
    </row>
    <row r="633" spans="1:58" x14ac:dyDescent="0.3">
      <c r="A633">
        <v>2313020108</v>
      </c>
      <c r="B633">
        <v>2313020296</v>
      </c>
      <c r="C633" t="str">
        <f>T("아빠는 마교대장 189화")</f>
        <v>아빠는 마교대장 189화</v>
      </c>
      <c r="D633" t="str">
        <f>T("189")</f>
        <v>189</v>
      </c>
      <c r="E633" t="str">
        <f t="shared" si="92"/>
        <v>구땡</v>
      </c>
      <c r="H633" t="str">
        <f t="shared" si="93"/>
        <v>스토리위즈</v>
      </c>
      <c r="I633" t="str">
        <f t="shared" si="94"/>
        <v>아빠는 마교대장</v>
      </c>
      <c r="J633">
        <v>100</v>
      </c>
      <c r="K633">
        <v>2200</v>
      </c>
      <c r="L633">
        <v>22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2200</v>
      </c>
      <c r="AH633">
        <v>22</v>
      </c>
      <c r="AI633">
        <v>0</v>
      </c>
      <c r="AJ633">
        <v>0</v>
      </c>
      <c r="AK633">
        <v>2000</v>
      </c>
      <c r="AL633">
        <v>0</v>
      </c>
      <c r="AM633">
        <v>240</v>
      </c>
      <c r="AN633">
        <v>-48</v>
      </c>
      <c r="AO633">
        <v>0</v>
      </c>
      <c r="AP633"/>
      <c r="AQ633">
        <v>0</v>
      </c>
      <c r="AR633">
        <v>0</v>
      </c>
      <c r="AS633">
        <v>240</v>
      </c>
      <c r="AT633">
        <v>-48</v>
      </c>
      <c r="AU633">
        <v>0</v>
      </c>
      <c r="AW633">
        <v>0</v>
      </c>
      <c r="AX633">
        <v>0</v>
      </c>
      <c r="AY633">
        <v>1534.4</v>
      </c>
      <c r="BC633" t="str">
        <f t="shared" si="95"/>
        <v>9791137602076</v>
      </c>
      <c r="BE633" t="str">
        <f t="shared" si="96"/>
        <v>판타지 웹소설 &gt; 무협 소설</v>
      </c>
    </row>
    <row r="634" spans="1:58" x14ac:dyDescent="0.3">
      <c r="A634">
        <v>2313020108</v>
      </c>
      <c r="B634">
        <v>2313020301</v>
      </c>
      <c r="C634" t="str">
        <f>T("아빠는 마교대장 194화")</f>
        <v>아빠는 마교대장 194화</v>
      </c>
      <c r="D634" t="str">
        <f>T("194")</f>
        <v>194</v>
      </c>
      <c r="E634" t="str">
        <f t="shared" ref="E634:E635" si="97">T("구땡")</f>
        <v>구땡</v>
      </c>
      <c r="H634" t="str">
        <f t="shared" ref="H634:H635" si="98">T("스토리위즈")</f>
        <v>스토리위즈</v>
      </c>
      <c r="I634" t="str">
        <f t="shared" ref="I634:I635" si="99">T("아빠는 마교대장")</f>
        <v>아빠는 마교대장</v>
      </c>
      <c r="J634">
        <v>100</v>
      </c>
      <c r="K634">
        <v>2200</v>
      </c>
      <c r="L634">
        <v>22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2200</v>
      </c>
      <c r="AH634">
        <v>22</v>
      </c>
      <c r="AI634">
        <v>0</v>
      </c>
      <c r="AJ634">
        <v>0</v>
      </c>
      <c r="AK634">
        <v>2000</v>
      </c>
      <c r="AL634">
        <v>0</v>
      </c>
      <c r="AM634">
        <v>240</v>
      </c>
      <c r="AN634">
        <v>-48</v>
      </c>
      <c r="AO634">
        <v>0</v>
      </c>
      <c r="AP634"/>
      <c r="AQ634">
        <v>0</v>
      </c>
      <c r="AR634">
        <v>0</v>
      </c>
      <c r="AS634">
        <v>240</v>
      </c>
      <c r="AT634">
        <v>-48</v>
      </c>
      <c r="AU634">
        <v>0</v>
      </c>
      <c r="AW634">
        <v>0</v>
      </c>
      <c r="AX634">
        <v>0</v>
      </c>
      <c r="AY634">
        <v>1534.4</v>
      </c>
      <c r="BC634" t="str">
        <f t="shared" ref="BC634:BC635" si="100">T("9791137602076")</f>
        <v>9791137602076</v>
      </c>
      <c r="BE634" t="str">
        <f t="shared" ref="BE634:BE635" si="101">T("판타지 웹소설 &gt; 무협 소설")</f>
        <v>판타지 웹소설 &gt; 무협 소설</v>
      </c>
    </row>
    <row r="635" spans="1:58" x14ac:dyDescent="0.3">
      <c r="A635">
        <v>2313020108</v>
      </c>
      <c r="B635">
        <v>2313020297</v>
      </c>
      <c r="C635" t="str">
        <f>T("아빠는 마교대장 190화")</f>
        <v>아빠는 마교대장 190화</v>
      </c>
      <c r="D635" t="str">
        <f>T("190")</f>
        <v>190</v>
      </c>
      <c r="E635" t="str">
        <f t="shared" si="97"/>
        <v>구땡</v>
      </c>
      <c r="H635" t="str">
        <f t="shared" si="98"/>
        <v>스토리위즈</v>
      </c>
      <c r="I635" t="str">
        <f t="shared" si="99"/>
        <v>아빠는 마교대장</v>
      </c>
      <c r="J635">
        <v>100</v>
      </c>
      <c r="K635">
        <v>2100</v>
      </c>
      <c r="L635">
        <v>21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2100</v>
      </c>
      <c r="AH635">
        <v>21</v>
      </c>
      <c r="AI635">
        <v>0</v>
      </c>
      <c r="AJ635">
        <v>0</v>
      </c>
      <c r="AK635">
        <v>1900</v>
      </c>
      <c r="AL635">
        <v>0</v>
      </c>
      <c r="AM635">
        <v>240</v>
      </c>
      <c r="AN635">
        <v>-48</v>
      </c>
      <c r="AO635">
        <v>0</v>
      </c>
      <c r="AP635"/>
      <c r="AQ635">
        <v>0</v>
      </c>
      <c r="AR635">
        <v>0</v>
      </c>
      <c r="AS635">
        <v>240</v>
      </c>
      <c r="AT635">
        <v>-48</v>
      </c>
      <c r="AU635">
        <v>0</v>
      </c>
      <c r="AW635">
        <v>0</v>
      </c>
      <c r="AX635">
        <v>0</v>
      </c>
      <c r="AY635">
        <v>1464.4</v>
      </c>
      <c r="BC635" t="str">
        <f t="shared" si="100"/>
        <v>9791137602076</v>
      </c>
      <c r="BE635" t="str">
        <f t="shared" si="101"/>
        <v>판타지 웹소설 &gt; 무협 소설</v>
      </c>
    </row>
    <row r="636" spans="1:58" x14ac:dyDescent="0.3">
      <c r="A636">
        <v>2313016854</v>
      </c>
      <c r="B636">
        <v>2313016852</v>
      </c>
      <c r="C636" t="str">
        <f>T("[e북]뜨거운 항해 (외전증보판) (외전)")</f>
        <v>[e북]뜨거운 항해 (외전증보판) (외전)</v>
      </c>
      <c r="D636" t="str">
        <f>T("3")</f>
        <v>3</v>
      </c>
      <c r="E636" t="str">
        <f>T("밈스")</f>
        <v>밈스</v>
      </c>
      <c r="H636" t="str">
        <f>T("도서출판 태랑")</f>
        <v>도서출판 태랑</v>
      </c>
      <c r="I636" t="str">
        <f>T("[e북]뜨거운 항해 (외전증보판)")</f>
        <v>[e북]뜨거운 항해 (외전증보판)</v>
      </c>
      <c r="J636">
        <v>1000</v>
      </c>
      <c r="K636">
        <v>2000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2000</v>
      </c>
      <c r="AH636">
        <v>2</v>
      </c>
      <c r="AI636">
        <v>0</v>
      </c>
      <c r="AJ636">
        <v>0</v>
      </c>
      <c r="AK636">
        <v>1816</v>
      </c>
      <c r="AL636">
        <v>0</v>
      </c>
      <c r="AM636">
        <v>220.8</v>
      </c>
      <c r="AN636">
        <v>-22.08</v>
      </c>
      <c r="AO636">
        <v>0</v>
      </c>
      <c r="AP636"/>
      <c r="AQ636">
        <v>0</v>
      </c>
      <c r="AR636">
        <v>0</v>
      </c>
      <c r="AS636">
        <v>220.8</v>
      </c>
      <c r="AT636">
        <v>-22.08</v>
      </c>
      <c r="AU636">
        <v>0</v>
      </c>
      <c r="AW636">
        <v>0</v>
      </c>
      <c r="AX636">
        <v>0</v>
      </c>
      <c r="AY636">
        <v>1410.3</v>
      </c>
      <c r="BC636" t="str">
        <f>T("9791164374663")</f>
        <v>9791164374663</v>
      </c>
      <c r="BE636" t="str">
        <f>T("로맨스 e북 &gt; 현대물")</f>
        <v>로맨스 e북 &gt; 현대물</v>
      </c>
      <c r="BF636" t="str">
        <f>T("로맨스 e북 &gt; 19+")</f>
        <v>로맨스 e북 &gt; 19+</v>
      </c>
    </row>
    <row r="637" spans="1:58" x14ac:dyDescent="0.3">
      <c r="A637">
        <v>2313016895</v>
      </c>
      <c r="B637">
        <v>2313016893</v>
      </c>
      <c r="C637" t="str">
        <f>T("[e북]사랑도 없이 결혼 (외전증보판) (외전)")</f>
        <v>[e북]사랑도 없이 결혼 (외전증보판) (외전)</v>
      </c>
      <c r="D637" t="str">
        <f>T("3")</f>
        <v>3</v>
      </c>
      <c r="E637" t="str">
        <f>T("차홍주")</f>
        <v>차홍주</v>
      </c>
      <c r="H637" t="str">
        <f>T("도서출판 태랑")</f>
        <v>도서출판 태랑</v>
      </c>
      <c r="I637" t="str">
        <f>T("[e북]사랑도 없이 결혼 (외전증보판)")</f>
        <v>[e북]사랑도 없이 결혼 (외전증보판)</v>
      </c>
      <c r="J637">
        <v>1000</v>
      </c>
      <c r="K637">
        <v>2000</v>
      </c>
      <c r="L637">
        <v>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2000</v>
      </c>
      <c r="AH637">
        <v>2</v>
      </c>
      <c r="AI637">
        <v>0</v>
      </c>
      <c r="AJ637">
        <v>0</v>
      </c>
      <c r="AK637">
        <v>1000</v>
      </c>
      <c r="AL637">
        <v>0</v>
      </c>
      <c r="AM637">
        <v>1200</v>
      </c>
      <c r="AN637">
        <v>-120</v>
      </c>
      <c r="AO637">
        <v>0</v>
      </c>
      <c r="AP637"/>
      <c r="AQ637">
        <v>0</v>
      </c>
      <c r="AR637">
        <v>0</v>
      </c>
      <c r="AS637">
        <v>1200</v>
      </c>
      <c r="AT637">
        <v>-120</v>
      </c>
      <c r="AU637">
        <v>0</v>
      </c>
      <c r="AW637">
        <v>0</v>
      </c>
      <c r="AX637">
        <v>0</v>
      </c>
      <c r="AY637">
        <v>1456</v>
      </c>
      <c r="BC637" t="str">
        <f>T("9791164373789")</f>
        <v>9791164373789</v>
      </c>
      <c r="BE637" t="str">
        <f>T("로맨스 e북 &gt; 현대물")</f>
        <v>로맨스 e북 &gt; 현대물</v>
      </c>
      <c r="BF637" t="str">
        <f>T("로맨스 e북 &gt; 19+")</f>
        <v>로맨스 e북 &gt; 19+</v>
      </c>
    </row>
    <row r="638" spans="1:58" x14ac:dyDescent="0.3">
      <c r="A638">
        <v>2313016983</v>
      </c>
      <c r="B638">
        <v>2313016933</v>
      </c>
      <c r="C638" t="str">
        <f>T("[e북]들이대지 마 (외전)")</f>
        <v>[e북]들이대지 마 (외전)</v>
      </c>
      <c r="D638" t="str">
        <f>T("3")</f>
        <v>3</v>
      </c>
      <c r="E638" t="str">
        <f>T("모리미")</f>
        <v>모리미</v>
      </c>
      <c r="H638" t="str">
        <f>T("도서출판 태랑")</f>
        <v>도서출판 태랑</v>
      </c>
      <c r="I638" t="str">
        <f>T("[e북]들이대지 마")</f>
        <v>[e북]들이대지 마</v>
      </c>
      <c r="J638">
        <v>1000</v>
      </c>
      <c r="K638">
        <v>2000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2000</v>
      </c>
      <c r="AH638">
        <v>2</v>
      </c>
      <c r="AI638">
        <v>0</v>
      </c>
      <c r="AJ638">
        <v>0</v>
      </c>
      <c r="AK638">
        <v>2000</v>
      </c>
      <c r="AL638">
        <v>0</v>
      </c>
      <c r="AM638">
        <v>0</v>
      </c>
      <c r="AN638">
        <v>0</v>
      </c>
      <c r="AO638">
        <v>0</v>
      </c>
      <c r="AP638"/>
      <c r="AQ638">
        <v>0</v>
      </c>
      <c r="AR638">
        <v>0</v>
      </c>
      <c r="AT638">
        <v>0</v>
      </c>
      <c r="AU638">
        <v>0</v>
      </c>
      <c r="AW638">
        <v>0</v>
      </c>
      <c r="AX638">
        <v>0</v>
      </c>
      <c r="AY638">
        <v>1400</v>
      </c>
      <c r="BC638" t="str">
        <f>T("9791164373147")</f>
        <v>9791164373147</v>
      </c>
      <c r="BE638" t="str">
        <f>T("BL 소설 e북 &gt; 현대물")</f>
        <v>BL 소설 e북 &gt; 현대물</v>
      </c>
    </row>
    <row r="639" spans="1:58" x14ac:dyDescent="0.3">
      <c r="A639">
        <v>2313020108</v>
      </c>
      <c r="B639">
        <v>2313020243</v>
      </c>
      <c r="C639" t="str">
        <f>T("아빠는 마교대장 136화")</f>
        <v>아빠는 마교대장 136화</v>
      </c>
      <c r="D639" t="str">
        <f>T("136")</f>
        <v>136</v>
      </c>
      <c r="E639" t="str">
        <f>T("구땡")</f>
        <v>구땡</v>
      </c>
      <c r="H639" t="str">
        <f>T("스토리위즈")</f>
        <v>스토리위즈</v>
      </c>
      <c r="I639" t="str">
        <f>T("아빠는 마교대장")</f>
        <v>아빠는 마교대장</v>
      </c>
      <c r="J639">
        <v>100</v>
      </c>
      <c r="K639">
        <v>2000</v>
      </c>
      <c r="L639">
        <v>20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2000</v>
      </c>
      <c r="AH639">
        <v>20</v>
      </c>
      <c r="AI639">
        <v>0</v>
      </c>
      <c r="AJ639">
        <v>0</v>
      </c>
      <c r="AK639">
        <v>1900</v>
      </c>
      <c r="AL639">
        <v>0</v>
      </c>
      <c r="AM639">
        <v>120</v>
      </c>
      <c r="AN639">
        <v>-36</v>
      </c>
      <c r="AO639">
        <v>0</v>
      </c>
      <c r="AP639"/>
      <c r="AQ639">
        <v>0</v>
      </c>
      <c r="AR639">
        <v>0</v>
      </c>
      <c r="AS639">
        <v>120</v>
      </c>
      <c r="AT639">
        <v>-36</v>
      </c>
      <c r="AU639">
        <v>0</v>
      </c>
      <c r="AW639">
        <v>0</v>
      </c>
      <c r="AX639">
        <v>0</v>
      </c>
      <c r="AY639">
        <v>1388.8</v>
      </c>
      <c r="BC639" t="str">
        <f>T("9791137602076")</f>
        <v>9791137602076</v>
      </c>
      <c r="BE639" t="str">
        <f>T("판타지 웹소설 &gt; 무협 소설")</f>
        <v>판타지 웹소설 &gt; 무협 소설</v>
      </c>
    </row>
    <row r="640" spans="1:58" x14ac:dyDescent="0.3">
      <c r="A640">
        <v>2313020108</v>
      </c>
      <c r="B640">
        <v>2313020295</v>
      </c>
      <c r="C640" t="str">
        <f>T("아빠는 마교대장 188화")</f>
        <v>아빠는 마교대장 188화</v>
      </c>
      <c r="D640" t="str">
        <f>T("188")</f>
        <v>188</v>
      </c>
      <c r="E640" t="str">
        <f>T("구땡")</f>
        <v>구땡</v>
      </c>
      <c r="H640" t="str">
        <f>T("스토리위즈")</f>
        <v>스토리위즈</v>
      </c>
      <c r="I640" t="str">
        <f>T("아빠는 마교대장")</f>
        <v>아빠는 마교대장</v>
      </c>
      <c r="J640">
        <v>100</v>
      </c>
      <c r="K640">
        <v>2000</v>
      </c>
      <c r="L640">
        <v>20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2000</v>
      </c>
      <c r="AH640">
        <v>20</v>
      </c>
      <c r="AI640">
        <v>0</v>
      </c>
      <c r="AJ640">
        <v>0</v>
      </c>
      <c r="AK640">
        <v>1800</v>
      </c>
      <c r="AL640">
        <v>0</v>
      </c>
      <c r="AM640">
        <v>240</v>
      </c>
      <c r="AN640">
        <v>-48</v>
      </c>
      <c r="AO640">
        <v>0</v>
      </c>
      <c r="AP640"/>
      <c r="AQ640">
        <v>0</v>
      </c>
      <c r="AR640">
        <v>0</v>
      </c>
      <c r="AS640">
        <v>240</v>
      </c>
      <c r="AT640">
        <v>-48</v>
      </c>
      <c r="AU640">
        <v>0</v>
      </c>
      <c r="AW640">
        <v>0</v>
      </c>
      <c r="AX640">
        <v>0</v>
      </c>
      <c r="AY640">
        <v>1394.4</v>
      </c>
      <c r="BC640" t="str">
        <f>T("9791137602076")</f>
        <v>9791137602076</v>
      </c>
      <c r="BE640" t="str">
        <f>T("판타지 웹소설 &gt; 무협 소설")</f>
        <v>판타지 웹소설 &gt; 무협 소설</v>
      </c>
    </row>
    <row r="641" spans="1:58" x14ac:dyDescent="0.3">
      <c r="A641">
        <v>2313020382</v>
      </c>
      <c r="B641">
        <v>2313020413</v>
      </c>
      <c r="C641" t="str">
        <f>T("신입사원이 이렇게 일을 잘했다고? 32화")</f>
        <v>신입사원이 이렇게 일을 잘했다고? 32화</v>
      </c>
      <c r="D641" t="str">
        <f>T("32")</f>
        <v>32</v>
      </c>
      <c r="E641" t="str">
        <f>T("왕십리글쟁이")</f>
        <v>왕십리글쟁이</v>
      </c>
      <c r="H641" t="str">
        <f>T("스토리위즈")</f>
        <v>스토리위즈</v>
      </c>
      <c r="I641" t="str">
        <f>T("신입사원이 이렇게 일을 잘했다고?")</f>
        <v>신입사원이 이렇게 일을 잘했다고?</v>
      </c>
      <c r="J641">
        <v>100</v>
      </c>
      <c r="K641">
        <v>1700</v>
      </c>
      <c r="L641">
        <v>17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1700</v>
      </c>
      <c r="AH641">
        <v>17</v>
      </c>
      <c r="AI641">
        <v>0</v>
      </c>
      <c r="AJ641">
        <v>0</v>
      </c>
      <c r="AK641">
        <v>1200</v>
      </c>
      <c r="AL641">
        <v>0</v>
      </c>
      <c r="AM641">
        <v>600</v>
      </c>
      <c r="AN641">
        <v>-132</v>
      </c>
      <c r="AO641">
        <v>0</v>
      </c>
      <c r="AP641"/>
      <c r="AQ641">
        <v>0</v>
      </c>
      <c r="AR641">
        <v>0</v>
      </c>
      <c r="AS641">
        <v>600</v>
      </c>
      <c r="AT641">
        <v>-132</v>
      </c>
      <c r="AU641">
        <v>0</v>
      </c>
      <c r="AW641">
        <v>0</v>
      </c>
      <c r="AX641">
        <v>0</v>
      </c>
      <c r="AY641">
        <v>1167.5999999999999</v>
      </c>
      <c r="BC641" t="str">
        <f>T("9791137602946")</f>
        <v>9791137602946</v>
      </c>
      <c r="BE641" t="str">
        <f>T("판타지 웹소설 &gt; 현대 판타지")</f>
        <v>판타지 웹소설 &gt; 현대 판타지</v>
      </c>
    </row>
    <row r="642" spans="1:58" x14ac:dyDescent="0.3">
      <c r="A642">
        <v>2313016862</v>
      </c>
      <c r="B642">
        <v>2313016860</v>
      </c>
      <c r="C642" t="str">
        <f>T("[e북]베리타(verità) (외전증보판) (외전)")</f>
        <v>[e북]베리타(verità) (외전증보판) (외전)</v>
      </c>
      <c r="D642" t="str">
        <f>T("3")</f>
        <v>3</v>
      </c>
      <c r="E642" t="str">
        <f>T("블랙커피")</f>
        <v>블랙커피</v>
      </c>
      <c r="H642" t="str">
        <f>T("도서출판 태랑")</f>
        <v>도서출판 태랑</v>
      </c>
      <c r="I642" t="str">
        <f>T("[e북]베리타(verità) (외전증보판)")</f>
        <v>[e북]베리타(verità) (외전증보판)</v>
      </c>
      <c r="J642">
        <v>400</v>
      </c>
      <c r="K642">
        <v>1600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1600</v>
      </c>
      <c r="AH642">
        <v>4</v>
      </c>
      <c r="AI642">
        <v>0</v>
      </c>
      <c r="AJ642">
        <v>0</v>
      </c>
      <c r="AK642">
        <v>1200</v>
      </c>
      <c r="AL642">
        <v>0</v>
      </c>
      <c r="AM642">
        <v>480</v>
      </c>
      <c r="AN642">
        <v>-144</v>
      </c>
      <c r="AO642">
        <v>0</v>
      </c>
      <c r="AP642"/>
      <c r="AQ642">
        <v>0</v>
      </c>
      <c r="AR642">
        <v>0</v>
      </c>
      <c r="AS642">
        <v>480</v>
      </c>
      <c r="AT642">
        <v>-144</v>
      </c>
      <c r="AU642">
        <v>0</v>
      </c>
      <c r="AW642">
        <v>0</v>
      </c>
      <c r="AX642">
        <v>0</v>
      </c>
      <c r="AY642">
        <v>1075.2</v>
      </c>
      <c r="BC642" t="str">
        <f>T("9791164374441")</f>
        <v>9791164374441</v>
      </c>
      <c r="BE642" t="str">
        <f>T("로맨스 e북 &gt; 현대물")</f>
        <v>로맨스 e북 &gt; 현대물</v>
      </c>
      <c r="BF642" t="str">
        <f>T("로맨스 e북 &gt; 19+")</f>
        <v>로맨스 e북 &gt; 19+</v>
      </c>
    </row>
    <row r="643" spans="1:58" x14ac:dyDescent="0.3">
      <c r="A643">
        <v>2313015987</v>
      </c>
      <c r="B643">
        <v>2313015993</v>
      </c>
      <c r="C643" t="str">
        <f>T("[e북]돌아온 막내 영애님을 조심하세요 (외전)")</f>
        <v>[e북]돌아온 막내 영애님을 조심하세요 (외전)</v>
      </c>
      <c r="D643" t="str">
        <f>T("7")</f>
        <v>7</v>
      </c>
      <c r="E643" t="str">
        <f>T("윈델")</f>
        <v>윈델</v>
      </c>
      <c r="H643" t="str">
        <f>T("블레슈(Blesshuu)")</f>
        <v>블레슈(Blesshuu)</v>
      </c>
      <c r="I643" t="str">
        <f>T("[e북]돌아온 막내 영애님을 조심하세요")</f>
        <v>[e북]돌아온 막내 영애님을 조심하세요</v>
      </c>
      <c r="J643">
        <v>1500</v>
      </c>
      <c r="K643">
        <v>1500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1500</v>
      </c>
      <c r="AH643">
        <v>1</v>
      </c>
      <c r="AI643">
        <v>0</v>
      </c>
      <c r="AJ643">
        <v>0</v>
      </c>
      <c r="AK643">
        <v>1500</v>
      </c>
      <c r="AL643">
        <v>0</v>
      </c>
      <c r="AM643">
        <v>0</v>
      </c>
      <c r="AN643">
        <v>0</v>
      </c>
      <c r="AO643">
        <v>0</v>
      </c>
      <c r="AP643"/>
      <c r="AQ643">
        <v>0</v>
      </c>
      <c r="AR643">
        <v>0</v>
      </c>
      <c r="AT643">
        <v>0</v>
      </c>
      <c r="AU643">
        <v>0</v>
      </c>
      <c r="AW643">
        <v>0</v>
      </c>
      <c r="AX643">
        <v>0</v>
      </c>
      <c r="AY643">
        <v>1050</v>
      </c>
      <c r="BC643" t="str">
        <f>T("9791137603455")</f>
        <v>9791137603455</v>
      </c>
      <c r="BE643" t="str">
        <f>T("로판 e북 &gt; 서양풍 로판")</f>
        <v>로판 e북 &gt; 서양풍 로판</v>
      </c>
    </row>
    <row r="644" spans="1:58" x14ac:dyDescent="0.3">
      <c r="A644">
        <v>2313017081</v>
      </c>
      <c r="B644">
        <v>2313017057</v>
      </c>
      <c r="C644" t="str">
        <f>T("[e북]골 때리는 사랑 (외전)")</f>
        <v>[e북]골 때리는 사랑 (외전)</v>
      </c>
      <c r="D644" t="str">
        <f>T("3")</f>
        <v>3</v>
      </c>
      <c r="E644" t="str">
        <f>T("모리미")</f>
        <v>모리미</v>
      </c>
      <c r="H644" t="str">
        <f>T("도서출판 태랑")</f>
        <v>도서출판 태랑</v>
      </c>
      <c r="I644" t="str">
        <f>T("[e북]골 때리는 사랑")</f>
        <v>[e북]골 때리는 사랑</v>
      </c>
      <c r="J644">
        <v>500</v>
      </c>
      <c r="K644">
        <v>1500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1500</v>
      </c>
      <c r="AH644">
        <v>3</v>
      </c>
      <c r="AI644">
        <v>0</v>
      </c>
      <c r="AJ644">
        <v>0</v>
      </c>
      <c r="AK644">
        <v>1500</v>
      </c>
      <c r="AL644">
        <v>0</v>
      </c>
      <c r="AM644">
        <v>0</v>
      </c>
      <c r="AN644">
        <v>0</v>
      </c>
      <c r="AO644">
        <v>0</v>
      </c>
      <c r="AP644"/>
      <c r="AQ644">
        <v>0</v>
      </c>
      <c r="AR644">
        <v>0</v>
      </c>
      <c r="AT644">
        <v>0</v>
      </c>
      <c r="AU644">
        <v>0</v>
      </c>
      <c r="AW644">
        <v>0</v>
      </c>
      <c r="AX644">
        <v>0</v>
      </c>
      <c r="AY644">
        <v>1050</v>
      </c>
      <c r="BC644" t="str">
        <f>T("9791164370719")</f>
        <v>9791164370719</v>
      </c>
      <c r="BE644" t="str">
        <f>T("BL 소설 e북 &gt; 현대물")</f>
        <v>BL 소설 e북 &gt; 현대물</v>
      </c>
    </row>
    <row r="645" spans="1:58" x14ac:dyDescent="0.3">
      <c r="A645">
        <v>2313020382</v>
      </c>
      <c r="B645">
        <v>2313020412</v>
      </c>
      <c r="C645" t="str">
        <f>T("신입사원이 이렇게 일을 잘했다고? 31화")</f>
        <v>신입사원이 이렇게 일을 잘했다고? 31화</v>
      </c>
      <c r="D645" t="str">
        <f>T("31")</f>
        <v>31</v>
      </c>
      <c r="E645" t="str">
        <f t="shared" ref="E645:E658" si="102">T("왕십리글쟁이")</f>
        <v>왕십리글쟁이</v>
      </c>
      <c r="H645" t="str">
        <f t="shared" ref="H645:H659" si="103">T("스토리위즈")</f>
        <v>스토리위즈</v>
      </c>
      <c r="I645" t="str">
        <f t="shared" ref="I645:I658" si="104">T("신입사원이 이렇게 일을 잘했다고?")</f>
        <v>신입사원이 이렇게 일을 잘했다고?</v>
      </c>
      <c r="J645">
        <v>100</v>
      </c>
      <c r="K645">
        <v>1500</v>
      </c>
      <c r="L645">
        <v>15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1500</v>
      </c>
      <c r="AH645">
        <v>15</v>
      </c>
      <c r="AI645">
        <v>0</v>
      </c>
      <c r="AJ645">
        <v>0</v>
      </c>
      <c r="AK645">
        <v>1000</v>
      </c>
      <c r="AL645">
        <v>0</v>
      </c>
      <c r="AM645">
        <v>600</v>
      </c>
      <c r="AN645">
        <v>-132</v>
      </c>
      <c r="AO645">
        <v>0</v>
      </c>
      <c r="AP645"/>
      <c r="AQ645">
        <v>0</v>
      </c>
      <c r="AR645">
        <v>0</v>
      </c>
      <c r="AS645">
        <v>600</v>
      </c>
      <c r="AT645">
        <v>-132</v>
      </c>
      <c r="AU645">
        <v>0</v>
      </c>
      <c r="AW645">
        <v>0</v>
      </c>
      <c r="AX645">
        <v>0</v>
      </c>
      <c r="AY645">
        <v>1027.5999999999999</v>
      </c>
      <c r="BC645" t="str">
        <f t="shared" ref="BC645:BC658" si="105">T("9791137602946")</f>
        <v>9791137602946</v>
      </c>
      <c r="BE645" t="str">
        <f t="shared" ref="BE645:BE658" si="106">T("판타지 웹소설 &gt; 현대 판타지")</f>
        <v>판타지 웹소설 &gt; 현대 판타지</v>
      </c>
    </row>
    <row r="646" spans="1:58" x14ac:dyDescent="0.3">
      <c r="A646">
        <v>2313020382</v>
      </c>
      <c r="B646">
        <v>2313020430</v>
      </c>
      <c r="C646" t="str">
        <f>T("신입사원이 이렇게 일을 잘했다고? 49화")</f>
        <v>신입사원이 이렇게 일을 잘했다고? 49화</v>
      </c>
      <c r="D646" t="str">
        <f>T("49")</f>
        <v>49</v>
      </c>
      <c r="E646" t="str">
        <f t="shared" si="102"/>
        <v>왕십리글쟁이</v>
      </c>
      <c r="H646" t="str">
        <f t="shared" si="103"/>
        <v>스토리위즈</v>
      </c>
      <c r="I646" t="str">
        <f t="shared" si="104"/>
        <v>신입사원이 이렇게 일을 잘했다고?</v>
      </c>
      <c r="J646">
        <v>100</v>
      </c>
      <c r="K646">
        <v>1500</v>
      </c>
      <c r="L646">
        <v>15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1500</v>
      </c>
      <c r="AH646">
        <v>15</v>
      </c>
      <c r="AI646">
        <v>0</v>
      </c>
      <c r="AJ646">
        <v>0</v>
      </c>
      <c r="AK646">
        <v>1200</v>
      </c>
      <c r="AL646">
        <v>0</v>
      </c>
      <c r="AM646">
        <v>360</v>
      </c>
      <c r="AN646">
        <v>-60</v>
      </c>
      <c r="AO646">
        <v>0</v>
      </c>
      <c r="AP646"/>
      <c r="AQ646">
        <v>0</v>
      </c>
      <c r="AR646">
        <v>0</v>
      </c>
      <c r="AS646">
        <v>360</v>
      </c>
      <c r="AT646">
        <v>-60</v>
      </c>
      <c r="AU646">
        <v>0</v>
      </c>
      <c r="AW646">
        <v>0</v>
      </c>
      <c r="AX646">
        <v>0</v>
      </c>
      <c r="AY646">
        <v>1050</v>
      </c>
      <c r="BC646" t="str">
        <f t="shared" si="105"/>
        <v>9791137602946</v>
      </c>
      <c r="BE646" t="str">
        <f t="shared" si="106"/>
        <v>판타지 웹소설 &gt; 현대 판타지</v>
      </c>
    </row>
    <row r="647" spans="1:58" x14ac:dyDescent="0.3">
      <c r="A647">
        <v>2313020382</v>
      </c>
      <c r="B647">
        <v>2313020449</v>
      </c>
      <c r="C647" t="str">
        <f>T("신입사원이 이렇게 일을 잘했다고? 68화")</f>
        <v>신입사원이 이렇게 일을 잘했다고? 68화</v>
      </c>
      <c r="D647" t="str">
        <f>T("68")</f>
        <v>68</v>
      </c>
      <c r="E647" t="str">
        <f t="shared" si="102"/>
        <v>왕십리글쟁이</v>
      </c>
      <c r="H647" t="str">
        <f t="shared" si="103"/>
        <v>스토리위즈</v>
      </c>
      <c r="I647" t="str">
        <f t="shared" si="104"/>
        <v>신입사원이 이렇게 일을 잘했다고?</v>
      </c>
      <c r="J647">
        <v>100</v>
      </c>
      <c r="K647">
        <v>1500</v>
      </c>
      <c r="L647">
        <v>15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1500</v>
      </c>
      <c r="AH647">
        <v>15</v>
      </c>
      <c r="AI647">
        <v>0</v>
      </c>
      <c r="AJ647">
        <v>0</v>
      </c>
      <c r="AK647">
        <v>1100</v>
      </c>
      <c r="AL647">
        <v>0</v>
      </c>
      <c r="AM647">
        <v>480</v>
      </c>
      <c r="AN647">
        <v>-72</v>
      </c>
      <c r="AO647">
        <v>0</v>
      </c>
      <c r="AP647"/>
      <c r="AQ647">
        <v>0</v>
      </c>
      <c r="AR647">
        <v>0</v>
      </c>
      <c r="AS647">
        <v>480</v>
      </c>
      <c r="AT647">
        <v>-72</v>
      </c>
      <c r="AU647">
        <v>0</v>
      </c>
      <c r="AW647">
        <v>0</v>
      </c>
      <c r="AX647">
        <v>0</v>
      </c>
      <c r="AY647">
        <v>1055.5999999999999</v>
      </c>
      <c r="BC647" t="str">
        <f t="shared" si="105"/>
        <v>9791137602946</v>
      </c>
      <c r="BE647" t="str">
        <f t="shared" si="106"/>
        <v>판타지 웹소설 &gt; 현대 판타지</v>
      </c>
    </row>
    <row r="648" spans="1:58" x14ac:dyDescent="0.3">
      <c r="A648">
        <v>2313020382</v>
      </c>
      <c r="B648">
        <v>2313020407</v>
      </c>
      <c r="C648" t="str">
        <f>T("신입사원이 이렇게 일을 잘했다고? 26화")</f>
        <v>신입사원이 이렇게 일을 잘했다고? 26화</v>
      </c>
      <c r="D648" t="str">
        <f>T("26")</f>
        <v>26</v>
      </c>
      <c r="E648" t="str">
        <f t="shared" si="102"/>
        <v>왕십리글쟁이</v>
      </c>
      <c r="H648" t="str">
        <f t="shared" si="103"/>
        <v>스토리위즈</v>
      </c>
      <c r="I648" t="str">
        <f t="shared" si="104"/>
        <v>신입사원이 이렇게 일을 잘했다고?</v>
      </c>
      <c r="J648">
        <v>100</v>
      </c>
      <c r="K648">
        <v>1400</v>
      </c>
      <c r="L648">
        <v>14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1400</v>
      </c>
      <c r="AH648">
        <v>14</v>
      </c>
      <c r="AI648">
        <v>0</v>
      </c>
      <c r="AJ648">
        <v>0</v>
      </c>
      <c r="AK648">
        <v>1000</v>
      </c>
      <c r="AL648">
        <v>0</v>
      </c>
      <c r="AM648">
        <v>480</v>
      </c>
      <c r="AN648">
        <v>-96</v>
      </c>
      <c r="AO648">
        <v>0</v>
      </c>
      <c r="AP648"/>
      <c r="AQ648">
        <v>0</v>
      </c>
      <c r="AR648">
        <v>0</v>
      </c>
      <c r="AS648">
        <v>480</v>
      </c>
      <c r="AT648">
        <v>-96</v>
      </c>
      <c r="AU648">
        <v>0</v>
      </c>
      <c r="AW648">
        <v>0</v>
      </c>
      <c r="AX648">
        <v>0</v>
      </c>
      <c r="AY648">
        <v>968.8</v>
      </c>
      <c r="BC648" t="str">
        <f t="shared" si="105"/>
        <v>9791137602946</v>
      </c>
      <c r="BE648" t="str">
        <f t="shared" si="106"/>
        <v>판타지 웹소설 &gt; 현대 판타지</v>
      </c>
    </row>
    <row r="649" spans="1:58" x14ac:dyDescent="0.3">
      <c r="A649">
        <v>2313020382</v>
      </c>
      <c r="B649">
        <v>2313020416</v>
      </c>
      <c r="C649" t="str">
        <f>T("신입사원이 이렇게 일을 잘했다고? 35화")</f>
        <v>신입사원이 이렇게 일을 잘했다고? 35화</v>
      </c>
      <c r="D649" t="str">
        <f>T("35")</f>
        <v>35</v>
      </c>
      <c r="E649" t="str">
        <f t="shared" si="102"/>
        <v>왕십리글쟁이</v>
      </c>
      <c r="H649" t="str">
        <f t="shared" si="103"/>
        <v>스토리위즈</v>
      </c>
      <c r="I649" t="str">
        <f t="shared" si="104"/>
        <v>신입사원이 이렇게 일을 잘했다고?</v>
      </c>
      <c r="J649">
        <v>100</v>
      </c>
      <c r="K649">
        <v>1400</v>
      </c>
      <c r="L649">
        <v>14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1400</v>
      </c>
      <c r="AH649">
        <v>14</v>
      </c>
      <c r="AI649">
        <v>0</v>
      </c>
      <c r="AJ649">
        <v>0</v>
      </c>
      <c r="AK649">
        <v>1000</v>
      </c>
      <c r="AL649">
        <v>0</v>
      </c>
      <c r="AM649">
        <v>480</v>
      </c>
      <c r="AN649">
        <v>-96</v>
      </c>
      <c r="AO649">
        <v>0</v>
      </c>
      <c r="AP649"/>
      <c r="AQ649">
        <v>0</v>
      </c>
      <c r="AR649">
        <v>0</v>
      </c>
      <c r="AS649">
        <v>480</v>
      </c>
      <c r="AT649">
        <v>-96</v>
      </c>
      <c r="AU649">
        <v>0</v>
      </c>
      <c r="AW649">
        <v>0</v>
      </c>
      <c r="AX649">
        <v>0</v>
      </c>
      <c r="AY649">
        <v>968.8</v>
      </c>
      <c r="BC649" t="str">
        <f t="shared" si="105"/>
        <v>9791137602946</v>
      </c>
      <c r="BE649" t="str">
        <f t="shared" si="106"/>
        <v>판타지 웹소설 &gt; 현대 판타지</v>
      </c>
    </row>
    <row r="650" spans="1:58" x14ac:dyDescent="0.3">
      <c r="A650">
        <v>2313020382</v>
      </c>
      <c r="B650">
        <v>2313020417</v>
      </c>
      <c r="C650" t="str">
        <f>T("신입사원이 이렇게 일을 잘했다고? 36화")</f>
        <v>신입사원이 이렇게 일을 잘했다고? 36화</v>
      </c>
      <c r="D650" t="str">
        <f>T("36")</f>
        <v>36</v>
      </c>
      <c r="E650" t="str">
        <f t="shared" si="102"/>
        <v>왕십리글쟁이</v>
      </c>
      <c r="H650" t="str">
        <f t="shared" si="103"/>
        <v>스토리위즈</v>
      </c>
      <c r="I650" t="str">
        <f t="shared" si="104"/>
        <v>신입사원이 이렇게 일을 잘했다고?</v>
      </c>
      <c r="J650">
        <v>100</v>
      </c>
      <c r="K650">
        <v>1400</v>
      </c>
      <c r="L650">
        <v>14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1400</v>
      </c>
      <c r="AH650">
        <v>14</v>
      </c>
      <c r="AI650">
        <v>0</v>
      </c>
      <c r="AJ650">
        <v>0</v>
      </c>
      <c r="AK650">
        <v>1000</v>
      </c>
      <c r="AL650">
        <v>0</v>
      </c>
      <c r="AM650">
        <v>480</v>
      </c>
      <c r="AN650">
        <v>-96</v>
      </c>
      <c r="AO650">
        <v>0</v>
      </c>
      <c r="AP650"/>
      <c r="AQ650">
        <v>0</v>
      </c>
      <c r="AR650">
        <v>0</v>
      </c>
      <c r="AS650">
        <v>480</v>
      </c>
      <c r="AT650">
        <v>-96</v>
      </c>
      <c r="AU650">
        <v>0</v>
      </c>
      <c r="AW650">
        <v>0</v>
      </c>
      <c r="AX650">
        <v>0</v>
      </c>
      <c r="AY650">
        <v>968.8</v>
      </c>
      <c r="BC650" t="str">
        <f t="shared" si="105"/>
        <v>9791137602946</v>
      </c>
      <c r="BE650" t="str">
        <f t="shared" si="106"/>
        <v>판타지 웹소설 &gt; 현대 판타지</v>
      </c>
    </row>
    <row r="651" spans="1:58" x14ac:dyDescent="0.3">
      <c r="A651">
        <v>2313020382</v>
      </c>
      <c r="B651">
        <v>2313020421</v>
      </c>
      <c r="C651" t="str">
        <f>T("신입사원이 이렇게 일을 잘했다고? 40화")</f>
        <v>신입사원이 이렇게 일을 잘했다고? 40화</v>
      </c>
      <c r="D651" t="str">
        <f>T("40")</f>
        <v>40</v>
      </c>
      <c r="E651" t="str">
        <f t="shared" si="102"/>
        <v>왕십리글쟁이</v>
      </c>
      <c r="H651" t="str">
        <f t="shared" si="103"/>
        <v>스토리위즈</v>
      </c>
      <c r="I651" t="str">
        <f t="shared" si="104"/>
        <v>신입사원이 이렇게 일을 잘했다고?</v>
      </c>
      <c r="J651">
        <v>100</v>
      </c>
      <c r="K651">
        <v>1400</v>
      </c>
      <c r="L651">
        <v>14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1400</v>
      </c>
      <c r="AH651">
        <v>14</v>
      </c>
      <c r="AI651">
        <v>0</v>
      </c>
      <c r="AJ651">
        <v>0</v>
      </c>
      <c r="AK651">
        <v>1000</v>
      </c>
      <c r="AL651">
        <v>0</v>
      </c>
      <c r="AM651">
        <v>480</v>
      </c>
      <c r="AN651">
        <v>-96</v>
      </c>
      <c r="AO651">
        <v>0</v>
      </c>
      <c r="AP651"/>
      <c r="AQ651">
        <v>0</v>
      </c>
      <c r="AR651">
        <v>0</v>
      </c>
      <c r="AS651">
        <v>480</v>
      </c>
      <c r="AT651">
        <v>-96</v>
      </c>
      <c r="AU651">
        <v>0</v>
      </c>
      <c r="AW651">
        <v>0</v>
      </c>
      <c r="AX651">
        <v>0</v>
      </c>
      <c r="AY651">
        <v>968.8</v>
      </c>
      <c r="BC651" t="str">
        <f t="shared" si="105"/>
        <v>9791137602946</v>
      </c>
      <c r="BE651" t="str">
        <f t="shared" si="106"/>
        <v>판타지 웹소설 &gt; 현대 판타지</v>
      </c>
    </row>
    <row r="652" spans="1:58" x14ac:dyDescent="0.3">
      <c r="A652">
        <v>2313020382</v>
      </c>
      <c r="B652">
        <v>2313020425</v>
      </c>
      <c r="C652" t="str">
        <f>T("신입사원이 이렇게 일을 잘했다고? 44화")</f>
        <v>신입사원이 이렇게 일을 잘했다고? 44화</v>
      </c>
      <c r="D652" t="str">
        <f>T("44")</f>
        <v>44</v>
      </c>
      <c r="E652" t="str">
        <f t="shared" si="102"/>
        <v>왕십리글쟁이</v>
      </c>
      <c r="H652" t="str">
        <f t="shared" si="103"/>
        <v>스토리위즈</v>
      </c>
      <c r="I652" t="str">
        <f t="shared" si="104"/>
        <v>신입사원이 이렇게 일을 잘했다고?</v>
      </c>
      <c r="J652">
        <v>100</v>
      </c>
      <c r="K652">
        <v>1400</v>
      </c>
      <c r="L652">
        <v>14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1400</v>
      </c>
      <c r="AH652">
        <v>14</v>
      </c>
      <c r="AI652">
        <v>0</v>
      </c>
      <c r="AJ652">
        <v>0</v>
      </c>
      <c r="AK652">
        <v>1100</v>
      </c>
      <c r="AL652">
        <v>0</v>
      </c>
      <c r="AM652">
        <v>360</v>
      </c>
      <c r="AN652">
        <v>-60</v>
      </c>
      <c r="AO652">
        <v>0</v>
      </c>
      <c r="AP652"/>
      <c r="AQ652">
        <v>0</v>
      </c>
      <c r="AR652">
        <v>0</v>
      </c>
      <c r="AS652">
        <v>360</v>
      </c>
      <c r="AT652">
        <v>-60</v>
      </c>
      <c r="AU652">
        <v>0</v>
      </c>
      <c r="AW652">
        <v>0</v>
      </c>
      <c r="AX652">
        <v>0</v>
      </c>
      <c r="AY652">
        <v>980</v>
      </c>
      <c r="BC652" t="str">
        <f t="shared" si="105"/>
        <v>9791137602946</v>
      </c>
      <c r="BE652" t="str">
        <f t="shared" si="106"/>
        <v>판타지 웹소설 &gt; 현대 판타지</v>
      </c>
    </row>
    <row r="653" spans="1:58" x14ac:dyDescent="0.3">
      <c r="A653">
        <v>2313020382</v>
      </c>
      <c r="B653">
        <v>2313020426</v>
      </c>
      <c r="C653" t="str">
        <f>T("신입사원이 이렇게 일을 잘했다고? 45화")</f>
        <v>신입사원이 이렇게 일을 잘했다고? 45화</v>
      </c>
      <c r="D653" t="str">
        <f>T("45")</f>
        <v>45</v>
      </c>
      <c r="E653" t="str">
        <f t="shared" si="102"/>
        <v>왕십리글쟁이</v>
      </c>
      <c r="H653" t="str">
        <f t="shared" si="103"/>
        <v>스토리위즈</v>
      </c>
      <c r="I653" t="str">
        <f t="shared" si="104"/>
        <v>신입사원이 이렇게 일을 잘했다고?</v>
      </c>
      <c r="J653">
        <v>100</v>
      </c>
      <c r="K653">
        <v>1400</v>
      </c>
      <c r="L653">
        <v>14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1400</v>
      </c>
      <c r="AH653">
        <v>14</v>
      </c>
      <c r="AI653">
        <v>0</v>
      </c>
      <c r="AJ653">
        <v>0</v>
      </c>
      <c r="AK653">
        <v>1100</v>
      </c>
      <c r="AL653">
        <v>0</v>
      </c>
      <c r="AM653">
        <v>360</v>
      </c>
      <c r="AN653">
        <v>-60</v>
      </c>
      <c r="AO653">
        <v>0</v>
      </c>
      <c r="AP653"/>
      <c r="AQ653">
        <v>0</v>
      </c>
      <c r="AR653">
        <v>0</v>
      </c>
      <c r="AS653">
        <v>360</v>
      </c>
      <c r="AT653">
        <v>-60</v>
      </c>
      <c r="AU653">
        <v>0</v>
      </c>
      <c r="AW653">
        <v>0</v>
      </c>
      <c r="AX653">
        <v>0</v>
      </c>
      <c r="AY653">
        <v>980</v>
      </c>
      <c r="BC653" t="str">
        <f t="shared" si="105"/>
        <v>9791137602946</v>
      </c>
      <c r="BE653" t="str">
        <f t="shared" si="106"/>
        <v>판타지 웹소설 &gt; 현대 판타지</v>
      </c>
    </row>
    <row r="654" spans="1:58" x14ac:dyDescent="0.3">
      <c r="A654">
        <v>2313020382</v>
      </c>
      <c r="B654">
        <v>2313020442</v>
      </c>
      <c r="C654" t="str">
        <f>T("신입사원이 이렇게 일을 잘했다고? 61화")</f>
        <v>신입사원이 이렇게 일을 잘했다고? 61화</v>
      </c>
      <c r="D654" t="str">
        <f>T("61")</f>
        <v>61</v>
      </c>
      <c r="E654" t="str">
        <f t="shared" si="102"/>
        <v>왕십리글쟁이</v>
      </c>
      <c r="H654" t="str">
        <f t="shared" si="103"/>
        <v>스토리위즈</v>
      </c>
      <c r="I654" t="str">
        <f t="shared" si="104"/>
        <v>신입사원이 이렇게 일을 잘했다고?</v>
      </c>
      <c r="J654">
        <v>100</v>
      </c>
      <c r="K654">
        <v>1400</v>
      </c>
      <c r="L654">
        <v>14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1400</v>
      </c>
      <c r="AH654">
        <v>14</v>
      </c>
      <c r="AI654">
        <v>0</v>
      </c>
      <c r="AJ654">
        <v>0</v>
      </c>
      <c r="AK654">
        <v>900</v>
      </c>
      <c r="AL654">
        <v>0</v>
      </c>
      <c r="AM654">
        <v>600</v>
      </c>
      <c r="AN654">
        <v>-108</v>
      </c>
      <c r="AO654">
        <v>0</v>
      </c>
      <c r="AP654"/>
      <c r="AQ654">
        <v>0</v>
      </c>
      <c r="AR654">
        <v>0</v>
      </c>
      <c r="AS654">
        <v>600</v>
      </c>
      <c r="AT654">
        <v>-108</v>
      </c>
      <c r="AU654">
        <v>0</v>
      </c>
      <c r="AW654">
        <v>0</v>
      </c>
      <c r="AX654">
        <v>0</v>
      </c>
      <c r="AY654">
        <v>974.4</v>
      </c>
      <c r="BC654" t="str">
        <f t="shared" si="105"/>
        <v>9791137602946</v>
      </c>
      <c r="BE654" t="str">
        <f t="shared" si="106"/>
        <v>판타지 웹소설 &gt; 현대 판타지</v>
      </c>
    </row>
    <row r="655" spans="1:58" x14ac:dyDescent="0.3">
      <c r="A655">
        <v>2313020382</v>
      </c>
      <c r="B655">
        <v>2313020443</v>
      </c>
      <c r="C655" t="str">
        <f>T("신입사원이 이렇게 일을 잘했다고? 62화")</f>
        <v>신입사원이 이렇게 일을 잘했다고? 62화</v>
      </c>
      <c r="D655" t="str">
        <f>T("62")</f>
        <v>62</v>
      </c>
      <c r="E655" t="str">
        <f t="shared" si="102"/>
        <v>왕십리글쟁이</v>
      </c>
      <c r="H655" t="str">
        <f t="shared" si="103"/>
        <v>스토리위즈</v>
      </c>
      <c r="I655" t="str">
        <f t="shared" si="104"/>
        <v>신입사원이 이렇게 일을 잘했다고?</v>
      </c>
      <c r="J655">
        <v>100</v>
      </c>
      <c r="K655">
        <v>1400</v>
      </c>
      <c r="L655">
        <v>14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1400</v>
      </c>
      <c r="AH655">
        <v>14</v>
      </c>
      <c r="AI655">
        <v>0</v>
      </c>
      <c r="AJ655">
        <v>0</v>
      </c>
      <c r="AK655">
        <v>900</v>
      </c>
      <c r="AL655">
        <v>0</v>
      </c>
      <c r="AM655">
        <v>600</v>
      </c>
      <c r="AN655">
        <v>-108</v>
      </c>
      <c r="AO655">
        <v>0</v>
      </c>
      <c r="AP655"/>
      <c r="AQ655">
        <v>0</v>
      </c>
      <c r="AR655">
        <v>0</v>
      </c>
      <c r="AS655">
        <v>600</v>
      </c>
      <c r="AT655">
        <v>-108</v>
      </c>
      <c r="AU655">
        <v>0</v>
      </c>
      <c r="AW655">
        <v>0</v>
      </c>
      <c r="AX655">
        <v>0</v>
      </c>
      <c r="AY655">
        <v>974.4</v>
      </c>
      <c r="BC655" t="str">
        <f t="shared" si="105"/>
        <v>9791137602946</v>
      </c>
      <c r="BE655" t="str">
        <f t="shared" si="106"/>
        <v>판타지 웹소설 &gt; 현대 판타지</v>
      </c>
    </row>
    <row r="656" spans="1:58" x14ac:dyDescent="0.3">
      <c r="A656">
        <v>2313020382</v>
      </c>
      <c r="B656">
        <v>2313020450</v>
      </c>
      <c r="C656" t="str">
        <f>T("신입사원이 이렇게 일을 잘했다고? 69화")</f>
        <v>신입사원이 이렇게 일을 잘했다고? 69화</v>
      </c>
      <c r="D656" t="str">
        <f>T("69")</f>
        <v>69</v>
      </c>
      <c r="E656" t="str">
        <f t="shared" si="102"/>
        <v>왕십리글쟁이</v>
      </c>
      <c r="H656" t="str">
        <f t="shared" si="103"/>
        <v>스토리위즈</v>
      </c>
      <c r="I656" t="str">
        <f t="shared" si="104"/>
        <v>신입사원이 이렇게 일을 잘했다고?</v>
      </c>
      <c r="J656">
        <v>100</v>
      </c>
      <c r="K656">
        <v>1400</v>
      </c>
      <c r="L656">
        <v>14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1400</v>
      </c>
      <c r="AH656">
        <v>14</v>
      </c>
      <c r="AI656">
        <v>0</v>
      </c>
      <c r="AJ656">
        <v>0</v>
      </c>
      <c r="AK656">
        <v>1000</v>
      </c>
      <c r="AL656">
        <v>0</v>
      </c>
      <c r="AM656">
        <v>480</v>
      </c>
      <c r="AN656">
        <v>-72</v>
      </c>
      <c r="AO656">
        <v>0</v>
      </c>
      <c r="AP656"/>
      <c r="AQ656">
        <v>0</v>
      </c>
      <c r="AR656">
        <v>0</v>
      </c>
      <c r="AS656">
        <v>480</v>
      </c>
      <c r="AT656">
        <v>-72</v>
      </c>
      <c r="AU656">
        <v>0</v>
      </c>
      <c r="AW656">
        <v>0</v>
      </c>
      <c r="AX656">
        <v>0</v>
      </c>
      <c r="AY656">
        <v>985.6</v>
      </c>
      <c r="BC656" t="str">
        <f t="shared" si="105"/>
        <v>9791137602946</v>
      </c>
      <c r="BE656" t="str">
        <f t="shared" si="106"/>
        <v>판타지 웹소설 &gt; 현대 판타지</v>
      </c>
    </row>
    <row r="657" spans="1:58" x14ac:dyDescent="0.3">
      <c r="A657">
        <v>2313020382</v>
      </c>
      <c r="B657">
        <v>2313020451</v>
      </c>
      <c r="C657" t="str">
        <f>T("신입사원이 이렇게 일을 잘했다고? 70화")</f>
        <v>신입사원이 이렇게 일을 잘했다고? 70화</v>
      </c>
      <c r="D657" t="str">
        <f>T("70")</f>
        <v>70</v>
      </c>
      <c r="E657" t="str">
        <f t="shared" si="102"/>
        <v>왕십리글쟁이</v>
      </c>
      <c r="H657" t="str">
        <f t="shared" si="103"/>
        <v>스토리위즈</v>
      </c>
      <c r="I657" t="str">
        <f t="shared" si="104"/>
        <v>신입사원이 이렇게 일을 잘했다고?</v>
      </c>
      <c r="J657">
        <v>100</v>
      </c>
      <c r="K657">
        <v>1400</v>
      </c>
      <c r="L657">
        <v>14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1400</v>
      </c>
      <c r="AH657">
        <v>14</v>
      </c>
      <c r="AI657">
        <v>0</v>
      </c>
      <c r="AJ657">
        <v>0</v>
      </c>
      <c r="AK657">
        <v>1000</v>
      </c>
      <c r="AL657">
        <v>0</v>
      </c>
      <c r="AM657">
        <v>480</v>
      </c>
      <c r="AN657">
        <v>-72</v>
      </c>
      <c r="AO657">
        <v>0</v>
      </c>
      <c r="AP657"/>
      <c r="AQ657">
        <v>0</v>
      </c>
      <c r="AR657">
        <v>0</v>
      </c>
      <c r="AS657">
        <v>480</v>
      </c>
      <c r="AT657">
        <v>-72</v>
      </c>
      <c r="AU657">
        <v>0</v>
      </c>
      <c r="AW657">
        <v>0</v>
      </c>
      <c r="AX657">
        <v>0</v>
      </c>
      <c r="AY657">
        <v>985.6</v>
      </c>
      <c r="BC657" t="str">
        <f t="shared" si="105"/>
        <v>9791137602946</v>
      </c>
      <c r="BE657" t="str">
        <f t="shared" si="106"/>
        <v>판타지 웹소설 &gt; 현대 판타지</v>
      </c>
    </row>
    <row r="658" spans="1:58" x14ac:dyDescent="0.3">
      <c r="A658">
        <v>2313020382</v>
      </c>
      <c r="B658">
        <v>2313020465</v>
      </c>
      <c r="C658" t="str">
        <f>T("신입사원이 이렇게 일을 잘했다고? 84화")</f>
        <v>신입사원이 이렇게 일을 잘했다고? 84화</v>
      </c>
      <c r="D658" t="str">
        <f>T("84")</f>
        <v>84</v>
      </c>
      <c r="E658" t="str">
        <f t="shared" si="102"/>
        <v>왕십리글쟁이</v>
      </c>
      <c r="H658" t="str">
        <f t="shared" si="103"/>
        <v>스토리위즈</v>
      </c>
      <c r="I658" t="str">
        <f t="shared" si="104"/>
        <v>신입사원이 이렇게 일을 잘했다고?</v>
      </c>
      <c r="J658">
        <v>100</v>
      </c>
      <c r="K658">
        <v>1400</v>
      </c>
      <c r="L658">
        <v>14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1400</v>
      </c>
      <c r="AH658">
        <v>14</v>
      </c>
      <c r="AI658">
        <v>0</v>
      </c>
      <c r="AJ658">
        <v>0</v>
      </c>
      <c r="AK658">
        <v>1200</v>
      </c>
      <c r="AL658">
        <v>0</v>
      </c>
      <c r="AM658">
        <v>240</v>
      </c>
      <c r="AN658">
        <v>-24</v>
      </c>
      <c r="AO658">
        <v>0</v>
      </c>
      <c r="AP658"/>
      <c r="AQ658">
        <v>0</v>
      </c>
      <c r="AR658">
        <v>0</v>
      </c>
      <c r="AS658">
        <v>240</v>
      </c>
      <c r="AT658">
        <v>-24</v>
      </c>
      <c r="AU658">
        <v>0</v>
      </c>
      <c r="AW658">
        <v>0</v>
      </c>
      <c r="AX658">
        <v>0</v>
      </c>
      <c r="AY658">
        <v>991.2</v>
      </c>
      <c r="BC658" t="str">
        <f t="shared" si="105"/>
        <v>9791137602946</v>
      </c>
      <c r="BE658" t="str">
        <f t="shared" si="106"/>
        <v>판타지 웹소설 &gt; 현대 판타지</v>
      </c>
    </row>
    <row r="659" spans="1:58" x14ac:dyDescent="0.3">
      <c r="A659">
        <v>2313020594</v>
      </c>
      <c r="B659">
        <v>2313020648</v>
      </c>
      <c r="C659" t="str">
        <f>T("아카데미 속 궁술천재 55화")</f>
        <v>아카데미 속 궁술천재 55화</v>
      </c>
      <c r="D659" t="str">
        <f>T("55")</f>
        <v>55</v>
      </c>
      <c r="E659" t="str">
        <f>T("깡펀치")</f>
        <v>깡펀치</v>
      </c>
      <c r="H659" t="str">
        <f t="shared" si="103"/>
        <v>스토리위즈</v>
      </c>
      <c r="I659" t="str">
        <f>T("아카데미 속 궁술천재")</f>
        <v>아카데미 속 궁술천재</v>
      </c>
      <c r="J659">
        <v>100</v>
      </c>
      <c r="K659">
        <v>1400</v>
      </c>
      <c r="L659">
        <v>14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1400</v>
      </c>
      <c r="AH659">
        <v>14</v>
      </c>
      <c r="AI659">
        <v>0</v>
      </c>
      <c r="AJ659">
        <v>0</v>
      </c>
      <c r="AK659">
        <v>1200</v>
      </c>
      <c r="AL659">
        <v>0</v>
      </c>
      <c r="AM659">
        <v>240</v>
      </c>
      <c r="AN659">
        <v>-72</v>
      </c>
      <c r="AO659">
        <v>0</v>
      </c>
      <c r="AP659">
        <v>120</v>
      </c>
      <c r="AQ659">
        <v>-36</v>
      </c>
      <c r="AR659">
        <v>0</v>
      </c>
      <c r="AS659">
        <v>120</v>
      </c>
      <c r="AT659">
        <v>-36</v>
      </c>
      <c r="AU659">
        <v>0</v>
      </c>
      <c r="AW659">
        <v>0</v>
      </c>
      <c r="AX659">
        <v>0</v>
      </c>
      <c r="AY659">
        <v>957.6</v>
      </c>
      <c r="BC659" t="str">
        <f>T("9791137602915")</f>
        <v>9791137602915</v>
      </c>
      <c r="BE659" t="str">
        <f>T("판타지 웹소설 &gt; 퓨전 판타지")</f>
        <v>판타지 웹소설 &gt; 퓨전 판타지</v>
      </c>
    </row>
    <row r="660" spans="1:58" x14ac:dyDescent="0.3">
      <c r="B660">
        <v>2313020107</v>
      </c>
      <c r="C660" t="str">
        <f>T("[e북]나를 사랑하지 않는 사람이 필요해")</f>
        <v>[e북]나를 사랑하지 않는 사람이 필요해</v>
      </c>
      <c r="E660" t="str">
        <f>T("누네니가")</f>
        <v>누네니가</v>
      </c>
      <c r="H660" t="str">
        <f>T("블레슈(Blesshuu)")</f>
        <v>블레슈(Blesshuu)</v>
      </c>
      <c r="J660">
        <v>1300</v>
      </c>
      <c r="K660">
        <v>1300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1300</v>
      </c>
      <c r="AH660">
        <v>1</v>
      </c>
      <c r="AI660">
        <v>0</v>
      </c>
      <c r="AJ660">
        <v>0</v>
      </c>
      <c r="AK660">
        <v>1300</v>
      </c>
      <c r="AL660">
        <v>0</v>
      </c>
      <c r="AM660">
        <v>0</v>
      </c>
      <c r="AN660">
        <v>0</v>
      </c>
      <c r="AO660">
        <v>0</v>
      </c>
      <c r="AP660"/>
      <c r="AQ660">
        <v>0</v>
      </c>
      <c r="AR660">
        <v>0</v>
      </c>
      <c r="AT660">
        <v>0</v>
      </c>
      <c r="AU660">
        <v>0</v>
      </c>
      <c r="AW660">
        <v>0</v>
      </c>
      <c r="AX660">
        <v>0</v>
      </c>
      <c r="AY660">
        <v>910</v>
      </c>
      <c r="BC660" t="str">
        <f>T("9791137607439")</f>
        <v>9791137607439</v>
      </c>
      <c r="BE660" t="str">
        <f>T("로맨스 e북 &gt; 현대물")</f>
        <v>로맨스 e북 &gt; 현대물</v>
      </c>
      <c r="BF660" t="str">
        <f>T("로맨스 e북 &gt; 19+")</f>
        <v>로맨스 e북 &gt; 19+</v>
      </c>
    </row>
    <row r="661" spans="1:58" x14ac:dyDescent="0.3">
      <c r="A661">
        <v>2313020382</v>
      </c>
      <c r="B661">
        <v>2313020406</v>
      </c>
      <c r="C661" t="str">
        <f>T("신입사원이 이렇게 일을 잘했다고? 25화")</f>
        <v>신입사원이 이렇게 일을 잘했다고? 25화</v>
      </c>
      <c r="D661" t="str">
        <f>T("25")</f>
        <v>25</v>
      </c>
      <c r="E661" t="str">
        <f t="shared" ref="E661:E675" si="107">T("왕십리글쟁이")</f>
        <v>왕십리글쟁이</v>
      </c>
      <c r="H661" t="str">
        <f t="shared" ref="H661:H675" si="108">T("스토리위즈")</f>
        <v>스토리위즈</v>
      </c>
      <c r="I661" t="str">
        <f t="shared" ref="I661:I675" si="109">T("신입사원이 이렇게 일을 잘했다고?")</f>
        <v>신입사원이 이렇게 일을 잘했다고?</v>
      </c>
      <c r="J661">
        <v>100</v>
      </c>
      <c r="K661">
        <v>1300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1300</v>
      </c>
      <c r="AH661">
        <v>13</v>
      </c>
      <c r="AI661">
        <v>0</v>
      </c>
      <c r="AJ661">
        <v>0</v>
      </c>
      <c r="AK661">
        <v>900</v>
      </c>
      <c r="AL661">
        <v>0</v>
      </c>
      <c r="AM661">
        <v>480</v>
      </c>
      <c r="AN661">
        <v>-96</v>
      </c>
      <c r="AO661">
        <v>0</v>
      </c>
      <c r="AP661"/>
      <c r="AQ661">
        <v>0</v>
      </c>
      <c r="AR661">
        <v>0</v>
      </c>
      <c r="AS661">
        <v>480</v>
      </c>
      <c r="AT661">
        <v>-96</v>
      </c>
      <c r="AU661">
        <v>0</v>
      </c>
      <c r="AW661">
        <v>0</v>
      </c>
      <c r="AX661">
        <v>0</v>
      </c>
      <c r="AY661">
        <v>898.8</v>
      </c>
      <c r="BC661" t="str">
        <f t="shared" ref="BC661:BC675" si="110">T("9791137602946")</f>
        <v>9791137602946</v>
      </c>
      <c r="BE661" t="str">
        <f t="shared" ref="BE661:BE675" si="111">T("판타지 웹소설 &gt; 현대 판타지")</f>
        <v>판타지 웹소설 &gt; 현대 판타지</v>
      </c>
    </row>
    <row r="662" spans="1:58" x14ac:dyDescent="0.3">
      <c r="A662">
        <v>2313020382</v>
      </c>
      <c r="B662">
        <v>2313020428</v>
      </c>
      <c r="C662" t="str">
        <f>T("신입사원이 이렇게 일을 잘했다고? 47화")</f>
        <v>신입사원이 이렇게 일을 잘했다고? 47화</v>
      </c>
      <c r="D662" t="str">
        <f>T("47")</f>
        <v>47</v>
      </c>
      <c r="E662" t="str">
        <f t="shared" si="107"/>
        <v>왕십리글쟁이</v>
      </c>
      <c r="H662" t="str">
        <f t="shared" si="108"/>
        <v>스토리위즈</v>
      </c>
      <c r="I662" t="str">
        <f t="shared" si="109"/>
        <v>신입사원이 이렇게 일을 잘했다고?</v>
      </c>
      <c r="J662">
        <v>100</v>
      </c>
      <c r="K662">
        <v>1300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1300</v>
      </c>
      <c r="AH662">
        <v>13</v>
      </c>
      <c r="AI662">
        <v>0</v>
      </c>
      <c r="AJ662">
        <v>0</v>
      </c>
      <c r="AK662">
        <v>1000</v>
      </c>
      <c r="AL662">
        <v>0</v>
      </c>
      <c r="AM662">
        <v>360</v>
      </c>
      <c r="AN662">
        <v>-60</v>
      </c>
      <c r="AO662">
        <v>0</v>
      </c>
      <c r="AP662"/>
      <c r="AQ662">
        <v>0</v>
      </c>
      <c r="AR662">
        <v>0</v>
      </c>
      <c r="AS662">
        <v>360</v>
      </c>
      <c r="AT662">
        <v>-60</v>
      </c>
      <c r="AU662">
        <v>0</v>
      </c>
      <c r="AW662">
        <v>0</v>
      </c>
      <c r="AX662">
        <v>0</v>
      </c>
      <c r="AY662">
        <v>910</v>
      </c>
      <c r="BC662" t="str">
        <f t="shared" si="110"/>
        <v>9791137602946</v>
      </c>
      <c r="BE662" t="str">
        <f t="shared" si="111"/>
        <v>판타지 웹소설 &gt; 현대 판타지</v>
      </c>
    </row>
    <row r="663" spans="1:58" x14ac:dyDescent="0.3">
      <c r="A663">
        <v>2313020382</v>
      </c>
      <c r="B663">
        <v>2313020431</v>
      </c>
      <c r="C663" t="str">
        <f>T("신입사원이 이렇게 일을 잘했다고? 50화")</f>
        <v>신입사원이 이렇게 일을 잘했다고? 50화</v>
      </c>
      <c r="D663" t="str">
        <f>T("50")</f>
        <v>50</v>
      </c>
      <c r="E663" t="str">
        <f t="shared" si="107"/>
        <v>왕십리글쟁이</v>
      </c>
      <c r="H663" t="str">
        <f t="shared" si="108"/>
        <v>스토리위즈</v>
      </c>
      <c r="I663" t="str">
        <f t="shared" si="109"/>
        <v>신입사원이 이렇게 일을 잘했다고?</v>
      </c>
      <c r="J663">
        <v>100</v>
      </c>
      <c r="K663">
        <v>1300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1300</v>
      </c>
      <c r="AH663">
        <v>13</v>
      </c>
      <c r="AI663">
        <v>0</v>
      </c>
      <c r="AJ663">
        <v>0</v>
      </c>
      <c r="AK663">
        <v>1000</v>
      </c>
      <c r="AL663">
        <v>0</v>
      </c>
      <c r="AM663">
        <v>360</v>
      </c>
      <c r="AN663">
        <v>-60</v>
      </c>
      <c r="AO663">
        <v>0</v>
      </c>
      <c r="AP663"/>
      <c r="AQ663">
        <v>0</v>
      </c>
      <c r="AR663">
        <v>0</v>
      </c>
      <c r="AS663">
        <v>360</v>
      </c>
      <c r="AT663">
        <v>-60</v>
      </c>
      <c r="AU663">
        <v>0</v>
      </c>
      <c r="AW663">
        <v>0</v>
      </c>
      <c r="AX663">
        <v>0</v>
      </c>
      <c r="AY663">
        <v>910</v>
      </c>
      <c r="BC663" t="str">
        <f t="shared" si="110"/>
        <v>9791137602946</v>
      </c>
      <c r="BE663" t="str">
        <f t="shared" si="111"/>
        <v>판타지 웹소설 &gt; 현대 판타지</v>
      </c>
    </row>
    <row r="664" spans="1:58" x14ac:dyDescent="0.3">
      <c r="A664">
        <v>2313020382</v>
      </c>
      <c r="B664">
        <v>2313020432</v>
      </c>
      <c r="C664" t="str">
        <f>T("신입사원이 이렇게 일을 잘했다고? 51화")</f>
        <v>신입사원이 이렇게 일을 잘했다고? 51화</v>
      </c>
      <c r="D664" t="str">
        <f>T("51")</f>
        <v>51</v>
      </c>
      <c r="E664" t="str">
        <f t="shared" si="107"/>
        <v>왕십리글쟁이</v>
      </c>
      <c r="H664" t="str">
        <f t="shared" si="108"/>
        <v>스토리위즈</v>
      </c>
      <c r="I664" t="str">
        <f t="shared" si="109"/>
        <v>신입사원이 이렇게 일을 잘했다고?</v>
      </c>
      <c r="J664">
        <v>100</v>
      </c>
      <c r="K664">
        <v>1300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1300</v>
      </c>
      <c r="AH664">
        <v>13</v>
      </c>
      <c r="AI664">
        <v>0</v>
      </c>
      <c r="AJ664">
        <v>0</v>
      </c>
      <c r="AK664">
        <v>1000</v>
      </c>
      <c r="AL664">
        <v>0</v>
      </c>
      <c r="AM664">
        <v>360</v>
      </c>
      <c r="AN664">
        <v>-60</v>
      </c>
      <c r="AO664">
        <v>0</v>
      </c>
      <c r="AP664"/>
      <c r="AQ664">
        <v>0</v>
      </c>
      <c r="AR664">
        <v>0</v>
      </c>
      <c r="AS664">
        <v>360</v>
      </c>
      <c r="AT664">
        <v>-60</v>
      </c>
      <c r="AU664">
        <v>0</v>
      </c>
      <c r="AW664">
        <v>0</v>
      </c>
      <c r="AX664">
        <v>0</v>
      </c>
      <c r="AY664">
        <v>910</v>
      </c>
      <c r="BC664" t="str">
        <f t="shared" si="110"/>
        <v>9791137602946</v>
      </c>
      <c r="BE664" t="str">
        <f t="shared" si="111"/>
        <v>판타지 웹소설 &gt; 현대 판타지</v>
      </c>
    </row>
    <row r="665" spans="1:58" x14ac:dyDescent="0.3">
      <c r="A665">
        <v>2313020382</v>
      </c>
      <c r="B665">
        <v>2313020433</v>
      </c>
      <c r="C665" t="str">
        <f>T("신입사원이 이렇게 일을 잘했다고? 52화")</f>
        <v>신입사원이 이렇게 일을 잘했다고? 52화</v>
      </c>
      <c r="D665" t="str">
        <f>T("52")</f>
        <v>52</v>
      </c>
      <c r="E665" t="str">
        <f t="shared" si="107"/>
        <v>왕십리글쟁이</v>
      </c>
      <c r="H665" t="str">
        <f t="shared" si="108"/>
        <v>스토리위즈</v>
      </c>
      <c r="I665" t="str">
        <f t="shared" si="109"/>
        <v>신입사원이 이렇게 일을 잘했다고?</v>
      </c>
      <c r="J665">
        <v>100</v>
      </c>
      <c r="K665">
        <v>1300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1300</v>
      </c>
      <c r="AH665">
        <v>13</v>
      </c>
      <c r="AI665">
        <v>0</v>
      </c>
      <c r="AJ665">
        <v>0</v>
      </c>
      <c r="AK665">
        <v>1000</v>
      </c>
      <c r="AL665">
        <v>0</v>
      </c>
      <c r="AM665">
        <v>360</v>
      </c>
      <c r="AN665">
        <v>-60</v>
      </c>
      <c r="AO665">
        <v>0</v>
      </c>
      <c r="AP665"/>
      <c r="AQ665">
        <v>0</v>
      </c>
      <c r="AR665">
        <v>0</v>
      </c>
      <c r="AS665">
        <v>360</v>
      </c>
      <c r="AT665">
        <v>-60</v>
      </c>
      <c r="AU665">
        <v>0</v>
      </c>
      <c r="AW665">
        <v>0</v>
      </c>
      <c r="AX665">
        <v>0</v>
      </c>
      <c r="AY665">
        <v>910</v>
      </c>
      <c r="BC665" t="str">
        <f t="shared" si="110"/>
        <v>9791137602946</v>
      </c>
      <c r="BE665" t="str">
        <f t="shared" si="111"/>
        <v>판타지 웹소설 &gt; 현대 판타지</v>
      </c>
    </row>
    <row r="666" spans="1:58" x14ac:dyDescent="0.3">
      <c r="A666">
        <v>2313020382</v>
      </c>
      <c r="B666">
        <v>2313020434</v>
      </c>
      <c r="C666" t="str">
        <f>T("신입사원이 이렇게 일을 잘했다고? 53화")</f>
        <v>신입사원이 이렇게 일을 잘했다고? 53화</v>
      </c>
      <c r="D666" t="str">
        <f>T("53")</f>
        <v>53</v>
      </c>
      <c r="E666" t="str">
        <f t="shared" si="107"/>
        <v>왕십리글쟁이</v>
      </c>
      <c r="H666" t="str">
        <f t="shared" si="108"/>
        <v>스토리위즈</v>
      </c>
      <c r="I666" t="str">
        <f t="shared" si="109"/>
        <v>신입사원이 이렇게 일을 잘했다고?</v>
      </c>
      <c r="J666">
        <v>100</v>
      </c>
      <c r="K666">
        <v>1300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1300</v>
      </c>
      <c r="AH666">
        <v>13</v>
      </c>
      <c r="AI666">
        <v>0</v>
      </c>
      <c r="AJ666">
        <v>0</v>
      </c>
      <c r="AK666">
        <v>1000</v>
      </c>
      <c r="AL666">
        <v>0</v>
      </c>
      <c r="AM666">
        <v>360</v>
      </c>
      <c r="AN666">
        <v>-60</v>
      </c>
      <c r="AO666">
        <v>0</v>
      </c>
      <c r="AP666"/>
      <c r="AQ666">
        <v>0</v>
      </c>
      <c r="AR666">
        <v>0</v>
      </c>
      <c r="AS666">
        <v>360</v>
      </c>
      <c r="AT666">
        <v>-60</v>
      </c>
      <c r="AU666">
        <v>0</v>
      </c>
      <c r="AW666">
        <v>0</v>
      </c>
      <c r="AX666">
        <v>0</v>
      </c>
      <c r="AY666">
        <v>910</v>
      </c>
      <c r="BC666" t="str">
        <f t="shared" si="110"/>
        <v>9791137602946</v>
      </c>
      <c r="BE666" t="str">
        <f t="shared" si="111"/>
        <v>판타지 웹소설 &gt; 현대 판타지</v>
      </c>
    </row>
    <row r="667" spans="1:58" x14ac:dyDescent="0.3">
      <c r="A667">
        <v>2313020382</v>
      </c>
      <c r="B667">
        <v>2313020435</v>
      </c>
      <c r="C667" t="str">
        <f>T("신입사원이 이렇게 일을 잘했다고? 54화")</f>
        <v>신입사원이 이렇게 일을 잘했다고? 54화</v>
      </c>
      <c r="D667" t="str">
        <f>T("54")</f>
        <v>54</v>
      </c>
      <c r="E667" t="str">
        <f t="shared" si="107"/>
        <v>왕십리글쟁이</v>
      </c>
      <c r="H667" t="str">
        <f t="shared" si="108"/>
        <v>스토리위즈</v>
      </c>
      <c r="I667" t="str">
        <f t="shared" si="109"/>
        <v>신입사원이 이렇게 일을 잘했다고?</v>
      </c>
      <c r="J667">
        <v>100</v>
      </c>
      <c r="K667">
        <v>1300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1300</v>
      </c>
      <c r="AH667">
        <v>13</v>
      </c>
      <c r="AI667">
        <v>0</v>
      </c>
      <c r="AJ667">
        <v>0</v>
      </c>
      <c r="AK667">
        <v>1000</v>
      </c>
      <c r="AL667">
        <v>0</v>
      </c>
      <c r="AM667">
        <v>360</v>
      </c>
      <c r="AN667">
        <v>-60</v>
      </c>
      <c r="AO667">
        <v>0</v>
      </c>
      <c r="AP667"/>
      <c r="AQ667">
        <v>0</v>
      </c>
      <c r="AR667">
        <v>0</v>
      </c>
      <c r="AS667">
        <v>360</v>
      </c>
      <c r="AT667">
        <v>-60</v>
      </c>
      <c r="AU667">
        <v>0</v>
      </c>
      <c r="AW667">
        <v>0</v>
      </c>
      <c r="AX667">
        <v>0</v>
      </c>
      <c r="AY667">
        <v>910</v>
      </c>
      <c r="BC667" t="str">
        <f t="shared" si="110"/>
        <v>9791137602946</v>
      </c>
      <c r="BE667" t="str">
        <f t="shared" si="111"/>
        <v>판타지 웹소설 &gt; 현대 판타지</v>
      </c>
    </row>
    <row r="668" spans="1:58" x14ac:dyDescent="0.3">
      <c r="A668">
        <v>2313020382</v>
      </c>
      <c r="B668">
        <v>2313020444</v>
      </c>
      <c r="C668" t="str">
        <f>T("신입사원이 이렇게 일을 잘했다고? 63화")</f>
        <v>신입사원이 이렇게 일을 잘했다고? 63화</v>
      </c>
      <c r="D668" t="str">
        <f>T("63")</f>
        <v>63</v>
      </c>
      <c r="E668" t="str">
        <f t="shared" si="107"/>
        <v>왕십리글쟁이</v>
      </c>
      <c r="H668" t="str">
        <f t="shared" si="108"/>
        <v>스토리위즈</v>
      </c>
      <c r="I668" t="str">
        <f t="shared" si="109"/>
        <v>신입사원이 이렇게 일을 잘했다고?</v>
      </c>
      <c r="J668">
        <v>100</v>
      </c>
      <c r="K668">
        <v>1300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1300</v>
      </c>
      <c r="AH668">
        <v>13</v>
      </c>
      <c r="AI668">
        <v>0</v>
      </c>
      <c r="AJ668">
        <v>0</v>
      </c>
      <c r="AK668">
        <v>900</v>
      </c>
      <c r="AL668">
        <v>0</v>
      </c>
      <c r="AM668">
        <v>480</v>
      </c>
      <c r="AN668">
        <v>-72</v>
      </c>
      <c r="AO668">
        <v>0</v>
      </c>
      <c r="AP668"/>
      <c r="AQ668">
        <v>0</v>
      </c>
      <c r="AR668">
        <v>0</v>
      </c>
      <c r="AS668">
        <v>480</v>
      </c>
      <c r="AT668">
        <v>-72</v>
      </c>
      <c r="AU668">
        <v>0</v>
      </c>
      <c r="AW668">
        <v>0</v>
      </c>
      <c r="AX668">
        <v>0</v>
      </c>
      <c r="AY668">
        <v>915.6</v>
      </c>
      <c r="BC668" t="str">
        <f t="shared" si="110"/>
        <v>9791137602946</v>
      </c>
      <c r="BE668" t="str">
        <f t="shared" si="111"/>
        <v>판타지 웹소설 &gt; 현대 판타지</v>
      </c>
    </row>
    <row r="669" spans="1:58" x14ac:dyDescent="0.3">
      <c r="A669">
        <v>2313020382</v>
      </c>
      <c r="B669">
        <v>2313020445</v>
      </c>
      <c r="C669" t="str">
        <f>T("신입사원이 이렇게 일을 잘했다고? 64화")</f>
        <v>신입사원이 이렇게 일을 잘했다고? 64화</v>
      </c>
      <c r="D669" t="str">
        <f>T("64")</f>
        <v>64</v>
      </c>
      <c r="E669" t="str">
        <f t="shared" si="107"/>
        <v>왕십리글쟁이</v>
      </c>
      <c r="H669" t="str">
        <f t="shared" si="108"/>
        <v>스토리위즈</v>
      </c>
      <c r="I669" t="str">
        <f t="shared" si="109"/>
        <v>신입사원이 이렇게 일을 잘했다고?</v>
      </c>
      <c r="J669">
        <v>100</v>
      </c>
      <c r="K669">
        <v>1300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1300</v>
      </c>
      <c r="AH669">
        <v>13</v>
      </c>
      <c r="AI669">
        <v>0</v>
      </c>
      <c r="AJ669">
        <v>0</v>
      </c>
      <c r="AK669">
        <v>900</v>
      </c>
      <c r="AL669">
        <v>0</v>
      </c>
      <c r="AM669">
        <v>480</v>
      </c>
      <c r="AN669">
        <v>-72</v>
      </c>
      <c r="AO669">
        <v>0</v>
      </c>
      <c r="AP669"/>
      <c r="AQ669">
        <v>0</v>
      </c>
      <c r="AR669">
        <v>0</v>
      </c>
      <c r="AS669">
        <v>480</v>
      </c>
      <c r="AT669">
        <v>-72</v>
      </c>
      <c r="AU669">
        <v>0</v>
      </c>
      <c r="AW669">
        <v>0</v>
      </c>
      <c r="AX669">
        <v>0</v>
      </c>
      <c r="AY669">
        <v>915.6</v>
      </c>
      <c r="BC669" t="str">
        <f t="shared" si="110"/>
        <v>9791137602946</v>
      </c>
      <c r="BE669" t="str">
        <f t="shared" si="111"/>
        <v>판타지 웹소설 &gt; 현대 판타지</v>
      </c>
    </row>
    <row r="670" spans="1:58" x14ac:dyDescent="0.3">
      <c r="A670">
        <v>2313020382</v>
      </c>
      <c r="B670">
        <v>2313020446</v>
      </c>
      <c r="C670" t="str">
        <f>T("신입사원이 이렇게 일을 잘했다고? 65화")</f>
        <v>신입사원이 이렇게 일을 잘했다고? 65화</v>
      </c>
      <c r="D670" t="str">
        <f>T("65")</f>
        <v>65</v>
      </c>
      <c r="E670" t="str">
        <f t="shared" si="107"/>
        <v>왕십리글쟁이</v>
      </c>
      <c r="H670" t="str">
        <f t="shared" si="108"/>
        <v>스토리위즈</v>
      </c>
      <c r="I670" t="str">
        <f t="shared" si="109"/>
        <v>신입사원이 이렇게 일을 잘했다고?</v>
      </c>
      <c r="J670">
        <v>100</v>
      </c>
      <c r="K670">
        <v>1300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1300</v>
      </c>
      <c r="AH670">
        <v>13</v>
      </c>
      <c r="AI670">
        <v>0</v>
      </c>
      <c r="AJ670">
        <v>0</v>
      </c>
      <c r="AK670">
        <v>900</v>
      </c>
      <c r="AL670">
        <v>0</v>
      </c>
      <c r="AM670">
        <v>480</v>
      </c>
      <c r="AN670">
        <v>-72</v>
      </c>
      <c r="AO670">
        <v>0</v>
      </c>
      <c r="AP670"/>
      <c r="AQ670">
        <v>0</v>
      </c>
      <c r="AR670">
        <v>0</v>
      </c>
      <c r="AS670">
        <v>480</v>
      </c>
      <c r="AT670">
        <v>-72</v>
      </c>
      <c r="AU670">
        <v>0</v>
      </c>
      <c r="AW670">
        <v>0</v>
      </c>
      <c r="AX670">
        <v>0</v>
      </c>
      <c r="AY670">
        <v>915.6</v>
      </c>
      <c r="BC670" t="str">
        <f t="shared" si="110"/>
        <v>9791137602946</v>
      </c>
      <c r="BE670" t="str">
        <f t="shared" si="111"/>
        <v>판타지 웹소설 &gt; 현대 판타지</v>
      </c>
    </row>
    <row r="671" spans="1:58" x14ac:dyDescent="0.3">
      <c r="A671">
        <v>2313020382</v>
      </c>
      <c r="B671">
        <v>2313020447</v>
      </c>
      <c r="C671" t="str">
        <f>T("신입사원이 이렇게 일을 잘했다고? 66화")</f>
        <v>신입사원이 이렇게 일을 잘했다고? 66화</v>
      </c>
      <c r="D671" t="str">
        <f>T("66")</f>
        <v>66</v>
      </c>
      <c r="E671" t="str">
        <f t="shared" si="107"/>
        <v>왕십리글쟁이</v>
      </c>
      <c r="H671" t="str">
        <f t="shared" si="108"/>
        <v>스토리위즈</v>
      </c>
      <c r="I671" t="str">
        <f t="shared" si="109"/>
        <v>신입사원이 이렇게 일을 잘했다고?</v>
      </c>
      <c r="J671">
        <v>100</v>
      </c>
      <c r="K671">
        <v>1300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1300</v>
      </c>
      <c r="AH671">
        <v>13</v>
      </c>
      <c r="AI671">
        <v>0</v>
      </c>
      <c r="AJ671">
        <v>0</v>
      </c>
      <c r="AK671">
        <v>900</v>
      </c>
      <c r="AL671">
        <v>0</v>
      </c>
      <c r="AM671">
        <v>480</v>
      </c>
      <c r="AN671">
        <v>-72</v>
      </c>
      <c r="AO671">
        <v>0</v>
      </c>
      <c r="AP671"/>
      <c r="AQ671">
        <v>0</v>
      </c>
      <c r="AR671">
        <v>0</v>
      </c>
      <c r="AS671">
        <v>480</v>
      </c>
      <c r="AT671">
        <v>-72</v>
      </c>
      <c r="AU671">
        <v>0</v>
      </c>
      <c r="AW671">
        <v>0</v>
      </c>
      <c r="AX671">
        <v>0</v>
      </c>
      <c r="AY671">
        <v>915.6</v>
      </c>
      <c r="BC671" t="str">
        <f t="shared" si="110"/>
        <v>9791137602946</v>
      </c>
      <c r="BE671" t="str">
        <f t="shared" si="111"/>
        <v>판타지 웹소설 &gt; 현대 판타지</v>
      </c>
    </row>
    <row r="672" spans="1:58" x14ac:dyDescent="0.3">
      <c r="A672">
        <v>2313020382</v>
      </c>
      <c r="B672">
        <v>2313020448</v>
      </c>
      <c r="C672" t="str">
        <f>T("신입사원이 이렇게 일을 잘했다고? 67화")</f>
        <v>신입사원이 이렇게 일을 잘했다고? 67화</v>
      </c>
      <c r="D672" t="str">
        <f>T("67")</f>
        <v>67</v>
      </c>
      <c r="E672" t="str">
        <f t="shared" si="107"/>
        <v>왕십리글쟁이</v>
      </c>
      <c r="H672" t="str">
        <f t="shared" si="108"/>
        <v>스토리위즈</v>
      </c>
      <c r="I672" t="str">
        <f t="shared" si="109"/>
        <v>신입사원이 이렇게 일을 잘했다고?</v>
      </c>
      <c r="J672">
        <v>100</v>
      </c>
      <c r="K672">
        <v>1300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1300</v>
      </c>
      <c r="AH672">
        <v>13</v>
      </c>
      <c r="AI672">
        <v>0</v>
      </c>
      <c r="AJ672">
        <v>0</v>
      </c>
      <c r="AK672">
        <v>900</v>
      </c>
      <c r="AL672">
        <v>0</v>
      </c>
      <c r="AM672">
        <v>480</v>
      </c>
      <c r="AN672">
        <v>-72</v>
      </c>
      <c r="AO672">
        <v>0</v>
      </c>
      <c r="AP672"/>
      <c r="AQ672">
        <v>0</v>
      </c>
      <c r="AR672">
        <v>0</v>
      </c>
      <c r="AS672">
        <v>480</v>
      </c>
      <c r="AT672">
        <v>-72</v>
      </c>
      <c r="AU672">
        <v>0</v>
      </c>
      <c r="AW672">
        <v>0</v>
      </c>
      <c r="AX672">
        <v>0</v>
      </c>
      <c r="AY672">
        <v>915.6</v>
      </c>
      <c r="BC672" t="str">
        <f t="shared" si="110"/>
        <v>9791137602946</v>
      </c>
      <c r="BE672" t="str">
        <f t="shared" si="111"/>
        <v>판타지 웹소설 &gt; 현대 판타지</v>
      </c>
    </row>
    <row r="673" spans="1:58" x14ac:dyDescent="0.3">
      <c r="A673">
        <v>2313020382</v>
      </c>
      <c r="B673">
        <v>2313020461</v>
      </c>
      <c r="C673" t="str">
        <f>T("신입사원이 이렇게 일을 잘했다고? 80화")</f>
        <v>신입사원이 이렇게 일을 잘했다고? 80화</v>
      </c>
      <c r="D673" t="str">
        <f>T("80")</f>
        <v>80</v>
      </c>
      <c r="E673" t="str">
        <f t="shared" si="107"/>
        <v>왕십리글쟁이</v>
      </c>
      <c r="H673" t="str">
        <f t="shared" si="108"/>
        <v>스토리위즈</v>
      </c>
      <c r="I673" t="str">
        <f t="shared" si="109"/>
        <v>신입사원이 이렇게 일을 잘했다고?</v>
      </c>
      <c r="J673">
        <v>100</v>
      </c>
      <c r="K673">
        <v>1300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1300</v>
      </c>
      <c r="AH673">
        <v>13</v>
      </c>
      <c r="AI673">
        <v>0</v>
      </c>
      <c r="AJ673">
        <v>0</v>
      </c>
      <c r="AK673">
        <v>1000</v>
      </c>
      <c r="AL673">
        <v>0</v>
      </c>
      <c r="AM673">
        <v>360</v>
      </c>
      <c r="AN673">
        <v>-36</v>
      </c>
      <c r="AO673">
        <v>0</v>
      </c>
      <c r="AP673"/>
      <c r="AQ673">
        <v>0</v>
      </c>
      <c r="AR673">
        <v>0</v>
      </c>
      <c r="AS673">
        <v>360</v>
      </c>
      <c r="AT673">
        <v>-36</v>
      </c>
      <c r="AU673">
        <v>0</v>
      </c>
      <c r="AW673">
        <v>0</v>
      </c>
      <c r="AX673">
        <v>0</v>
      </c>
      <c r="AY673">
        <v>926.8</v>
      </c>
      <c r="BC673" t="str">
        <f t="shared" si="110"/>
        <v>9791137602946</v>
      </c>
      <c r="BE673" t="str">
        <f t="shared" si="111"/>
        <v>판타지 웹소설 &gt; 현대 판타지</v>
      </c>
    </row>
    <row r="674" spans="1:58" x14ac:dyDescent="0.3">
      <c r="A674">
        <v>2313020382</v>
      </c>
      <c r="B674">
        <v>2313020468</v>
      </c>
      <c r="C674" t="str">
        <f>T("신입사원이 이렇게 일을 잘했다고? 87화")</f>
        <v>신입사원이 이렇게 일을 잘했다고? 87화</v>
      </c>
      <c r="D674" t="str">
        <f>T("87")</f>
        <v>87</v>
      </c>
      <c r="E674" t="str">
        <f t="shared" si="107"/>
        <v>왕십리글쟁이</v>
      </c>
      <c r="H674" t="str">
        <f t="shared" si="108"/>
        <v>스토리위즈</v>
      </c>
      <c r="I674" t="str">
        <f t="shared" si="109"/>
        <v>신입사원이 이렇게 일을 잘했다고?</v>
      </c>
      <c r="J674">
        <v>100</v>
      </c>
      <c r="K674">
        <v>1300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1300</v>
      </c>
      <c r="AH674">
        <v>13</v>
      </c>
      <c r="AI674">
        <v>0</v>
      </c>
      <c r="AJ674">
        <v>0</v>
      </c>
      <c r="AK674">
        <v>1100</v>
      </c>
      <c r="AL674">
        <v>0</v>
      </c>
      <c r="AM674">
        <v>240</v>
      </c>
      <c r="AN674">
        <v>-24</v>
      </c>
      <c r="AO674">
        <v>0</v>
      </c>
      <c r="AP674"/>
      <c r="AQ674">
        <v>0</v>
      </c>
      <c r="AR674">
        <v>0</v>
      </c>
      <c r="AS674">
        <v>240</v>
      </c>
      <c r="AT674">
        <v>-24</v>
      </c>
      <c r="AU674">
        <v>0</v>
      </c>
      <c r="AW674">
        <v>0</v>
      </c>
      <c r="AX674">
        <v>0</v>
      </c>
      <c r="AY674">
        <v>921.2</v>
      </c>
      <c r="BC674" t="str">
        <f t="shared" si="110"/>
        <v>9791137602946</v>
      </c>
      <c r="BE674" t="str">
        <f t="shared" si="111"/>
        <v>판타지 웹소설 &gt; 현대 판타지</v>
      </c>
    </row>
    <row r="675" spans="1:58" x14ac:dyDescent="0.3">
      <c r="A675">
        <v>2313020382</v>
      </c>
      <c r="B675">
        <v>2313020581</v>
      </c>
      <c r="C675" t="str">
        <f>T("신입사원이 이렇게 일을 잘했다고? 200화 (완결)")</f>
        <v>신입사원이 이렇게 일을 잘했다고? 200화 (완결)</v>
      </c>
      <c r="D675" t="str">
        <f>T("200")</f>
        <v>200</v>
      </c>
      <c r="E675" t="str">
        <f t="shared" si="107"/>
        <v>왕십리글쟁이</v>
      </c>
      <c r="H675" t="str">
        <f t="shared" si="108"/>
        <v>스토리위즈</v>
      </c>
      <c r="I675" t="str">
        <f t="shared" si="109"/>
        <v>신입사원이 이렇게 일을 잘했다고?</v>
      </c>
      <c r="J675">
        <v>100</v>
      </c>
      <c r="K675">
        <v>1300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1300</v>
      </c>
      <c r="AH675">
        <v>13</v>
      </c>
      <c r="AI675">
        <v>0</v>
      </c>
      <c r="AJ675">
        <v>0</v>
      </c>
      <c r="AK675">
        <v>1100</v>
      </c>
      <c r="AL675">
        <v>0</v>
      </c>
      <c r="AM675">
        <v>240</v>
      </c>
      <c r="AN675">
        <v>-48</v>
      </c>
      <c r="AO675">
        <v>0</v>
      </c>
      <c r="AP675"/>
      <c r="AQ675">
        <v>0</v>
      </c>
      <c r="AR675">
        <v>0</v>
      </c>
      <c r="AS675">
        <v>240</v>
      </c>
      <c r="AT675">
        <v>-48</v>
      </c>
      <c r="AU675">
        <v>0</v>
      </c>
      <c r="AW675">
        <v>0</v>
      </c>
      <c r="AX675">
        <v>0</v>
      </c>
      <c r="AY675">
        <v>904.4</v>
      </c>
      <c r="BC675" t="str">
        <f t="shared" si="110"/>
        <v>9791137602946</v>
      </c>
      <c r="BE675" t="str">
        <f t="shared" si="111"/>
        <v>판타지 웹소설 &gt; 현대 판타지</v>
      </c>
    </row>
    <row r="676" spans="1:58" x14ac:dyDescent="0.3">
      <c r="A676">
        <v>2313016869</v>
      </c>
      <c r="B676">
        <v>2313016867</v>
      </c>
      <c r="C676" t="str">
        <f>T("[e북]사랑은 내가, 너는 행복만 (외전증보판) (외전)")</f>
        <v>[e북]사랑은 내가, 너는 행복만 (외전증보판) (외전)</v>
      </c>
      <c r="D676" t="str">
        <f>T("3")</f>
        <v>3</v>
      </c>
      <c r="E676" t="str">
        <f>T("아타락시아")</f>
        <v>아타락시아</v>
      </c>
      <c r="H676" t="str">
        <f>T("도서출판 태랑")</f>
        <v>도서출판 태랑</v>
      </c>
      <c r="I676" t="str">
        <f>T("[e북]사랑은 내가, 너는 행복만 (외전증보판)")</f>
        <v>[e북]사랑은 내가, 너는 행복만 (외전증보판)</v>
      </c>
      <c r="J676">
        <v>1200</v>
      </c>
      <c r="K676">
        <v>1200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1200</v>
      </c>
      <c r="AH676">
        <v>1</v>
      </c>
      <c r="AI676">
        <v>0</v>
      </c>
      <c r="AJ676">
        <v>0</v>
      </c>
      <c r="AK676">
        <v>1200</v>
      </c>
      <c r="AL676">
        <v>0</v>
      </c>
      <c r="AM676">
        <v>0</v>
      </c>
      <c r="AN676">
        <v>0</v>
      </c>
      <c r="AO676">
        <v>0</v>
      </c>
      <c r="AP676"/>
      <c r="AQ676">
        <v>0</v>
      </c>
      <c r="AR676">
        <v>0</v>
      </c>
      <c r="AT676">
        <v>0</v>
      </c>
      <c r="AU676">
        <v>0</v>
      </c>
      <c r="AW676">
        <v>0</v>
      </c>
      <c r="AX676">
        <v>0</v>
      </c>
      <c r="AY676">
        <v>840</v>
      </c>
      <c r="BC676" t="str">
        <f>T("9791164374342")</f>
        <v>9791164374342</v>
      </c>
      <c r="BE676" t="str">
        <f>T("로맨스 e북 &gt; 현대물")</f>
        <v>로맨스 e북 &gt; 현대물</v>
      </c>
      <c r="BF676" t="str">
        <f>T("로맨스 e북 &gt; 19+")</f>
        <v>로맨스 e북 &gt; 19+</v>
      </c>
    </row>
    <row r="677" spans="1:58" x14ac:dyDescent="0.3">
      <c r="A677">
        <v>2313017102</v>
      </c>
      <c r="B677">
        <v>2313017082</v>
      </c>
      <c r="C677" t="str">
        <f>T("[e북]정혼자 (외전)")</f>
        <v>[e북]정혼자 (외전)</v>
      </c>
      <c r="D677" t="str">
        <f>T("3")</f>
        <v>3</v>
      </c>
      <c r="E677" t="str">
        <f>T("모리미")</f>
        <v>모리미</v>
      </c>
      <c r="H677" t="str">
        <f>T("도서출판 태랑")</f>
        <v>도서출판 태랑</v>
      </c>
      <c r="I677" t="str">
        <f>T("[e북]정혼자")</f>
        <v>[e북]정혼자</v>
      </c>
      <c r="J677">
        <v>300</v>
      </c>
      <c r="K677">
        <v>1200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1200</v>
      </c>
      <c r="AH677">
        <v>4</v>
      </c>
      <c r="AI677">
        <v>0</v>
      </c>
      <c r="AJ677">
        <v>0</v>
      </c>
      <c r="AK677">
        <v>900</v>
      </c>
      <c r="AL677">
        <v>0</v>
      </c>
      <c r="AM677">
        <v>360</v>
      </c>
      <c r="AN677">
        <v>-108</v>
      </c>
      <c r="AO677">
        <v>0</v>
      </c>
      <c r="AP677"/>
      <c r="AQ677">
        <v>0</v>
      </c>
      <c r="AR677">
        <v>0</v>
      </c>
      <c r="AS677">
        <v>360</v>
      </c>
      <c r="AT677">
        <v>-108</v>
      </c>
      <c r="AU677">
        <v>0</v>
      </c>
      <c r="AW677">
        <v>0</v>
      </c>
      <c r="AX677">
        <v>0</v>
      </c>
      <c r="AY677">
        <v>806.4</v>
      </c>
      <c r="BC677" t="str">
        <f>T("9791164370221")</f>
        <v>9791164370221</v>
      </c>
      <c r="BE677" t="str">
        <f>T("BL 소설 e북 &gt; 현대물")</f>
        <v>BL 소설 e북 &gt; 현대물</v>
      </c>
    </row>
    <row r="678" spans="1:58" x14ac:dyDescent="0.3">
      <c r="A678">
        <v>2313020108</v>
      </c>
      <c r="B678">
        <v>2313020133</v>
      </c>
      <c r="C678" t="str">
        <f>T("아빠는 마교대장 26화")</f>
        <v>아빠는 마교대장 26화</v>
      </c>
      <c r="D678" t="str">
        <f>T("26")</f>
        <v>26</v>
      </c>
      <c r="E678" t="str">
        <f>T("구땡")</f>
        <v>구땡</v>
      </c>
      <c r="H678" t="str">
        <f t="shared" ref="H678:H700" si="112">T("스토리위즈")</f>
        <v>스토리위즈</v>
      </c>
      <c r="I678" t="str">
        <f>T("아빠는 마교대장")</f>
        <v>아빠는 마교대장</v>
      </c>
      <c r="J678">
        <v>100</v>
      </c>
      <c r="K678">
        <v>1200</v>
      </c>
      <c r="L678">
        <v>12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1200</v>
      </c>
      <c r="AH678">
        <v>12</v>
      </c>
      <c r="AI678">
        <v>0</v>
      </c>
      <c r="AJ678">
        <v>0</v>
      </c>
      <c r="AK678">
        <v>1200</v>
      </c>
      <c r="AL678">
        <v>0</v>
      </c>
      <c r="AM678">
        <v>0</v>
      </c>
      <c r="AN678">
        <v>0</v>
      </c>
      <c r="AO678">
        <v>0</v>
      </c>
      <c r="AP678"/>
      <c r="AQ678">
        <v>0</v>
      </c>
      <c r="AR678">
        <v>0</v>
      </c>
      <c r="AT678">
        <v>0</v>
      </c>
      <c r="AU678">
        <v>0</v>
      </c>
      <c r="AW678">
        <v>0</v>
      </c>
      <c r="AX678">
        <v>0</v>
      </c>
      <c r="AY678">
        <v>840</v>
      </c>
      <c r="BC678" t="str">
        <f>T("9791137602076")</f>
        <v>9791137602076</v>
      </c>
      <c r="BE678" t="str">
        <f>T("판타지 웹소설 &gt; 무협 소설")</f>
        <v>판타지 웹소설 &gt; 무협 소설</v>
      </c>
    </row>
    <row r="679" spans="1:58" x14ac:dyDescent="0.3">
      <c r="A679">
        <v>2313020382</v>
      </c>
      <c r="B679">
        <v>2313020414</v>
      </c>
      <c r="C679" t="str">
        <f>T("신입사원이 이렇게 일을 잘했다고? 33화")</f>
        <v>신입사원이 이렇게 일을 잘했다고? 33화</v>
      </c>
      <c r="D679" t="str">
        <f>T("33")</f>
        <v>33</v>
      </c>
      <c r="E679" t="str">
        <f t="shared" ref="E679:E696" si="113">T("왕십리글쟁이")</f>
        <v>왕십리글쟁이</v>
      </c>
      <c r="H679" t="str">
        <f t="shared" si="112"/>
        <v>스토리위즈</v>
      </c>
      <c r="I679" t="str">
        <f t="shared" ref="I679:I696" si="114">T("신입사원이 이렇게 일을 잘했다고?")</f>
        <v>신입사원이 이렇게 일을 잘했다고?</v>
      </c>
      <c r="J679">
        <v>100</v>
      </c>
      <c r="K679">
        <v>1200</v>
      </c>
      <c r="L679">
        <v>12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1200</v>
      </c>
      <c r="AH679">
        <v>12</v>
      </c>
      <c r="AI679">
        <v>0</v>
      </c>
      <c r="AJ679">
        <v>0</v>
      </c>
      <c r="AK679">
        <v>800</v>
      </c>
      <c r="AL679">
        <v>0</v>
      </c>
      <c r="AM679">
        <v>480</v>
      </c>
      <c r="AN679">
        <v>-96</v>
      </c>
      <c r="AO679">
        <v>0</v>
      </c>
      <c r="AP679"/>
      <c r="AQ679">
        <v>0</v>
      </c>
      <c r="AR679">
        <v>0</v>
      </c>
      <c r="AS679">
        <v>480</v>
      </c>
      <c r="AT679">
        <v>-96</v>
      </c>
      <c r="AU679">
        <v>0</v>
      </c>
      <c r="AW679">
        <v>0</v>
      </c>
      <c r="AX679">
        <v>0</v>
      </c>
      <c r="AY679">
        <v>828.8</v>
      </c>
      <c r="BC679" t="str">
        <f t="shared" ref="BC679:BC696" si="115">T("9791137602946")</f>
        <v>9791137602946</v>
      </c>
      <c r="BE679" t="str">
        <f t="shared" ref="BE679:BE696" si="116">T("판타지 웹소설 &gt; 현대 판타지")</f>
        <v>판타지 웹소설 &gt; 현대 판타지</v>
      </c>
    </row>
    <row r="680" spans="1:58" x14ac:dyDescent="0.3">
      <c r="A680">
        <v>2313020382</v>
      </c>
      <c r="B680">
        <v>2313020415</v>
      </c>
      <c r="C680" t="str">
        <f>T("신입사원이 이렇게 일을 잘했다고? 34화")</f>
        <v>신입사원이 이렇게 일을 잘했다고? 34화</v>
      </c>
      <c r="D680" t="str">
        <f>T("34")</f>
        <v>34</v>
      </c>
      <c r="E680" t="str">
        <f t="shared" si="113"/>
        <v>왕십리글쟁이</v>
      </c>
      <c r="H680" t="str">
        <f t="shared" si="112"/>
        <v>스토리위즈</v>
      </c>
      <c r="I680" t="str">
        <f t="shared" si="114"/>
        <v>신입사원이 이렇게 일을 잘했다고?</v>
      </c>
      <c r="J680">
        <v>100</v>
      </c>
      <c r="K680">
        <v>1200</v>
      </c>
      <c r="L680">
        <v>12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1200</v>
      </c>
      <c r="AH680">
        <v>12</v>
      </c>
      <c r="AI680">
        <v>0</v>
      </c>
      <c r="AJ680">
        <v>0</v>
      </c>
      <c r="AK680">
        <v>800</v>
      </c>
      <c r="AL680">
        <v>0</v>
      </c>
      <c r="AM680">
        <v>480</v>
      </c>
      <c r="AN680">
        <v>-96</v>
      </c>
      <c r="AO680">
        <v>0</v>
      </c>
      <c r="AP680"/>
      <c r="AQ680">
        <v>0</v>
      </c>
      <c r="AR680">
        <v>0</v>
      </c>
      <c r="AS680">
        <v>480</v>
      </c>
      <c r="AT680">
        <v>-96</v>
      </c>
      <c r="AU680">
        <v>0</v>
      </c>
      <c r="AW680">
        <v>0</v>
      </c>
      <c r="AX680">
        <v>0</v>
      </c>
      <c r="AY680">
        <v>828.8</v>
      </c>
      <c r="BC680" t="str">
        <f t="shared" si="115"/>
        <v>9791137602946</v>
      </c>
      <c r="BE680" t="str">
        <f t="shared" si="116"/>
        <v>판타지 웹소설 &gt; 현대 판타지</v>
      </c>
    </row>
    <row r="681" spans="1:58" x14ac:dyDescent="0.3">
      <c r="A681">
        <v>2313020382</v>
      </c>
      <c r="B681">
        <v>2313020418</v>
      </c>
      <c r="C681" t="str">
        <f>T("신입사원이 이렇게 일을 잘했다고? 37화")</f>
        <v>신입사원이 이렇게 일을 잘했다고? 37화</v>
      </c>
      <c r="D681" t="str">
        <f>T("37")</f>
        <v>37</v>
      </c>
      <c r="E681" t="str">
        <f t="shared" si="113"/>
        <v>왕십리글쟁이</v>
      </c>
      <c r="H681" t="str">
        <f t="shared" si="112"/>
        <v>스토리위즈</v>
      </c>
      <c r="I681" t="str">
        <f t="shared" si="114"/>
        <v>신입사원이 이렇게 일을 잘했다고?</v>
      </c>
      <c r="J681">
        <v>100</v>
      </c>
      <c r="K681">
        <v>1200</v>
      </c>
      <c r="L681">
        <v>12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1200</v>
      </c>
      <c r="AH681">
        <v>12</v>
      </c>
      <c r="AI681">
        <v>0</v>
      </c>
      <c r="AJ681">
        <v>0</v>
      </c>
      <c r="AK681">
        <v>800</v>
      </c>
      <c r="AL681">
        <v>0</v>
      </c>
      <c r="AM681">
        <v>480</v>
      </c>
      <c r="AN681">
        <v>-96</v>
      </c>
      <c r="AO681">
        <v>0</v>
      </c>
      <c r="AP681"/>
      <c r="AQ681">
        <v>0</v>
      </c>
      <c r="AR681">
        <v>0</v>
      </c>
      <c r="AS681">
        <v>480</v>
      </c>
      <c r="AT681">
        <v>-96</v>
      </c>
      <c r="AU681">
        <v>0</v>
      </c>
      <c r="AW681">
        <v>0</v>
      </c>
      <c r="AX681">
        <v>0</v>
      </c>
      <c r="AY681">
        <v>828.8</v>
      </c>
      <c r="BC681" t="str">
        <f t="shared" si="115"/>
        <v>9791137602946</v>
      </c>
      <c r="BE681" t="str">
        <f t="shared" si="116"/>
        <v>판타지 웹소설 &gt; 현대 판타지</v>
      </c>
    </row>
    <row r="682" spans="1:58" x14ac:dyDescent="0.3">
      <c r="A682">
        <v>2313020382</v>
      </c>
      <c r="B682">
        <v>2313020427</v>
      </c>
      <c r="C682" t="str">
        <f>T("신입사원이 이렇게 일을 잘했다고? 46화")</f>
        <v>신입사원이 이렇게 일을 잘했다고? 46화</v>
      </c>
      <c r="D682" t="str">
        <f>T("46")</f>
        <v>46</v>
      </c>
      <c r="E682" t="str">
        <f t="shared" si="113"/>
        <v>왕십리글쟁이</v>
      </c>
      <c r="H682" t="str">
        <f t="shared" si="112"/>
        <v>스토리위즈</v>
      </c>
      <c r="I682" t="str">
        <f t="shared" si="114"/>
        <v>신입사원이 이렇게 일을 잘했다고?</v>
      </c>
      <c r="J682">
        <v>100</v>
      </c>
      <c r="K682">
        <v>1200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1200</v>
      </c>
      <c r="AH682">
        <v>12</v>
      </c>
      <c r="AI682">
        <v>0</v>
      </c>
      <c r="AJ682">
        <v>0</v>
      </c>
      <c r="AK682">
        <v>900</v>
      </c>
      <c r="AL682">
        <v>0</v>
      </c>
      <c r="AM682">
        <v>360</v>
      </c>
      <c r="AN682">
        <v>-60</v>
      </c>
      <c r="AO682">
        <v>0</v>
      </c>
      <c r="AP682"/>
      <c r="AQ682">
        <v>0</v>
      </c>
      <c r="AR682">
        <v>0</v>
      </c>
      <c r="AS682">
        <v>360</v>
      </c>
      <c r="AT682">
        <v>-60</v>
      </c>
      <c r="AU682">
        <v>0</v>
      </c>
      <c r="AW682">
        <v>0</v>
      </c>
      <c r="AX682">
        <v>0</v>
      </c>
      <c r="AY682">
        <v>840</v>
      </c>
      <c r="BC682" t="str">
        <f t="shared" si="115"/>
        <v>9791137602946</v>
      </c>
      <c r="BE682" t="str">
        <f t="shared" si="116"/>
        <v>판타지 웹소설 &gt; 현대 판타지</v>
      </c>
    </row>
    <row r="683" spans="1:58" x14ac:dyDescent="0.3">
      <c r="A683">
        <v>2313020382</v>
      </c>
      <c r="B683">
        <v>2313020429</v>
      </c>
      <c r="C683" t="str">
        <f>T("신입사원이 이렇게 일을 잘했다고? 48화")</f>
        <v>신입사원이 이렇게 일을 잘했다고? 48화</v>
      </c>
      <c r="D683" t="str">
        <f>T("48")</f>
        <v>48</v>
      </c>
      <c r="E683" t="str">
        <f t="shared" si="113"/>
        <v>왕십리글쟁이</v>
      </c>
      <c r="H683" t="str">
        <f t="shared" si="112"/>
        <v>스토리위즈</v>
      </c>
      <c r="I683" t="str">
        <f t="shared" si="114"/>
        <v>신입사원이 이렇게 일을 잘했다고?</v>
      </c>
      <c r="J683">
        <v>100</v>
      </c>
      <c r="K683">
        <v>1200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1200</v>
      </c>
      <c r="AH683">
        <v>12</v>
      </c>
      <c r="AI683">
        <v>0</v>
      </c>
      <c r="AJ683">
        <v>0</v>
      </c>
      <c r="AK683">
        <v>900</v>
      </c>
      <c r="AL683">
        <v>0</v>
      </c>
      <c r="AM683">
        <v>360</v>
      </c>
      <c r="AN683">
        <v>-60</v>
      </c>
      <c r="AO683">
        <v>0</v>
      </c>
      <c r="AP683"/>
      <c r="AQ683">
        <v>0</v>
      </c>
      <c r="AR683">
        <v>0</v>
      </c>
      <c r="AS683">
        <v>360</v>
      </c>
      <c r="AT683">
        <v>-60</v>
      </c>
      <c r="AU683">
        <v>0</v>
      </c>
      <c r="AW683">
        <v>0</v>
      </c>
      <c r="AX683">
        <v>0</v>
      </c>
      <c r="AY683">
        <v>840</v>
      </c>
      <c r="BC683" t="str">
        <f t="shared" si="115"/>
        <v>9791137602946</v>
      </c>
      <c r="BE683" t="str">
        <f t="shared" si="116"/>
        <v>판타지 웹소설 &gt; 현대 판타지</v>
      </c>
    </row>
    <row r="684" spans="1:58" x14ac:dyDescent="0.3">
      <c r="A684">
        <v>2313020382</v>
      </c>
      <c r="B684">
        <v>2313020436</v>
      </c>
      <c r="C684" t="str">
        <f>T("신입사원이 이렇게 일을 잘했다고? 55화")</f>
        <v>신입사원이 이렇게 일을 잘했다고? 55화</v>
      </c>
      <c r="D684" t="str">
        <f>T("55")</f>
        <v>55</v>
      </c>
      <c r="E684" t="str">
        <f t="shared" si="113"/>
        <v>왕십리글쟁이</v>
      </c>
      <c r="H684" t="str">
        <f t="shared" si="112"/>
        <v>스토리위즈</v>
      </c>
      <c r="I684" t="str">
        <f t="shared" si="114"/>
        <v>신입사원이 이렇게 일을 잘했다고?</v>
      </c>
      <c r="J684">
        <v>100</v>
      </c>
      <c r="K684">
        <v>1200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1200</v>
      </c>
      <c r="AH684">
        <v>12</v>
      </c>
      <c r="AI684">
        <v>0</v>
      </c>
      <c r="AJ684">
        <v>0</v>
      </c>
      <c r="AK684">
        <v>900</v>
      </c>
      <c r="AL684">
        <v>0</v>
      </c>
      <c r="AM684">
        <v>360</v>
      </c>
      <c r="AN684">
        <v>-60</v>
      </c>
      <c r="AO684">
        <v>0</v>
      </c>
      <c r="AP684"/>
      <c r="AQ684">
        <v>0</v>
      </c>
      <c r="AR684">
        <v>0</v>
      </c>
      <c r="AS684">
        <v>360</v>
      </c>
      <c r="AT684">
        <v>-60</v>
      </c>
      <c r="AU684">
        <v>0</v>
      </c>
      <c r="AW684">
        <v>0</v>
      </c>
      <c r="AX684">
        <v>0</v>
      </c>
      <c r="AY684">
        <v>840</v>
      </c>
      <c r="BC684" t="str">
        <f t="shared" si="115"/>
        <v>9791137602946</v>
      </c>
      <c r="BE684" t="str">
        <f t="shared" si="116"/>
        <v>판타지 웹소설 &gt; 현대 판타지</v>
      </c>
    </row>
    <row r="685" spans="1:58" x14ac:dyDescent="0.3">
      <c r="A685">
        <v>2313020382</v>
      </c>
      <c r="B685">
        <v>2313020437</v>
      </c>
      <c r="C685" t="str">
        <f>T("신입사원이 이렇게 일을 잘했다고? 56화")</f>
        <v>신입사원이 이렇게 일을 잘했다고? 56화</v>
      </c>
      <c r="D685" t="str">
        <f>T("56")</f>
        <v>56</v>
      </c>
      <c r="E685" t="str">
        <f t="shared" si="113"/>
        <v>왕십리글쟁이</v>
      </c>
      <c r="H685" t="str">
        <f t="shared" si="112"/>
        <v>스토리위즈</v>
      </c>
      <c r="I685" t="str">
        <f t="shared" si="114"/>
        <v>신입사원이 이렇게 일을 잘했다고?</v>
      </c>
      <c r="J685">
        <v>100</v>
      </c>
      <c r="K685">
        <v>1200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1200</v>
      </c>
      <c r="AH685">
        <v>12</v>
      </c>
      <c r="AI685">
        <v>0</v>
      </c>
      <c r="AJ685">
        <v>0</v>
      </c>
      <c r="AK685">
        <v>900</v>
      </c>
      <c r="AL685">
        <v>0</v>
      </c>
      <c r="AM685">
        <v>360</v>
      </c>
      <c r="AN685">
        <v>-60</v>
      </c>
      <c r="AO685">
        <v>0</v>
      </c>
      <c r="AP685"/>
      <c r="AQ685">
        <v>0</v>
      </c>
      <c r="AR685">
        <v>0</v>
      </c>
      <c r="AS685">
        <v>360</v>
      </c>
      <c r="AT685">
        <v>-60</v>
      </c>
      <c r="AU685">
        <v>0</v>
      </c>
      <c r="AW685">
        <v>0</v>
      </c>
      <c r="AX685">
        <v>0</v>
      </c>
      <c r="AY685">
        <v>840</v>
      </c>
      <c r="BC685" t="str">
        <f t="shared" si="115"/>
        <v>9791137602946</v>
      </c>
      <c r="BE685" t="str">
        <f t="shared" si="116"/>
        <v>판타지 웹소설 &gt; 현대 판타지</v>
      </c>
    </row>
    <row r="686" spans="1:58" x14ac:dyDescent="0.3">
      <c r="A686">
        <v>2313020382</v>
      </c>
      <c r="B686">
        <v>2313020438</v>
      </c>
      <c r="C686" t="str">
        <f>T("신입사원이 이렇게 일을 잘했다고? 57화")</f>
        <v>신입사원이 이렇게 일을 잘했다고? 57화</v>
      </c>
      <c r="D686" t="str">
        <f>T("57")</f>
        <v>57</v>
      </c>
      <c r="E686" t="str">
        <f t="shared" si="113"/>
        <v>왕십리글쟁이</v>
      </c>
      <c r="H686" t="str">
        <f t="shared" si="112"/>
        <v>스토리위즈</v>
      </c>
      <c r="I686" t="str">
        <f t="shared" si="114"/>
        <v>신입사원이 이렇게 일을 잘했다고?</v>
      </c>
      <c r="J686">
        <v>100</v>
      </c>
      <c r="K686">
        <v>1200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1200</v>
      </c>
      <c r="AH686">
        <v>12</v>
      </c>
      <c r="AI686">
        <v>0</v>
      </c>
      <c r="AJ686">
        <v>0</v>
      </c>
      <c r="AK686">
        <v>900</v>
      </c>
      <c r="AL686">
        <v>0</v>
      </c>
      <c r="AM686">
        <v>360</v>
      </c>
      <c r="AN686">
        <v>-60</v>
      </c>
      <c r="AO686">
        <v>0</v>
      </c>
      <c r="AP686"/>
      <c r="AQ686">
        <v>0</v>
      </c>
      <c r="AR686">
        <v>0</v>
      </c>
      <c r="AS686">
        <v>360</v>
      </c>
      <c r="AT686">
        <v>-60</v>
      </c>
      <c r="AU686">
        <v>0</v>
      </c>
      <c r="AW686">
        <v>0</v>
      </c>
      <c r="AX686">
        <v>0</v>
      </c>
      <c r="AY686">
        <v>840</v>
      </c>
      <c r="BC686" t="str">
        <f t="shared" si="115"/>
        <v>9791137602946</v>
      </c>
      <c r="BE686" t="str">
        <f t="shared" si="116"/>
        <v>판타지 웹소설 &gt; 현대 판타지</v>
      </c>
    </row>
    <row r="687" spans="1:58" x14ac:dyDescent="0.3">
      <c r="A687">
        <v>2313020382</v>
      </c>
      <c r="B687">
        <v>2313020439</v>
      </c>
      <c r="C687" t="str">
        <f>T("신입사원이 이렇게 일을 잘했다고? 58화")</f>
        <v>신입사원이 이렇게 일을 잘했다고? 58화</v>
      </c>
      <c r="D687" t="str">
        <f>T("58")</f>
        <v>58</v>
      </c>
      <c r="E687" t="str">
        <f t="shared" si="113"/>
        <v>왕십리글쟁이</v>
      </c>
      <c r="H687" t="str">
        <f t="shared" si="112"/>
        <v>스토리위즈</v>
      </c>
      <c r="I687" t="str">
        <f t="shared" si="114"/>
        <v>신입사원이 이렇게 일을 잘했다고?</v>
      </c>
      <c r="J687">
        <v>100</v>
      </c>
      <c r="K687">
        <v>1200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1200</v>
      </c>
      <c r="AH687">
        <v>12</v>
      </c>
      <c r="AI687">
        <v>0</v>
      </c>
      <c r="AJ687">
        <v>0</v>
      </c>
      <c r="AK687">
        <v>900</v>
      </c>
      <c r="AL687">
        <v>0</v>
      </c>
      <c r="AM687">
        <v>360</v>
      </c>
      <c r="AN687">
        <v>-60</v>
      </c>
      <c r="AO687">
        <v>0</v>
      </c>
      <c r="AP687"/>
      <c r="AQ687">
        <v>0</v>
      </c>
      <c r="AR687">
        <v>0</v>
      </c>
      <c r="AS687">
        <v>360</v>
      </c>
      <c r="AT687">
        <v>-60</v>
      </c>
      <c r="AU687">
        <v>0</v>
      </c>
      <c r="AW687">
        <v>0</v>
      </c>
      <c r="AX687">
        <v>0</v>
      </c>
      <c r="AY687">
        <v>840</v>
      </c>
      <c r="BC687" t="str">
        <f t="shared" si="115"/>
        <v>9791137602946</v>
      </c>
      <c r="BE687" t="str">
        <f t="shared" si="116"/>
        <v>판타지 웹소설 &gt; 현대 판타지</v>
      </c>
    </row>
    <row r="688" spans="1:58" x14ac:dyDescent="0.3">
      <c r="A688">
        <v>2313020382</v>
      </c>
      <c r="B688">
        <v>2313020440</v>
      </c>
      <c r="C688" t="str">
        <f>T("신입사원이 이렇게 일을 잘했다고? 59화")</f>
        <v>신입사원이 이렇게 일을 잘했다고? 59화</v>
      </c>
      <c r="D688" t="str">
        <f>T("59")</f>
        <v>59</v>
      </c>
      <c r="E688" t="str">
        <f t="shared" si="113"/>
        <v>왕십리글쟁이</v>
      </c>
      <c r="H688" t="str">
        <f t="shared" si="112"/>
        <v>스토리위즈</v>
      </c>
      <c r="I688" t="str">
        <f t="shared" si="114"/>
        <v>신입사원이 이렇게 일을 잘했다고?</v>
      </c>
      <c r="J688">
        <v>100</v>
      </c>
      <c r="K688">
        <v>1200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1200</v>
      </c>
      <c r="AH688">
        <v>12</v>
      </c>
      <c r="AI688">
        <v>0</v>
      </c>
      <c r="AJ688">
        <v>0</v>
      </c>
      <c r="AK688">
        <v>900</v>
      </c>
      <c r="AL688">
        <v>0</v>
      </c>
      <c r="AM688">
        <v>360</v>
      </c>
      <c r="AN688">
        <v>-60</v>
      </c>
      <c r="AO688">
        <v>0</v>
      </c>
      <c r="AP688"/>
      <c r="AQ688">
        <v>0</v>
      </c>
      <c r="AR688">
        <v>0</v>
      </c>
      <c r="AS688">
        <v>360</v>
      </c>
      <c r="AT688">
        <v>-60</v>
      </c>
      <c r="AU688">
        <v>0</v>
      </c>
      <c r="AW688">
        <v>0</v>
      </c>
      <c r="AX688">
        <v>0</v>
      </c>
      <c r="AY688">
        <v>840</v>
      </c>
      <c r="BC688" t="str">
        <f t="shared" si="115"/>
        <v>9791137602946</v>
      </c>
      <c r="BE688" t="str">
        <f t="shared" si="116"/>
        <v>판타지 웹소설 &gt; 현대 판타지</v>
      </c>
    </row>
    <row r="689" spans="1:58" x14ac:dyDescent="0.3">
      <c r="A689">
        <v>2313020382</v>
      </c>
      <c r="B689">
        <v>2313020441</v>
      </c>
      <c r="C689" t="str">
        <f>T("신입사원이 이렇게 일을 잘했다고? 60화")</f>
        <v>신입사원이 이렇게 일을 잘했다고? 60화</v>
      </c>
      <c r="D689" t="str">
        <f>T("60")</f>
        <v>60</v>
      </c>
      <c r="E689" t="str">
        <f t="shared" si="113"/>
        <v>왕십리글쟁이</v>
      </c>
      <c r="H689" t="str">
        <f t="shared" si="112"/>
        <v>스토리위즈</v>
      </c>
      <c r="I689" t="str">
        <f t="shared" si="114"/>
        <v>신입사원이 이렇게 일을 잘했다고?</v>
      </c>
      <c r="J689">
        <v>100</v>
      </c>
      <c r="K689">
        <v>1200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1200</v>
      </c>
      <c r="AH689">
        <v>12</v>
      </c>
      <c r="AI689">
        <v>0</v>
      </c>
      <c r="AJ689">
        <v>0</v>
      </c>
      <c r="AK689">
        <v>900</v>
      </c>
      <c r="AL689">
        <v>0</v>
      </c>
      <c r="AM689">
        <v>360</v>
      </c>
      <c r="AN689">
        <v>-60</v>
      </c>
      <c r="AO689">
        <v>0</v>
      </c>
      <c r="AP689"/>
      <c r="AQ689">
        <v>0</v>
      </c>
      <c r="AR689">
        <v>0</v>
      </c>
      <c r="AS689">
        <v>360</v>
      </c>
      <c r="AT689">
        <v>-60</v>
      </c>
      <c r="AU689">
        <v>0</v>
      </c>
      <c r="AW689">
        <v>0</v>
      </c>
      <c r="AX689">
        <v>0</v>
      </c>
      <c r="AY689">
        <v>840</v>
      </c>
      <c r="BC689" t="str">
        <f t="shared" si="115"/>
        <v>9791137602946</v>
      </c>
      <c r="BE689" t="str">
        <f t="shared" si="116"/>
        <v>판타지 웹소설 &gt; 현대 판타지</v>
      </c>
    </row>
    <row r="690" spans="1:58" x14ac:dyDescent="0.3">
      <c r="A690">
        <v>2313020382</v>
      </c>
      <c r="B690">
        <v>2313020454</v>
      </c>
      <c r="C690" t="str">
        <f>T("신입사원이 이렇게 일을 잘했다고? 73화")</f>
        <v>신입사원이 이렇게 일을 잘했다고? 73화</v>
      </c>
      <c r="D690" t="str">
        <f>T("73")</f>
        <v>73</v>
      </c>
      <c r="E690" t="str">
        <f t="shared" si="113"/>
        <v>왕십리글쟁이</v>
      </c>
      <c r="H690" t="str">
        <f t="shared" si="112"/>
        <v>스토리위즈</v>
      </c>
      <c r="I690" t="str">
        <f t="shared" si="114"/>
        <v>신입사원이 이렇게 일을 잘했다고?</v>
      </c>
      <c r="J690">
        <v>100</v>
      </c>
      <c r="K690">
        <v>1200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1200</v>
      </c>
      <c r="AH690">
        <v>12</v>
      </c>
      <c r="AI690">
        <v>0</v>
      </c>
      <c r="AJ690">
        <v>0</v>
      </c>
      <c r="AK690">
        <v>1000</v>
      </c>
      <c r="AL690">
        <v>0</v>
      </c>
      <c r="AM690">
        <v>240</v>
      </c>
      <c r="AN690">
        <v>-24</v>
      </c>
      <c r="AO690">
        <v>0</v>
      </c>
      <c r="AP690"/>
      <c r="AQ690">
        <v>0</v>
      </c>
      <c r="AR690">
        <v>0</v>
      </c>
      <c r="AS690">
        <v>240</v>
      </c>
      <c r="AT690">
        <v>-24</v>
      </c>
      <c r="AU690">
        <v>0</v>
      </c>
      <c r="AW690">
        <v>0</v>
      </c>
      <c r="AX690">
        <v>0</v>
      </c>
      <c r="AY690">
        <v>851.2</v>
      </c>
      <c r="BC690" t="str">
        <f t="shared" si="115"/>
        <v>9791137602946</v>
      </c>
      <c r="BE690" t="str">
        <f t="shared" si="116"/>
        <v>판타지 웹소설 &gt; 현대 판타지</v>
      </c>
    </row>
    <row r="691" spans="1:58" x14ac:dyDescent="0.3">
      <c r="A691">
        <v>2313020382</v>
      </c>
      <c r="B691">
        <v>2313020455</v>
      </c>
      <c r="C691" t="str">
        <f>T("신입사원이 이렇게 일을 잘했다고? 74화")</f>
        <v>신입사원이 이렇게 일을 잘했다고? 74화</v>
      </c>
      <c r="D691" t="str">
        <f>T("74")</f>
        <v>74</v>
      </c>
      <c r="E691" t="str">
        <f t="shared" si="113"/>
        <v>왕십리글쟁이</v>
      </c>
      <c r="H691" t="str">
        <f t="shared" si="112"/>
        <v>스토리위즈</v>
      </c>
      <c r="I691" t="str">
        <f t="shared" si="114"/>
        <v>신입사원이 이렇게 일을 잘했다고?</v>
      </c>
      <c r="J691">
        <v>100</v>
      </c>
      <c r="K691">
        <v>1200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1200</v>
      </c>
      <c r="AH691">
        <v>12</v>
      </c>
      <c r="AI691">
        <v>0</v>
      </c>
      <c r="AJ691">
        <v>0</v>
      </c>
      <c r="AK691">
        <v>1000</v>
      </c>
      <c r="AL691">
        <v>0</v>
      </c>
      <c r="AM691">
        <v>240</v>
      </c>
      <c r="AN691">
        <v>-24</v>
      </c>
      <c r="AO691">
        <v>0</v>
      </c>
      <c r="AP691"/>
      <c r="AQ691">
        <v>0</v>
      </c>
      <c r="AR691">
        <v>0</v>
      </c>
      <c r="AS691">
        <v>240</v>
      </c>
      <c r="AT691">
        <v>-24</v>
      </c>
      <c r="AU691">
        <v>0</v>
      </c>
      <c r="AW691">
        <v>0</v>
      </c>
      <c r="AX691">
        <v>0</v>
      </c>
      <c r="AY691">
        <v>851.2</v>
      </c>
      <c r="BC691" t="str">
        <f t="shared" si="115"/>
        <v>9791137602946</v>
      </c>
      <c r="BE691" t="str">
        <f t="shared" si="116"/>
        <v>판타지 웹소설 &gt; 현대 판타지</v>
      </c>
    </row>
    <row r="692" spans="1:58" x14ac:dyDescent="0.3">
      <c r="A692">
        <v>2313020382</v>
      </c>
      <c r="B692">
        <v>2313020460</v>
      </c>
      <c r="C692" t="str">
        <f>T("신입사원이 이렇게 일을 잘했다고? 79화")</f>
        <v>신입사원이 이렇게 일을 잘했다고? 79화</v>
      </c>
      <c r="D692" t="str">
        <f>T("79")</f>
        <v>79</v>
      </c>
      <c r="E692" t="str">
        <f t="shared" si="113"/>
        <v>왕십리글쟁이</v>
      </c>
      <c r="H692" t="str">
        <f t="shared" si="112"/>
        <v>스토리위즈</v>
      </c>
      <c r="I692" t="str">
        <f t="shared" si="114"/>
        <v>신입사원이 이렇게 일을 잘했다고?</v>
      </c>
      <c r="J692">
        <v>100</v>
      </c>
      <c r="K692">
        <v>1200</v>
      </c>
      <c r="L692">
        <v>12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1200</v>
      </c>
      <c r="AH692">
        <v>12</v>
      </c>
      <c r="AI692">
        <v>0</v>
      </c>
      <c r="AJ692">
        <v>0</v>
      </c>
      <c r="AK692">
        <v>1000</v>
      </c>
      <c r="AL692">
        <v>0</v>
      </c>
      <c r="AM692">
        <v>240</v>
      </c>
      <c r="AN692">
        <v>-24</v>
      </c>
      <c r="AO692">
        <v>0</v>
      </c>
      <c r="AP692"/>
      <c r="AQ692">
        <v>0</v>
      </c>
      <c r="AR692">
        <v>0</v>
      </c>
      <c r="AS692">
        <v>240</v>
      </c>
      <c r="AT692">
        <v>-24</v>
      </c>
      <c r="AU692">
        <v>0</v>
      </c>
      <c r="AW692">
        <v>0</v>
      </c>
      <c r="AX692">
        <v>0</v>
      </c>
      <c r="AY692">
        <v>851.2</v>
      </c>
      <c r="BC692" t="str">
        <f t="shared" si="115"/>
        <v>9791137602946</v>
      </c>
      <c r="BE692" t="str">
        <f t="shared" si="116"/>
        <v>판타지 웹소설 &gt; 현대 판타지</v>
      </c>
    </row>
    <row r="693" spans="1:58" x14ac:dyDescent="0.3">
      <c r="A693">
        <v>2313020382</v>
      </c>
      <c r="B693">
        <v>2313020462</v>
      </c>
      <c r="C693" t="str">
        <f>T("신입사원이 이렇게 일을 잘했다고? 81화")</f>
        <v>신입사원이 이렇게 일을 잘했다고? 81화</v>
      </c>
      <c r="D693" t="str">
        <f>T("81")</f>
        <v>81</v>
      </c>
      <c r="E693" t="str">
        <f t="shared" si="113"/>
        <v>왕십리글쟁이</v>
      </c>
      <c r="H693" t="str">
        <f t="shared" si="112"/>
        <v>스토리위즈</v>
      </c>
      <c r="I693" t="str">
        <f t="shared" si="114"/>
        <v>신입사원이 이렇게 일을 잘했다고?</v>
      </c>
      <c r="J693">
        <v>100</v>
      </c>
      <c r="K693">
        <v>1200</v>
      </c>
      <c r="L693">
        <v>12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1200</v>
      </c>
      <c r="AH693">
        <v>12</v>
      </c>
      <c r="AI693">
        <v>0</v>
      </c>
      <c r="AJ693">
        <v>0</v>
      </c>
      <c r="AK693">
        <v>1000</v>
      </c>
      <c r="AL693">
        <v>0</v>
      </c>
      <c r="AM693">
        <v>240</v>
      </c>
      <c r="AN693">
        <v>-24</v>
      </c>
      <c r="AO693">
        <v>0</v>
      </c>
      <c r="AP693"/>
      <c r="AQ693">
        <v>0</v>
      </c>
      <c r="AR693">
        <v>0</v>
      </c>
      <c r="AS693">
        <v>240</v>
      </c>
      <c r="AT693">
        <v>-24</v>
      </c>
      <c r="AU693">
        <v>0</v>
      </c>
      <c r="AW693">
        <v>0</v>
      </c>
      <c r="AX693">
        <v>0</v>
      </c>
      <c r="AY693">
        <v>851.2</v>
      </c>
      <c r="BC693" t="str">
        <f t="shared" si="115"/>
        <v>9791137602946</v>
      </c>
      <c r="BE693" t="str">
        <f t="shared" si="116"/>
        <v>판타지 웹소설 &gt; 현대 판타지</v>
      </c>
    </row>
    <row r="694" spans="1:58" x14ac:dyDescent="0.3">
      <c r="A694">
        <v>2313020382</v>
      </c>
      <c r="B694">
        <v>2313020469</v>
      </c>
      <c r="C694" t="str">
        <f>T("신입사원이 이렇게 일을 잘했다고? 88화")</f>
        <v>신입사원이 이렇게 일을 잘했다고? 88화</v>
      </c>
      <c r="D694" t="str">
        <f>T("88")</f>
        <v>88</v>
      </c>
      <c r="E694" t="str">
        <f t="shared" si="113"/>
        <v>왕십리글쟁이</v>
      </c>
      <c r="H694" t="str">
        <f t="shared" si="112"/>
        <v>스토리위즈</v>
      </c>
      <c r="I694" t="str">
        <f t="shared" si="114"/>
        <v>신입사원이 이렇게 일을 잘했다고?</v>
      </c>
      <c r="J694">
        <v>100</v>
      </c>
      <c r="K694">
        <v>1200</v>
      </c>
      <c r="L694">
        <v>12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1200</v>
      </c>
      <c r="AH694">
        <v>12</v>
      </c>
      <c r="AI694">
        <v>0</v>
      </c>
      <c r="AJ694">
        <v>0</v>
      </c>
      <c r="AK694">
        <v>1000</v>
      </c>
      <c r="AL694">
        <v>0</v>
      </c>
      <c r="AM694">
        <v>240</v>
      </c>
      <c r="AN694">
        <v>-24</v>
      </c>
      <c r="AO694">
        <v>0</v>
      </c>
      <c r="AP694"/>
      <c r="AQ694">
        <v>0</v>
      </c>
      <c r="AR694">
        <v>0</v>
      </c>
      <c r="AS694">
        <v>240</v>
      </c>
      <c r="AT694">
        <v>-24</v>
      </c>
      <c r="AU694">
        <v>0</v>
      </c>
      <c r="AW694">
        <v>0</v>
      </c>
      <c r="AX694">
        <v>0</v>
      </c>
      <c r="AY694">
        <v>851.2</v>
      </c>
      <c r="BC694" t="str">
        <f t="shared" si="115"/>
        <v>9791137602946</v>
      </c>
      <c r="BE694" t="str">
        <f t="shared" si="116"/>
        <v>판타지 웹소설 &gt; 현대 판타지</v>
      </c>
    </row>
    <row r="695" spans="1:58" x14ac:dyDescent="0.3">
      <c r="A695">
        <v>2313020382</v>
      </c>
      <c r="B695">
        <v>2313020470</v>
      </c>
      <c r="C695" t="str">
        <f>T("신입사원이 이렇게 일을 잘했다고? 89화")</f>
        <v>신입사원이 이렇게 일을 잘했다고? 89화</v>
      </c>
      <c r="D695" t="str">
        <f>T("89")</f>
        <v>89</v>
      </c>
      <c r="E695" t="str">
        <f t="shared" si="113"/>
        <v>왕십리글쟁이</v>
      </c>
      <c r="H695" t="str">
        <f t="shared" si="112"/>
        <v>스토리위즈</v>
      </c>
      <c r="I695" t="str">
        <f t="shared" si="114"/>
        <v>신입사원이 이렇게 일을 잘했다고?</v>
      </c>
      <c r="J695">
        <v>100</v>
      </c>
      <c r="K695">
        <v>1200</v>
      </c>
      <c r="L695">
        <v>12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1200</v>
      </c>
      <c r="AH695">
        <v>12</v>
      </c>
      <c r="AI695">
        <v>0</v>
      </c>
      <c r="AJ695">
        <v>0</v>
      </c>
      <c r="AK695">
        <v>1000</v>
      </c>
      <c r="AL695">
        <v>0</v>
      </c>
      <c r="AM695">
        <v>240</v>
      </c>
      <c r="AN695">
        <v>-24</v>
      </c>
      <c r="AO695">
        <v>0</v>
      </c>
      <c r="AP695"/>
      <c r="AQ695">
        <v>0</v>
      </c>
      <c r="AR695">
        <v>0</v>
      </c>
      <c r="AS695">
        <v>240</v>
      </c>
      <c r="AT695">
        <v>-24</v>
      </c>
      <c r="AU695">
        <v>0</v>
      </c>
      <c r="AW695">
        <v>0</v>
      </c>
      <c r="AX695">
        <v>0</v>
      </c>
      <c r="AY695">
        <v>851.2</v>
      </c>
      <c r="BC695" t="str">
        <f t="shared" si="115"/>
        <v>9791137602946</v>
      </c>
      <c r="BE695" t="str">
        <f t="shared" si="116"/>
        <v>판타지 웹소설 &gt; 현대 판타지</v>
      </c>
    </row>
    <row r="696" spans="1:58" x14ac:dyDescent="0.3">
      <c r="A696">
        <v>2313020382</v>
      </c>
      <c r="B696">
        <v>2313020561</v>
      </c>
      <c r="C696" t="str">
        <f>T("신입사원이 이렇게 일을 잘했다고? 180화")</f>
        <v>신입사원이 이렇게 일을 잘했다고? 180화</v>
      </c>
      <c r="D696" t="str">
        <f>T("180")</f>
        <v>180</v>
      </c>
      <c r="E696" t="str">
        <f t="shared" si="113"/>
        <v>왕십리글쟁이</v>
      </c>
      <c r="H696" t="str">
        <f t="shared" si="112"/>
        <v>스토리위즈</v>
      </c>
      <c r="I696" t="str">
        <f t="shared" si="114"/>
        <v>신입사원이 이렇게 일을 잘했다고?</v>
      </c>
      <c r="J696">
        <v>100</v>
      </c>
      <c r="K696">
        <v>1200</v>
      </c>
      <c r="L696">
        <v>12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1200</v>
      </c>
      <c r="AH696">
        <v>12</v>
      </c>
      <c r="AI696">
        <v>0</v>
      </c>
      <c r="AJ696">
        <v>0</v>
      </c>
      <c r="AK696">
        <v>1000</v>
      </c>
      <c r="AL696">
        <v>0</v>
      </c>
      <c r="AM696">
        <v>240</v>
      </c>
      <c r="AN696">
        <v>-48</v>
      </c>
      <c r="AO696">
        <v>0</v>
      </c>
      <c r="AP696"/>
      <c r="AQ696">
        <v>0</v>
      </c>
      <c r="AR696">
        <v>0</v>
      </c>
      <c r="AS696">
        <v>240</v>
      </c>
      <c r="AT696">
        <v>-48</v>
      </c>
      <c r="AU696">
        <v>0</v>
      </c>
      <c r="AW696">
        <v>0</v>
      </c>
      <c r="AX696">
        <v>0</v>
      </c>
      <c r="AY696">
        <v>834.4</v>
      </c>
      <c r="BC696" t="str">
        <f t="shared" si="115"/>
        <v>9791137602946</v>
      </c>
      <c r="BE696" t="str">
        <f t="shared" si="116"/>
        <v>판타지 웹소설 &gt; 현대 판타지</v>
      </c>
    </row>
    <row r="697" spans="1:58" x14ac:dyDescent="0.3">
      <c r="A697">
        <v>2313020594</v>
      </c>
      <c r="B697">
        <v>2313020645</v>
      </c>
      <c r="C697" t="str">
        <f>T("아카데미 속 궁술천재 52화")</f>
        <v>아카데미 속 궁술천재 52화</v>
      </c>
      <c r="D697" t="str">
        <f>T("52")</f>
        <v>52</v>
      </c>
      <c r="E697" t="str">
        <f>T("깡펀치")</f>
        <v>깡펀치</v>
      </c>
      <c r="H697" t="str">
        <f t="shared" si="112"/>
        <v>스토리위즈</v>
      </c>
      <c r="I697" t="str">
        <f>T("아카데미 속 궁술천재")</f>
        <v>아카데미 속 궁술천재</v>
      </c>
      <c r="J697">
        <v>100</v>
      </c>
      <c r="K697">
        <v>1200</v>
      </c>
      <c r="L697">
        <v>12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1200</v>
      </c>
      <c r="AH697">
        <v>12</v>
      </c>
      <c r="AI697">
        <v>0</v>
      </c>
      <c r="AJ697">
        <v>0</v>
      </c>
      <c r="AK697">
        <v>1000</v>
      </c>
      <c r="AL697">
        <v>0</v>
      </c>
      <c r="AM697">
        <v>240</v>
      </c>
      <c r="AN697">
        <v>-72</v>
      </c>
      <c r="AO697">
        <v>0</v>
      </c>
      <c r="AP697">
        <v>120</v>
      </c>
      <c r="AQ697">
        <v>-36</v>
      </c>
      <c r="AR697">
        <v>0</v>
      </c>
      <c r="AS697">
        <v>120</v>
      </c>
      <c r="AT697">
        <v>-36</v>
      </c>
      <c r="AU697">
        <v>0</v>
      </c>
      <c r="AW697">
        <v>0</v>
      </c>
      <c r="AX697">
        <v>0</v>
      </c>
      <c r="AY697">
        <v>817.6</v>
      </c>
      <c r="BC697" t="str">
        <f>T("9791137602915")</f>
        <v>9791137602915</v>
      </c>
      <c r="BE697" t="str">
        <f>T("판타지 웹소설 &gt; 퓨전 판타지")</f>
        <v>판타지 웹소설 &gt; 퓨전 판타지</v>
      </c>
    </row>
    <row r="698" spans="1:58" x14ac:dyDescent="0.3">
      <c r="A698">
        <v>2313020594</v>
      </c>
      <c r="B698">
        <v>2313020646</v>
      </c>
      <c r="C698" t="str">
        <f>T("아카데미 속 궁술천재 53화")</f>
        <v>아카데미 속 궁술천재 53화</v>
      </c>
      <c r="D698" t="str">
        <f>T("53")</f>
        <v>53</v>
      </c>
      <c r="E698" t="str">
        <f>T("깡펀치")</f>
        <v>깡펀치</v>
      </c>
      <c r="H698" t="str">
        <f t="shared" si="112"/>
        <v>스토리위즈</v>
      </c>
      <c r="I698" t="str">
        <f>T("아카데미 속 궁술천재")</f>
        <v>아카데미 속 궁술천재</v>
      </c>
      <c r="J698">
        <v>100</v>
      </c>
      <c r="K698">
        <v>1200</v>
      </c>
      <c r="L698">
        <v>12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1200</v>
      </c>
      <c r="AH698">
        <v>12</v>
      </c>
      <c r="AI698">
        <v>0</v>
      </c>
      <c r="AJ698">
        <v>0</v>
      </c>
      <c r="AK698">
        <v>1000</v>
      </c>
      <c r="AL698">
        <v>0</v>
      </c>
      <c r="AM698">
        <v>240</v>
      </c>
      <c r="AN698">
        <v>-72</v>
      </c>
      <c r="AO698">
        <v>0</v>
      </c>
      <c r="AP698">
        <v>120</v>
      </c>
      <c r="AQ698">
        <v>-36</v>
      </c>
      <c r="AR698">
        <v>0</v>
      </c>
      <c r="AS698">
        <v>120</v>
      </c>
      <c r="AT698">
        <v>-36</v>
      </c>
      <c r="AU698">
        <v>0</v>
      </c>
      <c r="AW698">
        <v>0</v>
      </c>
      <c r="AX698">
        <v>0</v>
      </c>
      <c r="AY698">
        <v>817.6</v>
      </c>
      <c r="BC698" t="str">
        <f>T("9791137602915")</f>
        <v>9791137602915</v>
      </c>
      <c r="BE698" t="str">
        <f>T("판타지 웹소설 &gt; 퓨전 판타지")</f>
        <v>판타지 웹소설 &gt; 퓨전 판타지</v>
      </c>
    </row>
    <row r="699" spans="1:58" x14ac:dyDescent="0.3">
      <c r="A699">
        <v>2313020594</v>
      </c>
      <c r="B699">
        <v>2313020647</v>
      </c>
      <c r="C699" t="str">
        <f>T("아카데미 속 궁술천재 54화")</f>
        <v>아카데미 속 궁술천재 54화</v>
      </c>
      <c r="D699" t="str">
        <f>T("54")</f>
        <v>54</v>
      </c>
      <c r="E699" t="str">
        <f>T("깡펀치")</f>
        <v>깡펀치</v>
      </c>
      <c r="H699" t="str">
        <f t="shared" si="112"/>
        <v>스토리위즈</v>
      </c>
      <c r="I699" t="str">
        <f>T("아카데미 속 궁술천재")</f>
        <v>아카데미 속 궁술천재</v>
      </c>
      <c r="J699">
        <v>100</v>
      </c>
      <c r="K699">
        <v>1200</v>
      </c>
      <c r="L699">
        <v>12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1200</v>
      </c>
      <c r="AH699">
        <v>12</v>
      </c>
      <c r="AI699">
        <v>0</v>
      </c>
      <c r="AJ699">
        <v>0</v>
      </c>
      <c r="AK699">
        <v>1000</v>
      </c>
      <c r="AL699">
        <v>0</v>
      </c>
      <c r="AM699">
        <v>240</v>
      </c>
      <c r="AN699">
        <v>-72</v>
      </c>
      <c r="AO699">
        <v>0</v>
      </c>
      <c r="AP699">
        <v>120</v>
      </c>
      <c r="AQ699">
        <v>-36</v>
      </c>
      <c r="AR699">
        <v>0</v>
      </c>
      <c r="AS699">
        <v>120</v>
      </c>
      <c r="AT699">
        <v>-36</v>
      </c>
      <c r="AU699">
        <v>0</v>
      </c>
      <c r="AW699">
        <v>0</v>
      </c>
      <c r="AX699">
        <v>0</v>
      </c>
      <c r="AY699">
        <v>817.6</v>
      </c>
      <c r="BC699" t="str">
        <f>T("9791137602915")</f>
        <v>9791137602915</v>
      </c>
      <c r="BE699" t="str">
        <f>T("판타지 웹소설 &gt; 퓨전 판타지")</f>
        <v>판타지 웹소설 &gt; 퓨전 판타지</v>
      </c>
    </row>
    <row r="700" spans="1:58" x14ac:dyDescent="0.3">
      <c r="A700">
        <v>2313020594</v>
      </c>
      <c r="B700">
        <v>2313020649</v>
      </c>
      <c r="C700" t="str">
        <f>T("아카데미 속 궁술천재 56화")</f>
        <v>아카데미 속 궁술천재 56화</v>
      </c>
      <c r="D700" t="str">
        <f>T("56")</f>
        <v>56</v>
      </c>
      <c r="E700" t="str">
        <f>T("깡펀치")</f>
        <v>깡펀치</v>
      </c>
      <c r="H700" t="str">
        <f t="shared" si="112"/>
        <v>스토리위즈</v>
      </c>
      <c r="I700" t="str">
        <f>T("아카데미 속 궁술천재")</f>
        <v>아카데미 속 궁술천재</v>
      </c>
      <c r="J700">
        <v>100</v>
      </c>
      <c r="K700">
        <v>1200</v>
      </c>
      <c r="L700">
        <v>12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1200</v>
      </c>
      <c r="AH700">
        <v>12</v>
      </c>
      <c r="AI700">
        <v>0</v>
      </c>
      <c r="AJ700">
        <v>0</v>
      </c>
      <c r="AK700">
        <v>1100</v>
      </c>
      <c r="AL700">
        <v>0</v>
      </c>
      <c r="AM700">
        <v>120</v>
      </c>
      <c r="AN700">
        <v>-36</v>
      </c>
      <c r="AO700">
        <v>0</v>
      </c>
      <c r="AP700">
        <v>120</v>
      </c>
      <c r="AQ700">
        <v>-36</v>
      </c>
      <c r="AR700">
        <v>0</v>
      </c>
      <c r="AT700">
        <v>0</v>
      </c>
      <c r="AU700">
        <v>0</v>
      </c>
      <c r="AW700">
        <v>0</v>
      </c>
      <c r="AX700">
        <v>0</v>
      </c>
      <c r="AY700">
        <v>828.8</v>
      </c>
      <c r="BC700" t="str">
        <f>T("9791137602915")</f>
        <v>9791137602915</v>
      </c>
      <c r="BE700" t="str">
        <f>T("판타지 웹소설 &gt; 퓨전 판타지")</f>
        <v>판타지 웹소설 &gt; 퓨전 판타지</v>
      </c>
    </row>
    <row r="701" spans="1:58" x14ac:dyDescent="0.3">
      <c r="A701">
        <v>2313016834</v>
      </c>
      <c r="B701">
        <v>2313016829</v>
      </c>
      <c r="C701" t="str">
        <f>T("[e북]우리야, 이리온 (외전증보판) (외전)")</f>
        <v>[e북]우리야, 이리온 (외전증보판) (외전)</v>
      </c>
      <c r="D701" t="str">
        <f>T("6")</f>
        <v>6</v>
      </c>
      <c r="E701" t="str">
        <f>T("김온별")</f>
        <v>김온별</v>
      </c>
      <c r="H701" t="str">
        <f>T("도서출판 태랑")</f>
        <v>도서출판 태랑</v>
      </c>
      <c r="I701" t="str">
        <f>T("[e북]우리야, 이리온 (외전증보판)")</f>
        <v>[e북]우리야, 이리온 (외전증보판)</v>
      </c>
      <c r="J701">
        <v>1100</v>
      </c>
      <c r="K701">
        <v>1100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1100</v>
      </c>
      <c r="AH701">
        <v>1</v>
      </c>
      <c r="AI701">
        <v>0</v>
      </c>
      <c r="AJ701">
        <v>0</v>
      </c>
      <c r="AK701">
        <v>1100</v>
      </c>
      <c r="AL701">
        <v>0</v>
      </c>
      <c r="AM701">
        <v>0</v>
      </c>
      <c r="AN701">
        <v>0</v>
      </c>
      <c r="AO701">
        <v>0</v>
      </c>
      <c r="AP701"/>
      <c r="AQ701">
        <v>0</v>
      </c>
      <c r="AR701">
        <v>0</v>
      </c>
      <c r="AT701">
        <v>0</v>
      </c>
      <c r="AU701">
        <v>0</v>
      </c>
      <c r="AW701">
        <v>0</v>
      </c>
      <c r="AX701">
        <v>0</v>
      </c>
      <c r="AY701">
        <v>770</v>
      </c>
      <c r="BC701" t="str">
        <f>T("9791164375097")</f>
        <v>9791164375097</v>
      </c>
      <c r="BE701" t="str">
        <f>T("로맨스 e북 &gt; 현대물")</f>
        <v>로맨스 e북 &gt; 현대물</v>
      </c>
      <c r="BF701" t="str">
        <f>T("로맨스 e북 &gt; 19+")</f>
        <v>로맨스 e북 &gt; 19+</v>
      </c>
    </row>
    <row r="702" spans="1:58" x14ac:dyDescent="0.3">
      <c r="A702">
        <v>2313020382</v>
      </c>
      <c r="B702">
        <v>2313020408</v>
      </c>
      <c r="C702" t="str">
        <f>T("신입사원이 이렇게 일을 잘했다고? 27화")</f>
        <v>신입사원이 이렇게 일을 잘했다고? 27화</v>
      </c>
      <c r="D702" t="str">
        <f>T("27")</f>
        <v>27</v>
      </c>
      <c r="E702" t="str">
        <f t="shared" ref="E702:E721" si="117">T("왕십리글쟁이")</f>
        <v>왕십리글쟁이</v>
      </c>
      <c r="H702" t="str">
        <f t="shared" ref="H702:H721" si="118">T("스토리위즈")</f>
        <v>스토리위즈</v>
      </c>
      <c r="I702" t="str">
        <f t="shared" ref="I702:I721" si="119">T("신입사원이 이렇게 일을 잘했다고?")</f>
        <v>신입사원이 이렇게 일을 잘했다고?</v>
      </c>
      <c r="J702">
        <v>100</v>
      </c>
      <c r="K702">
        <v>1100</v>
      </c>
      <c r="L702">
        <v>11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1100</v>
      </c>
      <c r="AH702">
        <v>11</v>
      </c>
      <c r="AI702">
        <v>0</v>
      </c>
      <c r="AJ702">
        <v>0</v>
      </c>
      <c r="AK702">
        <v>700</v>
      </c>
      <c r="AL702">
        <v>0</v>
      </c>
      <c r="AM702">
        <v>480</v>
      </c>
      <c r="AN702">
        <v>-96</v>
      </c>
      <c r="AO702">
        <v>0</v>
      </c>
      <c r="AP702"/>
      <c r="AQ702">
        <v>0</v>
      </c>
      <c r="AR702">
        <v>0</v>
      </c>
      <c r="AS702">
        <v>480</v>
      </c>
      <c r="AT702">
        <v>-96</v>
      </c>
      <c r="AU702">
        <v>0</v>
      </c>
      <c r="AW702">
        <v>0</v>
      </c>
      <c r="AX702">
        <v>0</v>
      </c>
      <c r="AY702">
        <v>758.8</v>
      </c>
      <c r="BC702" t="str">
        <f t="shared" ref="BC702:BC721" si="120">T("9791137602946")</f>
        <v>9791137602946</v>
      </c>
      <c r="BE702" t="str">
        <f t="shared" ref="BE702:BE721" si="121">T("판타지 웹소설 &gt; 현대 판타지")</f>
        <v>판타지 웹소설 &gt; 현대 판타지</v>
      </c>
    </row>
    <row r="703" spans="1:58" x14ac:dyDescent="0.3">
      <c r="A703">
        <v>2313020382</v>
      </c>
      <c r="B703">
        <v>2313020409</v>
      </c>
      <c r="C703" t="str">
        <f>T("신입사원이 이렇게 일을 잘했다고? 28화")</f>
        <v>신입사원이 이렇게 일을 잘했다고? 28화</v>
      </c>
      <c r="D703" t="str">
        <f>T("28")</f>
        <v>28</v>
      </c>
      <c r="E703" t="str">
        <f t="shared" si="117"/>
        <v>왕십리글쟁이</v>
      </c>
      <c r="H703" t="str">
        <f t="shared" si="118"/>
        <v>스토리위즈</v>
      </c>
      <c r="I703" t="str">
        <f t="shared" si="119"/>
        <v>신입사원이 이렇게 일을 잘했다고?</v>
      </c>
      <c r="J703">
        <v>100</v>
      </c>
      <c r="K703">
        <v>1100</v>
      </c>
      <c r="L703">
        <v>11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1100</v>
      </c>
      <c r="AH703">
        <v>11</v>
      </c>
      <c r="AI703">
        <v>0</v>
      </c>
      <c r="AJ703">
        <v>0</v>
      </c>
      <c r="AK703">
        <v>700</v>
      </c>
      <c r="AL703">
        <v>0</v>
      </c>
      <c r="AM703">
        <v>480</v>
      </c>
      <c r="AN703">
        <v>-96</v>
      </c>
      <c r="AO703">
        <v>0</v>
      </c>
      <c r="AP703"/>
      <c r="AQ703">
        <v>0</v>
      </c>
      <c r="AR703">
        <v>0</v>
      </c>
      <c r="AS703">
        <v>480</v>
      </c>
      <c r="AT703">
        <v>-96</v>
      </c>
      <c r="AU703">
        <v>0</v>
      </c>
      <c r="AW703">
        <v>0</v>
      </c>
      <c r="AX703">
        <v>0</v>
      </c>
      <c r="AY703">
        <v>758.8</v>
      </c>
      <c r="BC703" t="str">
        <f t="shared" si="120"/>
        <v>9791137602946</v>
      </c>
      <c r="BE703" t="str">
        <f t="shared" si="121"/>
        <v>판타지 웹소설 &gt; 현대 판타지</v>
      </c>
    </row>
    <row r="704" spans="1:58" x14ac:dyDescent="0.3">
      <c r="A704">
        <v>2313020382</v>
      </c>
      <c r="B704">
        <v>2313020410</v>
      </c>
      <c r="C704" t="str">
        <f>T("신입사원이 이렇게 일을 잘했다고? 29화")</f>
        <v>신입사원이 이렇게 일을 잘했다고? 29화</v>
      </c>
      <c r="D704" t="str">
        <f>T("29")</f>
        <v>29</v>
      </c>
      <c r="E704" t="str">
        <f t="shared" si="117"/>
        <v>왕십리글쟁이</v>
      </c>
      <c r="H704" t="str">
        <f t="shared" si="118"/>
        <v>스토리위즈</v>
      </c>
      <c r="I704" t="str">
        <f t="shared" si="119"/>
        <v>신입사원이 이렇게 일을 잘했다고?</v>
      </c>
      <c r="J704">
        <v>100</v>
      </c>
      <c r="K704">
        <v>1100</v>
      </c>
      <c r="L704">
        <v>11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1100</v>
      </c>
      <c r="AH704">
        <v>11</v>
      </c>
      <c r="AI704">
        <v>0</v>
      </c>
      <c r="AJ704">
        <v>0</v>
      </c>
      <c r="AK704">
        <v>700</v>
      </c>
      <c r="AL704">
        <v>0</v>
      </c>
      <c r="AM704">
        <v>480</v>
      </c>
      <c r="AN704">
        <v>-96</v>
      </c>
      <c r="AO704">
        <v>0</v>
      </c>
      <c r="AP704"/>
      <c r="AQ704">
        <v>0</v>
      </c>
      <c r="AR704">
        <v>0</v>
      </c>
      <c r="AS704">
        <v>480</v>
      </c>
      <c r="AT704">
        <v>-96</v>
      </c>
      <c r="AU704">
        <v>0</v>
      </c>
      <c r="AW704">
        <v>0</v>
      </c>
      <c r="AX704">
        <v>0</v>
      </c>
      <c r="AY704">
        <v>758.8</v>
      </c>
      <c r="BC704" t="str">
        <f t="shared" si="120"/>
        <v>9791137602946</v>
      </c>
      <c r="BE704" t="str">
        <f t="shared" si="121"/>
        <v>판타지 웹소설 &gt; 현대 판타지</v>
      </c>
    </row>
    <row r="705" spans="1:57" x14ac:dyDescent="0.3">
      <c r="A705">
        <v>2313020382</v>
      </c>
      <c r="B705">
        <v>2313020420</v>
      </c>
      <c r="C705" t="str">
        <f>T("신입사원이 이렇게 일을 잘했다고? 39화")</f>
        <v>신입사원이 이렇게 일을 잘했다고? 39화</v>
      </c>
      <c r="D705" t="str">
        <f>T("39")</f>
        <v>39</v>
      </c>
      <c r="E705" t="str">
        <f t="shared" si="117"/>
        <v>왕십리글쟁이</v>
      </c>
      <c r="H705" t="str">
        <f t="shared" si="118"/>
        <v>스토리위즈</v>
      </c>
      <c r="I705" t="str">
        <f t="shared" si="119"/>
        <v>신입사원이 이렇게 일을 잘했다고?</v>
      </c>
      <c r="J705">
        <v>100</v>
      </c>
      <c r="K705">
        <v>1100</v>
      </c>
      <c r="L705">
        <v>11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1100</v>
      </c>
      <c r="AH705">
        <v>11</v>
      </c>
      <c r="AI705">
        <v>0</v>
      </c>
      <c r="AJ705">
        <v>0</v>
      </c>
      <c r="AK705">
        <v>700</v>
      </c>
      <c r="AL705">
        <v>0</v>
      </c>
      <c r="AM705">
        <v>480</v>
      </c>
      <c r="AN705">
        <v>-96</v>
      </c>
      <c r="AO705">
        <v>0</v>
      </c>
      <c r="AP705"/>
      <c r="AQ705">
        <v>0</v>
      </c>
      <c r="AR705">
        <v>0</v>
      </c>
      <c r="AS705">
        <v>480</v>
      </c>
      <c r="AT705">
        <v>-96</v>
      </c>
      <c r="AU705">
        <v>0</v>
      </c>
      <c r="AW705">
        <v>0</v>
      </c>
      <c r="AX705">
        <v>0</v>
      </c>
      <c r="AY705">
        <v>758.8</v>
      </c>
      <c r="BC705" t="str">
        <f t="shared" si="120"/>
        <v>9791137602946</v>
      </c>
      <c r="BE705" t="str">
        <f t="shared" si="121"/>
        <v>판타지 웹소설 &gt; 현대 판타지</v>
      </c>
    </row>
    <row r="706" spans="1:57" x14ac:dyDescent="0.3">
      <c r="A706">
        <v>2313020382</v>
      </c>
      <c r="B706">
        <v>2313020424</v>
      </c>
      <c r="C706" t="str">
        <f>T("신입사원이 이렇게 일을 잘했다고? 43화")</f>
        <v>신입사원이 이렇게 일을 잘했다고? 43화</v>
      </c>
      <c r="D706" t="str">
        <f>T("43")</f>
        <v>43</v>
      </c>
      <c r="E706" t="str">
        <f t="shared" si="117"/>
        <v>왕십리글쟁이</v>
      </c>
      <c r="H706" t="str">
        <f t="shared" si="118"/>
        <v>스토리위즈</v>
      </c>
      <c r="I706" t="str">
        <f t="shared" si="119"/>
        <v>신입사원이 이렇게 일을 잘했다고?</v>
      </c>
      <c r="J706">
        <v>100</v>
      </c>
      <c r="K706">
        <v>1100</v>
      </c>
      <c r="L706">
        <v>11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1100</v>
      </c>
      <c r="AH706">
        <v>11</v>
      </c>
      <c r="AI706">
        <v>0</v>
      </c>
      <c r="AJ706">
        <v>0</v>
      </c>
      <c r="AK706">
        <v>800</v>
      </c>
      <c r="AL706">
        <v>0</v>
      </c>
      <c r="AM706">
        <v>360</v>
      </c>
      <c r="AN706">
        <v>-60</v>
      </c>
      <c r="AO706">
        <v>0</v>
      </c>
      <c r="AP706"/>
      <c r="AQ706">
        <v>0</v>
      </c>
      <c r="AR706">
        <v>0</v>
      </c>
      <c r="AS706">
        <v>360</v>
      </c>
      <c r="AT706">
        <v>-60</v>
      </c>
      <c r="AU706">
        <v>0</v>
      </c>
      <c r="AW706">
        <v>0</v>
      </c>
      <c r="AX706">
        <v>0</v>
      </c>
      <c r="AY706">
        <v>770</v>
      </c>
      <c r="BC706" t="str">
        <f t="shared" si="120"/>
        <v>9791137602946</v>
      </c>
      <c r="BE706" t="str">
        <f t="shared" si="121"/>
        <v>판타지 웹소설 &gt; 현대 판타지</v>
      </c>
    </row>
    <row r="707" spans="1:57" x14ac:dyDescent="0.3">
      <c r="A707">
        <v>2313020382</v>
      </c>
      <c r="B707">
        <v>2313020452</v>
      </c>
      <c r="C707" t="str">
        <f>T("신입사원이 이렇게 일을 잘했다고? 71화")</f>
        <v>신입사원이 이렇게 일을 잘했다고? 71화</v>
      </c>
      <c r="D707" t="str">
        <f>T("71")</f>
        <v>71</v>
      </c>
      <c r="E707" t="str">
        <f t="shared" si="117"/>
        <v>왕십리글쟁이</v>
      </c>
      <c r="H707" t="str">
        <f t="shared" si="118"/>
        <v>스토리위즈</v>
      </c>
      <c r="I707" t="str">
        <f t="shared" si="119"/>
        <v>신입사원이 이렇게 일을 잘했다고?</v>
      </c>
      <c r="J707">
        <v>100</v>
      </c>
      <c r="K707">
        <v>1100</v>
      </c>
      <c r="L707">
        <v>11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1100</v>
      </c>
      <c r="AH707">
        <v>11</v>
      </c>
      <c r="AI707">
        <v>0</v>
      </c>
      <c r="AJ707">
        <v>0</v>
      </c>
      <c r="AK707">
        <v>900</v>
      </c>
      <c r="AL707">
        <v>0</v>
      </c>
      <c r="AM707">
        <v>240</v>
      </c>
      <c r="AN707">
        <v>-24</v>
      </c>
      <c r="AO707">
        <v>0</v>
      </c>
      <c r="AP707"/>
      <c r="AQ707">
        <v>0</v>
      </c>
      <c r="AR707">
        <v>0</v>
      </c>
      <c r="AS707">
        <v>240</v>
      </c>
      <c r="AT707">
        <v>-24</v>
      </c>
      <c r="AU707">
        <v>0</v>
      </c>
      <c r="AW707">
        <v>0</v>
      </c>
      <c r="AX707">
        <v>0</v>
      </c>
      <c r="AY707">
        <v>781.2</v>
      </c>
      <c r="BC707" t="str">
        <f t="shared" si="120"/>
        <v>9791137602946</v>
      </c>
      <c r="BE707" t="str">
        <f t="shared" si="121"/>
        <v>판타지 웹소설 &gt; 현대 판타지</v>
      </c>
    </row>
    <row r="708" spans="1:57" x14ac:dyDescent="0.3">
      <c r="A708">
        <v>2313020382</v>
      </c>
      <c r="B708">
        <v>2313020453</v>
      </c>
      <c r="C708" t="str">
        <f>T("신입사원이 이렇게 일을 잘했다고? 72화")</f>
        <v>신입사원이 이렇게 일을 잘했다고? 72화</v>
      </c>
      <c r="D708" t="str">
        <f>T("72")</f>
        <v>72</v>
      </c>
      <c r="E708" t="str">
        <f t="shared" si="117"/>
        <v>왕십리글쟁이</v>
      </c>
      <c r="H708" t="str">
        <f t="shared" si="118"/>
        <v>스토리위즈</v>
      </c>
      <c r="I708" t="str">
        <f t="shared" si="119"/>
        <v>신입사원이 이렇게 일을 잘했다고?</v>
      </c>
      <c r="J708">
        <v>100</v>
      </c>
      <c r="K708">
        <v>1100</v>
      </c>
      <c r="L708">
        <v>11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1100</v>
      </c>
      <c r="AH708">
        <v>11</v>
      </c>
      <c r="AI708">
        <v>0</v>
      </c>
      <c r="AJ708">
        <v>0</v>
      </c>
      <c r="AK708">
        <v>900</v>
      </c>
      <c r="AL708">
        <v>0</v>
      </c>
      <c r="AM708">
        <v>240</v>
      </c>
      <c r="AN708">
        <v>-24</v>
      </c>
      <c r="AO708">
        <v>0</v>
      </c>
      <c r="AP708"/>
      <c r="AQ708">
        <v>0</v>
      </c>
      <c r="AR708">
        <v>0</v>
      </c>
      <c r="AS708">
        <v>240</v>
      </c>
      <c r="AT708">
        <v>-24</v>
      </c>
      <c r="AU708">
        <v>0</v>
      </c>
      <c r="AW708">
        <v>0</v>
      </c>
      <c r="AX708">
        <v>0</v>
      </c>
      <c r="AY708">
        <v>781.2</v>
      </c>
      <c r="BC708" t="str">
        <f t="shared" si="120"/>
        <v>9791137602946</v>
      </c>
      <c r="BE708" t="str">
        <f t="shared" si="121"/>
        <v>판타지 웹소설 &gt; 현대 판타지</v>
      </c>
    </row>
    <row r="709" spans="1:57" x14ac:dyDescent="0.3">
      <c r="A709">
        <v>2313020382</v>
      </c>
      <c r="B709">
        <v>2313020457</v>
      </c>
      <c r="C709" t="str">
        <f>T("신입사원이 이렇게 일을 잘했다고? 76화")</f>
        <v>신입사원이 이렇게 일을 잘했다고? 76화</v>
      </c>
      <c r="D709" t="str">
        <f>T("76")</f>
        <v>76</v>
      </c>
      <c r="E709" t="str">
        <f t="shared" si="117"/>
        <v>왕십리글쟁이</v>
      </c>
      <c r="H709" t="str">
        <f t="shared" si="118"/>
        <v>스토리위즈</v>
      </c>
      <c r="I709" t="str">
        <f t="shared" si="119"/>
        <v>신입사원이 이렇게 일을 잘했다고?</v>
      </c>
      <c r="J709">
        <v>100</v>
      </c>
      <c r="K709">
        <v>1100</v>
      </c>
      <c r="L709">
        <v>11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1100</v>
      </c>
      <c r="AH709">
        <v>11</v>
      </c>
      <c r="AI709">
        <v>0</v>
      </c>
      <c r="AJ709">
        <v>0</v>
      </c>
      <c r="AK709">
        <v>900</v>
      </c>
      <c r="AL709">
        <v>0</v>
      </c>
      <c r="AM709">
        <v>240</v>
      </c>
      <c r="AN709">
        <v>-24</v>
      </c>
      <c r="AO709">
        <v>0</v>
      </c>
      <c r="AP709"/>
      <c r="AQ709">
        <v>0</v>
      </c>
      <c r="AR709">
        <v>0</v>
      </c>
      <c r="AS709">
        <v>240</v>
      </c>
      <c r="AT709">
        <v>-24</v>
      </c>
      <c r="AU709">
        <v>0</v>
      </c>
      <c r="AW709">
        <v>0</v>
      </c>
      <c r="AX709">
        <v>0</v>
      </c>
      <c r="AY709">
        <v>781.2</v>
      </c>
      <c r="BC709" t="str">
        <f t="shared" si="120"/>
        <v>9791137602946</v>
      </c>
      <c r="BE709" t="str">
        <f t="shared" si="121"/>
        <v>판타지 웹소설 &gt; 현대 판타지</v>
      </c>
    </row>
    <row r="710" spans="1:57" x14ac:dyDescent="0.3">
      <c r="A710">
        <v>2313020382</v>
      </c>
      <c r="B710">
        <v>2313020463</v>
      </c>
      <c r="C710" t="str">
        <f>T("신입사원이 이렇게 일을 잘했다고? 82화")</f>
        <v>신입사원이 이렇게 일을 잘했다고? 82화</v>
      </c>
      <c r="D710" t="str">
        <f>T("82")</f>
        <v>82</v>
      </c>
      <c r="E710" t="str">
        <f t="shared" si="117"/>
        <v>왕십리글쟁이</v>
      </c>
      <c r="H710" t="str">
        <f t="shared" si="118"/>
        <v>스토리위즈</v>
      </c>
      <c r="I710" t="str">
        <f t="shared" si="119"/>
        <v>신입사원이 이렇게 일을 잘했다고?</v>
      </c>
      <c r="J710">
        <v>100</v>
      </c>
      <c r="K710">
        <v>1100</v>
      </c>
      <c r="L710">
        <v>11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1100</v>
      </c>
      <c r="AH710">
        <v>11</v>
      </c>
      <c r="AI710">
        <v>0</v>
      </c>
      <c r="AJ710">
        <v>0</v>
      </c>
      <c r="AK710">
        <v>900</v>
      </c>
      <c r="AL710">
        <v>0</v>
      </c>
      <c r="AM710">
        <v>240</v>
      </c>
      <c r="AN710">
        <v>-24</v>
      </c>
      <c r="AO710">
        <v>0</v>
      </c>
      <c r="AP710"/>
      <c r="AQ710">
        <v>0</v>
      </c>
      <c r="AR710">
        <v>0</v>
      </c>
      <c r="AS710">
        <v>240</v>
      </c>
      <c r="AT710">
        <v>-24</v>
      </c>
      <c r="AU710">
        <v>0</v>
      </c>
      <c r="AW710">
        <v>0</v>
      </c>
      <c r="AX710">
        <v>0</v>
      </c>
      <c r="AY710">
        <v>781.2</v>
      </c>
      <c r="BC710" t="str">
        <f t="shared" si="120"/>
        <v>9791137602946</v>
      </c>
      <c r="BE710" t="str">
        <f t="shared" si="121"/>
        <v>판타지 웹소설 &gt; 현대 판타지</v>
      </c>
    </row>
    <row r="711" spans="1:57" x14ac:dyDescent="0.3">
      <c r="A711">
        <v>2313020382</v>
      </c>
      <c r="B711">
        <v>2313020481</v>
      </c>
      <c r="C711" t="str">
        <f>T("신입사원이 이렇게 일을 잘했다고? 100화")</f>
        <v>신입사원이 이렇게 일을 잘했다고? 100화</v>
      </c>
      <c r="D711" t="str">
        <f>T("100")</f>
        <v>100</v>
      </c>
      <c r="E711" t="str">
        <f t="shared" si="117"/>
        <v>왕십리글쟁이</v>
      </c>
      <c r="H711" t="str">
        <f t="shared" si="118"/>
        <v>스토리위즈</v>
      </c>
      <c r="I711" t="str">
        <f t="shared" si="119"/>
        <v>신입사원이 이렇게 일을 잘했다고?</v>
      </c>
      <c r="J711">
        <v>100</v>
      </c>
      <c r="K711">
        <v>1100</v>
      </c>
      <c r="L711">
        <v>11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1100</v>
      </c>
      <c r="AH711">
        <v>11</v>
      </c>
      <c r="AI711">
        <v>0</v>
      </c>
      <c r="AJ711">
        <v>0</v>
      </c>
      <c r="AK711">
        <v>900</v>
      </c>
      <c r="AL711">
        <v>0</v>
      </c>
      <c r="AM711">
        <v>240</v>
      </c>
      <c r="AN711">
        <v>-24</v>
      </c>
      <c r="AO711">
        <v>0</v>
      </c>
      <c r="AP711"/>
      <c r="AQ711">
        <v>0</v>
      </c>
      <c r="AR711">
        <v>0</v>
      </c>
      <c r="AS711">
        <v>240</v>
      </c>
      <c r="AT711">
        <v>-24</v>
      </c>
      <c r="AU711">
        <v>0</v>
      </c>
      <c r="AW711">
        <v>0</v>
      </c>
      <c r="AX711">
        <v>0</v>
      </c>
      <c r="AY711">
        <v>781.2</v>
      </c>
      <c r="BC711" t="str">
        <f t="shared" si="120"/>
        <v>9791137602946</v>
      </c>
      <c r="BE711" t="str">
        <f t="shared" si="121"/>
        <v>판타지 웹소설 &gt; 현대 판타지</v>
      </c>
    </row>
    <row r="712" spans="1:57" x14ac:dyDescent="0.3">
      <c r="A712">
        <v>2313020382</v>
      </c>
      <c r="B712">
        <v>2313020562</v>
      </c>
      <c r="C712" t="str">
        <f>T("신입사원이 이렇게 일을 잘했다고? 181화")</f>
        <v>신입사원이 이렇게 일을 잘했다고? 181화</v>
      </c>
      <c r="D712" t="str">
        <f>T("181")</f>
        <v>181</v>
      </c>
      <c r="E712" t="str">
        <f t="shared" si="117"/>
        <v>왕십리글쟁이</v>
      </c>
      <c r="H712" t="str">
        <f t="shared" si="118"/>
        <v>스토리위즈</v>
      </c>
      <c r="I712" t="str">
        <f t="shared" si="119"/>
        <v>신입사원이 이렇게 일을 잘했다고?</v>
      </c>
      <c r="J712">
        <v>100</v>
      </c>
      <c r="K712">
        <v>1100</v>
      </c>
      <c r="L712">
        <v>11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1100</v>
      </c>
      <c r="AH712">
        <v>11</v>
      </c>
      <c r="AI712">
        <v>0</v>
      </c>
      <c r="AJ712">
        <v>0</v>
      </c>
      <c r="AK712">
        <v>900</v>
      </c>
      <c r="AL712">
        <v>0</v>
      </c>
      <c r="AM712">
        <v>240</v>
      </c>
      <c r="AN712">
        <v>-48</v>
      </c>
      <c r="AO712">
        <v>0</v>
      </c>
      <c r="AP712"/>
      <c r="AQ712">
        <v>0</v>
      </c>
      <c r="AR712">
        <v>0</v>
      </c>
      <c r="AS712">
        <v>240</v>
      </c>
      <c r="AT712">
        <v>-48</v>
      </c>
      <c r="AU712">
        <v>0</v>
      </c>
      <c r="AW712">
        <v>0</v>
      </c>
      <c r="AX712">
        <v>0</v>
      </c>
      <c r="AY712">
        <v>764.4</v>
      </c>
      <c r="BC712" t="str">
        <f t="shared" si="120"/>
        <v>9791137602946</v>
      </c>
      <c r="BE712" t="str">
        <f t="shared" si="121"/>
        <v>판타지 웹소설 &gt; 현대 판타지</v>
      </c>
    </row>
    <row r="713" spans="1:57" x14ac:dyDescent="0.3">
      <c r="A713">
        <v>2313020382</v>
      </c>
      <c r="B713">
        <v>2313020572</v>
      </c>
      <c r="C713" t="str">
        <f>T("신입사원이 이렇게 일을 잘했다고? 191화")</f>
        <v>신입사원이 이렇게 일을 잘했다고? 191화</v>
      </c>
      <c r="D713" t="str">
        <f>T("191")</f>
        <v>191</v>
      </c>
      <c r="E713" t="str">
        <f t="shared" si="117"/>
        <v>왕십리글쟁이</v>
      </c>
      <c r="H713" t="str">
        <f t="shared" si="118"/>
        <v>스토리위즈</v>
      </c>
      <c r="I713" t="str">
        <f t="shared" si="119"/>
        <v>신입사원이 이렇게 일을 잘했다고?</v>
      </c>
      <c r="J713">
        <v>100</v>
      </c>
      <c r="K713">
        <v>1100</v>
      </c>
      <c r="L713">
        <v>11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1100</v>
      </c>
      <c r="AH713">
        <v>11</v>
      </c>
      <c r="AI713">
        <v>0</v>
      </c>
      <c r="AJ713">
        <v>0</v>
      </c>
      <c r="AK713">
        <v>900</v>
      </c>
      <c r="AL713">
        <v>0</v>
      </c>
      <c r="AM713">
        <v>240</v>
      </c>
      <c r="AN713">
        <v>-48</v>
      </c>
      <c r="AO713">
        <v>0</v>
      </c>
      <c r="AP713"/>
      <c r="AQ713">
        <v>0</v>
      </c>
      <c r="AR713">
        <v>0</v>
      </c>
      <c r="AS713">
        <v>240</v>
      </c>
      <c r="AT713">
        <v>-48</v>
      </c>
      <c r="AU713">
        <v>0</v>
      </c>
      <c r="AW713">
        <v>0</v>
      </c>
      <c r="AX713">
        <v>0</v>
      </c>
      <c r="AY713">
        <v>764.4</v>
      </c>
      <c r="BC713" t="str">
        <f t="shared" si="120"/>
        <v>9791137602946</v>
      </c>
      <c r="BE713" t="str">
        <f t="shared" si="121"/>
        <v>판타지 웹소설 &gt; 현대 판타지</v>
      </c>
    </row>
    <row r="714" spans="1:57" x14ac:dyDescent="0.3">
      <c r="A714">
        <v>2313020382</v>
      </c>
      <c r="B714">
        <v>2313020573</v>
      </c>
      <c r="C714" t="str">
        <f>T("신입사원이 이렇게 일을 잘했다고? 192화")</f>
        <v>신입사원이 이렇게 일을 잘했다고? 192화</v>
      </c>
      <c r="D714" t="str">
        <f>T("192")</f>
        <v>192</v>
      </c>
      <c r="E714" t="str">
        <f t="shared" si="117"/>
        <v>왕십리글쟁이</v>
      </c>
      <c r="H714" t="str">
        <f t="shared" si="118"/>
        <v>스토리위즈</v>
      </c>
      <c r="I714" t="str">
        <f t="shared" si="119"/>
        <v>신입사원이 이렇게 일을 잘했다고?</v>
      </c>
      <c r="J714">
        <v>100</v>
      </c>
      <c r="K714">
        <v>1100</v>
      </c>
      <c r="L714">
        <v>11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1100</v>
      </c>
      <c r="AH714">
        <v>11</v>
      </c>
      <c r="AI714">
        <v>0</v>
      </c>
      <c r="AJ714">
        <v>0</v>
      </c>
      <c r="AK714">
        <v>900</v>
      </c>
      <c r="AL714">
        <v>0</v>
      </c>
      <c r="AM714">
        <v>240</v>
      </c>
      <c r="AN714">
        <v>-48</v>
      </c>
      <c r="AO714">
        <v>0</v>
      </c>
      <c r="AP714"/>
      <c r="AQ714">
        <v>0</v>
      </c>
      <c r="AR714">
        <v>0</v>
      </c>
      <c r="AS714">
        <v>240</v>
      </c>
      <c r="AT714">
        <v>-48</v>
      </c>
      <c r="AU714">
        <v>0</v>
      </c>
      <c r="AW714">
        <v>0</v>
      </c>
      <c r="AX714">
        <v>0</v>
      </c>
      <c r="AY714">
        <v>764.4</v>
      </c>
      <c r="BC714" t="str">
        <f t="shared" si="120"/>
        <v>9791137602946</v>
      </c>
      <c r="BE714" t="str">
        <f t="shared" si="121"/>
        <v>판타지 웹소설 &gt; 현대 판타지</v>
      </c>
    </row>
    <row r="715" spans="1:57" x14ac:dyDescent="0.3">
      <c r="A715">
        <v>2313020382</v>
      </c>
      <c r="B715">
        <v>2313020574</v>
      </c>
      <c r="C715" t="str">
        <f>T("신입사원이 이렇게 일을 잘했다고? 193화")</f>
        <v>신입사원이 이렇게 일을 잘했다고? 193화</v>
      </c>
      <c r="D715" t="str">
        <f>T("193")</f>
        <v>193</v>
      </c>
      <c r="E715" t="str">
        <f t="shared" si="117"/>
        <v>왕십리글쟁이</v>
      </c>
      <c r="H715" t="str">
        <f t="shared" si="118"/>
        <v>스토리위즈</v>
      </c>
      <c r="I715" t="str">
        <f t="shared" si="119"/>
        <v>신입사원이 이렇게 일을 잘했다고?</v>
      </c>
      <c r="J715">
        <v>100</v>
      </c>
      <c r="K715">
        <v>1100</v>
      </c>
      <c r="L715">
        <v>11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1100</v>
      </c>
      <c r="AH715">
        <v>11</v>
      </c>
      <c r="AI715">
        <v>0</v>
      </c>
      <c r="AJ715">
        <v>0</v>
      </c>
      <c r="AK715">
        <v>900</v>
      </c>
      <c r="AL715">
        <v>0</v>
      </c>
      <c r="AM715">
        <v>240</v>
      </c>
      <c r="AN715">
        <v>-48</v>
      </c>
      <c r="AO715">
        <v>0</v>
      </c>
      <c r="AP715"/>
      <c r="AQ715">
        <v>0</v>
      </c>
      <c r="AR715">
        <v>0</v>
      </c>
      <c r="AS715">
        <v>240</v>
      </c>
      <c r="AT715">
        <v>-48</v>
      </c>
      <c r="AU715">
        <v>0</v>
      </c>
      <c r="AW715">
        <v>0</v>
      </c>
      <c r="AX715">
        <v>0</v>
      </c>
      <c r="AY715">
        <v>764.4</v>
      </c>
      <c r="BC715" t="str">
        <f t="shared" si="120"/>
        <v>9791137602946</v>
      </c>
      <c r="BE715" t="str">
        <f t="shared" si="121"/>
        <v>판타지 웹소설 &gt; 현대 판타지</v>
      </c>
    </row>
    <row r="716" spans="1:57" x14ac:dyDescent="0.3">
      <c r="A716">
        <v>2313020382</v>
      </c>
      <c r="B716">
        <v>2313020575</v>
      </c>
      <c r="C716" t="str">
        <f>T("신입사원이 이렇게 일을 잘했다고? 194화")</f>
        <v>신입사원이 이렇게 일을 잘했다고? 194화</v>
      </c>
      <c r="D716" t="str">
        <f>T("194")</f>
        <v>194</v>
      </c>
      <c r="E716" t="str">
        <f t="shared" si="117"/>
        <v>왕십리글쟁이</v>
      </c>
      <c r="H716" t="str">
        <f t="shared" si="118"/>
        <v>스토리위즈</v>
      </c>
      <c r="I716" t="str">
        <f t="shared" si="119"/>
        <v>신입사원이 이렇게 일을 잘했다고?</v>
      </c>
      <c r="J716">
        <v>100</v>
      </c>
      <c r="K716">
        <v>1100</v>
      </c>
      <c r="L716">
        <v>11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1100</v>
      </c>
      <c r="AH716">
        <v>11</v>
      </c>
      <c r="AI716">
        <v>0</v>
      </c>
      <c r="AJ716">
        <v>0</v>
      </c>
      <c r="AK716">
        <v>900</v>
      </c>
      <c r="AL716">
        <v>0</v>
      </c>
      <c r="AM716">
        <v>240</v>
      </c>
      <c r="AN716">
        <v>-48</v>
      </c>
      <c r="AO716">
        <v>0</v>
      </c>
      <c r="AP716"/>
      <c r="AQ716">
        <v>0</v>
      </c>
      <c r="AR716">
        <v>0</v>
      </c>
      <c r="AS716">
        <v>240</v>
      </c>
      <c r="AT716">
        <v>-48</v>
      </c>
      <c r="AU716">
        <v>0</v>
      </c>
      <c r="AW716">
        <v>0</v>
      </c>
      <c r="AX716">
        <v>0</v>
      </c>
      <c r="AY716">
        <v>764.4</v>
      </c>
      <c r="BC716" t="str">
        <f t="shared" si="120"/>
        <v>9791137602946</v>
      </c>
      <c r="BE716" t="str">
        <f t="shared" si="121"/>
        <v>판타지 웹소설 &gt; 현대 판타지</v>
      </c>
    </row>
    <row r="717" spans="1:57" x14ac:dyDescent="0.3">
      <c r="A717">
        <v>2313020382</v>
      </c>
      <c r="B717">
        <v>2313020576</v>
      </c>
      <c r="C717" t="str">
        <f>T("신입사원이 이렇게 일을 잘했다고? 195화")</f>
        <v>신입사원이 이렇게 일을 잘했다고? 195화</v>
      </c>
      <c r="D717" t="str">
        <f>T("195")</f>
        <v>195</v>
      </c>
      <c r="E717" t="str">
        <f t="shared" si="117"/>
        <v>왕십리글쟁이</v>
      </c>
      <c r="H717" t="str">
        <f t="shared" si="118"/>
        <v>스토리위즈</v>
      </c>
      <c r="I717" t="str">
        <f t="shared" si="119"/>
        <v>신입사원이 이렇게 일을 잘했다고?</v>
      </c>
      <c r="J717">
        <v>100</v>
      </c>
      <c r="K717">
        <v>1100</v>
      </c>
      <c r="L717">
        <v>11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1100</v>
      </c>
      <c r="AH717">
        <v>11</v>
      </c>
      <c r="AI717">
        <v>0</v>
      </c>
      <c r="AJ717">
        <v>0</v>
      </c>
      <c r="AK717">
        <v>900</v>
      </c>
      <c r="AL717">
        <v>0</v>
      </c>
      <c r="AM717">
        <v>240</v>
      </c>
      <c r="AN717">
        <v>-48</v>
      </c>
      <c r="AO717">
        <v>0</v>
      </c>
      <c r="AP717"/>
      <c r="AQ717">
        <v>0</v>
      </c>
      <c r="AR717">
        <v>0</v>
      </c>
      <c r="AS717">
        <v>240</v>
      </c>
      <c r="AT717">
        <v>-48</v>
      </c>
      <c r="AU717">
        <v>0</v>
      </c>
      <c r="AW717">
        <v>0</v>
      </c>
      <c r="AX717">
        <v>0</v>
      </c>
      <c r="AY717">
        <v>764.4</v>
      </c>
      <c r="BC717" t="str">
        <f t="shared" si="120"/>
        <v>9791137602946</v>
      </c>
      <c r="BE717" t="str">
        <f t="shared" si="121"/>
        <v>판타지 웹소설 &gt; 현대 판타지</v>
      </c>
    </row>
    <row r="718" spans="1:57" x14ac:dyDescent="0.3">
      <c r="A718">
        <v>2313020382</v>
      </c>
      <c r="B718">
        <v>2313020577</v>
      </c>
      <c r="C718" t="str">
        <f>T("신입사원이 이렇게 일을 잘했다고? 196화")</f>
        <v>신입사원이 이렇게 일을 잘했다고? 196화</v>
      </c>
      <c r="D718" t="str">
        <f>T("196")</f>
        <v>196</v>
      </c>
      <c r="E718" t="str">
        <f t="shared" si="117"/>
        <v>왕십리글쟁이</v>
      </c>
      <c r="H718" t="str">
        <f t="shared" si="118"/>
        <v>스토리위즈</v>
      </c>
      <c r="I718" t="str">
        <f t="shared" si="119"/>
        <v>신입사원이 이렇게 일을 잘했다고?</v>
      </c>
      <c r="J718">
        <v>100</v>
      </c>
      <c r="K718">
        <v>1100</v>
      </c>
      <c r="L718">
        <v>11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1100</v>
      </c>
      <c r="AH718">
        <v>11</v>
      </c>
      <c r="AI718">
        <v>0</v>
      </c>
      <c r="AJ718">
        <v>0</v>
      </c>
      <c r="AK718">
        <v>900</v>
      </c>
      <c r="AL718">
        <v>0</v>
      </c>
      <c r="AM718">
        <v>240</v>
      </c>
      <c r="AN718">
        <v>-48</v>
      </c>
      <c r="AO718">
        <v>0</v>
      </c>
      <c r="AP718"/>
      <c r="AQ718">
        <v>0</v>
      </c>
      <c r="AR718">
        <v>0</v>
      </c>
      <c r="AS718">
        <v>240</v>
      </c>
      <c r="AT718">
        <v>-48</v>
      </c>
      <c r="AU718">
        <v>0</v>
      </c>
      <c r="AW718">
        <v>0</v>
      </c>
      <c r="AX718">
        <v>0</v>
      </c>
      <c r="AY718">
        <v>764.4</v>
      </c>
      <c r="BC718" t="str">
        <f t="shared" si="120"/>
        <v>9791137602946</v>
      </c>
      <c r="BE718" t="str">
        <f t="shared" si="121"/>
        <v>판타지 웹소설 &gt; 현대 판타지</v>
      </c>
    </row>
    <row r="719" spans="1:57" x14ac:dyDescent="0.3">
      <c r="A719">
        <v>2313020382</v>
      </c>
      <c r="B719">
        <v>2313020578</v>
      </c>
      <c r="C719" t="str">
        <f>T("신입사원이 이렇게 일을 잘했다고? 197화")</f>
        <v>신입사원이 이렇게 일을 잘했다고? 197화</v>
      </c>
      <c r="D719" t="str">
        <f>T("197")</f>
        <v>197</v>
      </c>
      <c r="E719" t="str">
        <f t="shared" si="117"/>
        <v>왕십리글쟁이</v>
      </c>
      <c r="H719" t="str">
        <f t="shared" si="118"/>
        <v>스토리위즈</v>
      </c>
      <c r="I719" t="str">
        <f t="shared" si="119"/>
        <v>신입사원이 이렇게 일을 잘했다고?</v>
      </c>
      <c r="J719">
        <v>100</v>
      </c>
      <c r="K719">
        <v>1100</v>
      </c>
      <c r="L719">
        <v>11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1100</v>
      </c>
      <c r="AH719">
        <v>11</v>
      </c>
      <c r="AI719">
        <v>0</v>
      </c>
      <c r="AJ719">
        <v>0</v>
      </c>
      <c r="AK719">
        <v>900</v>
      </c>
      <c r="AL719">
        <v>0</v>
      </c>
      <c r="AM719">
        <v>240</v>
      </c>
      <c r="AN719">
        <v>-48</v>
      </c>
      <c r="AO719">
        <v>0</v>
      </c>
      <c r="AP719"/>
      <c r="AQ719">
        <v>0</v>
      </c>
      <c r="AR719">
        <v>0</v>
      </c>
      <c r="AS719">
        <v>240</v>
      </c>
      <c r="AT719">
        <v>-48</v>
      </c>
      <c r="AU719">
        <v>0</v>
      </c>
      <c r="AW719">
        <v>0</v>
      </c>
      <c r="AX719">
        <v>0</v>
      </c>
      <c r="AY719">
        <v>764.4</v>
      </c>
      <c r="BC719" t="str">
        <f t="shared" si="120"/>
        <v>9791137602946</v>
      </c>
      <c r="BE719" t="str">
        <f t="shared" si="121"/>
        <v>판타지 웹소설 &gt; 현대 판타지</v>
      </c>
    </row>
    <row r="720" spans="1:57" x14ac:dyDescent="0.3">
      <c r="A720">
        <v>2313020382</v>
      </c>
      <c r="B720">
        <v>2313020579</v>
      </c>
      <c r="C720" t="str">
        <f>T("신입사원이 이렇게 일을 잘했다고? 198화")</f>
        <v>신입사원이 이렇게 일을 잘했다고? 198화</v>
      </c>
      <c r="D720" t="str">
        <f>T("198")</f>
        <v>198</v>
      </c>
      <c r="E720" t="str">
        <f t="shared" si="117"/>
        <v>왕십리글쟁이</v>
      </c>
      <c r="H720" t="str">
        <f t="shared" si="118"/>
        <v>스토리위즈</v>
      </c>
      <c r="I720" t="str">
        <f t="shared" si="119"/>
        <v>신입사원이 이렇게 일을 잘했다고?</v>
      </c>
      <c r="J720">
        <v>100</v>
      </c>
      <c r="K720">
        <v>1100</v>
      </c>
      <c r="L720">
        <v>11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1100</v>
      </c>
      <c r="AH720">
        <v>11</v>
      </c>
      <c r="AI720">
        <v>0</v>
      </c>
      <c r="AJ720">
        <v>0</v>
      </c>
      <c r="AK720">
        <v>900</v>
      </c>
      <c r="AL720">
        <v>0</v>
      </c>
      <c r="AM720">
        <v>240</v>
      </c>
      <c r="AN720">
        <v>-48</v>
      </c>
      <c r="AO720">
        <v>0</v>
      </c>
      <c r="AP720"/>
      <c r="AQ720">
        <v>0</v>
      </c>
      <c r="AR720">
        <v>0</v>
      </c>
      <c r="AS720">
        <v>240</v>
      </c>
      <c r="AT720">
        <v>-48</v>
      </c>
      <c r="AU720">
        <v>0</v>
      </c>
      <c r="AW720">
        <v>0</v>
      </c>
      <c r="AX720">
        <v>0</v>
      </c>
      <c r="AY720">
        <v>764.4</v>
      </c>
      <c r="BC720" t="str">
        <f t="shared" si="120"/>
        <v>9791137602946</v>
      </c>
      <c r="BE720" t="str">
        <f t="shared" si="121"/>
        <v>판타지 웹소설 &gt; 현대 판타지</v>
      </c>
    </row>
    <row r="721" spans="1:58" x14ac:dyDescent="0.3">
      <c r="A721">
        <v>2313020382</v>
      </c>
      <c r="B721">
        <v>2313020580</v>
      </c>
      <c r="C721" t="str">
        <f>T("신입사원이 이렇게 일을 잘했다고? 199화")</f>
        <v>신입사원이 이렇게 일을 잘했다고? 199화</v>
      </c>
      <c r="D721" t="str">
        <f>T("199")</f>
        <v>199</v>
      </c>
      <c r="E721" t="str">
        <f t="shared" si="117"/>
        <v>왕십리글쟁이</v>
      </c>
      <c r="H721" t="str">
        <f t="shared" si="118"/>
        <v>스토리위즈</v>
      </c>
      <c r="I721" t="str">
        <f t="shared" si="119"/>
        <v>신입사원이 이렇게 일을 잘했다고?</v>
      </c>
      <c r="J721">
        <v>100</v>
      </c>
      <c r="K721">
        <v>1100</v>
      </c>
      <c r="L721">
        <v>11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1100</v>
      </c>
      <c r="AH721">
        <v>11</v>
      </c>
      <c r="AI721">
        <v>0</v>
      </c>
      <c r="AJ721">
        <v>0</v>
      </c>
      <c r="AK721">
        <v>900</v>
      </c>
      <c r="AL721">
        <v>0</v>
      </c>
      <c r="AM721">
        <v>240</v>
      </c>
      <c r="AN721">
        <v>-48</v>
      </c>
      <c r="AO721">
        <v>0</v>
      </c>
      <c r="AP721"/>
      <c r="AQ721">
        <v>0</v>
      </c>
      <c r="AR721">
        <v>0</v>
      </c>
      <c r="AS721">
        <v>240</v>
      </c>
      <c r="AT721">
        <v>-48</v>
      </c>
      <c r="AU721">
        <v>0</v>
      </c>
      <c r="AW721">
        <v>0</v>
      </c>
      <c r="AX721">
        <v>0</v>
      </c>
      <c r="AY721">
        <v>764.4</v>
      </c>
      <c r="BC721" t="str">
        <f t="shared" si="120"/>
        <v>9791137602946</v>
      </c>
      <c r="BE721" t="str">
        <f t="shared" si="121"/>
        <v>판타지 웹소설 &gt; 현대 판타지</v>
      </c>
    </row>
    <row r="722" spans="1:58" x14ac:dyDescent="0.3">
      <c r="A722">
        <v>2313016907</v>
      </c>
      <c r="B722">
        <v>2313016905</v>
      </c>
      <c r="C722" t="str">
        <f>T("[e북]내 남자 길들이기 (외전증보판) (외전)")</f>
        <v>[e북]내 남자 길들이기 (외전증보판) (외전)</v>
      </c>
      <c r="D722" t="str">
        <f>T("3")</f>
        <v>3</v>
      </c>
      <c r="E722" t="str">
        <f>T("밈스")</f>
        <v>밈스</v>
      </c>
      <c r="H722" t="str">
        <f>T("도서출판 태랑")</f>
        <v>도서출판 태랑</v>
      </c>
      <c r="I722" t="str">
        <f>T("[e북]내 남자 길들이기 (외전증보판)")</f>
        <v>[e북]내 남자 길들이기 (외전증보판)</v>
      </c>
      <c r="J722">
        <v>1000</v>
      </c>
      <c r="K722">
        <v>1000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1000</v>
      </c>
      <c r="AH722">
        <v>1</v>
      </c>
      <c r="AI722">
        <v>0</v>
      </c>
      <c r="AJ722">
        <v>0</v>
      </c>
      <c r="AK722">
        <v>1000</v>
      </c>
      <c r="AL722">
        <v>0</v>
      </c>
      <c r="AM722">
        <v>0</v>
      </c>
      <c r="AN722">
        <v>0</v>
      </c>
      <c r="AO722">
        <v>0</v>
      </c>
      <c r="AP722"/>
      <c r="AQ722">
        <v>0</v>
      </c>
      <c r="AR722">
        <v>0</v>
      </c>
      <c r="AT722">
        <v>0</v>
      </c>
      <c r="AU722">
        <v>0</v>
      </c>
      <c r="AW722">
        <v>0</v>
      </c>
      <c r="AX722">
        <v>0</v>
      </c>
      <c r="AY722">
        <v>700</v>
      </c>
      <c r="BC722" t="str">
        <f>T("9791164373901")</f>
        <v>9791164373901</v>
      </c>
      <c r="BE722" t="str">
        <f>T("로맨스 e북 &gt; 현대물")</f>
        <v>로맨스 e북 &gt; 현대물</v>
      </c>
      <c r="BF722" t="str">
        <f>T("로맨스 e북 &gt; 19+")</f>
        <v>로맨스 e북 &gt; 19+</v>
      </c>
    </row>
    <row r="723" spans="1:58" x14ac:dyDescent="0.3">
      <c r="A723">
        <v>2313016942</v>
      </c>
      <c r="B723">
        <v>2313016925</v>
      </c>
      <c r="C723" t="str">
        <f>T("[e북]내 이름을 불러 (외전증보판) (외전)")</f>
        <v>[e북]내 이름을 불러 (외전증보판) (외전)</v>
      </c>
      <c r="D723" t="str">
        <f>T("3")</f>
        <v>3</v>
      </c>
      <c r="E723" t="str">
        <f>T("모리미")</f>
        <v>모리미</v>
      </c>
      <c r="H723" t="str">
        <f>T("도서출판 태랑")</f>
        <v>도서출판 태랑</v>
      </c>
      <c r="I723" t="str">
        <f>T("[e북]내 이름을 불러 (외전증보판)")</f>
        <v>[e북]내 이름을 불러 (외전증보판)</v>
      </c>
      <c r="J723">
        <v>500</v>
      </c>
      <c r="K723">
        <v>1000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1000</v>
      </c>
      <c r="AH723">
        <v>2</v>
      </c>
      <c r="AI723">
        <v>0</v>
      </c>
      <c r="AJ723">
        <v>0</v>
      </c>
      <c r="AK723">
        <v>1000</v>
      </c>
      <c r="AL723">
        <v>0</v>
      </c>
      <c r="AM723">
        <v>0</v>
      </c>
      <c r="AN723">
        <v>0</v>
      </c>
      <c r="AO723">
        <v>0</v>
      </c>
      <c r="AP723"/>
      <c r="AQ723">
        <v>0</v>
      </c>
      <c r="AR723">
        <v>0</v>
      </c>
      <c r="AT723">
        <v>0</v>
      </c>
      <c r="AU723">
        <v>0</v>
      </c>
      <c r="AW723">
        <v>0</v>
      </c>
      <c r="AX723">
        <v>0</v>
      </c>
      <c r="AY723">
        <v>700</v>
      </c>
      <c r="BC723" t="str">
        <f>T("9791164373611")</f>
        <v>9791164373611</v>
      </c>
      <c r="BE723" t="str">
        <f>T("BL 소설 e북 &gt; 현대물")</f>
        <v>BL 소설 e북 &gt; 현대물</v>
      </c>
    </row>
    <row r="724" spans="1:58" x14ac:dyDescent="0.3">
      <c r="A724">
        <v>2313016929</v>
      </c>
      <c r="B724">
        <v>2313016926</v>
      </c>
      <c r="C724" t="str">
        <f>T("[e북]월급 주는 남편 (외전증보판) (외전)")</f>
        <v>[e북]월급 주는 남편 (외전증보판) (외전)</v>
      </c>
      <c r="D724" t="str">
        <f>T("4")</f>
        <v>4</v>
      </c>
      <c r="E724" t="str">
        <f>T("블 루 스 카 이")</f>
        <v>블 루 스 카 이</v>
      </c>
      <c r="H724" t="str">
        <f>T("도서출판 태랑")</f>
        <v>도서출판 태랑</v>
      </c>
      <c r="I724" t="str">
        <f>T("[e북]월급 주는 남편 (외전증보판)")</f>
        <v>[e북]월급 주는 남편 (외전증보판)</v>
      </c>
      <c r="J724">
        <v>1000</v>
      </c>
      <c r="K724">
        <v>1000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1000</v>
      </c>
      <c r="AH724">
        <v>1</v>
      </c>
      <c r="AI724">
        <v>0</v>
      </c>
      <c r="AJ724">
        <v>0</v>
      </c>
      <c r="AK724">
        <v>1000</v>
      </c>
      <c r="AL724">
        <v>0</v>
      </c>
      <c r="AM724">
        <v>0</v>
      </c>
      <c r="AN724">
        <v>0</v>
      </c>
      <c r="AO724">
        <v>0</v>
      </c>
      <c r="AP724"/>
      <c r="AQ724">
        <v>0</v>
      </c>
      <c r="AR724">
        <v>0</v>
      </c>
      <c r="AT724">
        <v>0</v>
      </c>
      <c r="AU724">
        <v>0</v>
      </c>
      <c r="AW724">
        <v>0</v>
      </c>
      <c r="AX724">
        <v>0</v>
      </c>
      <c r="AY724">
        <v>700</v>
      </c>
      <c r="BC724" t="str">
        <f>T("9791164373420")</f>
        <v>9791164373420</v>
      </c>
      <c r="BE724" t="str">
        <f>T("로맨스 e북 &gt; 현대물")</f>
        <v>로맨스 e북 &gt; 현대물</v>
      </c>
      <c r="BF724" t="str">
        <f>T("로맨스 e북 &gt; 19+")</f>
        <v>로맨스 e북 &gt; 19+</v>
      </c>
    </row>
    <row r="725" spans="1:58" x14ac:dyDescent="0.3">
      <c r="A725">
        <v>2313020103</v>
      </c>
      <c r="B725">
        <v>2313020106</v>
      </c>
      <c r="C725" t="str">
        <f>T("[e북]혼자서는 못 해요 (외전)")</f>
        <v>[e북]혼자서는 못 해요 (외전)</v>
      </c>
      <c r="D725" t="str">
        <f>T("4")</f>
        <v>4</v>
      </c>
      <c r="E725" t="str">
        <f>T("몸서리")</f>
        <v>몸서리</v>
      </c>
      <c r="H725" t="str">
        <f>T("블레슈(Blesshuu)")</f>
        <v>블레슈(Blesshuu)</v>
      </c>
      <c r="I725" t="str">
        <f>T("[e북]혼자서는 못 해요")</f>
        <v>[e북]혼자서는 못 해요</v>
      </c>
      <c r="J725">
        <v>1000</v>
      </c>
      <c r="K725">
        <v>1000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1000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1200</v>
      </c>
      <c r="AN725">
        <v>-120</v>
      </c>
      <c r="AO725">
        <v>0</v>
      </c>
      <c r="AP725"/>
      <c r="AQ725">
        <v>0</v>
      </c>
      <c r="AR725">
        <v>0</v>
      </c>
      <c r="AS725">
        <v>1200</v>
      </c>
      <c r="AT725">
        <v>-120</v>
      </c>
      <c r="AU725">
        <v>0</v>
      </c>
      <c r="AW725">
        <v>0</v>
      </c>
      <c r="AX725">
        <v>0</v>
      </c>
      <c r="AY725">
        <v>756</v>
      </c>
      <c r="BC725" t="str">
        <f>T("9791137605930")</f>
        <v>9791137605930</v>
      </c>
      <c r="BE725" t="str">
        <f>T("로맨스 e북 &gt; 현대물")</f>
        <v>로맨스 e북 &gt; 현대물</v>
      </c>
    </row>
    <row r="726" spans="1:58" x14ac:dyDescent="0.3">
      <c r="A726">
        <v>2313020382</v>
      </c>
      <c r="B726">
        <v>2313020422</v>
      </c>
      <c r="C726" t="str">
        <f>T("신입사원이 이렇게 일을 잘했다고? 41화")</f>
        <v>신입사원이 이렇게 일을 잘했다고? 41화</v>
      </c>
      <c r="D726" t="str">
        <f>T("41")</f>
        <v>41</v>
      </c>
      <c r="E726" t="str">
        <f t="shared" ref="E726:E755" si="122">T("왕십리글쟁이")</f>
        <v>왕십리글쟁이</v>
      </c>
      <c r="H726" t="str">
        <f t="shared" ref="H726:H757" si="123">T("스토리위즈")</f>
        <v>스토리위즈</v>
      </c>
      <c r="I726" t="str">
        <f t="shared" ref="I726:I755" si="124">T("신입사원이 이렇게 일을 잘했다고?")</f>
        <v>신입사원이 이렇게 일을 잘했다고?</v>
      </c>
      <c r="J726">
        <v>100</v>
      </c>
      <c r="K726">
        <v>1000</v>
      </c>
      <c r="L726">
        <v>10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1000</v>
      </c>
      <c r="AH726">
        <v>10</v>
      </c>
      <c r="AI726">
        <v>0</v>
      </c>
      <c r="AJ726">
        <v>0</v>
      </c>
      <c r="AK726">
        <v>700</v>
      </c>
      <c r="AL726">
        <v>0</v>
      </c>
      <c r="AM726">
        <v>360</v>
      </c>
      <c r="AN726">
        <v>-60</v>
      </c>
      <c r="AO726">
        <v>0</v>
      </c>
      <c r="AP726"/>
      <c r="AQ726">
        <v>0</v>
      </c>
      <c r="AR726">
        <v>0</v>
      </c>
      <c r="AS726">
        <v>360</v>
      </c>
      <c r="AT726">
        <v>-60</v>
      </c>
      <c r="AU726">
        <v>0</v>
      </c>
      <c r="AW726">
        <v>0</v>
      </c>
      <c r="AX726">
        <v>0</v>
      </c>
      <c r="AY726">
        <v>700</v>
      </c>
      <c r="BC726" t="str">
        <f t="shared" ref="BC726:BC755" si="125">T("9791137602946")</f>
        <v>9791137602946</v>
      </c>
      <c r="BE726" t="str">
        <f t="shared" ref="BE726:BE755" si="126">T("판타지 웹소설 &gt; 현대 판타지")</f>
        <v>판타지 웹소설 &gt; 현대 판타지</v>
      </c>
    </row>
    <row r="727" spans="1:58" x14ac:dyDescent="0.3">
      <c r="A727">
        <v>2313020382</v>
      </c>
      <c r="B727">
        <v>2313020423</v>
      </c>
      <c r="C727" t="str">
        <f>T("신입사원이 이렇게 일을 잘했다고? 42화")</f>
        <v>신입사원이 이렇게 일을 잘했다고? 42화</v>
      </c>
      <c r="D727" t="str">
        <f>T("42")</f>
        <v>42</v>
      </c>
      <c r="E727" t="str">
        <f t="shared" si="122"/>
        <v>왕십리글쟁이</v>
      </c>
      <c r="H727" t="str">
        <f t="shared" si="123"/>
        <v>스토리위즈</v>
      </c>
      <c r="I727" t="str">
        <f t="shared" si="124"/>
        <v>신입사원이 이렇게 일을 잘했다고?</v>
      </c>
      <c r="J727">
        <v>100</v>
      </c>
      <c r="K727">
        <v>1000</v>
      </c>
      <c r="L727">
        <v>10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1000</v>
      </c>
      <c r="AH727">
        <v>10</v>
      </c>
      <c r="AI727">
        <v>0</v>
      </c>
      <c r="AJ727">
        <v>0</v>
      </c>
      <c r="AK727">
        <v>700</v>
      </c>
      <c r="AL727">
        <v>0</v>
      </c>
      <c r="AM727">
        <v>360</v>
      </c>
      <c r="AN727">
        <v>-60</v>
      </c>
      <c r="AO727">
        <v>0</v>
      </c>
      <c r="AP727"/>
      <c r="AQ727">
        <v>0</v>
      </c>
      <c r="AR727">
        <v>0</v>
      </c>
      <c r="AS727">
        <v>360</v>
      </c>
      <c r="AT727">
        <v>-60</v>
      </c>
      <c r="AU727">
        <v>0</v>
      </c>
      <c r="AW727">
        <v>0</v>
      </c>
      <c r="AX727">
        <v>0</v>
      </c>
      <c r="AY727">
        <v>700</v>
      </c>
      <c r="BC727" t="str">
        <f t="shared" si="125"/>
        <v>9791137602946</v>
      </c>
      <c r="BE727" t="str">
        <f t="shared" si="126"/>
        <v>판타지 웹소설 &gt; 현대 판타지</v>
      </c>
    </row>
    <row r="728" spans="1:58" x14ac:dyDescent="0.3">
      <c r="A728">
        <v>2313020382</v>
      </c>
      <c r="B728">
        <v>2313020456</v>
      </c>
      <c r="C728" t="str">
        <f>T("신입사원이 이렇게 일을 잘했다고? 75화")</f>
        <v>신입사원이 이렇게 일을 잘했다고? 75화</v>
      </c>
      <c r="D728" t="str">
        <f>T("75")</f>
        <v>75</v>
      </c>
      <c r="E728" t="str">
        <f t="shared" si="122"/>
        <v>왕십리글쟁이</v>
      </c>
      <c r="H728" t="str">
        <f t="shared" si="123"/>
        <v>스토리위즈</v>
      </c>
      <c r="I728" t="str">
        <f t="shared" si="124"/>
        <v>신입사원이 이렇게 일을 잘했다고?</v>
      </c>
      <c r="J728">
        <v>100</v>
      </c>
      <c r="K728">
        <v>1000</v>
      </c>
      <c r="L728">
        <v>10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1000</v>
      </c>
      <c r="AH728">
        <v>10</v>
      </c>
      <c r="AI728">
        <v>0</v>
      </c>
      <c r="AJ728">
        <v>0</v>
      </c>
      <c r="AK728">
        <v>800</v>
      </c>
      <c r="AL728">
        <v>0</v>
      </c>
      <c r="AM728">
        <v>240</v>
      </c>
      <c r="AN728">
        <v>-24</v>
      </c>
      <c r="AO728">
        <v>0</v>
      </c>
      <c r="AP728"/>
      <c r="AQ728">
        <v>0</v>
      </c>
      <c r="AR728">
        <v>0</v>
      </c>
      <c r="AS728">
        <v>240</v>
      </c>
      <c r="AT728">
        <v>-24</v>
      </c>
      <c r="AU728">
        <v>0</v>
      </c>
      <c r="AW728">
        <v>0</v>
      </c>
      <c r="AX728">
        <v>0</v>
      </c>
      <c r="AY728">
        <v>711.2</v>
      </c>
      <c r="BC728" t="str">
        <f t="shared" si="125"/>
        <v>9791137602946</v>
      </c>
      <c r="BE728" t="str">
        <f t="shared" si="126"/>
        <v>판타지 웹소설 &gt; 현대 판타지</v>
      </c>
    </row>
    <row r="729" spans="1:58" x14ac:dyDescent="0.3">
      <c r="A729">
        <v>2313020382</v>
      </c>
      <c r="B729">
        <v>2313020458</v>
      </c>
      <c r="C729" t="str">
        <f>T("신입사원이 이렇게 일을 잘했다고? 77화")</f>
        <v>신입사원이 이렇게 일을 잘했다고? 77화</v>
      </c>
      <c r="D729" t="str">
        <f>T("77")</f>
        <v>77</v>
      </c>
      <c r="E729" t="str">
        <f t="shared" si="122"/>
        <v>왕십리글쟁이</v>
      </c>
      <c r="H729" t="str">
        <f t="shared" si="123"/>
        <v>스토리위즈</v>
      </c>
      <c r="I729" t="str">
        <f t="shared" si="124"/>
        <v>신입사원이 이렇게 일을 잘했다고?</v>
      </c>
      <c r="J729">
        <v>100</v>
      </c>
      <c r="K729">
        <v>1000</v>
      </c>
      <c r="L729">
        <v>10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1000</v>
      </c>
      <c r="AH729">
        <v>10</v>
      </c>
      <c r="AI729">
        <v>0</v>
      </c>
      <c r="AJ729">
        <v>0</v>
      </c>
      <c r="AK729">
        <v>800</v>
      </c>
      <c r="AL729">
        <v>0</v>
      </c>
      <c r="AM729">
        <v>240</v>
      </c>
      <c r="AN729">
        <v>-24</v>
      </c>
      <c r="AO729">
        <v>0</v>
      </c>
      <c r="AP729"/>
      <c r="AQ729">
        <v>0</v>
      </c>
      <c r="AR729">
        <v>0</v>
      </c>
      <c r="AS729">
        <v>240</v>
      </c>
      <c r="AT729">
        <v>-24</v>
      </c>
      <c r="AU729">
        <v>0</v>
      </c>
      <c r="AW729">
        <v>0</v>
      </c>
      <c r="AX729">
        <v>0</v>
      </c>
      <c r="AY729">
        <v>711.2</v>
      </c>
      <c r="BC729" t="str">
        <f t="shared" si="125"/>
        <v>9791137602946</v>
      </c>
      <c r="BE729" t="str">
        <f t="shared" si="126"/>
        <v>판타지 웹소설 &gt; 현대 판타지</v>
      </c>
    </row>
    <row r="730" spans="1:58" x14ac:dyDescent="0.3">
      <c r="A730">
        <v>2313020382</v>
      </c>
      <c r="B730">
        <v>2313020459</v>
      </c>
      <c r="C730" t="str">
        <f>T("신입사원이 이렇게 일을 잘했다고? 78화")</f>
        <v>신입사원이 이렇게 일을 잘했다고? 78화</v>
      </c>
      <c r="D730" t="str">
        <f>T("78")</f>
        <v>78</v>
      </c>
      <c r="E730" t="str">
        <f t="shared" si="122"/>
        <v>왕십리글쟁이</v>
      </c>
      <c r="H730" t="str">
        <f t="shared" si="123"/>
        <v>스토리위즈</v>
      </c>
      <c r="I730" t="str">
        <f t="shared" si="124"/>
        <v>신입사원이 이렇게 일을 잘했다고?</v>
      </c>
      <c r="J730">
        <v>100</v>
      </c>
      <c r="K730">
        <v>1000</v>
      </c>
      <c r="L730">
        <v>10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1000</v>
      </c>
      <c r="AH730">
        <v>10</v>
      </c>
      <c r="AI730">
        <v>0</v>
      </c>
      <c r="AJ730">
        <v>0</v>
      </c>
      <c r="AK730">
        <v>800</v>
      </c>
      <c r="AL730">
        <v>0</v>
      </c>
      <c r="AM730">
        <v>240</v>
      </c>
      <c r="AN730">
        <v>-24</v>
      </c>
      <c r="AO730">
        <v>0</v>
      </c>
      <c r="AP730"/>
      <c r="AQ730">
        <v>0</v>
      </c>
      <c r="AR730">
        <v>0</v>
      </c>
      <c r="AS730">
        <v>240</v>
      </c>
      <c r="AT730">
        <v>-24</v>
      </c>
      <c r="AU730">
        <v>0</v>
      </c>
      <c r="AW730">
        <v>0</v>
      </c>
      <c r="AX730">
        <v>0</v>
      </c>
      <c r="AY730">
        <v>711.2</v>
      </c>
      <c r="BC730" t="str">
        <f t="shared" si="125"/>
        <v>9791137602946</v>
      </c>
      <c r="BE730" t="str">
        <f t="shared" si="126"/>
        <v>판타지 웹소설 &gt; 현대 판타지</v>
      </c>
    </row>
    <row r="731" spans="1:58" x14ac:dyDescent="0.3">
      <c r="A731">
        <v>2313020382</v>
      </c>
      <c r="B731">
        <v>2313020464</v>
      </c>
      <c r="C731" t="str">
        <f>T("신입사원이 이렇게 일을 잘했다고? 83화")</f>
        <v>신입사원이 이렇게 일을 잘했다고? 83화</v>
      </c>
      <c r="D731" t="str">
        <f>T("83")</f>
        <v>83</v>
      </c>
      <c r="E731" t="str">
        <f t="shared" si="122"/>
        <v>왕십리글쟁이</v>
      </c>
      <c r="H731" t="str">
        <f t="shared" si="123"/>
        <v>스토리위즈</v>
      </c>
      <c r="I731" t="str">
        <f t="shared" si="124"/>
        <v>신입사원이 이렇게 일을 잘했다고?</v>
      </c>
      <c r="J731">
        <v>100</v>
      </c>
      <c r="K731">
        <v>1000</v>
      </c>
      <c r="L731">
        <v>10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1000</v>
      </c>
      <c r="AH731">
        <v>10</v>
      </c>
      <c r="AI731">
        <v>0</v>
      </c>
      <c r="AJ731">
        <v>0</v>
      </c>
      <c r="AK731">
        <v>800</v>
      </c>
      <c r="AL731">
        <v>0</v>
      </c>
      <c r="AM731">
        <v>240</v>
      </c>
      <c r="AN731">
        <v>-24</v>
      </c>
      <c r="AO731">
        <v>0</v>
      </c>
      <c r="AP731"/>
      <c r="AQ731">
        <v>0</v>
      </c>
      <c r="AR731">
        <v>0</v>
      </c>
      <c r="AS731">
        <v>240</v>
      </c>
      <c r="AT731">
        <v>-24</v>
      </c>
      <c r="AU731">
        <v>0</v>
      </c>
      <c r="AW731">
        <v>0</v>
      </c>
      <c r="AX731">
        <v>0</v>
      </c>
      <c r="AY731">
        <v>711.2</v>
      </c>
      <c r="BC731" t="str">
        <f t="shared" si="125"/>
        <v>9791137602946</v>
      </c>
      <c r="BE731" t="str">
        <f t="shared" si="126"/>
        <v>판타지 웹소설 &gt; 현대 판타지</v>
      </c>
    </row>
    <row r="732" spans="1:58" x14ac:dyDescent="0.3">
      <c r="A732">
        <v>2313020382</v>
      </c>
      <c r="B732">
        <v>2313020466</v>
      </c>
      <c r="C732" t="str">
        <f>T("신입사원이 이렇게 일을 잘했다고? 85화")</f>
        <v>신입사원이 이렇게 일을 잘했다고? 85화</v>
      </c>
      <c r="D732" t="str">
        <f>T("85")</f>
        <v>85</v>
      </c>
      <c r="E732" t="str">
        <f t="shared" si="122"/>
        <v>왕십리글쟁이</v>
      </c>
      <c r="H732" t="str">
        <f t="shared" si="123"/>
        <v>스토리위즈</v>
      </c>
      <c r="I732" t="str">
        <f t="shared" si="124"/>
        <v>신입사원이 이렇게 일을 잘했다고?</v>
      </c>
      <c r="J732">
        <v>100</v>
      </c>
      <c r="K732">
        <v>1000</v>
      </c>
      <c r="L732">
        <v>10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1000</v>
      </c>
      <c r="AH732">
        <v>10</v>
      </c>
      <c r="AI732">
        <v>0</v>
      </c>
      <c r="AJ732">
        <v>0</v>
      </c>
      <c r="AK732">
        <v>800</v>
      </c>
      <c r="AL732">
        <v>0</v>
      </c>
      <c r="AM732">
        <v>240</v>
      </c>
      <c r="AN732">
        <v>-24</v>
      </c>
      <c r="AO732">
        <v>0</v>
      </c>
      <c r="AP732"/>
      <c r="AQ732">
        <v>0</v>
      </c>
      <c r="AR732">
        <v>0</v>
      </c>
      <c r="AS732">
        <v>240</v>
      </c>
      <c r="AT732">
        <v>-24</v>
      </c>
      <c r="AU732">
        <v>0</v>
      </c>
      <c r="AW732">
        <v>0</v>
      </c>
      <c r="AX732">
        <v>0</v>
      </c>
      <c r="AY732">
        <v>711.2</v>
      </c>
      <c r="BC732" t="str">
        <f t="shared" si="125"/>
        <v>9791137602946</v>
      </c>
      <c r="BE732" t="str">
        <f t="shared" si="126"/>
        <v>판타지 웹소설 &gt; 현대 판타지</v>
      </c>
    </row>
    <row r="733" spans="1:58" x14ac:dyDescent="0.3">
      <c r="A733">
        <v>2313020382</v>
      </c>
      <c r="B733">
        <v>2313020467</v>
      </c>
      <c r="C733" t="str">
        <f>T("신입사원이 이렇게 일을 잘했다고? 86화")</f>
        <v>신입사원이 이렇게 일을 잘했다고? 86화</v>
      </c>
      <c r="D733" t="str">
        <f>T("86")</f>
        <v>86</v>
      </c>
      <c r="E733" t="str">
        <f t="shared" si="122"/>
        <v>왕십리글쟁이</v>
      </c>
      <c r="H733" t="str">
        <f t="shared" si="123"/>
        <v>스토리위즈</v>
      </c>
      <c r="I733" t="str">
        <f t="shared" si="124"/>
        <v>신입사원이 이렇게 일을 잘했다고?</v>
      </c>
      <c r="J733">
        <v>100</v>
      </c>
      <c r="K733">
        <v>1000</v>
      </c>
      <c r="L733">
        <v>10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1000</v>
      </c>
      <c r="AH733">
        <v>10</v>
      </c>
      <c r="AI733">
        <v>0</v>
      </c>
      <c r="AJ733">
        <v>0</v>
      </c>
      <c r="AK733">
        <v>800</v>
      </c>
      <c r="AL733">
        <v>0</v>
      </c>
      <c r="AM733">
        <v>240</v>
      </c>
      <c r="AN733">
        <v>-24</v>
      </c>
      <c r="AO733">
        <v>0</v>
      </c>
      <c r="AP733"/>
      <c r="AQ733">
        <v>0</v>
      </c>
      <c r="AR733">
        <v>0</v>
      </c>
      <c r="AS733">
        <v>240</v>
      </c>
      <c r="AT733">
        <v>-24</v>
      </c>
      <c r="AU733">
        <v>0</v>
      </c>
      <c r="AW733">
        <v>0</v>
      </c>
      <c r="AX733">
        <v>0</v>
      </c>
      <c r="AY733">
        <v>711.2</v>
      </c>
      <c r="BC733" t="str">
        <f t="shared" si="125"/>
        <v>9791137602946</v>
      </c>
      <c r="BE733" t="str">
        <f t="shared" si="126"/>
        <v>판타지 웹소설 &gt; 현대 판타지</v>
      </c>
    </row>
    <row r="734" spans="1:58" x14ac:dyDescent="0.3">
      <c r="A734">
        <v>2313020382</v>
      </c>
      <c r="B734">
        <v>2313020479</v>
      </c>
      <c r="C734" t="str">
        <f>T("신입사원이 이렇게 일을 잘했다고? 98화")</f>
        <v>신입사원이 이렇게 일을 잘했다고? 98화</v>
      </c>
      <c r="D734" t="str">
        <f>T("98")</f>
        <v>98</v>
      </c>
      <c r="E734" t="str">
        <f t="shared" si="122"/>
        <v>왕십리글쟁이</v>
      </c>
      <c r="H734" t="str">
        <f t="shared" si="123"/>
        <v>스토리위즈</v>
      </c>
      <c r="I734" t="str">
        <f t="shared" si="124"/>
        <v>신입사원이 이렇게 일을 잘했다고?</v>
      </c>
      <c r="J734">
        <v>100</v>
      </c>
      <c r="K734">
        <v>1000</v>
      </c>
      <c r="L734">
        <v>10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1000</v>
      </c>
      <c r="AH734">
        <v>10</v>
      </c>
      <c r="AI734">
        <v>0</v>
      </c>
      <c r="AJ734">
        <v>0</v>
      </c>
      <c r="AK734">
        <v>800</v>
      </c>
      <c r="AL734">
        <v>0</v>
      </c>
      <c r="AM734">
        <v>240</v>
      </c>
      <c r="AN734">
        <v>-24</v>
      </c>
      <c r="AO734">
        <v>0</v>
      </c>
      <c r="AP734"/>
      <c r="AQ734">
        <v>0</v>
      </c>
      <c r="AR734">
        <v>0</v>
      </c>
      <c r="AS734">
        <v>240</v>
      </c>
      <c r="AT734">
        <v>-24</v>
      </c>
      <c r="AU734">
        <v>0</v>
      </c>
      <c r="AW734">
        <v>0</v>
      </c>
      <c r="AX734">
        <v>0</v>
      </c>
      <c r="AY734">
        <v>711.2</v>
      </c>
      <c r="BC734" t="str">
        <f t="shared" si="125"/>
        <v>9791137602946</v>
      </c>
      <c r="BE734" t="str">
        <f t="shared" si="126"/>
        <v>판타지 웹소설 &gt; 현대 판타지</v>
      </c>
    </row>
    <row r="735" spans="1:58" x14ac:dyDescent="0.3">
      <c r="A735">
        <v>2313020382</v>
      </c>
      <c r="B735">
        <v>2313020480</v>
      </c>
      <c r="C735" t="str">
        <f>T("신입사원이 이렇게 일을 잘했다고? 99화")</f>
        <v>신입사원이 이렇게 일을 잘했다고? 99화</v>
      </c>
      <c r="D735" t="str">
        <f>T("99")</f>
        <v>99</v>
      </c>
      <c r="E735" t="str">
        <f t="shared" si="122"/>
        <v>왕십리글쟁이</v>
      </c>
      <c r="H735" t="str">
        <f t="shared" si="123"/>
        <v>스토리위즈</v>
      </c>
      <c r="I735" t="str">
        <f t="shared" si="124"/>
        <v>신입사원이 이렇게 일을 잘했다고?</v>
      </c>
      <c r="J735">
        <v>100</v>
      </c>
      <c r="K735">
        <v>1000</v>
      </c>
      <c r="L735">
        <v>10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1000</v>
      </c>
      <c r="AH735">
        <v>10</v>
      </c>
      <c r="AI735">
        <v>0</v>
      </c>
      <c r="AJ735">
        <v>0</v>
      </c>
      <c r="AK735">
        <v>800</v>
      </c>
      <c r="AL735">
        <v>0</v>
      </c>
      <c r="AM735">
        <v>240</v>
      </c>
      <c r="AN735">
        <v>-24</v>
      </c>
      <c r="AO735">
        <v>0</v>
      </c>
      <c r="AP735"/>
      <c r="AQ735">
        <v>0</v>
      </c>
      <c r="AR735">
        <v>0</v>
      </c>
      <c r="AS735">
        <v>240</v>
      </c>
      <c r="AT735">
        <v>-24</v>
      </c>
      <c r="AU735">
        <v>0</v>
      </c>
      <c r="AW735">
        <v>0</v>
      </c>
      <c r="AX735">
        <v>0</v>
      </c>
      <c r="AY735">
        <v>711.2</v>
      </c>
      <c r="BC735" t="str">
        <f t="shared" si="125"/>
        <v>9791137602946</v>
      </c>
      <c r="BE735" t="str">
        <f t="shared" si="126"/>
        <v>판타지 웹소설 &gt; 현대 판타지</v>
      </c>
    </row>
    <row r="736" spans="1:58" x14ac:dyDescent="0.3">
      <c r="A736">
        <v>2313020382</v>
      </c>
      <c r="B736">
        <v>2313020482</v>
      </c>
      <c r="C736" t="str">
        <f>T("신입사원이 이렇게 일을 잘했다고? 101화")</f>
        <v>신입사원이 이렇게 일을 잘했다고? 101화</v>
      </c>
      <c r="D736" t="str">
        <f>T("101")</f>
        <v>101</v>
      </c>
      <c r="E736" t="str">
        <f t="shared" si="122"/>
        <v>왕십리글쟁이</v>
      </c>
      <c r="H736" t="str">
        <f t="shared" si="123"/>
        <v>스토리위즈</v>
      </c>
      <c r="I736" t="str">
        <f t="shared" si="124"/>
        <v>신입사원이 이렇게 일을 잘했다고?</v>
      </c>
      <c r="J736">
        <v>100</v>
      </c>
      <c r="K736">
        <v>1000</v>
      </c>
      <c r="L736">
        <v>10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1000</v>
      </c>
      <c r="AH736">
        <v>10</v>
      </c>
      <c r="AI736">
        <v>0</v>
      </c>
      <c r="AJ736">
        <v>0</v>
      </c>
      <c r="AK736">
        <v>800</v>
      </c>
      <c r="AL736">
        <v>0</v>
      </c>
      <c r="AM736">
        <v>240</v>
      </c>
      <c r="AN736">
        <v>-24</v>
      </c>
      <c r="AO736">
        <v>0</v>
      </c>
      <c r="AP736"/>
      <c r="AQ736">
        <v>0</v>
      </c>
      <c r="AR736">
        <v>0</v>
      </c>
      <c r="AS736">
        <v>240</v>
      </c>
      <c r="AT736">
        <v>-24</v>
      </c>
      <c r="AU736">
        <v>0</v>
      </c>
      <c r="AW736">
        <v>0</v>
      </c>
      <c r="AX736">
        <v>0</v>
      </c>
      <c r="AY736">
        <v>711.2</v>
      </c>
      <c r="BC736" t="str">
        <f t="shared" si="125"/>
        <v>9791137602946</v>
      </c>
      <c r="BE736" t="str">
        <f t="shared" si="126"/>
        <v>판타지 웹소설 &gt; 현대 판타지</v>
      </c>
    </row>
    <row r="737" spans="1:57" x14ac:dyDescent="0.3">
      <c r="A737">
        <v>2313020382</v>
      </c>
      <c r="B737">
        <v>2313020483</v>
      </c>
      <c r="C737" t="str">
        <f>T("신입사원이 이렇게 일을 잘했다고? 102화")</f>
        <v>신입사원이 이렇게 일을 잘했다고? 102화</v>
      </c>
      <c r="D737" t="str">
        <f>T("102")</f>
        <v>102</v>
      </c>
      <c r="E737" t="str">
        <f t="shared" si="122"/>
        <v>왕십리글쟁이</v>
      </c>
      <c r="H737" t="str">
        <f t="shared" si="123"/>
        <v>스토리위즈</v>
      </c>
      <c r="I737" t="str">
        <f t="shared" si="124"/>
        <v>신입사원이 이렇게 일을 잘했다고?</v>
      </c>
      <c r="J737">
        <v>100</v>
      </c>
      <c r="K737">
        <v>1000</v>
      </c>
      <c r="L737">
        <v>10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1000</v>
      </c>
      <c r="AH737">
        <v>10</v>
      </c>
      <c r="AI737">
        <v>0</v>
      </c>
      <c r="AJ737">
        <v>0</v>
      </c>
      <c r="AK737">
        <v>800</v>
      </c>
      <c r="AL737">
        <v>0</v>
      </c>
      <c r="AM737">
        <v>240</v>
      </c>
      <c r="AN737">
        <v>-24</v>
      </c>
      <c r="AO737">
        <v>0</v>
      </c>
      <c r="AP737"/>
      <c r="AQ737">
        <v>0</v>
      </c>
      <c r="AR737">
        <v>0</v>
      </c>
      <c r="AS737">
        <v>240</v>
      </c>
      <c r="AT737">
        <v>-24</v>
      </c>
      <c r="AU737">
        <v>0</v>
      </c>
      <c r="AW737">
        <v>0</v>
      </c>
      <c r="AX737">
        <v>0</v>
      </c>
      <c r="AY737">
        <v>711.2</v>
      </c>
      <c r="BC737" t="str">
        <f t="shared" si="125"/>
        <v>9791137602946</v>
      </c>
      <c r="BE737" t="str">
        <f t="shared" si="126"/>
        <v>판타지 웹소설 &gt; 현대 판타지</v>
      </c>
    </row>
    <row r="738" spans="1:57" x14ac:dyDescent="0.3">
      <c r="A738">
        <v>2313020382</v>
      </c>
      <c r="B738">
        <v>2313020485</v>
      </c>
      <c r="C738" t="str">
        <f>T("신입사원이 이렇게 일을 잘했다고? 104화")</f>
        <v>신입사원이 이렇게 일을 잘했다고? 104화</v>
      </c>
      <c r="D738" t="str">
        <f>T("104")</f>
        <v>104</v>
      </c>
      <c r="E738" t="str">
        <f t="shared" si="122"/>
        <v>왕십리글쟁이</v>
      </c>
      <c r="H738" t="str">
        <f t="shared" si="123"/>
        <v>스토리위즈</v>
      </c>
      <c r="I738" t="str">
        <f t="shared" si="124"/>
        <v>신입사원이 이렇게 일을 잘했다고?</v>
      </c>
      <c r="J738">
        <v>100</v>
      </c>
      <c r="K738">
        <v>1000</v>
      </c>
      <c r="L738">
        <v>10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1000</v>
      </c>
      <c r="AH738">
        <v>10</v>
      </c>
      <c r="AI738">
        <v>0</v>
      </c>
      <c r="AJ738">
        <v>0</v>
      </c>
      <c r="AK738">
        <v>900</v>
      </c>
      <c r="AL738">
        <v>0</v>
      </c>
      <c r="AM738">
        <v>120</v>
      </c>
      <c r="AN738">
        <v>-12</v>
      </c>
      <c r="AO738">
        <v>0</v>
      </c>
      <c r="AP738"/>
      <c r="AQ738">
        <v>0</v>
      </c>
      <c r="AR738">
        <v>0</v>
      </c>
      <c r="AS738">
        <v>120</v>
      </c>
      <c r="AT738">
        <v>-12</v>
      </c>
      <c r="AU738">
        <v>0</v>
      </c>
      <c r="AW738">
        <v>0</v>
      </c>
      <c r="AX738">
        <v>0</v>
      </c>
      <c r="AY738">
        <v>705.6</v>
      </c>
      <c r="BC738" t="str">
        <f t="shared" si="125"/>
        <v>9791137602946</v>
      </c>
      <c r="BE738" t="str">
        <f t="shared" si="126"/>
        <v>판타지 웹소설 &gt; 현대 판타지</v>
      </c>
    </row>
    <row r="739" spans="1:57" x14ac:dyDescent="0.3">
      <c r="A739">
        <v>2313020382</v>
      </c>
      <c r="B739">
        <v>2313020486</v>
      </c>
      <c r="C739" t="str">
        <f>T("신입사원이 이렇게 일을 잘했다고? 105화")</f>
        <v>신입사원이 이렇게 일을 잘했다고? 105화</v>
      </c>
      <c r="D739" t="str">
        <f>T("105")</f>
        <v>105</v>
      </c>
      <c r="E739" t="str">
        <f t="shared" si="122"/>
        <v>왕십리글쟁이</v>
      </c>
      <c r="H739" t="str">
        <f t="shared" si="123"/>
        <v>스토리위즈</v>
      </c>
      <c r="I739" t="str">
        <f t="shared" si="124"/>
        <v>신입사원이 이렇게 일을 잘했다고?</v>
      </c>
      <c r="J739">
        <v>100</v>
      </c>
      <c r="K739">
        <v>1000</v>
      </c>
      <c r="L739">
        <v>10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1000</v>
      </c>
      <c r="AH739">
        <v>10</v>
      </c>
      <c r="AI739">
        <v>0</v>
      </c>
      <c r="AJ739">
        <v>0</v>
      </c>
      <c r="AK739">
        <v>900</v>
      </c>
      <c r="AL739">
        <v>0</v>
      </c>
      <c r="AM739">
        <v>120</v>
      </c>
      <c r="AN739">
        <v>-12</v>
      </c>
      <c r="AO739">
        <v>0</v>
      </c>
      <c r="AP739"/>
      <c r="AQ739">
        <v>0</v>
      </c>
      <c r="AR739">
        <v>0</v>
      </c>
      <c r="AS739">
        <v>120</v>
      </c>
      <c r="AT739">
        <v>-12</v>
      </c>
      <c r="AU739">
        <v>0</v>
      </c>
      <c r="AW739">
        <v>0</v>
      </c>
      <c r="AX739">
        <v>0</v>
      </c>
      <c r="AY739">
        <v>705.6</v>
      </c>
      <c r="BC739" t="str">
        <f t="shared" si="125"/>
        <v>9791137602946</v>
      </c>
      <c r="BE739" t="str">
        <f t="shared" si="126"/>
        <v>판타지 웹소설 &gt; 현대 판타지</v>
      </c>
    </row>
    <row r="740" spans="1:57" x14ac:dyDescent="0.3">
      <c r="A740">
        <v>2313020382</v>
      </c>
      <c r="B740">
        <v>2313020488</v>
      </c>
      <c r="C740" t="str">
        <f>T("신입사원이 이렇게 일을 잘했다고? 107화")</f>
        <v>신입사원이 이렇게 일을 잘했다고? 107화</v>
      </c>
      <c r="D740" t="str">
        <f>T("107")</f>
        <v>107</v>
      </c>
      <c r="E740" t="str">
        <f t="shared" si="122"/>
        <v>왕십리글쟁이</v>
      </c>
      <c r="H740" t="str">
        <f t="shared" si="123"/>
        <v>스토리위즈</v>
      </c>
      <c r="I740" t="str">
        <f t="shared" si="124"/>
        <v>신입사원이 이렇게 일을 잘했다고?</v>
      </c>
      <c r="J740">
        <v>100</v>
      </c>
      <c r="K740">
        <v>1000</v>
      </c>
      <c r="L740">
        <v>10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1000</v>
      </c>
      <c r="AH740">
        <v>10</v>
      </c>
      <c r="AI740">
        <v>0</v>
      </c>
      <c r="AJ740">
        <v>0</v>
      </c>
      <c r="AK740">
        <v>900</v>
      </c>
      <c r="AL740">
        <v>0</v>
      </c>
      <c r="AM740">
        <v>120</v>
      </c>
      <c r="AN740">
        <v>-12</v>
      </c>
      <c r="AO740">
        <v>0</v>
      </c>
      <c r="AP740"/>
      <c r="AQ740">
        <v>0</v>
      </c>
      <c r="AR740">
        <v>0</v>
      </c>
      <c r="AS740">
        <v>120</v>
      </c>
      <c r="AT740">
        <v>-12</v>
      </c>
      <c r="AU740">
        <v>0</v>
      </c>
      <c r="AW740">
        <v>0</v>
      </c>
      <c r="AX740">
        <v>0</v>
      </c>
      <c r="AY740">
        <v>705.6</v>
      </c>
      <c r="BC740" t="str">
        <f t="shared" si="125"/>
        <v>9791137602946</v>
      </c>
      <c r="BE740" t="str">
        <f t="shared" si="126"/>
        <v>판타지 웹소설 &gt; 현대 판타지</v>
      </c>
    </row>
    <row r="741" spans="1:57" x14ac:dyDescent="0.3">
      <c r="A741">
        <v>2313020382</v>
      </c>
      <c r="B741">
        <v>2313020495</v>
      </c>
      <c r="C741" t="str">
        <f>T("신입사원이 이렇게 일을 잘했다고? 114화")</f>
        <v>신입사원이 이렇게 일을 잘했다고? 114화</v>
      </c>
      <c r="D741" t="str">
        <f>T("114")</f>
        <v>114</v>
      </c>
      <c r="E741" t="str">
        <f t="shared" si="122"/>
        <v>왕십리글쟁이</v>
      </c>
      <c r="H741" t="str">
        <f t="shared" si="123"/>
        <v>스토리위즈</v>
      </c>
      <c r="I741" t="str">
        <f t="shared" si="124"/>
        <v>신입사원이 이렇게 일을 잘했다고?</v>
      </c>
      <c r="J741">
        <v>100</v>
      </c>
      <c r="K741">
        <v>1000</v>
      </c>
      <c r="L741">
        <v>10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1000</v>
      </c>
      <c r="AH741">
        <v>10</v>
      </c>
      <c r="AI741">
        <v>0</v>
      </c>
      <c r="AJ741">
        <v>0</v>
      </c>
      <c r="AK741">
        <v>900</v>
      </c>
      <c r="AL741">
        <v>0</v>
      </c>
      <c r="AM741">
        <v>120</v>
      </c>
      <c r="AN741">
        <v>-12</v>
      </c>
      <c r="AO741">
        <v>0</v>
      </c>
      <c r="AP741"/>
      <c r="AQ741">
        <v>0</v>
      </c>
      <c r="AR741">
        <v>0</v>
      </c>
      <c r="AS741">
        <v>120</v>
      </c>
      <c r="AT741">
        <v>-12</v>
      </c>
      <c r="AU741">
        <v>0</v>
      </c>
      <c r="AW741">
        <v>0</v>
      </c>
      <c r="AX741">
        <v>0</v>
      </c>
      <c r="AY741">
        <v>705.6</v>
      </c>
      <c r="BC741" t="str">
        <f t="shared" si="125"/>
        <v>9791137602946</v>
      </c>
      <c r="BE741" t="str">
        <f t="shared" si="126"/>
        <v>판타지 웹소설 &gt; 현대 판타지</v>
      </c>
    </row>
    <row r="742" spans="1:57" x14ac:dyDescent="0.3">
      <c r="A742">
        <v>2313020382</v>
      </c>
      <c r="B742">
        <v>2313020496</v>
      </c>
      <c r="C742" t="str">
        <f>T("신입사원이 이렇게 일을 잘했다고? 115화")</f>
        <v>신입사원이 이렇게 일을 잘했다고? 115화</v>
      </c>
      <c r="D742" t="str">
        <f>T("115")</f>
        <v>115</v>
      </c>
      <c r="E742" t="str">
        <f t="shared" si="122"/>
        <v>왕십리글쟁이</v>
      </c>
      <c r="H742" t="str">
        <f t="shared" si="123"/>
        <v>스토리위즈</v>
      </c>
      <c r="I742" t="str">
        <f t="shared" si="124"/>
        <v>신입사원이 이렇게 일을 잘했다고?</v>
      </c>
      <c r="J742">
        <v>100</v>
      </c>
      <c r="K742">
        <v>1000</v>
      </c>
      <c r="L742">
        <v>10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1000</v>
      </c>
      <c r="AH742">
        <v>10</v>
      </c>
      <c r="AI742">
        <v>0</v>
      </c>
      <c r="AJ742">
        <v>0</v>
      </c>
      <c r="AK742">
        <v>900</v>
      </c>
      <c r="AL742">
        <v>0</v>
      </c>
      <c r="AM742">
        <v>120</v>
      </c>
      <c r="AN742">
        <v>-12</v>
      </c>
      <c r="AO742">
        <v>0</v>
      </c>
      <c r="AP742"/>
      <c r="AQ742">
        <v>0</v>
      </c>
      <c r="AR742">
        <v>0</v>
      </c>
      <c r="AS742">
        <v>120</v>
      </c>
      <c r="AT742">
        <v>-12</v>
      </c>
      <c r="AU742">
        <v>0</v>
      </c>
      <c r="AW742">
        <v>0</v>
      </c>
      <c r="AX742">
        <v>0</v>
      </c>
      <c r="AY742">
        <v>705.6</v>
      </c>
      <c r="BC742" t="str">
        <f t="shared" si="125"/>
        <v>9791137602946</v>
      </c>
      <c r="BE742" t="str">
        <f t="shared" si="126"/>
        <v>판타지 웹소설 &gt; 현대 판타지</v>
      </c>
    </row>
    <row r="743" spans="1:57" x14ac:dyDescent="0.3">
      <c r="A743">
        <v>2313020382</v>
      </c>
      <c r="B743">
        <v>2313020556</v>
      </c>
      <c r="C743" t="str">
        <f>T("신입사원이 이렇게 일을 잘했다고? 175화")</f>
        <v>신입사원이 이렇게 일을 잘했다고? 175화</v>
      </c>
      <c r="D743" t="str">
        <f>T("175")</f>
        <v>175</v>
      </c>
      <c r="E743" t="str">
        <f t="shared" si="122"/>
        <v>왕십리글쟁이</v>
      </c>
      <c r="H743" t="str">
        <f t="shared" si="123"/>
        <v>스토리위즈</v>
      </c>
      <c r="I743" t="str">
        <f t="shared" si="124"/>
        <v>신입사원이 이렇게 일을 잘했다고?</v>
      </c>
      <c r="J743">
        <v>100</v>
      </c>
      <c r="K743">
        <v>1000</v>
      </c>
      <c r="L743">
        <v>10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1000</v>
      </c>
      <c r="AH743">
        <v>10</v>
      </c>
      <c r="AI743">
        <v>0</v>
      </c>
      <c r="AJ743">
        <v>0</v>
      </c>
      <c r="AK743">
        <v>800</v>
      </c>
      <c r="AL743">
        <v>0</v>
      </c>
      <c r="AM743">
        <v>240</v>
      </c>
      <c r="AN743">
        <v>-48</v>
      </c>
      <c r="AO743">
        <v>0</v>
      </c>
      <c r="AP743"/>
      <c r="AQ743">
        <v>0</v>
      </c>
      <c r="AR743">
        <v>0</v>
      </c>
      <c r="AS743">
        <v>240</v>
      </c>
      <c r="AT743">
        <v>-48</v>
      </c>
      <c r="AU743">
        <v>0</v>
      </c>
      <c r="AW743">
        <v>0</v>
      </c>
      <c r="AX743">
        <v>0</v>
      </c>
      <c r="AY743">
        <v>694.4</v>
      </c>
      <c r="BC743" t="str">
        <f t="shared" si="125"/>
        <v>9791137602946</v>
      </c>
      <c r="BE743" t="str">
        <f t="shared" si="126"/>
        <v>판타지 웹소설 &gt; 현대 판타지</v>
      </c>
    </row>
    <row r="744" spans="1:57" x14ac:dyDescent="0.3">
      <c r="A744">
        <v>2313020382</v>
      </c>
      <c r="B744">
        <v>2313020557</v>
      </c>
      <c r="C744" t="str">
        <f>T("신입사원이 이렇게 일을 잘했다고? 176화")</f>
        <v>신입사원이 이렇게 일을 잘했다고? 176화</v>
      </c>
      <c r="D744" t="str">
        <f>T("176")</f>
        <v>176</v>
      </c>
      <c r="E744" t="str">
        <f t="shared" si="122"/>
        <v>왕십리글쟁이</v>
      </c>
      <c r="H744" t="str">
        <f t="shared" si="123"/>
        <v>스토리위즈</v>
      </c>
      <c r="I744" t="str">
        <f t="shared" si="124"/>
        <v>신입사원이 이렇게 일을 잘했다고?</v>
      </c>
      <c r="J744">
        <v>100</v>
      </c>
      <c r="K744">
        <v>1000</v>
      </c>
      <c r="L744">
        <v>10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1000</v>
      </c>
      <c r="AH744">
        <v>10</v>
      </c>
      <c r="AI744">
        <v>0</v>
      </c>
      <c r="AJ744">
        <v>0</v>
      </c>
      <c r="AK744">
        <v>800</v>
      </c>
      <c r="AL744">
        <v>0</v>
      </c>
      <c r="AM744">
        <v>240</v>
      </c>
      <c r="AN744">
        <v>-48</v>
      </c>
      <c r="AO744">
        <v>0</v>
      </c>
      <c r="AP744"/>
      <c r="AQ744">
        <v>0</v>
      </c>
      <c r="AR744">
        <v>0</v>
      </c>
      <c r="AS744">
        <v>240</v>
      </c>
      <c r="AT744">
        <v>-48</v>
      </c>
      <c r="AU744">
        <v>0</v>
      </c>
      <c r="AW744">
        <v>0</v>
      </c>
      <c r="AX744">
        <v>0</v>
      </c>
      <c r="AY744">
        <v>694.4</v>
      </c>
      <c r="BC744" t="str">
        <f t="shared" si="125"/>
        <v>9791137602946</v>
      </c>
      <c r="BE744" t="str">
        <f t="shared" si="126"/>
        <v>판타지 웹소설 &gt; 현대 판타지</v>
      </c>
    </row>
    <row r="745" spans="1:57" x14ac:dyDescent="0.3">
      <c r="A745">
        <v>2313020382</v>
      </c>
      <c r="B745">
        <v>2313020558</v>
      </c>
      <c r="C745" t="str">
        <f>T("신입사원이 이렇게 일을 잘했다고? 177화")</f>
        <v>신입사원이 이렇게 일을 잘했다고? 177화</v>
      </c>
      <c r="D745" t="str">
        <f>T("177")</f>
        <v>177</v>
      </c>
      <c r="E745" t="str">
        <f t="shared" si="122"/>
        <v>왕십리글쟁이</v>
      </c>
      <c r="H745" t="str">
        <f t="shared" si="123"/>
        <v>스토리위즈</v>
      </c>
      <c r="I745" t="str">
        <f t="shared" si="124"/>
        <v>신입사원이 이렇게 일을 잘했다고?</v>
      </c>
      <c r="J745">
        <v>100</v>
      </c>
      <c r="K745">
        <v>1000</v>
      </c>
      <c r="L745">
        <v>10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1000</v>
      </c>
      <c r="AH745">
        <v>10</v>
      </c>
      <c r="AI745">
        <v>0</v>
      </c>
      <c r="AJ745">
        <v>0</v>
      </c>
      <c r="AK745">
        <v>800</v>
      </c>
      <c r="AL745">
        <v>0</v>
      </c>
      <c r="AM745">
        <v>240</v>
      </c>
      <c r="AN745">
        <v>-48</v>
      </c>
      <c r="AO745">
        <v>0</v>
      </c>
      <c r="AP745"/>
      <c r="AQ745">
        <v>0</v>
      </c>
      <c r="AR745">
        <v>0</v>
      </c>
      <c r="AS745">
        <v>240</v>
      </c>
      <c r="AT745">
        <v>-48</v>
      </c>
      <c r="AU745">
        <v>0</v>
      </c>
      <c r="AW745">
        <v>0</v>
      </c>
      <c r="AX745">
        <v>0</v>
      </c>
      <c r="AY745">
        <v>694.4</v>
      </c>
      <c r="BC745" t="str">
        <f t="shared" si="125"/>
        <v>9791137602946</v>
      </c>
      <c r="BE745" t="str">
        <f t="shared" si="126"/>
        <v>판타지 웹소설 &gt; 현대 판타지</v>
      </c>
    </row>
    <row r="746" spans="1:57" x14ac:dyDescent="0.3">
      <c r="A746">
        <v>2313020382</v>
      </c>
      <c r="B746">
        <v>2313020559</v>
      </c>
      <c r="C746" t="str">
        <f>T("신입사원이 이렇게 일을 잘했다고? 178화")</f>
        <v>신입사원이 이렇게 일을 잘했다고? 178화</v>
      </c>
      <c r="D746" t="str">
        <f>T("178")</f>
        <v>178</v>
      </c>
      <c r="E746" t="str">
        <f t="shared" si="122"/>
        <v>왕십리글쟁이</v>
      </c>
      <c r="H746" t="str">
        <f t="shared" si="123"/>
        <v>스토리위즈</v>
      </c>
      <c r="I746" t="str">
        <f t="shared" si="124"/>
        <v>신입사원이 이렇게 일을 잘했다고?</v>
      </c>
      <c r="J746">
        <v>100</v>
      </c>
      <c r="K746">
        <v>1000</v>
      </c>
      <c r="L746">
        <v>10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1000</v>
      </c>
      <c r="AH746">
        <v>10</v>
      </c>
      <c r="AI746">
        <v>0</v>
      </c>
      <c r="AJ746">
        <v>0</v>
      </c>
      <c r="AK746">
        <v>800</v>
      </c>
      <c r="AL746">
        <v>0</v>
      </c>
      <c r="AM746">
        <v>240</v>
      </c>
      <c r="AN746">
        <v>-48</v>
      </c>
      <c r="AO746">
        <v>0</v>
      </c>
      <c r="AP746"/>
      <c r="AQ746">
        <v>0</v>
      </c>
      <c r="AR746">
        <v>0</v>
      </c>
      <c r="AS746">
        <v>240</v>
      </c>
      <c r="AT746">
        <v>-48</v>
      </c>
      <c r="AU746">
        <v>0</v>
      </c>
      <c r="AW746">
        <v>0</v>
      </c>
      <c r="AX746">
        <v>0</v>
      </c>
      <c r="AY746">
        <v>694.4</v>
      </c>
      <c r="BC746" t="str">
        <f t="shared" si="125"/>
        <v>9791137602946</v>
      </c>
      <c r="BE746" t="str">
        <f t="shared" si="126"/>
        <v>판타지 웹소설 &gt; 현대 판타지</v>
      </c>
    </row>
    <row r="747" spans="1:57" x14ac:dyDescent="0.3">
      <c r="A747">
        <v>2313020382</v>
      </c>
      <c r="B747">
        <v>2313020560</v>
      </c>
      <c r="C747" t="str">
        <f>T("신입사원이 이렇게 일을 잘했다고? 179화")</f>
        <v>신입사원이 이렇게 일을 잘했다고? 179화</v>
      </c>
      <c r="D747" t="str">
        <f>T("179")</f>
        <v>179</v>
      </c>
      <c r="E747" t="str">
        <f t="shared" si="122"/>
        <v>왕십리글쟁이</v>
      </c>
      <c r="H747" t="str">
        <f t="shared" si="123"/>
        <v>스토리위즈</v>
      </c>
      <c r="I747" t="str">
        <f t="shared" si="124"/>
        <v>신입사원이 이렇게 일을 잘했다고?</v>
      </c>
      <c r="J747">
        <v>100</v>
      </c>
      <c r="K747">
        <v>1000</v>
      </c>
      <c r="L747">
        <v>10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1000</v>
      </c>
      <c r="AH747">
        <v>10</v>
      </c>
      <c r="AI747">
        <v>0</v>
      </c>
      <c r="AJ747">
        <v>0</v>
      </c>
      <c r="AK747">
        <v>800</v>
      </c>
      <c r="AL747">
        <v>0</v>
      </c>
      <c r="AM747">
        <v>240</v>
      </c>
      <c r="AN747">
        <v>-48</v>
      </c>
      <c r="AO747">
        <v>0</v>
      </c>
      <c r="AP747"/>
      <c r="AQ747">
        <v>0</v>
      </c>
      <c r="AR747">
        <v>0</v>
      </c>
      <c r="AS747">
        <v>240</v>
      </c>
      <c r="AT747">
        <v>-48</v>
      </c>
      <c r="AU747">
        <v>0</v>
      </c>
      <c r="AW747">
        <v>0</v>
      </c>
      <c r="AX747">
        <v>0</v>
      </c>
      <c r="AY747">
        <v>694.4</v>
      </c>
      <c r="BC747" t="str">
        <f t="shared" si="125"/>
        <v>9791137602946</v>
      </c>
      <c r="BE747" t="str">
        <f t="shared" si="126"/>
        <v>판타지 웹소설 &gt; 현대 판타지</v>
      </c>
    </row>
    <row r="748" spans="1:57" x14ac:dyDescent="0.3">
      <c r="A748">
        <v>2313020382</v>
      </c>
      <c r="B748">
        <v>2313020563</v>
      </c>
      <c r="C748" t="str">
        <f>T("신입사원이 이렇게 일을 잘했다고? 182화")</f>
        <v>신입사원이 이렇게 일을 잘했다고? 182화</v>
      </c>
      <c r="D748" t="str">
        <f>T("182")</f>
        <v>182</v>
      </c>
      <c r="E748" t="str">
        <f t="shared" si="122"/>
        <v>왕십리글쟁이</v>
      </c>
      <c r="H748" t="str">
        <f t="shared" si="123"/>
        <v>스토리위즈</v>
      </c>
      <c r="I748" t="str">
        <f t="shared" si="124"/>
        <v>신입사원이 이렇게 일을 잘했다고?</v>
      </c>
      <c r="J748">
        <v>100</v>
      </c>
      <c r="K748">
        <v>1000</v>
      </c>
      <c r="L748">
        <v>10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1000</v>
      </c>
      <c r="AH748">
        <v>10</v>
      </c>
      <c r="AI748">
        <v>0</v>
      </c>
      <c r="AJ748">
        <v>0</v>
      </c>
      <c r="AK748">
        <v>800</v>
      </c>
      <c r="AL748">
        <v>0</v>
      </c>
      <c r="AM748">
        <v>240</v>
      </c>
      <c r="AN748">
        <v>-48</v>
      </c>
      <c r="AO748">
        <v>0</v>
      </c>
      <c r="AP748"/>
      <c r="AQ748">
        <v>0</v>
      </c>
      <c r="AR748">
        <v>0</v>
      </c>
      <c r="AS748">
        <v>240</v>
      </c>
      <c r="AT748">
        <v>-48</v>
      </c>
      <c r="AU748">
        <v>0</v>
      </c>
      <c r="AW748">
        <v>0</v>
      </c>
      <c r="AX748">
        <v>0</v>
      </c>
      <c r="AY748">
        <v>694.4</v>
      </c>
      <c r="BC748" t="str">
        <f t="shared" si="125"/>
        <v>9791137602946</v>
      </c>
      <c r="BE748" t="str">
        <f t="shared" si="126"/>
        <v>판타지 웹소설 &gt; 현대 판타지</v>
      </c>
    </row>
    <row r="749" spans="1:57" x14ac:dyDescent="0.3">
      <c r="A749">
        <v>2313020382</v>
      </c>
      <c r="B749">
        <v>2313020564</v>
      </c>
      <c r="C749" t="str">
        <f>T("신입사원이 이렇게 일을 잘했다고? 183화")</f>
        <v>신입사원이 이렇게 일을 잘했다고? 183화</v>
      </c>
      <c r="D749" t="str">
        <f>T("183")</f>
        <v>183</v>
      </c>
      <c r="E749" t="str">
        <f t="shared" si="122"/>
        <v>왕십리글쟁이</v>
      </c>
      <c r="H749" t="str">
        <f t="shared" si="123"/>
        <v>스토리위즈</v>
      </c>
      <c r="I749" t="str">
        <f t="shared" si="124"/>
        <v>신입사원이 이렇게 일을 잘했다고?</v>
      </c>
      <c r="J749">
        <v>100</v>
      </c>
      <c r="K749">
        <v>1000</v>
      </c>
      <c r="L749">
        <v>10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1000</v>
      </c>
      <c r="AH749">
        <v>10</v>
      </c>
      <c r="AI749">
        <v>0</v>
      </c>
      <c r="AJ749">
        <v>0</v>
      </c>
      <c r="AK749">
        <v>800</v>
      </c>
      <c r="AL749">
        <v>0</v>
      </c>
      <c r="AM749">
        <v>240</v>
      </c>
      <c r="AN749">
        <v>-48</v>
      </c>
      <c r="AO749">
        <v>0</v>
      </c>
      <c r="AP749"/>
      <c r="AQ749">
        <v>0</v>
      </c>
      <c r="AR749">
        <v>0</v>
      </c>
      <c r="AS749">
        <v>240</v>
      </c>
      <c r="AT749">
        <v>-48</v>
      </c>
      <c r="AU749">
        <v>0</v>
      </c>
      <c r="AW749">
        <v>0</v>
      </c>
      <c r="AX749">
        <v>0</v>
      </c>
      <c r="AY749">
        <v>694.4</v>
      </c>
      <c r="BC749" t="str">
        <f t="shared" si="125"/>
        <v>9791137602946</v>
      </c>
      <c r="BE749" t="str">
        <f t="shared" si="126"/>
        <v>판타지 웹소설 &gt; 현대 판타지</v>
      </c>
    </row>
    <row r="750" spans="1:57" x14ac:dyDescent="0.3">
      <c r="A750">
        <v>2313020382</v>
      </c>
      <c r="B750">
        <v>2313020565</v>
      </c>
      <c r="C750" t="str">
        <f>T("신입사원이 이렇게 일을 잘했다고? 184화")</f>
        <v>신입사원이 이렇게 일을 잘했다고? 184화</v>
      </c>
      <c r="D750" t="str">
        <f>T("184")</f>
        <v>184</v>
      </c>
      <c r="E750" t="str">
        <f t="shared" si="122"/>
        <v>왕십리글쟁이</v>
      </c>
      <c r="H750" t="str">
        <f t="shared" si="123"/>
        <v>스토리위즈</v>
      </c>
      <c r="I750" t="str">
        <f t="shared" si="124"/>
        <v>신입사원이 이렇게 일을 잘했다고?</v>
      </c>
      <c r="J750">
        <v>100</v>
      </c>
      <c r="K750">
        <v>1000</v>
      </c>
      <c r="L750">
        <v>10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1000</v>
      </c>
      <c r="AH750">
        <v>10</v>
      </c>
      <c r="AI750">
        <v>0</v>
      </c>
      <c r="AJ750">
        <v>0</v>
      </c>
      <c r="AK750">
        <v>800</v>
      </c>
      <c r="AL750">
        <v>0</v>
      </c>
      <c r="AM750">
        <v>240</v>
      </c>
      <c r="AN750">
        <v>-48</v>
      </c>
      <c r="AO750">
        <v>0</v>
      </c>
      <c r="AP750"/>
      <c r="AQ750">
        <v>0</v>
      </c>
      <c r="AR750">
        <v>0</v>
      </c>
      <c r="AS750">
        <v>240</v>
      </c>
      <c r="AT750">
        <v>-48</v>
      </c>
      <c r="AU750">
        <v>0</v>
      </c>
      <c r="AW750">
        <v>0</v>
      </c>
      <c r="AX750">
        <v>0</v>
      </c>
      <c r="AY750">
        <v>694.4</v>
      </c>
      <c r="BC750" t="str">
        <f t="shared" si="125"/>
        <v>9791137602946</v>
      </c>
      <c r="BE750" t="str">
        <f t="shared" si="126"/>
        <v>판타지 웹소설 &gt; 현대 판타지</v>
      </c>
    </row>
    <row r="751" spans="1:57" x14ac:dyDescent="0.3">
      <c r="A751">
        <v>2313020382</v>
      </c>
      <c r="B751">
        <v>2313020566</v>
      </c>
      <c r="C751" t="str">
        <f>T("신입사원이 이렇게 일을 잘했다고? 185화")</f>
        <v>신입사원이 이렇게 일을 잘했다고? 185화</v>
      </c>
      <c r="D751" t="str">
        <f>T("185")</f>
        <v>185</v>
      </c>
      <c r="E751" t="str">
        <f t="shared" si="122"/>
        <v>왕십리글쟁이</v>
      </c>
      <c r="H751" t="str">
        <f t="shared" si="123"/>
        <v>스토리위즈</v>
      </c>
      <c r="I751" t="str">
        <f t="shared" si="124"/>
        <v>신입사원이 이렇게 일을 잘했다고?</v>
      </c>
      <c r="J751">
        <v>100</v>
      </c>
      <c r="K751">
        <v>1000</v>
      </c>
      <c r="L751">
        <v>10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1000</v>
      </c>
      <c r="AH751">
        <v>10</v>
      </c>
      <c r="AI751">
        <v>0</v>
      </c>
      <c r="AJ751">
        <v>0</v>
      </c>
      <c r="AK751">
        <v>800</v>
      </c>
      <c r="AL751">
        <v>0</v>
      </c>
      <c r="AM751">
        <v>240</v>
      </c>
      <c r="AN751">
        <v>-48</v>
      </c>
      <c r="AO751">
        <v>0</v>
      </c>
      <c r="AP751"/>
      <c r="AQ751">
        <v>0</v>
      </c>
      <c r="AR751">
        <v>0</v>
      </c>
      <c r="AS751">
        <v>240</v>
      </c>
      <c r="AT751">
        <v>-48</v>
      </c>
      <c r="AU751">
        <v>0</v>
      </c>
      <c r="AW751">
        <v>0</v>
      </c>
      <c r="AX751">
        <v>0</v>
      </c>
      <c r="AY751">
        <v>694.4</v>
      </c>
      <c r="BC751" t="str">
        <f t="shared" si="125"/>
        <v>9791137602946</v>
      </c>
      <c r="BE751" t="str">
        <f t="shared" si="126"/>
        <v>판타지 웹소설 &gt; 현대 판타지</v>
      </c>
    </row>
    <row r="752" spans="1:57" x14ac:dyDescent="0.3">
      <c r="A752">
        <v>2313020382</v>
      </c>
      <c r="B752">
        <v>2313020567</v>
      </c>
      <c r="C752" t="str">
        <f>T("신입사원이 이렇게 일을 잘했다고? 186화")</f>
        <v>신입사원이 이렇게 일을 잘했다고? 186화</v>
      </c>
      <c r="D752" t="str">
        <f>T("186")</f>
        <v>186</v>
      </c>
      <c r="E752" t="str">
        <f t="shared" si="122"/>
        <v>왕십리글쟁이</v>
      </c>
      <c r="H752" t="str">
        <f t="shared" si="123"/>
        <v>스토리위즈</v>
      </c>
      <c r="I752" t="str">
        <f t="shared" si="124"/>
        <v>신입사원이 이렇게 일을 잘했다고?</v>
      </c>
      <c r="J752">
        <v>100</v>
      </c>
      <c r="K752">
        <v>1000</v>
      </c>
      <c r="L752">
        <v>10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1000</v>
      </c>
      <c r="AH752">
        <v>10</v>
      </c>
      <c r="AI752">
        <v>0</v>
      </c>
      <c r="AJ752">
        <v>0</v>
      </c>
      <c r="AK752">
        <v>800</v>
      </c>
      <c r="AL752">
        <v>0</v>
      </c>
      <c r="AM752">
        <v>240</v>
      </c>
      <c r="AN752">
        <v>-48</v>
      </c>
      <c r="AO752">
        <v>0</v>
      </c>
      <c r="AP752"/>
      <c r="AQ752">
        <v>0</v>
      </c>
      <c r="AR752">
        <v>0</v>
      </c>
      <c r="AS752">
        <v>240</v>
      </c>
      <c r="AT752">
        <v>-48</v>
      </c>
      <c r="AU752">
        <v>0</v>
      </c>
      <c r="AW752">
        <v>0</v>
      </c>
      <c r="AX752">
        <v>0</v>
      </c>
      <c r="AY752">
        <v>694.4</v>
      </c>
      <c r="BC752" t="str">
        <f t="shared" si="125"/>
        <v>9791137602946</v>
      </c>
      <c r="BE752" t="str">
        <f t="shared" si="126"/>
        <v>판타지 웹소설 &gt; 현대 판타지</v>
      </c>
    </row>
    <row r="753" spans="1:57" x14ac:dyDescent="0.3">
      <c r="A753">
        <v>2313020382</v>
      </c>
      <c r="B753">
        <v>2313020569</v>
      </c>
      <c r="C753" t="str">
        <f>T("신입사원이 이렇게 일을 잘했다고? 188화")</f>
        <v>신입사원이 이렇게 일을 잘했다고? 188화</v>
      </c>
      <c r="D753" t="str">
        <f>T("188")</f>
        <v>188</v>
      </c>
      <c r="E753" t="str">
        <f t="shared" si="122"/>
        <v>왕십리글쟁이</v>
      </c>
      <c r="H753" t="str">
        <f t="shared" si="123"/>
        <v>스토리위즈</v>
      </c>
      <c r="I753" t="str">
        <f t="shared" si="124"/>
        <v>신입사원이 이렇게 일을 잘했다고?</v>
      </c>
      <c r="J753">
        <v>100</v>
      </c>
      <c r="K753">
        <v>1000</v>
      </c>
      <c r="L753">
        <v>10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1000</v>
      </c>
      <c r="AH753">
        <v>10</v>
      </c>
      <c r="AI753">
        <v>0</v>
      </c>
      <c r="AJ753">
        <v>0</v>
      </c>
      <c r="AK753">
        <v>800</v>
      </c>
      <c r="AL753">
        <v>0</v>
      </c>
      <c r="AM753">
        <v>240</v>
      </c>
      <c r="AN753">
        <v>-48</v>
      </c>
      <c r="AO753">
        <v>0</v>
      </c>
      <c r="AP753"/>
      <c r="AQ753">
        <v>0</v>
      </c>
      <c r="AR753">
        <v>0</v>
      </c>
      <c r="AS753">
        <v>240</v>
      </c>
      <c r="AT753">
        <v>-48</v>
      </c>
      <c r="AU753">
        <v>0</v>
      </c>
      <c r="AW753">
        <v>0</v>
      </c>
      <c r="AX753">
        <v>0</v>
      </c>
      <c r="AY753">
        <v>694.4</v>
      </c>
      <c r="BC753" t="str">
        <f t="shared" si="125"/>
        <v>9791137602946</v>
      </c>
      <c r="BE753" t="str">
        <f t="shared" si="126"/>
        <v>판타지 웹소설 &gt; 현대 판타지</v>
      </c>
    </row>
    <row r="754" spans="1:57" x14ac:dyDescent="0.3">
      <c r="A754">
        <v>2313020382</v>
      </c>
      <c r="B754">
        <v>2313020570</v>
      </c>
      <c r="C754" t="str">
        <f>T("신입사원이 이렇게 일을 잘했다고? 189화")</f>
        <v>신입사원이 이렇게 일을 잘했다고? 189화</v>
      </c>
      <c r="D754" t="str">
        <f>T("189")</f>
        <v>189</v>
      </c>
      <c r="E754" t="str">
        <f t="shared" si="122"/>
        <v>왕십리글쟁이</v>
      </c>
      <c r="H754" t="str">
        <f t="shared" si="123"/>
        <v>스토리위즈</v>
      </c>
      <c r="I754" t="str">
        <f t="shared" si="124"/>
        <v>신입사원이 이렇게 일을 잘했다고?</v>
      </c>
      <c r="J754">
        <v>100</v>
      </c>
      <c r="K754">
        <v>1000</v>
      </c>
      <c r="L754">
        <v>10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1000</v>
      </c>
      <c r="AH754">
        <v>10</v>
      </c>
      <c r="AI754">
        <v>0</v>
      </c>
      <c r="AJ754">
        <v>0</v>
      </c>
      <c r="AK754">
        <v>800</v>
      </c>
      <c r="AL754">
        <v>0</v>
      </c>
      <c r="AM754">
        <v>240</v>
      </c>
      <c r="AN754">
        <v>-48</v>
      </c>
      <c r="AO754">
        <v>0</v>
      </c>
      <c r="AP754"/>
      <c r="AQ754">
        <v>0</v>
      </c>
      <c r="AR754">
        <v>0</v>
      </c>
      <c r="AS754">
        <v>240</v>
      </c>
      <c r="AT754">
        <v>-48</v>
      </c>
      <c r="AU754">
        <v>0</v>
      </c>
      <c r="AW754">
        <v>0</v>
      </c>
      <c r="AX754">
        <v>0</v>
      </c>
      <c r="AY754">
        <v>694.4</v>
      </c>
      <c r="BC754" t="str">
        <f t="shared" si="125"/>
        <v>9791137602946</v>
      </c>
      <c r="BE754" t="str">
        <f t="shared" si="126"/>
        <v>판타지 웹소설 &gt; 현대 판타지</v>
      </c>
    </row>
    <row r="755" spans="1:57" x14ac:dyDescent="0.3">
      <c r="A755">
        <v>2313020382</v>
      </c>
      <c r="B755">
        <v>2313020571</v>
      </c>
      <c r="C755" t="str">
        <f>T("신입사원이 이렇게 일을 잘했다고? 190화")</f>
        <v>신입사원이 이렇게 일을 잘했다고? 190화</v>
      </c>
      <c r="D755" t="str">
        <f>T("190")</f>
        <v>190</v>
      </c>
      <c r="E755" t="str">
        <f t="shared" si="122"/>
        <v>왕십리글쟁이</v>
      </c>
      <c r="H755" t="str">
        <f t="shared" si="123"/>
        <v>스토리위즈</v>
      </c>
      <c r="I755" t="str">
        <f t="shared" si="124"/>
        <v>신입사원이 이렇게 일을 잘했다고?</v>
      </c>
      <c r="J755">
        <v>100</v>
      </c>
      <c r="K755">
        <v>1000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1000</v>
      </c>
      <c r="AH755">
        <v>10</v>
      </c>
      <c r="AI755">
        <v>0</v>
      </c>
      <c r="AJ755">
        <v>0</v>
      </c>
      <c r="AK755">
        <v>800</v>
      </c>
      <c r="AL755">
        <v>0</v>
      </c>
      <c r="AM755">
        <v>240</v>
      </c>
      <c r="AN755">
        <v>-48</v>
      </c>
      <c r="AO755">
        <v>0</v>
      </c>
      <c r="AP755"/>
      <c r="AQ755">
        <v>0</v>
      </c>
      <c r="AR755">
        <v>0</v>
      </c>
      <c r="AS755">
        <v>240</v>
      </c>
      <c r="AT755">
        <v>-48</v>
      </c>
      <c r="AU755">
        <v>0</v>
      </c>
      <c r="AW755">
        <v>0</v>
      </c>
      <c r="AX755">
        <v>0</v>
      </c>
      <c r="AY755">
        <v>694.4</v>
      </c>
      <c r="BC755" t="str">
        <f t="shared" si="125"/>
        <v>9791137602946</v>
      </c>
      <c r="BE755" t="str">
        <f t="shared" si="126"/>
        <v>판타지 웹소설 &gt; 현대 판타지</v>
      </c>
    </row>
    <row r="756" spans="1:57" x14ac:dyDescent="0.3">
      <c r="A756">
        <v>2313020594</v>
      </c>
      <c r="B756">
        <v>2313020650</v>
      </c>
      <c r="C756" t="str">
        <f>T("아카데미 속 궁술천재 57화")</f>
        <v>아카데미 속 궁술천재 57화</v>
      </c>
      <c r="D756" t="str">
        <f>T("57")</f>
        <v>57</v>
      </c>
      <c r="E756" t="str">
        <f>T("깡펀치")</f>
        <v>깡펀치</v>
      </c>
      <c r="H756" t="str">
        <f t="shared" si="123"/>
        <v>스토리위즈</v>
      </c>
      <c r="I756" t="str">
        <f>T("아카데미 속 궁술천재")</f>
        <v>아카데미 속 궁술천재</v>
      </c>
      <c r="J756">
        <v>100</v>
      </c>
      <c r="K756">
        <v>1000</v>
      </c>
      <c r="L756">
        <v>10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1000</v>
      </c>
      <c r="AH756">
        <v>10</v>
      </c>
      <c r="AI756">
        <v>0</v>
      </c>
      <c r="AJ756">
        <v>0</v>
      </c>
      <c r="AK756">
        <v>900</v>
      </c>
      <c r="AL756">
        <v>0</v>
      </c>
      <c r="AM756">
        <v>120</v>
      </c>
      <c r="AN756">
        <v>-36</v>
      </c>
      <c r="AO756">
        <v>0</v>
      </c>
      <c r="AP756">
        <v>120</v>
      </c>
      <c r="AQ756">
        <v>-36</v>
      </c>
      <c r="AR756">
        <v>0</v>
      </c>
      <c r="AT756">
        <v>0</v>
      </c>
      <c r="AU756">
        <v>0</v>
      </c>
      <c r="AW756">
        <v>0</v>
      </c>
      <c r="AX756">
        <v>0</v>
      </c>
      <c r="AY756">
        <v>688.8</v>
      </c>
      <c r="BC756" t="str">
        <f>T("9791137602915")</f>
        <v>9791137602915</v>
      </c>
      <c r="BE756" t="str">
        <f>T("판타지 웹소설 &gt; 퓨전 판타지")</f>
        <v>판타지 웹소설 &gt; 퓨전 판타지</v>
      </c>
    </row>
    <row r="757" spans="1:57" x14ac:dyDescent="0.3">
      <c r="A757">
        <v>2313020594</v>
      </c>
      <c r="B757">
        <v>2313020651</v>
      </c>
      <c r="C757" t="str">
        <f>T("아카데미 속 궁술천재 58화")</f>
        <v>아카데미 속 궁술천재 58화</v>
      </c>
      <c r="D757" t="str">
        <f>T("58")</f>
        <v>58</v>
      </c>
      <c r="E757" t="str">
        <f>T("깡펀치")</f>
        <v>깡펀치</v>
      </c>
      <c r="H757" t="str">
        <f t="shared" si="123"/>
        <v>스토리위즈</v>
      </c>
      <c r="I757" t="str">
        <f>T("아카데미 속 궁술천재")</f>
        <v>아카데미 속 궁술천재</v>
      </c>
      <c r="J757">
        <v>100</v>
      </c>
      <c r="K757">
        <v>1000</v>
      </c>
      <c r="L757">
        <v>10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1000</v>
      </c>
      <c r="AH757">
        <v>10</v>
      </c>
      <c r="AI757">
        <v>0</v>
      </c>
      <c r="AJ757">
        <v>0</v>
      </c>
      <c r="AK757">
        <v>900</v>
      </c>
      <c r="AL757">
        <v>0</v>
      </c>
      <c r="AM757">
        <v>120</v>
      </c>
      <c r="AN757">
        <v>-36</v>
      </c>
      <c r="AO757">
        <v>0</v>
      </c>
      <c r="AP757">
        <v>120</v>
      </c>
      <c r="AQ757">
        <v>-36</v>
      </c>
      <c r="AR757">
        <v>0</v>
      </c>
      <c r="AT757">
        <v>0</v>
      </c>
      <c r="AU757">
        <v>0</v>
      </c>
      <c r="AW757">
        <v>0</v>
      </c>
      <c r="AX757">
        <v>0</v>
      </c>
      <c r="AY757">
        <v>688.8</v>
      </c>
      <c r="BC757" t="str">
        <f>T("9791137602915")</f>
        <v>9791137602915</v>
      </c>
      <c r="BE757" t="str">
        <f>T("판타지 웹소설 &gt; 퓨전 판타지")</f>
        <v>판타지 웹소설 &gt; 퓨전 판타지</v>
      </c>
    </row>
    <row r="758" spans="1:57" x14ac:dyDescent="0.3">
      <c r="A758">
        <v>2313016897</v>
      </c>
      <c r="B758">
        <v>2313016866</v>
      </c>
      <c r="C758" t="str">
        <f>T("[e북]선택된 남자 (외전)")</f>
        <v>[e북]선택된 남자 (외전)</v>
      </c>
      <c r="D758" t="str">
        <f>T("3")</f>
        <v>3</v>
      </c>
      <c r="E758" t="str">
        <f>T("모리미")</f>
        <v>모리미</v>
      </c>
      <c r="H758" t="str">
        <f>T("도서출판 태랑")</f>
        <v>도서출판 태랑</v>
      </c>
      <c r="I758" t="str">
        <f>T("[e북]선택된 남자")</f>
        <v>[e북]선택된 남자</v>
      </c>
      <c r="J758">
        <v>300</v>
      </c>
      <c r="K758">
        <v>900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900</v>
      </c>
      <c r="AH758">
        <v>3</v>
      </c>
      <c r="AI758">
        <v>0</v>
      </c>
      <c r="AJ758">
        <v>0</v>
      </c>
      <c r="AK758">
        <v>900</v>
      </c>
      <c r="AL758">
        <v>0</v>
      </c>
      <c r="AM758">
        <v>0</v>
      </c>
      <c r="AN758">
        <v>0</v>
      </c>
      <c r="AO758">
        <v>0</v>
      </c>
      <c r="AP758"/>
      <c r="AQ758">
        <v>0</v>
      </c>
      <c r="AR758">
        <v>0</v>
      </c>
      <c r="AT758">
        <v>0</v>
      </c>
      <c r="AU758">
        <v>0</v>
      </c>
      <c r="AW758">
        <v>0</v>
      </c>
      <c r="AX758">
        <v>0</v>
      </c>
      <c r="AY758">
        <v>630</v>
      </c>
      <c r="BC758" t="str">
        <f>T("9791164374366")</f>
        <v>9791164374366</v>
      </c>
      <c r="BE758" t="str">
        <f>T("BL 소설 e북 &gt; 현대물")</f>
        <v>BL 소설 e북 &gt; 현대물</v>
      </c>
    </row>
    <row r="759" spans="1:57" x14ac:dyDescent="0.3">
      <c r="A759">
        <v>2313017065</v>
      </c>
      <c r="B759">
        <v>2313017024</v>
      </c>
      <c r="C759" t="str">
        <f>T("[e북]로맨틱 크러시 (외전)")</f>
        <v>[e북]로맨틱 크러시 (외전)</v>
      </c>
      <c r="D759" t="str">
        <f>T("3")</f>
        <v>3</v>
      </c>
      <c r="E759" t="str">
        <f>T("망나니개")</f>
        <v>망나니개</v>
      </c>
      <c r="H759" t="str">
        <f>T("도서출판 태랑")</f>
        <v>도서출판 태랑</v>
      </c>
      <c r="I759" t="str">
        <f>T("[e북]로맨틱 크러시")</f>
        <v>[e북]로맨틱 크러시</v>
      </c>
      <c r="J759">
        <v>300</v>
      </c>
      <c r="K759">
        <v>900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900</v>
      </c>
      <c r="AH759">
        <v>3</v>
      </c>
      <c r="AI759">
        <v>0</v>
      </c>
      <c r="AJ759">
        <v>0</v>
      </c>
      <c r="AK759">
        <v>900</v>
      </c>
      <c r="AL759">
        <v>0</v>
      </c>
      <c r="AM759">
        <v>0</v>
      </c>
      <c r="AN759">
        <v>0</v>
      </c>
      <c r="AO759">
        <v>0</v>
      </c>
      <c r="AP759"/>
      <c r="AQ759">
        <v>0</v>
      </c>
      <c r="AR759">
        <v>0</v>
      </c>
      <c r="AT759">
        <v>0</v>
      </c>
      <c r="AU759">
        <v>0</v>
      </c>
      <c r="AW759">
        <v>0</v>
      </c>
      <c r="AX759">
        <v>0</v>
      </c>
      <c r="AY759">
        <v>630</v>
      </c>
      <c r="BC759" t="str">
        <f>T("9791164371303")</f>
        <v>9791164371303</v>
      </c>
      <c r="BE759" t="str">
        <f>T("BL 소설 e북 &gt; 판타지물")</f>
        <v>BL 소설 e북 &gt; 판타지물</v>
      </c>
    </row>
    <row r="760" spans="1:57" x14ac:dyDescent="0.3">
      <c r="A760">
        <v>2313020382</v>
      </c>
      <c r="B760">
        <v>2313020411</v>
      </c>
      <c r="C760" t="str">
        <f>T("신입사원이 이렇게 일을 잘했다고? 30화")</f>
        <v>신입사원이 이렇게 일을 잘했다고? 30화</v>
      </c>
      <c r="D760" t="str">
        <f>T("30")</f>
        <v>30</v>
      </c>
      <c r="E760" t="str">
        <f t="shared" ref="E760:E795" si="127">T("왕십리글쟁이")</f>
        <v>왕십리글쟁이</v>
      </c>
      <c r="H760" t="str">
        <f t="shared" ref="H760:H803" si="128">T("스토리위즈")</f>
        <v>스토리위즈</v>
      </c>
      <c r="I760" t="str">
        <f t="shared" ref="I760:I795" si="129">T("신입사원이 이렇게 일을 잘했다고?")</f>
        <v>신입사원이 이렇게 일을 잘했다고?</v>
      </c>
      <c r="J760">
        <v>100</v>
      </c>
      <c r="K760">
        <v>900</v>
      </c>
      <c r="L760">
        <v>9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900</v>
      </c>
      <c r="AH760">
        <v>9</v>
      </c>
      <c r="AI760">
        <v>0</v>
      </c>
      <c r="AJ760">
        <v>0</v>
      </c>
      <c r="AK760">
        <v>600</v>
      </c>
      <c r="AL760">
        <v>0</v>
      </c>
      <c r="AM760">
        <v>360</v>
      </c>
      <c r="AN760">
        <v>-60</v>
      </c>
      <c r="AO760">
        <v>0</v>
      </c>
      <c r="AP760"/>
      <c r="AQ760">
        <v>0</v>
      </c>
      <c r="AR760">
        <v>0</v>
      </c>
      <c r="AS760">
        <v>360</v>
      </c>
      <c r="AT760">
        <v>-60</v>
      </c>
      <c r="AU760">
        <v>0</v>
      </c>
      <c r="AW760">
        <v>0</v>
      </c>
      <c r="AX760">
        <v>0</v>
      </c>
      <c r="AY760">
        <v>630</v>
      </c>
      <c r="BC760" t="str">
        <f t="shared" ref="BC760:BC795" si="130">T("9791137602946")</f>
        <v>9791137602946</v>
      </c>
      <c r="BE760" t="str">
        <f t="shared" ref="BE760:BE795" si="131">T("판타지 웹소설 &gt; 현대 판타지")</f>
        <v>판타지 웹소설 &gt; 현대 판타지</v>
      </c>
    </row>
    <row r="761" spans="1:57" x14ac:dyDescent="0.3">
      <c r="A761">
        <v>2313020382</v>
      </c>
      <c r="B761">
        <v>2313020419</v>
      </c>
      <c r="C761" t="str">
        <f>T("신입사원이 이렇게 일을 잘했다고? 38화")</f>
        <v>신입사원이 이렇게 일을 잘했다고? 38화</v>
      </c>
      <c r="D761" t="str">
        <f>T("38")</f>
        <v>38</v>
      </c>
      <c r="E761" t="str">
        <f t="shared" si="127"/>
        <v>왕십리글쟁이</v>
      </c>
      <c r="H761" t="str">
        <f t="shared" si="128"/>
        <v>스토리위즈</v>
      </c>
      <c r="I761" t="str">
        <f t="shared" si="129"/>
        <v>신입사원이 이렇게 일을 잘했다고?</v>
      </c>
      <c r="J761">
        <v>100</v>
      </c>
      <c r="K761">
        <v>900</v>
      </c>
      <c r="L761">
        <v>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900</v>
      </c>
      <c r="AH761">
        <v>9</v>
      </c>
      <c r="AI761">
        <v>0</v>
      </c>
      <c r="AJ761">
        <v>0</v>
      </c>
      <c r="AK761">
        <v>600</v>
      </c>
      <c r="AL761">
        <v>0</v>
      </c>
      <c r="AM761">
        <v>360</v>
      </c>
      <c r="AN761">
        <v>-60</v>
      </c>
      <c r="AO761">
        <v>0</v>
      </c>
      <c r="AP761"/>
      <c r="AQ761">
        <v>0</v>
      </c>
      <c r="AR761">
        <v>0</v>
      </c>
      <c r="AS761">
        <v>360</v>
      </c>
      <c r="AT761">
        <v>-60</v>
      </c>
      <c r="AU761">
        <v>0</v>
      </c>
      <c r="AW761">
        <v>0</v>
      </c>
      <c r="AX761">
        <v>0</v>
      </c>
      <c r="AY761">
        <v>630</v>
      </c>
      <c r="BC761" t="str">
        <f t="shared" si="130"/>
        <v>9791137602946</v>
      </c>
      <c r="BE761" t="str">
        <f t="shared" si="131"/>
        <v>판타지 웹소설 &gt; 현대 판타지</v>
      </c>
    </row>
    <row r="762" spans="1:57" x14ac:dyDescent="0.3">
      <c r="A762">
        <v>2313020382</v>
      </c>
      <c r="B762">
        <v>2313020471</v>
      </c>
      <c r="C762" t="str">
        <f>T("신입사원이 이렇게 일을 잘했다고? 90화")</f>
        <v>신입사원이 이렇게 일을 잘했다고? 90화</v>
      </c>
      <c r="D762" t="str">
        <f>T("90")</f>
        <v>90</v>
      </c>
      <c r="E762" t="str">
        <f t="shared" si="127"/>
        <v>왕십리글쟁이</v>
      </c>
      <c r="H762" t="str">
        <f t="shared" si="128"/>
        <v>스토리위즈</v>
      </c>
      <c r="I762" t="str">
        <f t="shared" si="129"/>
        <v>신입사원이 이렇게 일을 잘했다고?</v>
      </c>
      <c r="J762">
        <v>100</v>
      </c>
      <c r="K762">
        <v>900</v>
      </c>
      <c r="L762">
        <v>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900</v>
      </c>
      <c r="AH762">
        <v>9</v>
      </c>
      <c r="AI762">
        <v>0</v>
      </c>
      <c r="AJ762">
        <v>0</v>
      </c>
      <c r="AK762">
        <v>800</v>
      </c>
      <c r="AL762">
        <v>0</v>
      </c>
      <c r="AM762">
        <v>120</v>
      </c>
      <c r="AN762">
        <v>-12</v>
      </c>
      <c r="AO762">
        <v>0</v>
      </c>
      <c r="AP762"/>
      <c r="AQ762">
        <v>0</v>
      </c>
      <c r="AR762">
        <v>0</v>
      </c>
      <c r="AS762">
        <v>120</v>
      </c>
      <c r="AT762">
        <v>-12</v>
      </c>
      <c r="AU762">
        <v>0</v>
      </c>
      <c r="AW762">
        <v>0</v>
      </c>
      <c r="AX762">
        <v>0</v>
      </c>
      <c r="AY762">
        <v>635.6</v>
      </c>
      <c r="BC762" t="str">
        <f t="shared" si="130"/>
        <v>9791137602946</v>
      </c>
      <c r="BE762" t="str">
        <f t="shared" si="131"/>
        <v>판타지 웹소설 &gt; 현대 판타지</v>
      </c>
    </row>
    <row r="763" spans="1:57" x14ac:dyDescent="0.3">
      <c r="A763">
        <v>2313020382</v>
      </c>
      <c r="B763">
        <v>2313020472</v>
      </c>
      <c r="C763" t="str">
        <f>T("신입사원이 이렇게 일을 잘했다고? 91화")</f>
        <v>신입사원이 이렇게 일을 잘했다고? 91화</v>
      </c>
      <c r="D763" t="str">
        <f>T("91")</f>
        <v>91</v>
      </c>
      <c r="E763" t="str">
        <f t="shared" si="127"/>
        <v>왕십리글쟁이</v>
      </c>
      <c r="H763" t="str">
        <f t="shared" si="128"/>
        <v>스토리위즈</v>
      </c>
      <c r="I763" t="str">
        <f t="shared" si="129"/>
        <v>신입사원이 이렇게 일을 잘했다고?</v>
      </c>
      <c r="J763">
        <v>100</v>
      </c>
      <c r="K763">
        <v>900</v>
      </c>
      <c r="L763">
        <v>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900</v>
      </c>
      <c r="AH763">
        <v>9</v>
      </c>
      <c r="AI763">
        <v>0</v>
      </c>
      <c r="AJ763">
        <v>0</v>
      </c>
      <c r="AK763">
        <v>700</v>
      </c>
      <c r="AL763">
        <v>0</v>
      </c>
      <c r="AM763">
        <v>240</v>
      </c>
      <c r="AN763">
        <v>-24</v>
      </c>
      <c r="AO763">
        <v>0</v>
      </c>
      <c r="AP763"/>
      <c r="AQ763">
        <v>0</v>
      </c>
      <c r="AR763">
        <v>0</v>
      </c>
      <c r="AS763">
        <v>240</v>
      </c>
      <c r="AT763">
        <v>-24</v>
      </c>
      <c r="AU763">
        <v>0</v>
      </c>
      <c r="AW763">
        <v>0</v>
      </c>
      <c r="AX763">
        <v>0</v>
      </c>
      <c r="AY763">
        <v>641.20000000000005</v>
      </c>
      <c r="BC763" t="str">
        <f t="shared" si="130"/>
        <v>9791137602946</v>
      </c>
      <c r="BE763" t="str">
        <f t="shared" si="131"/>
        <v>판타지 웹소설 &gt; 현대 판타지</v>
      </c>
    </row>
    <row r="764" spans="1:57" x14ac:dyDescent="0.3">
      <c r="A764">
        <v>2313020382</v>
      </c>
      <c r="B764">
        <v>2313020477</v>
      </c>
      <c r="C764" t="str">
        <f>T("신입사원이 이렇게 일을 잘했다고? 96화")</f>
        <v>신입사원이 이렇게 일을 잘했다고? 96화</v>
      </c>
      <c r="D764" t="str">
        <f>T("96")</f>
        <v>96</v>
      </c>
      <c r="E764" t="str">
        <f t="shared" si="127"/>
        <v>왕십리글쟁이</v>
      </c>
      <c r="H764" t="str">
        <f t="shared" si="128"/>
        <v>스토리위즈</v>
      </c>
      <c r="I764" t="str">
        <f t="shared" si="129"/>
        <v>신입사원이 이렇게 일을 잘했다고?</v>
      </c>
      <c r="J764">
        <v>100</v>
      </c>
      <c r="K764">
        <v>900</v>
      </c>
      <c r="L764">
        <v>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900</v>
      </c>
      <c r="AH764">
        <v>9</v>
      </c>
      <c r="AI764">
        <v>0</v>
      </c>
      <c r="AJ764">
        <v>0</v>
      </c>
      <c r="AK764">
        <v>700</v>
      </c>
      <c r="AL764">
        <v>0</v>
      </c>
      <c r="AM764">
        <v>240</v>
      </c>
      <c r="AN764">
        <v>-24</v>
      </c>
      <c r="AO764">
        <v>0</v>
      </c>
      <c r="AP764"/>
      <c r="AQ764">
        <v>0</v>
      </c>
      <c r="AR764">
        <v>0</v>
      </c>
      <c r="AS764">
        <v>240</v>
      </c>
      <c r="AT764">
        <v>-24</v>
      </c>
      <c r="AU764">
        <v>0</v>
      </c>
      <c r="AW764">
        <v>0</v>
      </c>
      <c r="AX764">
        <v>0</v>
      </c>
      <c r="AY764">
        <v>641.20000000000005</v>
      </c>
      <c r="BC764" t="str">
        <f t="shared" si="130"/>
        <v>9791137602946</v>
      </c>
      <c r="BE764" t="str">
        <f t="shared" si="131"/>
        <v>판타지 웹소설 &gt; 현대 판타지</v>
      </c>
    </row>
    <row r="765" spans="1:57" x14ac:dyDescent="0.3">
      <c r="A765">
        <v>2313020382</v>
      </c>
      <c r="B765">
        <v>2313020478</v>
      </c>
      <c r="C765" t="str">
        <f>T("신입사원이 이렇게 일을 잘했다고? 97화")</f>
        <v>신입사원이 이렇게 일을 잘했다고? 97화</v>
      </c>
      <c r="D765" t="str">
        <f>T("97")</f>
        <v>97</v>
      </c>
      <c r="E765" t="str">
        <f t="shared" si="127"/>
        <v>왕십리글쟁이</v>
      </c>
      <c r="H765" t="str">
        <f t="shared" si="128"/>
        <v>스토리위즈</v>
      </c>
      <c r="I765" t="str">
        <f t="shared" si="129"/>
        <v>신입사원이 이렇게 일을 잘했다고?</v>
      </c>
      <c r="J765">
        <v>100</v>
      </c>
      <c r="K765">
        <v>900</v>
      </c>
      <c r="L765">
        <v>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900</v>
      </c>
      <c r="AH765">
        <v>9</v>
      </c>
      <c r="AI765">
        <v>0</v>
      </c>
      <c r="AJ765">
        <v>0</v>
      </c>
      <c r="AK765">
        <v>700</v>
      </c>
      <c r="AL765">
        <v>0</v>
      </c>
      <c r="AM765">
        <v>240</v>
      </c>
      <c r="AN765">
        <v>-24</v>
      </c>
      <c r="AO765">
        <v>0</v>
      </c>
      <c r="AP765"/>
      <c r="AQ765">
        <v>0</v>
      </c>
      <c r="AR765">
        <v>0</v>
      </c>
      <c r="AS765">
        <v>240</v>
      </c>
      <c r="AT765">
        <v>-24</v>
      </c>
      <c r="AU765">
        <v>0</v>
      </c>
      <c r="AW765">
        <v>0</v>
      </c>
      <c r="AX765">
        <v>0</v>
      </c>
      <c r="AY765">
        <v>641.20000000000005</v>
      </c>
      <c r="BC765" t="str">
        <f t="shared" si="130"/>
        <v>9791137602946</v>
      </c>
      <c r="BE765" t="str">
        <f t="shared" si="131"/>
        <v>판타지 웹소설 &gt; 현대 판타지</v>
      </c>
    </row>
    <row r="766" spans="1:57" x14ac:dyDescent="0.3">
      <c r="A766">
        <v>2313020382</v>
      </c>
      <c r="B766">
        <v>2313020484</v>
      </c>
      <c r="C766" t="str">
        <f>T("신입사원이 이렇게 일을 잘했다고? 103화")</f>
        <v>신입사원이 이렇게 일을 잘했다고? 103화</v>
      </c>
      <c r="D766" t="str">
        <f>T("103")</f>
        <v>103</v>
      </c>
      <c r="E766" t="str">
        <f t="shared" si="127"/>
        <v>왕십리글쟁이</v>
      </c>
      <c r="H766" t="str">
        <f t="shared" si="128"/>
        <v>스토리위즈</v>
      </c>
      <c r="I766" t="str">
        <f t="shared" si="129"/>
        <v>신입사원이 이렇게 일을 잘했다고?</v>
      </c>
      <c r="J766">
        <v>100</v>
      </c>
      <c r="K766">
        <v>900</v>
      </c>
      <c r="L766">
        <v>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900</v>
      </c>
      <c r="AH766">
        <v>9</v>
      </c>
      <c r="AI766">
        <v>0</v>
      </c>
      <c r="AJ766">
        <v>0</v>
      </c>
      <c r="AK766">
        <v>800</v>
      </c>
      <c r="AL766">
        <v>0</v>
      </c>
      <c r="AM766">
        <v>120</v>
      </c>
      <c r="AN766">
        <v>-12</v>
      </c>
      <c r="AO766">
        <v>0</v>
      </c>
      <c r="AP766"/>
      <c r="AQ766">
        <v>0</v>
      </c>
      <c r="AR766">
        <v>0</v>
      </c>
      <c r="AS766">
        <v>120</v>
      </c>
      <c r="AT766">
        <v>-12</v>
      </c>
      <c r="AU766">
        <v>0</v>
      </c>
      <c r="AW766">
        <v>0</v>
      </c>
      <c r="AX766">
        <v>0</v>
      </c>
      <c r="AY766">
        <v>635.6</v>
      </c>
      <c r="BC766" t="str">
        <f t="shared" si="130"/>
        <v>9791137602946</v>
      </c>
      <c r="BE766" t="str">
        <f t="shared" si="131"/>
        <v>판타지 웹소설 &gt; 현대 판타지</v>
      </c>
    </row>
    <row r="767" spans="1:57" x14ac:dyDescent="0.3">
      <c r="A767">
        <v>2313020382</v>
      </c>
      <c r="B767">
        <v>2313020487</v>
      </c>
      <c r="C767" t="str">
        <f>T("신입사원이 이렇게 일을 잘했다고? 106화")</f>
        <v>신입사원이 이렇게 일을 잘했다고? 106화</v>
      </c>
      <c r="D767" t="str">
        <f>T("106")</f>
        <v>106</v>
      </c>
      <c r="E767" t="str">
        <f t="shared" si="127"/>
        <v>왕십리글쟁이</v>
      </c>
      <c r="H767" t="str">
        <f t="shared" si="128"/>
        <v>스토리위즈</v>
      </c>
      <c r="I767" t="str">
        <f t="shared" si="129"/>
        <v>신입사원이 이렇게 일을 잘했다고?</v>
      </c>
      <c r="J767">
        <v>100</v>
      </c>
      <c r="K767">
        <v>900</v>
      </c>
      <c r="L767">
        <v>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900</v>
      </c>
      <c r="AH767">
        <v>9</v>
      </c>
      <c r="AI767">
        <v>0</v>
      </c>
      <c r="AJ767">
        <v>0</v>
      </c>
      <c r="AK767">
        <v>800</v>
      </c>
      <c r="AL767">
        <v>0</v>
      </c>
      <c r="AM767">
        <v>120</v>
      </c>
      <c r="AN767">
        <v>-12</v>
      </c>
      <c r="AO767">
        <v>0</v>
      </c>
      <c r="AP767"/>
      <c r="AQ767">
        <v>0</v>
      </c>
      <c r="AR767">
        <v>0</v>
      </c>
      <c r="AS767">
        <v>120</v>
      </c>
      <c r="AT767">
        <v>-12</v>
      </c>
      <c r="AU767">
        <v>0</v>
      </c>
      <c r="AW767">
        <v>0</v>
      </c>
      <c r="AX767">
        <v>0</v>
      </c>
      <c r="AY767">
        <v>635.6</v>
      </c>
      <c r="BC767" t="str">
        <f t="shared" si="130"/>
        <v>9791137602946</v>
      </c>
      <c r="BE767" t="str">
        <f t="shared" si="131"/>
        <v>판타지 웹소설 &gt; 현대 판타지</v>
      </c>
    </row>
    <row r="768" spans="1:57" x14ac:dyDescent="0.3">
      <c r="A768">
        <v>2313020382</v>
      </c>
      <c r="B768">
        <v>2313020489</v>
      </c>
      <c r="C768" t="str">
        <f>T("신입사원이 이렇게 일을 잘했다고? 108화")</f>
        <v>신입사원이 이렇게 일을 잘했다고? 108화</v>
      </c>
      <c r="D768" t="str">
        <f>T("108")</f>
        <v>108</v>
      </c>
      <c r="E768" t="str">
        <f t="shared" si="127"/>
        <v>왕십리글쟁이</v>
      </c>
      <c r="H768" t="str">
        <f t="shared" si="128"/>
        <v>스토리위즈</v>
      </c>
      <c r="I768" t="str">
        <f t="shared" si="129"/>
        <v>신입사원이 이렇게 일을 잘했다고?</v>
      </c>
      <c r="J768">
        <v>100</v>
      </c>
      <c r="K768">
        <v>900</v>
      </c>
      <c r="L768">
        <v>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900</v>
      </c>
      <c r="AH768">
        <v>9</v>
      </c>
      <c r="AI768">
        <v>0</v>
      </c>
      <c r="AJ768">
        <v>0</v>
      </c>
      <c r="AK768">
        <v>800</v>
      </c>
      <c r="AL768">
        <v>0</v>
      </c>
      <c r="AM768">
        <v>120</v>
      </c>
      <c r="AN768">
        <v>-12</v>
      </c>
      <c r="AO768">
        <v>0</v>
      </c>
      <c r="AP768"/>
      <c r="AQ768">
        <v>0</v>
      </c>
      <c r="AR768">
        <v>0</v>
      </c>
      <c r="AS768">
        <v>120</v>
      </c>
      <c r="AT768">
        <v>-12</v>
      </c>
      <c r="AU768">
        <v>0</v>
      </c>
      <c r="AW768">
        <v>0</v>
      </c>
      <c r="AX768">
        <v>0</v>
      </c>
      <c r="AY768">
        <v>635.6</v>
      </c>
      <c r="BC768" t="str">
        <f t="shared" si="130"/>
        <v>9791137602946</v>
      </c>
      <c r="BE768" t="str">
        <f t="shared" si="131"/>
        <v>판타지 웹소설 &gt; 현대 판타지</v>
      </c>
    </row>
    <row r="769" spans="1:57" x14ac:dyDescent="0.3">
      <c r="A769">
        <v>2313020382</v>
      </c>
      <c r="B769">
        <v>2313020490</v>
      </c>
      <c r="C769" t="str">
        <f>T("신입사원이 이렇게 일을 잘했다고? 109화")</f>
        <v>신입사원이 이렇게 일을 잘했다고? 109화</v>
      </c>
      <c r="D769" t="str">
        <f>T("109")</f>
        <v>109</v>
      </c>
      <c r="E769" t="str">
        <f t="shared" si="127"/>
        <v>왕십리글쟁이</v>
      </c>
      <c r="H769" t="str">
        <f t="shared" si="128"/>
        <v>스토리위즈</v>
      </c>
      <c r="I769" t="str">
        <f t="shared" si="129"/>
        <v>신입사원이 이렇게 일을 잘했다고?</v>
      </c>
      <c r="J769">
        <v>100</v>
      </c>
      <c r="K769">
        <v>900</v>
      </c>
      <c r="L769">
        <v>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900</v>
      </c>
      <c r="AH769">
        <v>9</v>
      </c>
      <c r="AI769">
        <v>0</v>
      </c>
      <c r="AJ769">
        <v>0</v>
      </c>
      <c r="AK769">
        <v>800</v>
      </c>
      <c r="AL769">
        <v>0</v>
      </c>
      <c r="AM769">
        <v>120</v>
      </c>
      <c r="AN769">
        <v>-12</v>
      </c>
      <c r="AO769">
        <v>0</v>
      </c>
      <c r="AP769"/>
      <c r="AQ769">
        <v>0</v>
      </c>
      <c r="AR769">
        <v>0</v>
      </c>
      <c r="AS769">
        <v>120</v>
      </c>
      <c r="AT769">
        <v>-12</v>
      </c>
      <c r="AU769">
        <v>0</v>
      </c>
      <c r="AW769">
        <v>0</v>
      </c>
      <c r="AX769">
        <v>0</v>
      </c>
      <c r="AY769">
        <v>635.6</v>
      </c>
      <c r="BC769" t="str">
        <f t="shared" si="130"/>
        <v>9791137602946</v>
      </c>
      <c r="BE769" t="str">
        <f t="shared" si="131"/>
        <v>판타지 웹소설 &gt; 현대 판타지</v>
      </c>
    </row>
    <row r="770" spans="1:57" x14ac:dyDescent="0.3">
      <c r="A770">
        <v>2313020382</v>
      </c>
      <c r="B770">
        <v>2313020491</v>
      </c>
      <c r="C770" t="str">
        <f>T("신입사원이 이렇게 일을 잘했다고? 110화")</f>
        <v>신입사원이 이렇게 일을 잘했다고? 110화</v>
      </c>
      <c r="D770" t="str">
        <f>T("110")</f>
        <v>110</v>
      </c>
      <c r="E770" t="str">
        <f t="shared" si="127"/>
        <v>왕십리글쟁이</v>
      </c>
      <c r="H770" t="str">
        <f t="shared" si="128"/>
        <v>스토리위즈</v>
      </c>
      <c r="I770" t="str">
        <f t="shared" si="129"/>
        <v>신입사원이 이렇게 일을 잘했다고?</v>
      </c>
      <c r="J770">
        <v>100</v>
      </c>
      <c r="K770">
        <v>900</v>
      </c>
      <c r="L770">
        <v>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900</v>
      </c>
      <c r="AH770">
        <v>9</v>
      </c>
      <c r="AI770">
        <v>0</v>
      </c>
      <c r="AJ770">
        <v>0</v>
      </c>
      <c r="AK770">
        <v>800</v>
      </c>
      <c r="AL770">
        <v>0</v>
      </c>
      <c r="AM770">
        <v>120</v>
      </c>
      <c r="AN770">
        <v>-12</v>
      </c>
      <c r="AO770">
        <v>0</v>
      </c>
      <c r="AP770"/>
      <c r="AQ770">
        <v>0</v>
      </c>
      <c r="AR770">
        <v>0</v>
      </c>
      <c r="AS770">
        <v>120</v>
      </c>
      <c r="AT770">
        <v>-12</v>
      </c>
      <c r="AU770">
        <v>0</v>
      </c>
      <c r="AW770">
        <v>0</v>
      </c>
      <c r="AX770">
        <v>0</v>
      </c>
      <c r="AY770">
        <v>635.6</v>
      </c>
      <c r="BC770" t="str">
        <f t="shared" si="130"/>
        <v>9791137602946</v>
      </c>
      <c r="BE770" t="str">
        <f t="shared" si="131"/>
        <v>판타지 웹소설 &gt; 현대 판타지</v>
      </c>
    </row>
    <row r="771" spans="1:57" x14ac:dyDescent="0.3">
      <c r="A771">
        <v>2313020382</v>
      </c>
      <c r="B771">
        <v>2313020492</v>
      </c>
      <c r="C771" t="str">
        <f>T("신입사원이 이렇게 일을 잘했다고? 111화")</f>
        <v>신입사원이 이렇게 일을 잘했다고? 111화</v>
      </c>
      <c r="D771" t="str">
        <f>T("111")</f>
        <v>111</v>
      </c>
      <c r="E771" t="str">
        <f t="shared" si="127"/>
        <v>왕십리글쟁이</v>
      </c>
      <c r="H771" t="str">
        <f t="shared" si="128"/>
        <v>스토리위즈</v>
      </c>
      <c r="I771" t="str">
        <f t="shared" si="129"/>
        <v>신입사원이 이렇게 일을 잘했다고?</v>
      </c>
      <c r="J771">
        <v>100</v>
      </c>
      <c r="K771">
        <v>900</v>
      </c>
      <c r="L771">
        <v>9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900</v>
      </c>
      <c r="AH771">
        <v>9</v>
      </c>
      <c r="AI771">
        <v>0</v>
      </c>
      <c r="AJ771">
        <v>0</v>
      </c>
      <c r="AK771">
        <v>800</v>
      </c>
      <c r="AL771">
        <v>0</v>
      </c>
      <c r="AM771">
        <v>120</v>
      </c>
      <c r="AN771">
        <v>-12</v>
      </c>
      <c r="AO771">
        <v>0</v>
      </c>
      <c r="AP771"/>
      <c r="AQ771">
        <v>0</v>
      </c>
      <c r="AR771">
        <v>0</v>
      </c>
      <c r="AS771">
        <v>120</v>
      </c>
      <c r="AT771">
        <v>-12</v>
      </c>
      <c r="AU771">
        <v>0</v>
      </c>
      <c r="AW771">
        <v>0</v>
      </c>
      <c r="AX771">
        <v>0</v>
      </c>
      <c r="AY771">
        <v>635.6</v>
      </c>
      <c r="BC771" t="str">
        <f t="shared" si="130"/>
        <v>9791137602946</v>
      </c>
      <c r="BE771" t="str">
        <f t="shared" si="131"/>
        <v>판타지 웹소설 &gt; 현대 판타지</v>
      </c>
    </row>
    <row r="772" spans="1:57" x14ac:dyDescent="0.3">
      <c r="A772">
        <v>2313020382</v>
      </c>
      <c r="B772">
        <v>2313020493</v>
      </c>
      <c r="C772" t="str">
        <f>T("신입사원이 이렇게 일을 잘했다고? 112화")</f>
        <v>신입사원이 이렇게 일을 잘했다고? 112화</v>
      </c>
      <c r="D772" t="str">
        <f>T("112")</f>
        <v>112</v>
      </c>
      <c r="E772" t="str">
        <f t="shared" si="127"/>
        <v>왕십리글쟁이</v>
      </c>
      <c r="H772" t="str">
        <f t="shared" si="128"/>
        <v>스토리위즈</v>
      </c>
      <c r="I772" t="str">
        <f t="shared" si="129"/>
        <v>신입사원이 이렇게 일을 잘했다고?</v>
      </c>
      <c r="J772">
        <v>100</v>
      </c>
      <c r="K772">
        <v>900</v>
      </c>
      <c r="L772">
        <v>9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900</v>
      </c>
      <c r="AH772">
        <v>9</v>
      </c>
      <c r="AI772">
        <v>0</v>
      </c>
      <c r="AJ772">
        <v>0</v>
      </c>
      <c r="AK772">
        <v>800</v>
      </c>
      <c r="AL772">
        <v>0</v>
      </c>
      <c r="AM772">
        <v>120</v>
      </c>
      <c r="AN772">
        <v>-12</v>
      </c>
      <c r="AO772">
        <v>0</v>
      </c>
      <c r="AP772"/>
      <c r="AQ772">
        <v>0</v>
      </c>
      <c r="AR772">
        <v>0</v>
      </c>
      <c r="AS772">
        <v>120</v>
      </c>
      <c r="AT772">
        <v>-12</v>
      </c>
      <c r="AU772">
        <v>0</v>
      </c>
      <c r="AW772">
        <v>0</v>
      </c>
      <c r="AX772">
        <v>0</v>
      </c>
      <c r="AY772">
        <v>635.6</v>
      </c>
      <c r="BC772" t="str">
        <f t="shared" si="130"/>
        <v>9791137602946</v>
      </c>
      <c r="BE772" t="str">
        <f t="shared" si="131"/>
        <v>판타지 웹소설 &gt; 현대 판타지</v>
      </c>
    </row>
    <row r="773" spans="1:57" x14ac:dyDescent="0.3">
      <c r="A773">
        <v>2313020382</v>
      </c>
      <c r="B773">
        <v>2313020494</v>
      </c>
      <c r="C773" t="str">
        <f>T("신입사원이 이렇게 일을 잘했다고? 113화")</f>
        <v>신입사원이 이렇게 일을 잘했다고? 113화</v>
      </c>
      <c r="D773" t="str">
        <f>T("113")</f>
        <v>113</v>
      </c>
      <c r="E773" t="str">
        <f t="shared" si="127"/>
        <v>왕십리글쟁이</v>
      </c>
      <c r="H773" t="str">
        <f t="shared" si="128"/>
        <v>스토리위즈</v>
      </c>
      <c r="I773" t="str">
        <f t="shared" si="129"/>
        <v>신입사원이 이렇게 일을 잘했다고?</v>
      </c>
      <c r="J773">
        <v>100</v>
      </c>
      <c r="K773">
        <v>900</v>
      </c>
      <c r="L773">
        <v>9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900</v>
      </c>
      <c r="AH773">
        <v>9</v>
      </c>
      <c r="AI773">
        <v>0</v>
      </c>
      <c r="AJ773">
        <v>0</v>
      </c>
      <c r="AK773">
        <v>800</v>
      </c>
      <c r="AL773">
        <v>0</v>
      </c>
      <c r="AM773">
        <v>120</v>
      </c>
      <c r="AN773">
        <v>-12</v>
      </c>
      <c r="AO773">
        <v>0</v>
      </c>
      <c r="AP773"/>
      <c r="AQ773">
        <v>0</v>
      </c>
      <c r="AR773">
        <v>0</v>
      </c>
      <c r="AS773">
        <v>120</v>
      </c>
      <c r="AT773">
        <v>-12</v>
      </c>
      <c r="AU773">
        <v>0</v>
      </c>
      <c r="AW773">
        <v>0</v>
      </c>
      <c r="AX773">
        <v>0</v>
      </c>
      <c r="AY773">
        <v>635.6</v>
      </c>
      <c r="BC773" t="str">
        <f t="shared" si="130"/>
        <v>9791137602946</v>
      </c>
      <c r="BE773" t="str">
        <f t="shared" si="131"/>
        <v>판타지 웹소설 &gt; 현대 판타지</v>
      </c>
    </row>
    <row r="774" spans="1:57" x14ac:dyDescent="0.3">
      <c r="A774">
        <v>2313020382</v>
      </c>
      <c r="B774">
        <v>2313020497</v>
      </c>
      <c r="C774" t="str">
        <f>T("신입사원이 이렇게 일을 잘했다고? 116화")</f>
        <v>신입사원이 이렇게 일을 잘했다고? 116화</v>
      </c>
      <c r="D774" t="str">
        <f>T("116")</f>
        <v>116</v>
      </c>
      <c r="E774" t="str">
        <f t="shared" si="127"/>
        <v>왕십리글쟁이</v>
      </c>
      <c r="H774" t="str">
        <f t="shared" si="128"/>
        <v>스토리위즈</v>
      </c>
      <c r="I774" t="str">
        <f t="shared" si="129"/>
        <v>신입사원이 이렇게 일을 잘했다고?</v>
      </c>
      <c r="J774">
        <v>100</v>
      </c>
      <c r="K774">
        <v>900</v>
      </c>
      <c r="L774">
        <v>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900</v>
      </c>
      <c r="AH774">
        <v>9</v>
      </c>
      <c r="AI774">
        <v>0</v>
      </c>
      <c r="AJ774">
        <v>0</v>
      </c>
      <c r="AK774">
        <v>800</v>
      </c>
      <c r="AL774">
        <v>0</v>
      </c>
      <c r="AM774">
        <v>120</v>
      </c>
      <c r="AN774">
        <v>-12</v>
      </c>
      <c r="AO774">
        <v>0</v>
      </c>
      <c r="AP774"/>
      <c r="AQ774">
        <v>0</v>
      </c>
      <c r="AR774">
        <v>0</v>
      </c>
      <c r="AS774">
        <v>120</v>
      </c>
      <c r="AT774">
        <v>-12</v>
      </c>
      <c r="AU774">
        <v>0</v>
      </c>
      <c r="AW774">
        <v>0</v>
      </c>
      <c r="AX774">
        <v>0</v>
      </c>
      <c r="AY774">
        <v>635.6</v>
      </c>
      <c r="BC774" t="str">
        <f t="shared" si="130"/>
        <v>9791137602946</v>
      </c>
      <c r="BE774" t="str">
        <f t="shared" si="131"/>
        <v>판타지 웹소설 &gt; 현대 판타지</v>
      </c>
    </row>
    <row r="775" spans="1:57" x14ac:dyDescent="0.3">
      <c r="A775">
        <v>2313020382</v>
      </c>
      <c r="B775">
        <v>2313020533</v>
      </c>
      <c r="C775" t="str">
        <f>T("신입사원이 이렇게 일을 잘했다고? 152화")</f>
        <v>신입사원이 이렇게 일을 잘했다고? 152화</v>
      </c>
      <c r="D775" t="str">
        <f>T("152")</f>
        <v>152</v>
      </c>
      <c r="E775" t="str">
        <f t="shared" si="127"/>
        <v>왕십리글쟁이</v>
      </c>
      <c r="H775" t="str">
        <f t="shared" si="128"/>
        <v>스토리위즈</v>
      </c>
      <c r="I775" t="str">
        <f t="shared" si="129"/>
        <v>신입사원이 이렇게 일을 잘했다고?</v>
      </c>
      <c r="J775">
        <v>100</v>
      </c>
      <c r="K775">
        <v>900</v>
      </c>
      <c r="L775">
        <v>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900</v>
      </c>
      <c r="AH775">
        <v>9</v>
      </c>
      <c r="AI775">
        <v>0</v>
      </c>
      <c r="AJ775">
        <v>0</v>
      </c>
      <c r="AK775">
        <v>800</v>
      </c>
      <c r="AL775">
        <v>0</v>
      </c>
      <c r="AM775">
        <v>120</v>
      </c>
      <c r="AN775">
        <v>-12</v>
      </c>
      <c r="AO775">
        <v>0</v>
      </c>
      <c r="AP775"/>
      <c r="AQ775">
        <v>0</v>
      </c>
      <c r="AR775">
        <v>0</v>
      </c>
      <c r="AS775">
        <v>120</v>
      </c>
      <c r="AT775">
        <v>-12</v>
      </c>
      <c r="AU775">
        <v>0</v>
      </c>
      <c r="AW775">
        <v>0</v>
      </c>
      <c r="AX775">
        <v>0</v>
      </c>
      <c r="AY775">
        <v>635.6</v>
      </c>
      <c r="BC775" t="str">
        <f t="shared" si="130"/>
        <v>9791137602946</v>
      </c>
      <c r="BE775" t="str">
        <f t="shared" si="131"/>
        <v>판타지 웹소설 &gt; 현대 판타지</v>
      </c>
    </row>
    <row r="776" spans="1:57" x14ac:dyDescent="0.3">
      <c r="A776">
        <v>2313020382</v>
      </c>
      <c r="B776">
        <v>2313020534</v>
      </c>
      <c r="C776" t="str">
        <f>T("신입사원이 이렇게 일을 잘했다고? 153화")</f>
        <v>신입사원이 이렇게 일을 잘했다고? 153화</v>
      </c>
      <c r="D776" t="str">
        <f>T("153")</f>
        <v>153</v>
      </c>
      <c r="E776" t="str">
        <f t="shared" si="127"/>
        <v>왕십리글쟁이</v>
      </c>
      <c r="H776" t="str">
        <f t="shared" si="128"/>
        <v>스토리위즈</v>
      </c>
      <c r="I776" t="str">
        <f t="shared" si="129"/>
        <v>신입사원이 이렇게 일을 잘했다고?</v>
      </c>
      <c r="J776">
        <v>100</v>
      </c>
      <c r="K776">
        <v>900</v>
      </c>
      <c r="L776">
        <v>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900</v>
      </c>
      <c r="AH776">
        <v>9</v>
      </c>
      <c r="AI776">
        <v>0</v>
      </c>
      <c r="AJ776">
        <v>0</v>
      </c>
      <c r="AK776">
        <v>800</v>
      </c>
      <c r="AL776">
        <v>0</v>
      </c>
      <c r="AM776">
        <v>120</v>
      </c>
      <c r="AN776">
        <v>-12</v>
      </c>
      <c r="AO776">
        <v>0</v>
      </c>
      <c r="AP776"/>
      <c r="AQ776">
        <v>0</v>
      </c>
      <c r="AR776">
        <v>0</v>
      </c>
      <c r="AS776">
        <v>120</v>
      </c>
      <c r="AT776">
        <v>-12</v>
      </c>
      <c r="AU776">
        <v>0</v>
      </c>
      <c r="AW776">
        <v>0</v>
      </c>
      <c r="AX776">
        <v>0</v>
      </c>
      <c r="AY776">
        <v>635.6</v>
      </c>
      <c r="BC776" t="str">
        <f t="shared" si="130"/>
        <v>9791137602946</v>
      </c>
      <c r="BE776" t="str">
        <f t="shared" si="131"/>
        <v>판타지 웹소설 &gt; 현대 판타지</v>
      </c>
    </row>
    <row r="777" spans="1:57" x14ac:dyDescent="0.3">
      <c r="A777">
        <v>2313020382</v>
      </c>
      <c r="B777">
        <v>2313020535</v>
      </c>
      <c r="C777" t="str">
        <f>T("신입사원이 이렇게 일을 잘했다고? 154화")</f>
        <v>신입사원이 이렇게 일을 잘했다고? 154화</v>
      </c>
      <c r="D777" t="str">
        <f>T("154")</f>
        <v>154</v>
      </c>
      <c r="E777" t="str">
        <f t="shared" si="127"/>
        <v>왕십리글쟁이</v>
      </c>
      <c r="H777" t="str">
        <f t="shared" si="128"/>
        <v>스토리위즈</v>
      </c>
      <c r="I777" t="str">
        <f t="shared" si="129"/>
        <v>신입사원이 이렇게 일을 잘했다고?</v>
      </c>
      <c r="J777">
        <v>100</v>
      </c>
      <c r="K777">
        <v>900</v>
      </c>
      <c r="L777">
        <v>9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900</v>
      </c>
      <c r="AH777">
        <v>9</v>
      </c>
      <c r="AI777">
        <v>0</v>
      </c>
      <c r="AJ777">
        <v>0</v>
      </c>
      <c r="AK777">
        <v>800</v>
      </c>
      <c r="AL777">
        <v>0</v>
      </c>
      <c r="AM777">
        <v>120</v>
      </c>
      <c r="AN777">
        <v>-12</v>
      </c>
      <c r="AO777">
        <v>0</v>
      </c>
      <c r="AP777"/>
      <c r="AQ777">
        <v>0</v>
      </c>
      <c r="AR777">
        <v>0</v>
      </c>
      <c r="AS777">
        <v>120</v>
      </c>
      <c r="AT777">
        <v>-12</v>
      </c>
      <c r="AU777">
        <v>0</v>
      </c>
      <c r="AW777">
        <v>0</v>
      </c>
      <c r="AX777">
        <v>0</v>
      </c>
      <c r="AY777">
        <v>635.6</v>
      </c>
      <c r="BC777" t="str">
        <f t="shared" si="130"/>
        <v>9791137602946</v>
      </c>
      <c r="BE777" t="str">
        <f t="shared" si="131"/>
        <v>판타지 웹소설 &gt; 현대 판타지</v>
      </c>
    </row>
    <row r="778" spans="1:57" x14ac:dyDescent="0.3">
      <c r="A778">
        <v>2313020382</v>
      </c>
      <c r="B778">
        <v>2313020536</v>
      </c>
      <c r="C778" t="str">
        <f>T("신입사원이 이렇게 일을 잘했다고? 155화")</f>
        <v>신입사원이 이렇게 일을 잘했다고? 155화</v>
      </c>
      <c r="D778" t="str">
        <f>T("155")</f>
        <v>155</v>
      </c>
      <c r="E778" t="str">
        <f t="shared" si="127"/>
        <v>왕십리글쟁이</v>
      </c>
      <c r="H778" t="str">
        <f t="shared" si="128"/>
        <v>스토리위즈</v>
      </c>
      <c r="I778" t="str">
        <f t="shared" si="129"/>
        <v>신입사원이 이렇게 일을 잘했다고?</v>
      </c>
      <c r="J778">
        <v>100</v>
      </c>
      <c r="K778">
        <v>900</v>
      </c>
      <c r="L778">
        <v>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900</v>
      </c>
      <c r="AH778">
        <v>9</v>
      </c>
      <c r="AI778">
        <v>0</v>
      </c>
      <c r="AJ778">
        <v>0</v>
      </c>
      <c r="AK778">
        <v>800</v>
      </c>
      <c r="AL778">
        <v>0</v>
      </c>
      <c r="AM778">
        <v>120</v>
      </c>
      <c r="AN778">
        <v>-12</v>
      </c>
      <c r="AO778">
        <v>0</v>
      </c>
      <c r="AP778"/>
      <c r="AQ778">
        <v>0</v>
      </c>
      <c r="AR778">
        <v>0</v>
      </c>
      <c r="AS778">
        <v>120</v>
      </c>
      <c r="AT778">
        <v>-12</v>
      </c>
      <c r="AU778">
        <v>0</v>
      </c>
      <c r="AW778">
        <v>0</v>
      </c>
      <c r="AX778">
        <v>0</v>
      </c>
      <c r="AY778">
        <v>635.6</v>
      </c>
      <c r="BC778" t="str">
        <f t="shared" si="130"/>
        <v>9791137602946</v>
      </c>
      <c r="BE778" t="str">
        <f t="shared" si="131"/>
        <v>판타지 웹소설 &gt; 현대 판타지</v>
      </c>
    </row>
    <row r="779" spans="1:57" x14ac:dyDescent="0.3">
      <c r="A779">
        <v>2313020382</v>
      </c>
      <c r="B779">
        <v>2313020537</v>
      </c>
      <c r="C779" t="str">
        <f>T("신입사원이 이렇게 일을 잘했다고? 156화")</f>
        <v>신입사원이 이렇게 일을 잘했다고? 156화</v>
      </c>
      <c r="D779" t="str">
        <f>T("156")</f>
        <v>156</v>
      </c>
      <c r="E779" t="str">
        <f t="shared" si="127"/>
        <v>왕십리글쟁이</v>
      </c>
      <c r="H779" t="str">
        <f t="shared" si="128"/>
        <v>스토리위즈</v>
      </c>
      <c r="I779" t="str">
        <f t="shared" si="129"/>
        <v>신입사원이 이렇게 일을 잘했다고?</v>
      </c>
      <c r="J779">
        <v>100</v>
      </c>
      <c r="K779">
        <v>900</v>
      </c>
      <c r="L779">
        <v>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900</v>
      </c>
      <c r="AH779">
        <v>9</v>
      </c>
      <c r="AI779">
        <v>0</v>
      </c>
      <c r="AJ779">
        <v>0</v>
      </c>
      <c r="AK779">
        <v>800</v>
      </c>
      <c r="AL779">
        <v>0</v>
      </c>
      <c r="AM779">
        <v>120</v>
      </c>
      <c r="AN779">
        <v>-12</v>
      </c>
      <c r="AO779">
        <v>0</v>
      </c>
      <c r="AP779"/>
      <c r="AQ779">
        <v>0</v>
      </c>
      <c r="AR779">
        <v>0</v>
      </c>
      <c r="AS779">
        <v>120</v>
      </c>
      <c r="AT779">
        <v>-12</v>
      </c>
      <c r="AU779">
        <v>0</v>
      </c>
      <c r="AW779">
        <v>0</v>
      </c>
      <c r="AX779">
        <v>0</v>
      </c>
      <c r="AY779">
        <v>635.6</v>
      </c>
      <c r="BC779" t="str">
        <f t="shared" si="130"/>
        <v>9791137602946</v>
      </c>
      <c r="BE779" t="str">
        <f t="shared" si="131"/>
        <v>판타지 웹소설 &gt; 현대 판타지</v>
      </c>
    </row>
    <row r="780" spans="1:57" x14ac:dyDescent="0.3">
      <c r="A780">
        <v>2313020382</v>
      </c>
      <c r="B780">
        <v>2313020538</v>
      </c>
      <c r="C780" t="str">
        <f>T("신입사원이 이렇게 일을 잘했다고? 157화")</f>
        <v>신입사원이 이렇게 일을 잘했다고? 157화</v>
      </c>
      <c r="D780" t="str">
        <f>T("157")</f>
        <v>157</v>
      </c>
      <c r="E780" t="str">
        <f t="shared" si="127"/>
        <v>왕십리글쟁이</v>
      </c>
      <c r="H780" t="str">
        <f t="shared" si="128"/>
        <v>스토리위즈</v>
      </c>
      <c r="I780" t="str">
        <f t="shared" si="129"/>
        <v>신입사원이 이렇게 일을 잘했다고?</v>
      </c>
      <c r="J780">
        <v>100</v>
      </c>
      <c r="K780">
        <v>900</v>
      </c>
      <c r="L780">
        <v>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900</v>
      </c>
      <c r="AH780">
        <v>9</v>
      </c>
      <c r="AI780">
        <v>0</v>
      </c>
      <c r="AJ780">
        <v>0</v>
      </c>
      <c r="AK780">
        <v>800</v>
      </c>
      <c r="AL780">
        <v>0</v>
      </c>
      <c r="AM780">
        <v>120</v>
      </c>
      <c r="AN780">
        <v>-12</v>
      </c>
      <c r="AO780">
        <v>0</v>
      </c>
      <c r="AP780"/>
      <c r="AQ780">
        <v>0</v>
      </c>
      <c r="AR780">
        <v>0</v>
      </c>
      <c r="AS780">
        <v>120</v>
      </c>
      <c r="AT780">
        <v>-12</v>
      </c>
      <c r="AU780">
        <v>0</v>
      </c>
      <c r="AW780">
        <v>0</v>
      </c>
      <c r="AX780">
        <v>0</v>
      </c>
      <c r="AY780">
        <v>635.6</v>
      </c>
      <c r="BC780" t="str">
        <f t="shared" si="130"/>
        <v>9791137602946</v>
      </c>
      <c r="BE780" t="str">
        <f t="shared" si="131"/>
        <v>판타지 웹소설 &gt; 현대 판타지</v>
      </c>
    </row>
    <row r="781" spans="1:57" x14ac:dyDescent="0.3">
      <c r="A781">
        <v>2313020382</v>
      </c>
      <c r="B781">
        <v>2313020539</v>
      </c>
      <c r="C781" t="str">
        <f>T("신입사원이 이렇게 일을 잘했다고? 158화")</f>
        <v>신입사원이 이렇게 일을 잘했다고? 158화</v>
      </c>
      <c r="D781" t="str">
        <f>T("158")</f>
        <v>158</v>
      </c>
      <c r="E781" t="str">
        <f t="shared" si="127"/>
        <v>왕십리글쟁이</v>
      </c>
      <c r="H781" t="str">
        <f t="shared" si="128"/>
        <v>스토리위즈</v>
      </c>
      <c r="I781" t="str">
        <f t="shared" si="129"/>
        <v>신입사원이 이렇게 일을 잘했다고?</v>
      </c>
      <c r="J781">
        <v>100</v>
      </c>
      <c r="K781">
        <v>900</v>
      </c>
      <c r="L781">
        <v>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900</v>
      </c>
      <c r="AH781">
        <v>9</v>
      </c>
      <c r="AI781">
        <v>0</v>
      </c>
      <c r="AJ781">
        <v>0</v>
      </c>
      <c r="AK781">
        <v>800</v>
      </c>
      <c r="AL781">
        <v>0</v>
      </c>
      <c r="AM781">
        <v>120</v>
      </c>
      <c r="AN781">
        <v>-12</v>
      </c>
      <c r="AO781">
        <v>0</v>
      </c>
      <c r="AP781"/>
      <c r="AQ781">
        <v>0</v>
      </c>
      <c r="AR781">
        <v>0</v>
      </c>
      <c r="AS781">
        <v>120</v>
      </c>
      <c r="AT781">
        <v>-12</v>
      </c>
      <c r="AU781">
        <v>0</v>
      </c>
      <c r="AW781">
        <v>0</v>
      </c>
      <c r="AX781">
        <v>0</v>
      </c>
      <c r="AY781">
        <v>635.6</v>
      </c>
      <c r="BC781" t="str">
        <f t="shared" si="130"/>
        <v>9791137602946</v>
      </c>
      <c r="BE781" t="str">
        <f t="shared" si="131"/>
        <v>판타지 웹소설 &gt; 현대 판타지</v>
      </c>
    </row>
    <row r="782" spans="1:57" x14ac:dyDescent="0.3">
      <c r="A782">
        <v>2313020382</v>
      </c>
      <c r="B782">
        <v>2313020540</v>
      </c>
      <c r="C782" t="str">
        <f>T("신입사원이 이렇게 일을 잘했다고? 159화")</f>
        <v>신입사원이 이렇게 일을 잘했다고? 159화</v>
      </c>
      <c r="D782" t="str">
        <f>T("159")</f>
        <v>159</v>
      </c>
      <c r="E782" t="str">
        <f t="shared" si="127"/>
        <v>왕십리글쟁이</v>
      </c>
      <c r="H782" t="str">
        <f t="shared" si="128"/>
        <v>스토리위즈</v>
      </c>
      <c r="I782" t="str">
        <f t="shared" si="129"/>
        <v>신입사원이 이렇게 일을 잘했다고?</v>
      </c>
      <c r="J782">
        <v>100</v>
      </c>
      <c r="K782">
        <v>900</v>
      </c>
      <c r="L782">
        <v>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900</v>
      </c>
      <c r="AH782">
        <v>9</v>
      </c>
      <c r="AI782">
        <v>0</v>
      </c>
      <c r="AJ782">
        <v>0</v>
      </c>
      <c r="AK782">
        <v>800</v>
      </c>
      <c r="AL782">
        <v>0</v>
      </c>
      <c r="AM782">
        <v>120</v>
      </c>
      <c r="AN782">
        <v>-12</v>
      </c>
      <c r="AO782">
        <v>0</v>
      </c>
      <c r="AP782"/>
      <c r="AQ782">
        <v>0</v>
      </c>
      <c r="AR782">
        <v>0</v>
      </c>
      <c r="AS782">
        <v>120</v>
      </c>
      <c r="AT782">
        <v>-12</v>
      </c>
      <c r="AU782">
        <v>0</v>
      </c>
      <c r="AW782">
        <v>0</v>
      </c>
      <c r="AX782">
        <v>0</v>
      </c>
      <c r="AY782">
        <v>635.6</v>
      </c>
      <c r="BC782" t="str">
        <f t="shared" si="130"/>
        <v>9791137602946</v>
      </c>
      <c r="BE782" t="str">
        <f t="shared" si="131"/>
        <v>판타지 웹소설 &gt; 현대 판타지</v>
      </c>
    </row>
    <row r="783" spans="1:57" x14ac:dyDescent="0.3">
      <c r="A783">
        <v>2313020382</v>
      </c>
      <c r="B783">
        <v>2313020541</v>
      </c>
      <c r="C783" t="str">
        <f>T("신입사원이 이렇게 일을 잘했다고? 160화")</f>
        <v>신입사원이 이렇게 일을 잘했다고? 160화</v>
      </c>
      <c r="D783" t="str">
        <f>T("160")</f>
        <v>160</v>
      </c>
      <c r="E783" t="str">
        <f t="shared" si="127"/>
        <v>왕십리글쟁이</v>
      </c>
      <c r="H783" t="str">
        <f t="shared" si="128"/>
        <v>스토리위즈</v>
      </c>
      <c r="I783" t="str">
        <f t="shared" si="129"/>
        <v>신입사원이 이렇게 일을 잘했다고?</v>
      </c>
      <c r="J783">
        <v>100</v>
      </c>
      <c r="K783">
        <v>900</v>
      </c>
      <c r="L783">
        <v>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900</v>
      </c>
      <c r="AH783">
        <v>9</v>
      </c>
      <c r="AI783">
        <v>0</v>
      </c>
      <c r="AJ783">
        <v>0</v>
      </c>
      <c r="AK783">
        <v>800</v>
      </c>
      <c r="AL783">
        <v>0</v>
      </c>
      <c r="AM783">
        <v>120</v>
      </c>
      <c r="AN783">
        <v>-12</v>
      </c>
      <c r="AO783">
        <v>0</v>
      </c>
      <c r="AP783"/>
      <c r="AQ783">
        <v>0</v>
      </c>
      <c r="AR783">
        <v>0</v>
      </c>
      <c r="AS783">
        <v>120</v>
      </c>
      <c r="AT783">
        <v>-12</v>
      </c>
      <c r="AU783">
        <v>0</v>
      </c>
      <c r="AW783">
        <v>0</v>
      </c>
      <c r="AX783">
        <v>0</v>
      </c>
      <c r="AY783">
        <v>635.6</v>
      </c>
      <c r="BC783" t="str">
        <f t="shared" si="130"/>
        <v>9791137602946</v>
      </c>
      <c r="BE783" t="str">
        <f t="shared" si="131"/>
        <v>판타지 웹소설 &gt; 현대 판타지</v>
      </c>
    </row>
    <row r="784" spans="1:57" x14ac:dyDescent="0.3">
      <c r="A784">
        <v>2313020382</v>
      </c>
      <c r="B784">
        <v>2313020542</v>
      </c>
      <c r="C784" t="str">
        <f>T("신입사원이 이렇게 일을 잘했다고? 161화")</f>
        <v>신입사원이 이렇게 일을 잘했다고? 161화</v>
      </c>
      <c r="D784" t="str">
        <f>T("161")</f>
        <v>161</v>
      </c>
      <c r="E784" t="str">
        <f t="shared" si="127"/>
        <v>왕십리글쟁이</v>
      </c>
      <c r="H784" t="str">
        <f t="shared" si="128"/>
        <v>스토리위즈</v>
      </c>
      <c r="I784" t="str">
        <f t="shared" si="129"/>
        <v>신입사원이 이렇게 일을 잘했다고?</v>
      </c>
      <c r="J784">
        <v>100</v>
      </c>
      <c r="K784">
        <v>900</v>
      </c>
      <c r="L784">
        <v>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900</v>
      </c>
      <c r="AH784">
        <v>9</v>
      </c>
      <c r="AI784">
        <v>0</v>
      </c>
      <c r="AJ784">
        <v>0</v>
      </c>
      <c r="AK784">
        <v>800</v>
      </c>
      <c r="AL784">
        <v>0</v>
      </c>
      <c r="AM784">
        <v>120</v>
      </c>
      <c r="AN784">
        <v>-12</v>
      </c>
      <c r="AO784">
        <v>0</v>
      </c>
      <c r="AP784"/>
      <c r="AQ784">
        <v>0</v>
      </c>
      <c r="AR784">
        <v>0</v>
      </c>
      <c r="AS784">
        <v>120</v>
      </c>
      <c r="AT784">
        <v>-12</v>
      </c>
      <c r="AU784">
        <v>0</v>
      </c>
      <c r="AW784">
        <v>0</v>
      </c>
      <c r="AX784">
        <v>0</v>
      </c>
      <c r="AY784">
        <v>635.6</v>
      </c>
      <c r="BC784" t="str">
        <f t="shared" si="130"/>
        <v>9791137602946</v>
      </c>
      <c r="BE784" t="str">
        <f t="shared" si="131"/>
        <v>판타지 웹소설 &gt; 현대 판타지</v>
      </c>
    </row>
    <row r="785" spans="1:57" x14ac:dyDescent="0.3">
      <c r="A785">
        <v>2313020382</v>
      </c>
      <c r="B785">
        <v>2313020545</v>
      </c>
      <c r="C785" t="str">
        <f>T("신입사원이 이렇게 일을 잘했다고? 164화")</f>
        <v>신입사원이 이렇게 일을 잘했다고? 164화</v>
      </c>
      <c r="D785" t="str">
        <f>T("164")</f>
        <v>164</v>
      </c>
      <c r="E785" t="str">
        <f t="shared" si="127"/>
        <v>왕십리글쟁이</v>
      </c>
      <c r="H785" t="str">
        <f t="shared" si="128"/>
        <v>스토리위즈</v>
      </c>
      <c r="I785" t="str">
        <f t="shared" si="129"/>
        <v>신입사원이 이렇게 일을 잘했다고?</v>
      </c>
      <c r="J785">
        <v>100</v>
      </c>
      <c r="K785">
        <v>900</v>
      </c>
      <c r="L785">
        <v>9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900</v>
      </c>
      <c r="AH785">
        <v>9</v>
      </c>
      <c r="AI785">
        <v>0</v>
      </c>
      <c r="AJ785">
        <v>0</v>
      </c>
      <c r="AK785">
        <v>800</v>
      </c>
      <c r="AL785">
        <v>0</v>
      </c>
      <c r="AM785">
        <v>120</v>
      </c>
      <c r="AN785">
        <v>-12</v>
      </c>
      <c r="AO785">
        <v>0</v>
      </c>
      <c r="AP785"/>
      <c r="AQ785">
        <v>0</v>
      </c>
      <c r="AR785">
        <v>0</v>
      </c>
      <c r="AS785">
        <v>120</v>
      </c>
      <c r="AT785">
        <v>-12</v>
      </c>
      <c r="AU785">
        <v>0</v>
      </c>
      <c r="AW785">
        <v>0</v>
      </c>
      <c r="AX785">
        <v>0</v>
      </c>
      <c r="AY785">
        <v>635.6</v>
      </c>
      <c r="BC785" t="str">
        <f t="shared" si="130"/>
        <v>9791137602946</v>
      </c>
      <c r="BE785" t="str">
        <f t="shared" si="131"/>
        <v>판타지 웹소설 &gt; 현대 판타지</v>
      </c>
    </row>
    <row r="786" spans="1:57" x14ac:dyDescent="0.3">
      <c r="A786">
        <v>2313020382</v>
      </c>
      <c r="B786">
        <v>2313020546</v>
      </c>
      <c r="C786" t="str">
        <f>T("신입사원이 이렇게 일을 잘했다고? 165화")</f>
        <v>신입사원이 이렇게 일을 잘했다고? 165화</v>
      </c>
      <c r="D786" t="str">
        <f>T("165")</f>
        <v>165</v>
      </c>
      <c r="E786" t="str">
        <f t="shared" si="127"/>
        <v>왕십리글쟁이</v>
      </c>
      <c r="H786" t="str">
        <f t="shared" si="128"/>
        <v>스토리위즈</v>
      </c>
      <c r="I786" t="str">
        <f t="shared" si="129"/>
        <v>신입사원이 이렇게 일을 잘했다고?</v>
      </c>
      <c r="J786">
        <v>100</v>
      </c>
      <c r="K786">
        <v>900</v>
      </c>
      <c r="L786">
        <v>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900</v>
      </c>
      <c r="AH786">
        <v>9</v>
      </c>
      <c r="AI786">
        <v>0</v>
      </c>
      <c r="AJ786">
        <v>0</v>
      </c>
      <c r="AK786">
        <v>800</v>
      </c>
      <c r="AL786">
        <v>0</v>
      </c>
      <c r="AM786">
        <v>120</v>
      </c>
      <c r="AN786">
        <v>-12</v>
      </c>
      <c r="AO786">
        <v>0</v>
      </c>
      <c r="AP786"/>
      <c r="AQ786">
        <v>0</v>
      </c>
      <c r="AR786">
        <v>0</v>
      </c>
      <c r="AS786">
        <v>120</v>
      </c>
      <c r="AT786">
        <v>-12</v>
      </c>
      <c r="AU786">
        <v>0</v>
      </c>
      <c r="AW786">
        <v>0</v>
      </c>
      <c r="AX786">
        <v>0</v>
      </c>
      <c r="AY786">
        <v>635.6</v>
      </c>
      <c r="BC786" t="str">
        <f t="shared" si="130"/>
        <v>9791137602946</v>
      </c>
      <c r="BE786" t="str">
        <f t="shared" si="131"/>
        <v>판타지 웹소설 &gt; 현대 판타지</v>
      </c>
    </row>
    <row r="787" spans="1:57" x14ac:dyDescent="0.3">
      <c r="A787">
        <v>2313020382</v>
      </c>
      <c r="B787">
        <v>2313020547</v>
      </c>
      <c r="C787" t="str">
        <f>T("신입사원이 이렇게 일을 잘했다고? 166화")</f>
        <v>신입사원이 이렇게 일을 잘했다고? 166화</v>
      </c>
      <c r="D787" t="str">
        <f>T("166")</f>
        <v>166</v>
      </c>
      <c r="E787" t="str">
        <f t="shared" si="127"/>
        <v>왕십리글쟁이</v>
      </c>
      <c r="H787" t="str">
        <f t="shared" si="128"/>
        <v>스토리위즈</v>
      </c>
      <c r="I787" t="str">
        <f t="shared" si="129"/>
        <v>신입사원이 이렇게 일을 잘했다고?</v>
      </c>
      <c r="J787">
        <v>100</v>
      </c>
      <c r="K787">
        <v>900</v>
      </c>
      <c r="L787">
        <v>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900</v>
      </c>
      <c r="AH787">
        <v>9</v>
      </c>
      <c r="AI787">
        <v>0</v>
      </c>
      <c r="AJ787">
        <v>0</v>
      </c>
      <c r="AK787">
        <v>800</v>
      </c>
      <c r="AL787">
        <v>0</v>
      </c>
      <c r="AM787">
        <v>120</v>
      </c>
      <c r="AN787">
        <v>-12</v>
      </c>
      <c r="AO787">
        <v>0</v>
      </c>
      <c r="AP787"/>
      <c r="AQ787">
        <v>0</v>
      </c>
      <c r="AR787">
        <v>0</v>
      </c>
      <c r="AS787">
        <v>120</v>
      </c>
      <c r="AT787">
        <v>-12</v>
      </c>
      <c r="AU787">
        <v>0</v>
      </c>
      <c r="AW787">
        <v>0</v>
      </c>
      <c r="AX787">
        <v>0</v>
      </c>
      <c r="AY787">
        <v>635.6</v>
      </c>
      <c r="BC787" t="str">
        <f t="shared" si="130"/>
        <v>9791137602946</v>
      </c>
      <c r="BE787" t="str">
        <f t="shared" si="131"/>
        <v>판타지 웹소설 &gt; 현대 판타지</v>
      </c>
    </row>
    <row r="788" spans="1:57" x14ac:dyDescent="0.3">
      <c r="A788">
        <v>2313020382</v>
      </c>
      <c r="B788">
        <v>2313020548</v>
      </c>
      <c r="C788" t="str">
        <f>T("신입사원이 이렇게 일을 잘했다고? 167화")</f>
        <v>신입사원이 이렇게 일을 잘했다고? 167화</v>
      </c>
      <c r="D788" t="str">
        <f>T("167")</f>
        <v>167</v>
      </c>
      <c r="E788" t="str">
        <f t="shared" si="127"/>
        <v>왕십리글쟁이</v>
      </c>
      <c r="H788" t="str">
        <f t="shared" si="128"/>
        <v>스토리위즈</v>
      </c>
      <c r="I788" t="str">
        <f t="shared" si="129"/>
        <v>신입사원이 이렇게 일을 잘했다고?</v>
      </c>
      <c r="J788">
        <v>100</v>
      </c>
      <c r="K788">
        <v>900</v>
      </c>
      <c r="L788">
        <v>9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900</v>
      </c>
      <c r="AH788">
        <v>9</v>
      </c>
      <c r="AI788">
        <v>0</v>
      </c>
      <c r="AJ788">
        <v>0</v>
      </c>
      <c r="AK788">
        <v>800</v>
      </c>
      <c r="AL788">
        <v>0</v>
      </c>
      <c r="AM788">
        <v>120</v>
      </c>
      <c r="AN788">
        <v>-12</v>
      </c>
      <c r="AO788">
        <v>0</v>
      </c>
      <c r="AP788"/>
      <c r="AQ788">
        <v>0</v>
      </c>
      <c r="AR788">
        <v>0</v>
      </c>
      <c r="AS788">
        <v>120</v>
      </c>
      <c r="AT788">
        <v>-12</v>
      </c>
      <c r="AU788">
        <v>0</v>
      </c>
      <c r="AW788">
        <v>0</v>
      </c>
      <c r="AX788">
        <v>0</v>
      </c>
      <c r="AY788">
        <v>635.6</v>
      </c>
      <c r="BC788" t="str">
        <f t="shared" si="130"/>
        <v>9791137602946</v>
      </c>
      <c r="BE788" t="str">
        <f t="shared" si="131"/>
        <v>판타지 웹소설 &gt; 현대 판타지</v>
      </c>
    </row>
    <row r="789" spans="1:57" x14ac:dyDescent="0.3">
      <c r="A789">
        <v>2313020382</v>
      </c>
      <c r="B789">
        <v>2313020550</v>
      </c>
      <c r="C789" t="str">
        <f>T("신입사원이 이렇게 일을 잘했다고? 169화")</f>
        <v>신입사원이 이렇게 일을 잘했다고? 169화</v>
      </c>
      <c r="D789" t="str">
        <f>T("169")</f>
        <v>169</v>
      </c>
      <c r="E789" t="str">
        <f t="shared" si="127"/>
        <v>왕십리글쟁이</v>
      </c>
      <c r="H789" t="str">
        <f t="shared" si="128"/>
        <v>스토리위즈</v>
      </c>
      <c r="I789" t="str">
        <f t="shared" si="129"/>
        <v>신입사원이 이렇게 일을 잘했다고?</v>
      </c>
      <c r="J789">
        <v>100</v>
      </c>
      <c r="K789">
        <v>900</v>
      </c>
      <c r="L789">
        <v>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900</v>
      </c>
      <c r="AH789">
        <v>9</v>
      </c>
      <c r="AI789">
        <v>0</v>
      </c>
      <c r="AJ789">
        <v>0</v>
      </c>
      <c r="AK789">
        <v>700</v>
      </c>
      <c r="AL789">
        <v>0</v>
      </c>
      <c r="AM789">
        <v>240</v>
      </c>
      <c r="AN789">
        <v>-48</v>
      </c>
      <c r="AO789">
        <v>0</v>
      </c>
      <c r="AP789"/>
      <c r="AQ789">
        <v>0</v>
      </c>
      <c r="AR789">
        <v>0</v>
      </c>
      <c r="AS789">
        <v>240</v>
      </c>
      <c r="AT789">
        <v>-48</v>
      </c>
      <c r="AU789">
        <v>0</v>
      </c>
      <c r="AW789">
        <v>0</v>
      </c>
      <c r="AX789">
        <v>0</v>
      </c>
      <c r="AY789">
        <v>624.4</v>
      </c>
      <c r="BC789" t="str">
        <f t="shared" si="130"/>
        <v>9791137602946</v>
      </c>
      <c r="BE789" t="str">
        <f t="shared" si="131"/>
        <v>판타지 웹소설 &gt; 현대 판타지</v>
      </c>
    </row>
    <row r="790" spans="1:57" x14ac:dyDescent="0.3">
      <c r="A790">
        <v>2313020382</v>
      </c>
      <c r="B790">
        <v>2313020551</v>
      </c>
      <c r="C790" t="str">
        <f>T("신입사원이 이렇게 일을 잘했다고? 170화")</f>
        <v>신입사원이 이렇게 일을 잘했다고? 170화</v>
      </c>
      <c r="D790" t="str">
        <f>T("170")</f>
        <v>170</v>
      </c>
      <c r="E790" t="str">
        <f t="shared" si="127"/>
        <v>왕십리글쟁이</v>
      </c>
      <c r="H790" t="str">
        <f t="shared" si="128"/>
        <v>스토리위즈</v>
      </c>
      <c r="I790" t="str">
        <f t="shared" si="129"/>
        <v>신입사원이 이렇게 일을 잘했다고?</v>
      </c>
      <c r="J790">
        <v>100</v>
      </c>
      <c r="K790">
        <v>900</v>
      </c>
      <c r="L790">
        <v>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900</v>
      </c>
      <c r="AH790">
        <v>9</v>
      </c>
      <c r="AI790">
        <v>0</v>
      </c>
      <c r="AJ790">
        <v>0</v>
      </c>
      <c r="AK790">
        <v>700</v>
      </c>
      <c r="AL790">
        <v>0</v>
      </c>
      <c r="AM790">
        <v>240</v>
      </c>
      <c r="AN790">
        <v>-48</v>
      </c>
      <c r="AO790">
        <v>0</v>
      </c>
      <c r="AP790"/>
      <c r="AQ790">
        <v>0</v>
      </c>
      <c r="AR790">
        <v>0</v>
      </c>
      <c r="AS790">
        <v>240</v>
      </c>
      <c r="AT790">
        <v>-48</v>
      </c>
      <c r="AU790">
        <v>0</v>
      </c>
      <c r="AW790">
        <v>0</v>
      </c>
      <c r="AX790">
        <v>0</v>
      </c>
      <c r="AY790">
        <v>624.4</v>
      </c>
      <c r="BC790" t="str">
        <f t="shared" si="130"/>
        <v>9791137602946</v>
      </c>
      <c r="BE790" t="str">
        <f t="shared" si="131"/>
        <v>판타지 웹소설 &gt; 현대 판타지</v>
      </c>
    </row>
    <row r="791" spans="1:57" x14ac:dyDescent="0.3">
      <c r="A791">
        <v>2313020382</v>
      </c>
      <c r="B791">
        <v>2313020552</v>
      </c>
      <c r="C791" t="str">
        <f>T("신입사원이 이렇게 일을 잘했다고? 171화")</f>
        <v>신입사원이 이렇게 일을 잘했다고? 171화</v>
      </c>
      <c r="D791" t="str">
        <f>T("171")</f>
        <v>171</v>
      </c>
      <c r="E791" t="str">
        <f t="shared" si="127"/>
        <v>왕십리글쟁이</v>
      </c>
      <c r="H791" t="str">
        <f t="shared" si="128"/>
        <v>스토리위즈</v>
      </c>
      <c r="I791" t="str">
        <f t="shared" si="129"/>
        <v>신입사원이 이렇게 일을 잘했다고?</v>
      </c>
      <c r="J791">
        <v>100</v>
      </c>
      <c r="K791">
        <v>900</v>
      </c>
      <c r="L791">
        <v>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900</v>
      </c>
      <c r="AH791">
        <v>9</v>
      </c>
      <c r="AI791">
        <v>0</v>
      </c>
      <c r="AJ791">
        <v>0</v>
      </c>
      <c r="AK791">
        <v>700</v>
      </c>
      <c r="AL791">
        <v>0</v>
      </c>
      <c r="AM791">
        <v>240</v>
      </c>
      <c r="AN791">
        <v>-48</v>
      </c>
      <c r="AO791">
        <v>0</v>
      </c>
      <c r="AP791"/>
      <c r="AQ791">
        <v>0</v>
      </c>
      <c r="AR791">
        <v>0</v>
      </c>
      <c r="AS791">
        <v>240</v>
      </c>
      <c r="AT791">
        <v>-48</v>
      </c>
      <c r="AU791">
        <v>0</v>
      </c>
      <c r="AW791">
        <v>0</v>
      </c>
      <c r="AX791">
        <v>0</v>
      </c>
      <c r="AY791">
        <v>624.4</v>
      </c>
      <c r="BC791" t="str">
        <f t="shared" si="130"/>
        <v>9791137602946</v>
      </c>
      <c r="BE791" t="str">
        <f t="shared" si="131"/>
        <v>판타지 웹소설 &gt; 현대 판타지</v>
      </c>
    </row>
    <row r="792" spans="1:57" x14ac:dyDescent="0.3">
      <c r="A792">
        <v>2313020382</v>
      </c>
      <c r="B792">
        <v>2313020553</v>
      </c>
      <c r="C792" t="str">
        <f>T("신입사원이 이렇게 일을 잘했다고? 172화")</f>
        <v>신입사원이 이렇게 일을 잘했다고? 172화</v>
      </c>
      <c r="D792" t="str">
        <f>T("172")</f>
        <v>172</v>
      </c>
      <c r="E792" t="str">
        <f t="shared" si="127"/>
        <v>왕십리글쟁이</v>
      </c>
      <c r="H792" t="str">
        <f t="shared" si="128"/>
        <v>스토리위즈</v>
      </c>
      <c r="I792" t="str">
        <f t="shared" si="129"/>
        <v>신입사원이 이렇게 일을 잘했다고?</v>
      </c>
      <c r="J792">
        <v>100</v>
      </c>
      <c r="K792">
        <v>900</v>
      </c>
      <c r="L792">
        <v>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900</v>
      </c>
      <c r="AH792">
        <v>9</v>
      </c>
      <c r="AI792">
        <v>0</v>
      </c>
      <c r="AJ792">
        <v>0</v>
      </c>
      <c r="AK792">
        <v>700</v>
      </c>
      <c r="AL792">
        <v>0</v>
      </c>
      <c r="AM792">
        <v>240</v>
      </c>
      <c r="AN792">
        <v>-48</v>
      </c>
      <c r="AO792">
        <v>0</v>
      </c>
      <c r="AP792"/>
      <c r="AQ792">
        <v>0</v>
      </c>
      <c r="AR792">
        <v>0</v>
      </c>
      <c r="AS792">
        <v>240</v>
      </c>
      <c r="AT792">
        <v>-48</v>
      </c>
      <c r="AU792">
        <v>0</v>
      </c>
      <c r="AW792">
        <v>0</v>
      </c>
      <c r="AX792">
        <v>0</v>
      </c>
      <c r="AY792">
        <v>624.4</v>
      </c>
      <c r="BC792" t="str">
        <f t="shared" si="130"/>
        <v>9791137602946</v>
      </c>
      <c r="BE792" t="str">
        <f t="shared" si="131"/>
        <v>판타지 웹소설 &gt; 현대 판타지</v>
      </c>
    </row>
    <row r="793" spans="1:57" x14ac:dyDescent="0.3">
      <c r="A793">
        <v>2313020382</v>
      </c>
      <c r="B793">
        <v>2313020554</v>
      </c>
      <c r="C793" t="str">
        <f>T("신입사원이 이렇게 일을 잘했다고? 173화")</f>
        <v>신입사원이 이렇게 일을 잘했다고? 173화</v>
      </c>
      <c r="D793" t="str">
        <f>T("173")</f>
        <v>173</v>
      </c>
      <c r="E793" t="str">
        <f t="shared" si="127"/>
        <v>왕십리글쟁이</v>
      </c>
      <c r="H793" t="str">
        <f t="shared" si="128"/>
        <v>스토리위즈</v>
      </c>
      <c r="I793" t="str">
        <f t="shared" si="129"/>
        <v>신입사원이 이렇게 일을 잘했다고?</v>
      </c>
      <c r="J793">
        <v>100</v>
      </c>
      <c r="K793">
        <v>900</v>
      </c>
      <c r="L793">
        <v>9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900</v>
      </c>
      <c r="AH793">
        <v>9</v>
      </c>
      <c r="AI793">
        <v>0</v>
      </c>
      <c r="AJ793">
        <v>0</v>
      </c>
      <c r="AK793">
        <v>700</v>
      </c>
      <c r="AL793">
        <v>0</v>
      </c>
      <c r="AM793">
        <v>240</v>
      </c>
      <c r="AN793">
        <v>-48</v>
      </c>
      <c r="AO793">
        <v>0</v>
      </c>
      <c r="AP793"/>
      <c r="AQ793">
        <v>0</v>
      </c>
      <c r="AR793">
        <v>0</v>
      </c>
      <c r="AS793">
        <v>240</v>
      </c>
      <c r="AT793">
        <v>-48</v>
      </c>
      <c r="AU793">
        <v>0</v>
      </c>
      <c r="AW793">
        <v>0</v>
      </c>
      <c r="AX793">
        <v>0</v>
      </c>
      <c r="AY793">
        <v>624.4</v>
      </c>
      <c r="BC793" t="str">
        <f t="shared" si="130"/>
        <v>9791137602946</v>
      </c>
      <c r="BE793" t="str">
        <f t="shared" si="131"/>
        <v>판타지 웹소설 &gt; 현대 판타지</v>
      </c>
    </row>
    <row r="794" spans="1:57" x14ac:dyDescent="0.3">
      <c r="A794">
        <v>2313020382</v>
      </c>
      <c r="B794">
        <v>2313020555</v>
      </c>
      <c r="C794" t="str">
        <f>T("신입사원이 이렇게 일을 잘했다고? 174화")</f>
        <v>신입사원이 이렇게 일을 잘했다고? 174화</v>
      </c>
      <c r="D794" t="str">
        <f>T("174")</f>
        <v>174</v>
      </c>
      <c r="E794" t="str">
        <f t="shared" si="127"/>
        <v>왕십리글쟁이</v>
      </c>
      <c r="H794" t="str">
        <f t="shared" si="128"/>
        <v>스토리위즈</v>
      </c>
      <c r="I794" t="str">
        <f t="shared" si="129"/>
        <v>신입사원이 이렇게 일을 잘했다고?</v>
      </c>
      <c r="J794">
        <v>100</v>
      </c>
      <c r="K794">
        <v>900</v>
      </c>
      <c r="L794">
        <v>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900</v>
      </c>
      <c r="AH794">
        <v>9</v>
      </c>
      <c r="AI794">
        <v>0</v>
      </c>
      <c r="AJ794">
        <v>0</v>
      </c>
      <c r="AK794">
        <v>700</v>
      </c>
      <c r="AL794">
        <v>0</v>
      </c>
      <c r="AM794">
        <v>240</v>
      </c>
      <c r="AN794">
        <v>-48</v>
      </c>
      <c r="AO794">
        <v>0</v>
      </c>
      <c r="AP794"/>
      <c r="AQ794">
        <v>0</v>
      </c>
      <c r="AR794">
        <v>0</v>
      </c>
      <c r="AS794">
        <v>240</v>
      </c>
      <c r="AT794">
        <v>-48</v>
      </c>
      <c r="AU794">
        <v>0</v>
      </c>
      <c r="AW794">
        <v>0</v>
      </c>
      <c r="AX794">
        <v>0</v>
      </c>
      <c r="AY794">
        <v>624.4</v>
      </c>
      <c r="BC794" t="str">
        <f t="shared" si="130"/>
        <v>9791137602946</v>
      </c>
      <c r="BE794" t="str">
        <f t="shared" si="131"/>
        <v>판타지 웹소설 &gt; 현대 판타지</v>
      </c>
    </row>
    <row r="795" spans="1:57" x14ac:dyDescent="0.3">
      <c r="A795">
        <v>2313020382</v>
      </c>
      <c r="B795">
        <v>2313020568</v>
      </c>
      <c r="C795" t="str">
        <f>T("신입사원이 이렇게 일을 잘했다고? 187화")</f>
        <v>신입사원이 이렇게 일을 잘했다고? 187화</v>
      </c>
      <c r="D795" t="str">
        <f>T("187")</f>
        <v>187</v>
      </c>
      <c r="E795" t="str">
        <f t="shared" si="127"/>
        <v>왕십리글쟁이</v>
      </c>
      <c r="H795" t="str">
        <f t="shared" si="128"/>
        <v>스토리위즈</v>
      </c>
      <c r="I795" t="str">
        <f t="shared" si="129"/>
        <v>신입사원이 이렇게 일을 잘했다고?</v>
      </c>
      <c r="J795">
        <v>100</v>
      </c>
      <c r="K795">
        <v>900</v>
      </c>
      <c r="L795">
        <v>9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900</v>
      </c>
      <c r="AH795">
        <v>9</v>
      </c>
      <c r="AI795">
        <v>0</v>
      </c>
      <c r="AJ795">
        <v>0</v>
      </c>
      <c r="AK795">
        <v>700</v>
      </c>
      <c r="AL795">
        <v>0</v>
      </c>
      <c r="AM795">
        <v>240</v>
      </c>
      <c r="AN795">
        <v>-48</v>
      </c>
      <c r="AO795">
        <v>0</v>
      </c>
      <c r="AP795"/>
      <c r="AQ795">
        <v>0</v>
      </c>
      <c r="AR795">
        <v>0</v>
      </c>
      <c r="AS795">
        <v>240</v>
      </c>
      <c r="AT795">
        <v>-48</v>
      </c>
      <c r="AU795">
        <v>0</v>
      </c>
      <c r="AW795">
        <v>0</v>
      </c>
      <c r="AX795">
        <v>0</v>
      </c>
      <c r="AY795">
        <v>624.4</v>
      </c>
      <c r="BC795" t="str">
        <f t="shared" si="130"/>
        <v>9791137602946</v>
      </c>
      <c r="BE795" t="str">
        <f t="shared" si="131"/>
        <v>판타지 웹소설 &gt; 현대 판타지</v>
      </c>
    </row>
    <row r="796" spans="1:57" x14ac:dyDescent="0.3">
      <c r="A796">
        <v>2313020594</v>
      </c>
      <c r="B796">
        <v>2313020652</v>
      </c>
      <c r="C796" t="str">
        <f>T("아카데미 속 궁술천재 59화")</f>
        <v>아카데미 속 궁술천재 59화</v>
      </c>
      <c r="D796" t="str">
        <f>T("59")</f>
        <v>59</v>
      </c>
      <c r="E796" t="str">
        <f t="shared" ref="E796:E802" si="132">T("깡펀치")</f>
        <v>깡펀치</v>
      </c>
      <c r="H796" t="str">
        <f t="shared" si="128"/>
        <v>스토리위즈</v>
      </c>
      <c r="I796" t="str">
        <f t="shared" ref="I796:I802" si="133">T("아카데미 속 궁술천재")</f>
        <v>아카데미 속 궁술천재</v>
      </c>
      <c r="J796">
        <v>100</v>
      </c>
      <c r="K796">
        <v>900</v>
      </c>
      <c r="L796">
        <v>9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900</v>
      </c>
      <c r="AH796">
        <v>9</v>
      </c>
      <c r="AI796">
        <v>0</v>
      </c>
      <c r="AJ796">
        <v>0</v>
      </c>
      <c r="AK796">
        <v>800</v>
      </c>
      <c r="AL796">
        <v>0</v>
      </c>
      <c r="AM796">
        <v>120</v>
      </c>
      <c r="AN796">
        <v>-36</v>
      </c>
      <c r="AO796">
        <v>0</v>
      </c>
      <c r="AP796">
        <v>120</v>
      </c>
      <c r="AQ796">
        <v>-36</v>
      </c>
      <c r="AR796">
        <v>0</v>
      </c>
      <c r="AT796">
        <v>0</v>
      </c>
      <c r="AU796">
        <v>0</v>
      </c>
      <c r="AW796">
        <v>0</v>
      </c>
      <c r="AX796">
        <v>0</v>
      </c>
      <c r="AY796">
        <v>618.79999999999995</v>
      </c>
      <c r="BC796" t="str">
        <f t="shared" ref="BC796:BC802" si="134">T("9791137602915")</f>
        <v>9791137602915</v>
      </c>
      <c r="BE796" t="str">
        <f t="shared" ref="BE796:BE802" si="135">T("판타지 웹소설 &gt; 퓨전 판타지")</f>
        <v>판타지 웹소설 &gt; 퓨전 판타지</v>
      </c>
    </row>
    <row r="797" spans="1:57" x14ac:dyDescent="0.3">
      <c r="A797">
        <v>2313020594</v>
      </c>
      <c r="B797">
        <v>2313020654</v>
      </c>
      <c r="C797" t="str">
        <f>T("아카데미 속 궁술천재 61화")</f>
        <v>아카데미 속 궁술천재 61화</v>
      </c>
      <c r="D797" t="str">
        <f>T("61")</f>
        <v>61</v>
      </c>
      <c r="E797" t="str">
        <f t="shared" si="132"/>
        <v>깡펀치</v>
      </c>
      <c r="H797" t="str">
        <f t="shared" si="128"/>
        <v>스토리위즈</v>
      </c>
      <c r="I797" t="str">
        <f t="shared" si="133"/>
        <v>아카데미 속 궁술천재</v>
      </c>
      <c r="J797">
        <v>100</v>
      </c>
      <c r="K797">
        <v>900</v>
      </c>
      <c r="L797">
        <v>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900</v>
      </c>
      <c r="AH797">
        <v>9</v>
      </c>
      <c r="AI797">
        <v>0</v>
      </c>
      <c r="AJ797">
        <v>0</v>
      </c>
      <c r="AK797">
        <v>800</v>
      </c>
      <c r="AL797">
        <v>0</v>
      </c>
      <c r="AM797">
        <v>120</v>
      </c>
      <c r="AN797">
        <v>-36</v>
      </c>
      <c r="AO797">
        <v>0</v>
      </c>
      <c r="AP797">
        <v>120</v>
      </c>
      <c r="AQ797">
        <v>-36</v>
      </c>
      <c r="AR797">
        <v>0</v>
      </c>
      <c r="AT797">
        <v>0</v>
      </c>
      <c r="AU797">
        <v>0</v>
      </c>
      <c r="AW797">
        <v>0</v>
      </c>
      <c r="AX797">
        <v>0</v>
      </c>
      <c r="AY797">
        <v>618.79999999999995</v>
      </c>
      <c r="BC797" t="str">
        <f t="shared" si="134"/>
        <v>9791137602915</v>
      </c>
      <c r="BE797" t="str">
        <f t="shared" si="135"/>
        <v>판타지 웹소설 &gt; 퓨전 판타지</v>
      </c>
    </row>
    <row r="798" spans="1:57" x14ac:dyDescent="0.3">
      <c r="A798">
        <v>2313020594</v>
      </c>
      <c r="B798">
        <v>2313020655</v>
      </c>
      <c r="C798" t="str">
        <f>T("아카데미 속 궁술천재 62화")</f>
        <v>아카데미 속 궁술천재 62화</v>
      </c>
      <c r="D798" t="str">
        <f>T("62")</f>
        <v>62</v>
      </c>
      <c r="E798" t="str">
        <f t="shared" si="132"/>
        <v>깡펀치</v>
      </c>
      <c r="H798" t="str">
        <f t="shared" si="128"/>
        <v>스토리위즈</v>
      </c>
      <c r="I798" t="str">
        <f t="shared" si="133"/>
        <v>아카데미 속 궁술천재</v>
      </c>
      <c r="J798">
        <v>100</v>
      </c>
      <c r="K798">
        <v>900</v>
      </c>
      <c r="L798">
        <v>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900</v>
      </c>
      <c r="AH798">
        <v>9</v>
      </c>
      <c r="AI798">
        <v>0</v>
      </c>
      <c r="AJ798">
        <v>0</v>
      </c>
      <c r="AK798">
        <v>800</v>
      </c>
      <c r="AL798">
        <v>0</v>
      </c>
      <c r="AM798">
        <v>120</v>
      </c>
      <c r="AN798">
        <v>-36</v>
      </c>
      <c r="AO798">
        <v>0</v>
      </c>
      <c r="AP798">
        <v>120</v>
      </c>
      <c r="AQ798">
        <v>-36</v>
      </c>
      <c r="AR798">
        <v>0</v>
      </c>
      <c r="AT798">
        <v>0</v>
      </c>
      <c r="AU798">
        <v>0</v>
      </c>
      <c r="AW798">
        <v>0</v>
      </c>
      <c r="AX798">
        <v>0</v>
      </c>
      <c r="AY798">
        <v>618.79999999999995</v>
      </c>
      <c r="BC798" t="str">
        <f t="shared" si="134"/>
        <v>9791137602915</v>
      </c>
      <c r="BE798" t="str">
        <f t="shared" si="135"/>
        <v>판타지 웹소설 &gt; 퓨전 판타지</v>
      </c>
    </row>
    <row r="799" spans="1:57" x14ac:dyDescent="0.3">
      <c r="A799">
        <v>2313020594</v>
      </c>
      <c r="B799">
        <v>2313020656</v>
      </c>
      <c r="C799" t="str">
        <f>T("아카데미 속 궁술천재 63화")</f>
        <v>아카데미 속 궁술천재 63화</v>
      </c>
      <c r="D799" t="str">
        <f>T("63")</f>
        <v>63</v>
      </c>
      <c r="E799" t="str">
        <f t="shared" si="132"/>
        <v>깡펀치</v>
      </c>
      <c r="H799" t="str">
        <f t="shared" si="128"/>
        <v>스토리위즈</v>
      </c>
      <c r="I799" t="str">
        <f t="shared" si="133"/>
        <v>아카데미 속 궁술천재</v>
      </c>
      <c r="J799">
        <v>100</v>
      </c>
      <c r="K799">
        <v>900</v>
      </c>
      <c r="L799">
        <v>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900</v>
      </c>
      <c r="AH799">
        <v>9</v>
      </c>
      <c r="AI799">
        <v>0</v>
      </c>
      <c r="AJ799">
        <v>0</v>
      </c>
      <c r="AK799">
        <v>800</v>
      </c>
      <c r="AL799">
        <v>0</v>
      </c>
      <c r="AM799">
        <v>120</v>
      </c>
      <c r="AN799">
        <v>-36</v>
      </c>
      <c r="AO799">
        <v>0</v>
      </c>
      <c r="AP799">
        <v>120</v>
      </c>
      <c r="AQ799">
        <v>-36</v>
      </c>
      <c r="AR799">
        <v>0</v>
      </c>
      <c r="AT799">
        <v>0</v>
      </c>
      <c r="AU799">
        <v>0</v>
      </c>
      <c r="AW799">
        <v>0</v>
      </c>
      <c r="AX799">
        <v>0</v>
      </c>
      <c r="AY799">
        <v>618.79999999999995</v>
      </c>
      <c r="BC799" t="str">
        <f t="shared" si="134"/>
        <v>9791137602915</v>
      </c>
      <c r="BE799" t="str">
        <f t="shared" si="135"/>
        <v>판타지 웹소설 &gt; 퓨전 판타지</v>
      </c>
    </row>
    <row r="800" spans="1:57" x14ac:dyDescent="0.3">
      <c r="A800">
        <v>2313020594</v>
      </c>
      <c r="B800">
        <v>2313020657</v>
      </c>
      <c r="C800" t="str">
        <f>T("아카데미 속 궁술천재 64화")</f>
        <v>아카데미 속 궁술천재 64화</v>
      </c>
      <c r="D800" t="str">
        <f>T("64")</f>
        <v>64</v>
      </c>
      <c r="E800" t="str">
        <f t="shared" si="132"/>
        <v>깡펀치</v>
      </c>
      <c r="H800" t="str">
        <f t="shared" si="128"/>
        <v>스토리위즈</v>
      </c>
      <c r="I800" t="str">
        <f t="shared" si="133"/>
        <v>아카데미 속 궁술천재</v>
      </c>
      <c r="J800">
        <v>100</v>
      </c>
      <c r="K800">
        <v>900</v>
      </c>
      <c r="L800">
        <v>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900</v>
      </c>
      <c r="AH800">
        <v>9</v>
      </c>
      <c r="AI800">
        <v>0</v>
      </c>
      <c r="AJ800">
        <v>0</v>
      </c>
      <c r="AK800">
        <v>800</v>
      </c>
      <c r="AL800">
        <v>0</v>
      </c>
      <c r="AM800">
        <v>120</v>
      </c>
      <c r="AN800">
        <v>-36</v>
      </c>
      <c r="AO800">
        <v>0</v>
      </c>
      <c r="AP800">
        <v>120</v>
      </c>
      <c r="AQ800">
        <v>-36</v>
      </c>
      <c r="AR800">
        <v>0</v>
      </c>
      <c r="AT800">
        <v>0</v>
      </c>
      <c r="AU800">
        <v>0</v>
      </c>
      <c r="AW800">
        <v>0</v>
      </c>
      <c r="AX800">
        <v>0</v>
      </c>
      <c r="AY800">
        <v>618.79999999999995</v>
      </c>
      <c r="BC800" t="str">
        <f t="shared" si="134"/>
        <v>9791137602915</v>
      </c>
      <c r="BE800" t="str">
        <f t="shared" si="135"/>
        <v>판타지 웹소설 &gt; 퓨전 판타지</v>
      </c>
    </row>
    <row r="801" spans="1:58" x14ac:dyDescent="0.3">
      <c r="A801">
        <v>2313020594</v>
      </c>
      <c r="B801">
        <v>2313020659</v>
      </c>
      <c r="C801" t="str">
        <f>T("아카데미 속 궁술천재 66화")</f>
        <v>아카데미 속 궁술천재 66화</v>
      </c>
      <c r="D801" t="str">
        <f>T("66")</f>
        <v>66</v>
      </c>
      <c r="E801" t="str">
        <f t="shared" si="132"/>
        <v>깡펀치</v>
      </c>
      <c r="H801" t="str">
        <f t="shared" si="128"/>
        <v>스토리위즈</v>
      </c>
      <c r="I801" t="str">
        <f t="shared" si="133"/>
        <v>아카데미 속 궁술천재</v>
      </c>
      <c r="J801">
        <v>100</v>
      </c>
      <c r="K801">
        <v>900</v>
      </c>
      <c r="L801">
        <v>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900</v>
      </c>
      <c r="AH801">
        <v>9</v>
      </c>
      <c r="AI801">
        <v>0</v>
      </c>
      <c r="AJ801">
        <v>0</v>
      </c>
      <c r="AK801">
        <v>800</v>
      </c>
      <c r="AL801">
        <v>0</v>
      </c>
      <c r="AM801">
        <v>120</v>
      </c>
      <c r="AN801">
        <v>-36</v>
      </c>
      <c r="AO801">
        <v>0</v>
      </c>
      <c r="AP801">
        <v>120</v>
      </c>
      <c r="AQ801">
        <v>-36</v>
      </c>
      <c r="AR801">
        <v>0</v>
      </c>
      <c r="AT801">
        <v>0</v>
      </c>
      <c r="AU801">
        <v>0</v>
      </c>
      <c r="AW801">
        <v>0</v>
      </c>
      <c r="AX801">
        <v>0</v>
      </c>
      <c r="AY801">
        <v>618.79999999999995</v>
      </c>
      <c r="BC801" t="str">
        <f t="shared" si="134"/>
        <v>9791137602915</v>
      </c>
      <c r="BE801" t="str">
        <f t="shared" si="135"/>
        <v>판타지 웹소설 &gt; 퓨전 판타지</v>
      </c>
    </row>
    <row r="802" spans="1:58" x14ac:dyDescent="0.3">
      <c r="A802">
        <v>2313020594</v>
      </c>
      <c r="B802">
        <v>2313020660</v>
      </c>
      <c r="C802" t="str">
        <f>T("아카데미 속 궁술천재 67화")</f>
        <v>아카데미 속 궁술천재 67화</v>
      </c>
      <c r="D802" t="str">
        <f>T("67")</f>
        <v>67</v>
      </c>
      <c r="E802" t="str">
        <f t="shared" si="132"/>
        <v>깡펀치</v>
      </c>
      <c r="H802" t="str">
        <f t="shared" si="128"/>
        <v>스토리위즈</v>
      </c>
      <c r="I802" t="str">
        <f t="shared" si="133"/>
        <v>아카데미 속 궁술천재</v>
      </c>
      <c r="J802">
        <v>100</v>
      </c>
      <c r="K802">
        <v>900</v>
      </c>
      <c r="L802">
        <v>9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900</v>
      </c>
      <c r="AH802">
        <v>9</v>
      </c>
      <c r="AI802">
        <v>0</v>
      </c>
      <c r="AJ802">
        <v>0</v>
      </c>
      <c r="AK802">
        <v>800</v>
      </c>
      <c r="AL802">
        <v>0</v>
      </c>
      <c r="AM802">
        <v>120</v>
      </c>
      <c r="AN802">
        <v>-36</v>
      </c>
      <c r="AO802">
        <v>0</v>
      </c>
      <c r="AP802">
        <v>120</v>
      </c>
      <c r="AQ802">
        <v>-36</v>
      </c>
      <c r="AR802">
        <v>0</v>
      </c>
      <c r="AT802">
        <v>0</v>
      </c>
      <c r="AU802">
        <v>0</v>
      </c>
      <c r="AW802">
        <v>0</v>
      </c>
      <c r="AX802">
        <v>0</v>
      </c>
      <c r="AY802">
        <v>618.79999999999995</v>
      </c>
      <c r="BC802" t="str">
        <f t="shared" si="134"/>
        <v>9791137602915</v>
      </c>
      <c r="BE802" t="str">
        <f t="shared" si="135"/>
        <v>판타지 웹소설 &gt; 퓨전 판타지</v>
      </c>
    </row>
    <row r="803" spans="1:58" x14ac:dyDescent="0.3">
      <c r="A803">
        <v>2313011400</v>
      </c>
      <c r="B803">
        <v>2313011662</v>
      </c>
      <c r="C803" t="str">
        <f>T("최종 보스 13권 11화")</f>
        <v>최종 보스 13권 11화</v>
      </c>
      <c r="D803" t="str">
        <f>T("263")</f>
        <v>263</v>
      </c>
      <c r="E803" t="str">
        <f>T("무장")</f>
        <v>무장</v>
      </c>
      <c r="H803" t="str">
        <f t="shared" si="128"/>
        <v>스토리위즈</v>
      </c>
      <c r="I803" t="str">
        <f>T("최종 보스 : 빛을 향해 달리는 그림자")</f>
        <v>최종 보스 : 빛을 향해 달리는 그림자</v>
      </c>
      <c r="J803">
        <v>100</v>
      </c>
      <c r="K803">
        <v>800</v>
      </c>
      <c r="L803">
        <v>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800</v>
      </c>
      <c r="AH803">
        <v>8</v>
      </c>
      <c r="AI803">
        <v>0</v>
      </c>
      <c r="AJ803">
        <v>0</v>
      </c>
      <c r="AK803">
        <v>600</v>
      </c>
      <c r="AL803">
        <v>0</v>
      </c>
      <c r="AM803">
        <v>240</v>
      </c>
      <c r="AN803">
        <v>-48</v>
      </c>
      <c r="AO803">
        <v>0</v>
      </c>
      <c r="AP803">
        <v>120</v>
      </c>
      <c r="AQ803">
        <v>-36</v>
      </c>
      <c r="AR803">
        <v>0</v>
      </c>
      <c r="AS803">
        <v>120</v>
      </c>
      <c r="AT803">
        <v>-12</v>
      </c>
      <c r="AU803">
        <v>0</v>
      </c>
      <c r="AW803">
        <v>0</v>
      </c>
      <c r="AX803">
        <v>0</v>
      </c>
      <c r="AY803">
        <v>554.4</v>
      </c>
      <c r="BC803" t="str">
        <f>T("9791166067563")</f>
        <v>9791166067563</v>
      </c>
      <c r="BE803" t="str">
        <f>T("판타지 웹소설 &gt; 현대 판타지")</f>
        <v>판타지 웹소설 &gt; 현대 판타지</v>
      </c>
    </row>
    <row r="804" spans="1:58" x14ac:dyDescent="0.3">
      <c r="A804">
        <v>2313016995</v>
      </c>
      <c r="B804">
        <v>2313016950</v>
      </c>
      <c r="C804" t="str">
        <f>T("[e북]알림이 도착했습니다 (외전)")</f>
        <v>[e북]알림이 도착했습니다 (외전)</v>
      </c>
      <c r="D804" t="str">
        <f>T("2")</f>
        <v>2</v>
      </c>
      <c r="E804" t="str">
        <f>T("망나니개")</f>
        <v>망나니개</v>
      </c>
      <c r="H804" t="str">
        <f>T("도서출판 태랑")</f>
        <v>도서출판 태랑</v>
      </c>
      <c r="I804" t="str">
        <f>T("[e북]알림이 도착했습니다")</f>
        <v>[e북]알림이 도착했습니다</v>
      </c>
      <c r="J804">
        <v>400</v>
      </c>
      <c r="K804">
        <v>800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-200</v>
      </c>
      <c r="AD804">
        <v>1</v>
      </c>
      <c r="AE804">
        <v>0</v>
      </c>
      <c r="AF804">
        <v>0</v>
      </c>
      <c r="AG804">
        <v>800</v>
      </c>
      <c r="AH804">
        <v>2</v>
      </c>
      <c r="AI804">
        <v>-200</v>
      </c>
      <c r="AJ804">
        <v>1</v>
      </c>
      <c r="AK804">
        <v>800</v>
      </c>
      <c r="AL804">
        <v>-200</v>
      </c>
      <c r="AM804">
        <v>0</v>
      </c>
      <c r="AN804">
        <v>0</v>
      </c>
      <c r="AO804">
        <v>0</v>
      </c>
      <c r="AP804"/>
      <c r="AQ804">
        <v>0</v>
      </c>
      <c r="AR804">
        <v>0</v>
      </c>
      <c r="AT804">
        <v>0</v>
      </c>
      <c r="AU804">
        <v>0</v>
      </c>
      <c r="AW804">
        <v>0</v>
      </c>
      <c r="AX804">
        <v>0</v>
      </c>
      <c r="AY804">
        <v>420</v>
      </c>
      <c r="BC804" t="str">
        <f>T("9791164372997")</f>
        <v>9791164372997</v>
      </c>
      <c r="BE804" t="str">
        <f>T("BL 소설 e북 &gt; 현대물")</f>
        <v>BL 소설 e북 &gt; 현대물</v>
      </c>
    </row>
    <row r="805" spans="1:58" x14ac:dyDescent="0.3">
      <c r="A805">
        <v>2313017029</v>
      </c>
      <c r="B805">
        <v>2313016980</v>
      </c>
      <c r="C805" t="str">
        <f>T("[e북]너에게 닿는 순간 (외전)")</f>
        <v>[e북]너에게 닿는 순간 (외전)</v>
      </c>
      <c r="D805" t="str">
        <f>T("2")</f>
        <v>2</v>
      </c>
      <c r="E805" t="str">
        <f>T("에피")</f>
        <v>에피</v>
      </c>
      <c r="H805" t="str">
        <f>T("도서출판 태랑")</f>
        <v>도서출판 태랑</v>
      </c>
      <c r="I805" t="str">
        <f>T("[e북]너에게 닿는 순간")</f>
        <v>[e북]너에게 닿는 순간</v>
      </c>
      <c r="J805">
        <v>400</v>
      </c>
      <c r="K805">
        <v>800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800</v>
      </c>
      <c r="AH805">
        <v>2</v>
      </c>
      <c r="AI805">
        <v>0</v>
      </c>
      <c r="AJ805">
        <v>0</v>
      </c>
      <c r="AK805">
        <v>800</v>
      </c>
      <c r="AL805">
        <v>0</v>
      </c>
      <c r="AM805">
        <v>0</v>
      </c>
      <c r="AN805">
        <v>0</v>
      </c>
      <c r="AO805">
        <v>0</v>
      </c>
      <c r="AP805"/>
      <c r="AQ805">
        <v>0</v>
      </c>
      <c r="AR805">
        <v>0</v>
      </c>
      <c r="AT805">
        <v>0</v>
      </c>
      <c r="AU805">
        <v>0</v>
      </c>
      <c r="AW805">
        <v>0</v>
      </c>
      <c r="AX805">
        <v>0</v>
      </c>
      <c r="AY805">
        <v>560</v>
      </c>
      <c r="BC805" t="str">
        <f>T("9791164372218")</f>
        <v>9791164372218</v>
      </c>
      <c r="BE805" t="str">
        <f>T("로맨스 e북 &gt; 현대물")</f>
        <v>로맨스 e북 &gt; 현대물</v>
      </c>
      <c r="BF805" t="str">
        <f>T("로맨스 e북 &gt; 19+")</f>
        <v>로맨스 e북 &gt; 19+</v>
      </c>
    </row>
    <row r="806" spans="1:58" x14ac:dyDescent="0.3">
      <c r="A806">
        <v>2313017148</v>
      </c>
      <c r="B806">
        <v>2313017123</v>
      </c>
      <c r="C806" t="str">
        <f>T("[e북]비서의 유혹 (외전)")</f>
        <v>[e북]비서의 유혹 (외전)</v>
      </c>
      <c r="D806" t="str">
        <f>T("4")</f>
        <v>4</v>
      </c>
      <c r="E806" t="str">
        <f>T("밈스")</f>
        <v>밈스</v>
      </c>
      <c r="H806" t="str">
        <f>T("도서출판 태랑")</f>
        <v>도서출판 태랑</v>
      </c>
      <c r="I806" t="str">
        <f>T("[e북]비서의 유혹")</f>
        <v>[e북]비서의 유혹</v>
      </c>
      <c r="J806">
        <v>400</v>
      </c>
      <c r="K806">
        <v>800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800</v>
      </c>
      <c r="AH806">
        <v>2</v>
      </c>
      <c r="AI806">
        <v>0</v>
      </c>
      <c r="AJ806">
        <v>0</v>
      </c>
      <c r="AK806">
        <v>800</v>
      </c>
      <c r="AL806">
        <v>0</v>
      </c>
      <c r="AM806">
        <v>0</v>
      </c>
      <c r="AN806">
        <v>0</v>
      </c>
      <c r="AO806">
        <v>0</v>
      </c>
      <c r="AP806"/>
      <c r="AQ806">
        <v>0</v>
      </c>
      <c r="AR806">
        <v>0</v>
      </c>
      <c r="AT806">
        <v>0</v>
      </c>
      <c r="AU806">
        <v>0</v>
      </c>
      <c r="AW806">
        <v>0</v>
      </c>
      <c r="AX806">
        <v>0</v>
      </c>
      <c r="AY806">
        <v>560</v>
      </c>
      <c r="BC806" t="str">
        <f>T("9791189084837")</f>
        <v>9791189084837</v>
      </c>
      <c r="BE806" t="str">
        <f>T("로맨스 e북 &gt; 현대물")</f>
        <v>로맨스 e북 &gt; 현대물</v>
      </c>
    </row>
    <row r="807" spans="1:58" x14ac:dyDescent="0.3">
      <c r="A807">
        <v>2313019814</v>
      </c>
      <c r="B807">
        <v>2313020090</v>
      </c>
      <c r="C807" t="str">
        <f>T("친구 졸업 103화")</f>
        <v>친구 졸업 103화</v>
      </c>
      <c r="D807" t="str">
        <f>T("103")</f>
        <v>103</v>
      </c>
      <c r="E807" t="str">
        <f>T("세상")</f>
        <v>세상</v>
      </c>
      <c r="H807" t="str">
        <f>T("앰퍼샌드B")</f>
        <v>앰퍼샌드B</v>
      </c>
      <c r="I807" t="str">
        <f>T("친구 졸업")</f>
        <v>친구 졸업</v>
      </c>
      <c r="J807">
        <v>100</v>
      </c>
      <c r="K807">
        <v>800</v>
      </c>
      <c r="L807">
        <v>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800</v>
      </c>
      <c r="AH807">
        <v>8</v>
      </c>
      <c r="AI807">
        <v>0</v>
      </c>
      <c r="AJ807">
        <v>0</v>
      </c>
      <c r="AK807">
        <v>800</v>
      </c>
      <c r="AL807">
        <v>0</v>
      </c>
      <c r="AM807">
        <v>0</v>
      </c>
      <c r="AN807">
        <v>0</v>
      </c>
      <c r="AO807">
        <v>0</v>
      </c>
      <c r="AP807"/>
      <c r="AQ807">
        <v>0</v>
      </c>
      <c r="AR807">
        <v>0</v>
      </c>
      <c r="AT807">
        <v>0</v>
      </c>
      <c r="AU807">
        <v>0</v>
      </c>
      <c r="AW807">
        <v>0</v>
      </c>
      <c r="AX807">
        <v>0</v>
      </c>
      <c r="AY807">
        <v>560</v>
      </c>
      <c r="BC807" t="str">
        <f>T("9791137606975")</f>
        <v>9791137606975</v>
      </c>
      <c r="BE807" t="str">
        <f>T("BL 웹소설 &gt; 현대물")</f>
        <v>BL 웹소설 &gt; 현대물</v>
      </c>
    </row>
    <row r="808" spans="1:58" x14ac:dyDescent="0.3">
      <c r="A808">
        <v>2313020382</v>
      </c>
      <c r="B808">
        <v>2313020473</v>
      </c>
      <c r="C808" t="str">
        <f>T("신입사원이 이렇게 일을 잘했다고? 92화")</f>
        <v>신입사원이 이렇게 일을 잘했다고? 92화</v>
      </c>
      <c r="D808" t="str">
        <f>T("92")</f>
        <v>92</v>
      </c>
      <c r="E808" t="str">
        <f t="shared" ref="E808:E840" si="136">T("왕십리글쟁이")</f>
        <v>왕십리글쟁이</v>
      </c>
      <c r="H808" t="str">
        <f t="shared" ref="H808:H866" si="137">T("스토리위즈")</f>
        <v>스토리위즈</v>
      </c>
      <c r="I808" t="str">
        <f t="shared" ref="I808:I840" si="138">T("신입사원이 이렇게 일을 잘했다고?")</f>
        <v>신입사원이 이렇게 일을 잘했다고?</v>
      </c>
      <c r="J808">
        <v>100</v>
      </c>
      <c r="K808">
        <v>800</v>
      </c>
      <c r="L808">
        <v>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800</v>
      </c>
      <c r="AH808">
        <v>8</v>
      </c>
      <c r="AI808">
        <v>0</v>
      </c>
      <c r="AJ808">
        <v>0</v>
      </c>
      <c r="AK808">
        <v>600</v>
      </c>
      <c r="AL808">
        <v>0</v>
      </c>
      <c r="AM808">
        <v>240</v>
      </c>
      <c r="AN808">
        <v>-24</v>
      </c>
      <c r="AO808">
        <v>0</v>
      </c>
      <c r="AP808"/>
      <c r="AQ808">
        <v>0</v>
      </c>
      <c r="AR808">
        <v>0</v>
      </c>
      <c r="AS808">
        <v>240</v>
      </c>
      <c r="AT808">
        <v>-24</v>
      </c>
      <c r="AU808">
        <v>0</v>
      </c>
      <c r="AW808">
        <v>0</v>
      </c>
      <c r="AX808">
        <v>0</v>
      </c>
      <c r="AY808">
        <v>571.20000000000005</v>
      </c>
      <c r="BC808" t="str">
        <f t="shared" ref="BC808:BC840" si="139">T("9791137602946")</f>
        <v>9791137602946</v>
      </c>
      <c r="BE808" t="str">
        <f t="shared" ref="BE808:BE840" si="140">T("판타지 웹소설 &gt; 현대 판타지")</f>
        <v>판타지 웹소설 &gt; 현대 판타지</v>
      </c>
    </row>
    <row r="809" spans="1:58" x14ac:dyDescent="0.3">
      <c r="A809">
        <v>2313020382</v>
      </c>
      <c r="B809">
        <v>2313020474</v>
      </c>
      <c r="C809" t="str">
        <f>T("신입사원이 이렇게 일을 잘했다고? 93화")</f>
        <v>신입사원이 이렇게 일을 잘했다고? 93화</v>
      </c>
      <c r="D809" t="str">
        <f>T("93")</f>
        <v>93</v>
      </c>
      <c r="E809" t="str">
        <f t="shared" si="136"/>
        <v>왕십리글쟁이</v>
      </c>
      <c r="H809" t="str">
        <f t="shared" si="137"/>
        <v>스토리위즈</v>
      </c>
      <c r="I809" t="str">
        <f t="shared" si="138"/>
        <v>신입사원이 이렇게 일을 잘했다고?</v>
      </c>
      <c r="J809">
        <v>100</v>
      </c>
      <c r="K809">
        <v>800</v>
      </c>
      <c r="L809">
        <v>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800</v>
      </c>
      <c r="AH809">
        <v>8</v>
      </c>
      <c r="AI809">
        <v>0</v>
      </c>
      <c r="AJ809">
        <v>0</v>
      </c>
      <c r="AK809">
        <v>600</v>
      </c>
      <c r="AL809">
        <v>0</v>
      </c>
      <c r="AM809">
        <v>240</v>
      </c>
      <c r="AN809">
        <v>-24</v>
      </c>
      <c r="AO809">
        <v>0</v>
      </c>
      <c r="AP809"/>
      <c r="AQ809">
        <v>0</v>
      </c>
      <c r="AR809">
        <v>0</v>
      </c>
      <c r="AS809">
        <v>240</v>
      </c>
      <c r="AT809">
        <v>-24</v>
      </c>
      <c r="AU809">
        <v>0</v>
      </c>
      <c r="AW809">
        <v>0</v>
      </c>
      <c r="AX809">
        <v>0</v>
      </c>
      <c r="AY809">
        <v>571.20000000000005</v>
      </c>
      <c r="BC809" t="str">
        <f t="shared" si="139"/>
        <v>9791137602946</v>
      </c>
      <c r="BE809" t="str">
        <f t="shared" si="140"/>
        <v>판타지 웹소설 &gt; 현대 판타지</v>
      </c>
    </row>
    <row r="810" spans="1:58" x14ac:dyDescent="0.3">
      <c r="A810">
        <v>2313020382</v>
      </c>
      <c r="B810">
        <v>2313020475</v>
      </c>
      <c r="C810" t="str">
        <f>T("신입사원이 이렇게 일을 잘했다고? 94화")</f>
        <v>신입사원이 이렇게 일을 잘했다고? 94화</v>
      </c>
      <c r="D810" t="str">
        <f>T("94")</f>
        <v>94</v>
      </c>
      <c r="E810" t="str">
        <f t="shared" si="136"/>
        <v>왕십리글쟁이</v>
      </c>
      <c r="H810" t="str">
        <f t="shared" si="137"/>
        <v>스토리위즈</v>
      </c>
      <c r="I810" t="str">
        <f t="shared" si="138"/>
        <v>신입사원이 이렇게 일을 잘했다고?</v>
      </c>
      <c r="J810">
        <v>100</v>
      </c>
      <c r="K810">
        <v>800</v>
      </c>
      <c r="L810">
        <v>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800</v>
      </c>
      <c r="AH810">
        <v>8</v>
      </c>
      <c r="AI810">
        <v>0</v>
      </c>
      <c r="AJ810">
        <v>0</v>
      </c>
      <c r="AK810">
        <v>600</v>
      </c>
      <c r="AL810">
        <v>0</v>
      </c>
      <c r="AM810">
        <v>240</v>
      </c>
      <c r="AN810">
        <v>-24</v>
      </c>
      <c r="AO810">
        <v>0</v>
      </c>
      <c r="AP810"/>
      <c r="AQ810">
        <v>0</v>
      </c>
      <c r="AR810">
        <v>0</v>
      </c>
      <c r="AS810">
        <v>240</v>
      </c>
      <c r="AT810">
        <v>-24</v>
      </c>
      <c r="AU810">
        <v>0</v>
      </c>
      <c r="AW810">
        <v>0</v>
      </c>
      <c r="AX810">
        <v>0</v>
      </c>
      <c r="AY810">
        <v>571.20000000000005</v>
      </c>
      <c r="BC810" t="str">
        <f t="shared" si="139"/>
        <v>9791137602946</v>
      </c>
      <c r="BE810" t="str">
        <f t="shared" si="140"/>
        <v>판타지 웹소설 &gt; 현대 판타지</v>
      </c>
    </row>
    <row r="811" spans="1:58" x14ac:dyDescent="0.3">
      <c r="A811">
        <v>2313020382</v>
      </c>
      <c r="B811">
        <v>2313020476</v>
      </c>
      <c r="C811" t="str">
        <f>T("신입사원이 이렇게 일을 잘했다고? 95화")</f>
        <v>신입사원이 이렇게 일을 잘했다고? 95화</v>
      </c>
      <c r="D811" t="str">
        <f>T("95")</f>
        <v>95</v>
      </c>
      <c r="E811" t="str">
        <f t="shared" si="136"/>
        <v>왕십리글쟁이</v>
      </c>
      <c r="H811" t="str">
        <f t="shared" si="137"/>
        <v>스토리위즈</v>
      </c>
      <c r="I811" t="str">
        <f t="shared" si="138"/>
        <v>신입사원이 이렇게 일을 잘했다고?</v>
      </c>
      <c r="J811">
        <v>100</v>
      </c>
      <c r="K811">
        <v>800</v>
      </c>
      <c r="L811">
        <v>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800</v>
      </c>
      <c r="AH811">
        <v>8</v>
      </c>
      <c r="AI811">
        <v>0</v>
      </c>
      <c r="AJ811">
        <v>0</v>
      </c>
      <c r="AK811">
        <v>600</v>
      </c>
      <c r="AL811">
        <v>0</v>
      </c>
      <c r="AM811">
        <v>240</v>
      </c>
      <c r="AN811">
        <v>-24</v>
      </c>
      <c r="AO811">
        <v>0</v>
      </c>
      <c r="AP811"/>
      <c r="AQ811">
        <v>0</v>
      </c>
      <c r="AR811">
        <v>0</v>
      </c>
      <c r="AS811">
        <v>240</v>
      </c>
      <c r="AT811">
        <v>-24</v>
      </c>
      <c r="AU811">
        <v>0</v>
      </c>
      <c r="AW811">
        <v>0</v>
      </c>
      <c r="AX811">
        <v>0</v>
      </c>
      <c r="AY811">
        <v>571.20000000000005</v>
      </c>
      <c r="BC811" t="str">
        <f t="shared" si="139"/>
        <v>9791137602946</v>
      </c>
      <c r="BE811" t="str">
        <f t="shared" si="140"/>
        <v>판타지 웹소설 &gt; 현대 판타지</v>
      </c>
    </row>
    <row r="812" spans="1:58" x14ac:dyDescent="0.3">
      <c r="A812">
        <v>2313020382</v>
      </c>
      <c r="B812">
        <v>2313020498</v>
      </c>
      <c r="C812" t="str">
        <f>T("신입사원이 이렇게 일을 잘했다고? 117화")</f>
        <v>신입사원이 이렇게 일을 잘했다고? 117화</v>
      </c>
      <c r="D812" t="str">
        <f>T("117")</f>
        <v>117</v>
      </c>
      <c r="E812" t="str">
        <f t="shared" si="136"/>
        <v>왕십리글쟁이</v>
      </c>
      <c r="H812" t="str">
        <f t="shared" si="137"/>
        <v>스토리위즈</v>
      </c>
      <c r="I812" t="str">
        <f t="shared" si="138"/>
        <v>신입사원이 이렇게 일을 잘했다고?</v>
      </c>
      <c r="J812">
        <v>100</v>
      </c>
      <c r="K812">
        <v>800</v>
      </c>
      <c r="L812">
        <v>8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800</v>
      </c>
      <c r="AH812">
        <v>8</v>
      </c>
      <c r="AI812">
        <v>0</v>
      </c>
      <c r="AJ812">
        <v>0</v>
      </c>
      <c r="AK812">
        <v>700</v>
      </c>
      <c r="AL812">
        <v>0</v>
      </c>
      <c r="AM812">
        <v>120</v>
      </c>
      <c r="AN812">
        <v>-12</v>
      </c>
      <c r="AO812">
        <v>0</v>
      </c>
      <c r="AP812"/>
      <c r="AQ812">
        <v>0</v>
      </c>
      <c r="AR812">
        <v>0</v>
      </c>
      <c r="AS812">
        <v>120</v>
      </c>
      <c r="AT812">
        <v>-12</v>
      </c>
      <c r="AU812">
        <v>0</v>
      </c>
      <c r="AW812">
        <v>0</v>
      </c>
      <c r="AX812">
        <v>0</v>
      </c>
      <c r="AY812">
        <v>565.6</v>
      </c>
      <c r="BC812" t="str">
        <f t="shared" si="139"/>
        <v>9791137602946</v>
      </c>
      <c r="BE812" t="str">
        <f t="shared" si="140"/>
        <v>판타지 웹소설 &gt; 현대 판타지</v>
      </c>
    </row>
    <row r="813" spans="1:58" x14ac:dyDescent="0.3">
      <c r="A813">
        <v>2313020382</v>
      </c>
      <c r="B813">
        <v>2313020499</v>
      </c>
      <c r="C813" t="str">
        <f>T("신입사원이 이렇게 일을 잘했다고? 118화")</f>
        <v>신입사원이 이렇게 일을 잘했다고? 118화</v>
      </c>
      <c r="D813" t="str">
        <f>T("118")</f>
        <v>118</v>
      </c>
      <c r="E813" t="str">
        <f t="shared" si="136"/>
        <v>왕십리글쟁이</v>
      </c>
      <c r="H813" t="str">
        <f t="shared" si="137"/>
        <v>스토리위즈</v>
      </c>
      <c r="I813" t="str">
        <f t="shared" si="138"/>
        <v>신입사원이 이렇게 일을 잘했다고?</v>
      </c>
      <c r="J813">
        <v>100</v>
      </c>
      <c r="K813">
        <v>800</v>
      </c>
      <c r="L813">
        <v>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800</v>
      </c>
      <c r="AH813">
        <v>8</v>
      </c>
      <c r="AI813">
        <v>0</v>
      </c>
      <c r="AJ813">
        <v>0</v>
      </c>
      <c r="AK813">
        <v>700</v>
      </c>
      <c r="AL813">
        <v>0</v>
      </c>
      <c r="AM813">
        <v>120</v>
      </c>
      <c r="AN813">
        <v>-12</v>
      </c>
      <c r="AO813">
        <v>0</v>
      </c>
      <c r="AP813"/>
      <c r="AQ813">
        <v>0</v>
      </c>
      <c r="AR813">
        <v>0</v>
      </c>
      <c r="AS813">
        <v>120</v>
      </c>
      <c r="AT813">
        <v>-12</v>
      </c>
      <c r="AU813">
        <v>0</v>
      </c>
      <c r="AW813">
        <v>0</v>
      </c>
      <c r="AX813">
        <v>0</v>
      </c>
      <c r="AY813">
        <v>565.6</v>
      </c>
      <c r="BC813" t="str">
        <f t="shared" si="139"/>
        <v>9791137602946</v>
      </c>
      <c r="BE813" t="str">
        <f t="shared" si="140"/>
        <v>판타지 웹소설 &gt; 현대 판타지</v>
      </c>
    </row>
    <row r="814" spans="1:58" x14ac:dyDescent="0.3">
      <c r="A814">
        <v>2313020382</v>
      </c>
      <c r="B814">
        <v>2313020500</v>
      </c>
      <c r="C814" t="str">
        <f>T("신입사원이 이렇게 일을 잘했다고? 119화")</f>
        <v>신입사원이 이렇게 일을 잘했다고? 119화</v>
      </c>
      <c r="D814" t="str">
        <f>T("119")</f>
        <v>119</v>
      </c>
      <c r="E814" t="str">
        <f t="shared" si="136"/>
        <v>왕십리글쟁이</v>
      </c>
      <c r="H814" t="str">
        <f t="shared" si="137"/>
        <v>스토리위즈</v>
      </c>
      <c r="I814" t="str">
        <f t="shared" si="138"/>
        <v>신입사원이 이렇게 일을 잘했다고?</v>
      </c>
      <c r="J814">
        <v>100</v>
      </c>
      <c r="K814">
        <v>800</v>
      </c>
      <c r="L814">
        <v>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800</v>
      </c>
      <c r="AH814">
        <v>8</v>
      </c>
      <c r="AI814">
        <v>0</v>
      </c>
      <c r="AJ814">
        <v>0</v>
      </c>
      <c r="AK814">
        <v>700</v>
      </c>
      <c r="AL814">
        <v>0</v>
      </c>
      <c r="AM814">
        <v>120</v>
      </c>
      <c r="AN814">
        <v>-12</v>
      </c>
      <c r="AO814">
        <v>0</v>
      </c>
      <c r="AP814"/>
      <c r="AQ814">
        <v>0</v>
      </c>
      <c r="AR814">
        <v>0</v>
      </c>
      <c r="AS814">
        <v>120</v>
      </c>
      <c r="AT814">
        <v>-12</v>
      </c>
      <c r="AU814">
        <v>0</v>
      </c>
      <c r="AW814">
        <v>0</v>
      </c>
      <c r="AX814">
        <v>0</v>
      </c>
      <c r="AY814">
        <v>565.6</v>
      </c>
      <c r="BC814" t="str">
        <f t="shared" si="139"/>
        <v>9791137602946</v>
      </c>
      <c r="BE814" t="str">
        <f t="shared" si="140"/>
        <v>판타지 웹소설 &gt; 현대 판타지</v>
      </c>
    </row>
    <row r="815" spans="1:58" x14ac:dyDescent="0.3">
      <c r="A815">
        <v>2313020382</v>
      </c>
      <c r="B815">
        <v>2313020501</v>
      </c>
      <c r="C815" t="str">
        <f>T("신입사원이 이렇게 일을 잘했다고? 120화")</f>
        <v>신입사원이 이렇게 일을 잘했다고? 120화</v>
      </c>
      <c r="D815" t="str">
        <f>T("120")</f>
        <v>120</v>
      </c>
      <c r="E815" t="str">
        <f t="shared" si="136"/>
        <v>왕십리글쟁이</v>
      </c>
      <c r="H815" t="str">
        <f t="shared" si="137"/>
        <v>스토리위즈</v>
      </c>
      <c r="I815" t="str">
        <f t="shared" si="138"/>
        <v>신입사원이 이렇게 일을 잘했다고?</v>
      </c>
      <c r="J815">
        <v>100</v>
      </c>
      <c r="K815">
        <v>800</v>
      </c>
      <c r="L815">
        <v>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800</v>
      </c>
      <c r="AH815">
        <v>8</v>
      </c>
      <c r="AI815">
        <v>0</v>
      </c>
      <c r="AJ815">
        <v>0</v>
      </c>
      <c r="AK815">
        <v>700</v>
      </c>
      <c r="AL815">
        <v>0</v>
      </c>
      <c r="AM815">
        <v>120</v>
      </c>
      <c r="AN815">
        <v>-12</v>
      </c>
      <c r="AO815">
        <v>0</v>
      </c>
      <c r="AP815"/>
      <c r="AQ815">
        <v>0</v>
      </c>
      <c r="AR815">
        <v>0</v>
      </c>
      <c r="AS815">
        <v>120</v>
      </c>
      <c r="AT815">
        <v>-12</v>
      </c>
      <c r="AU815">
        <v>0</v>
      </c>
      <c r="AW815">
        <v>0</v>
      </c>
      <c r="AX815">
        <v>0</v>
      </c>
      <c r="AY815">
        <v>565.6</v>
      </c>
      <c r="BC815" t="str">
        <f t="shared" si="139"/>
        <v>9791137602946</v>
      </c>
      <c r="BE815" t="str">
        <f t="shared" si="140"/>
        <v>판타지 웹소설 &gt; 현대 판타지</v>
      </c>
    </row>
    <row r="816" spans="1:58" x14ac:dyDescent="0.3">
      <c r="A816">
        <v>2313020382</v>
      </c>
      <c r="B816">
        <v>2313020502</v>
      </c>
      <c r="C816" t="str">
        <f>T("신입사원이 이렇게 일을 잘했다고? 121화")</f>
        <v>신입사원이 이렇게 일을 잘했다고? 121화</v>
      </c>
      <c r="D816" t="str">
        <f>T("121")</f>
        <v>121</v>
      </c>
      <c r="E816" t="str">
        <f t="shared" si="136"/>
        <v>왕십리글쟁이</v>
      </c>
      <c r="H816" t="str">
        <f t="shared" si="137"/>
        <v>스토리위즈</v>
      </c>
      <c r="I816" t="str">
        <f t="shared" si="138"/>
        <v>신입사원이 이렇게 일을 잘했다고?</v>
      </c>
      <c r="J816">
        <v>100</v>
      </c>
      <c r="K816">
        <v>800</v>
      </c>
      <c r="L816">
        <v>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800</v>
      </c>
      <c r="AH816">
        <v>8</v>
      </c>
      <c r="AI816">
        <v>0</v>
      </c>
      <c r="AJ816">
        <v>0</v>
      </c>
      <c r="AK816">
        <v>700</v>
      </c>
      <c r="AL816">
        <v>0</v>
      </c>
      <c r="AM816">
        <v>120</v>
      </c>
      <c r="AN816">
        <v>-12</v>
      </c>
      <c r="AO816">
        <v>0</v>
      </c>
      <c r="AP816"/>
      <c r="AQ816">
        <v>0</v>
      </c>
      <c r="AR816">
        <v>0</v>
      </c>
      <c r="AS816">
        <v>120</v>
      </c>
      <c r="AT816">
        <v>-12</v>
      </c>
      <c r="AU816">
        <v>0</v>
      </c>
      <c r="AW816">
        <v>0</v>
      </c>
      <c r="AX816">
        <v>0</v>
      </c>
      <c r="AY816">
        <v>565.6</v>
      </c>
      <c r="BC816" t="str">
        <f t="shared" si="139"/>
        <v>9791137602946</v>
      </c>
      <c r="BE816" t="str">
        <f t="shared" si="140"/>
        <v>판타지 웹소설 &gt; 현대 판타지</v>
      </c>
    </row>
    <row r="817" spans="1:57" x14ac:dyDescent="0.3">
      <c r="A817">
        <v>2313020382</v>
      </c>
      <c r="B817">
        <v>2313020503</v>
      </c>
      <c r="C817" t="str">
        <f>T("신입사원이 이렇게 일을 잘했다고? 122화")</f>
        <v>신입사원이 이렇게 일을 잘했다고? 122화</v>
      </c>
      <c r="D817" t="str">
        <f>T("122")</f>
        <v>122</v>
      </c>
      <c r="E817" t="str">
        <f t="shared" si="136"/>
        <v>왕십리글쟁이</v>
      </c>
      <c r="H817" t="str">
        <f t="shared" si="137"/>
        <v>스토리위즈</v>
      </c>
      <c r="I817" t="str">
        <f t="shared" si="138"/>
        <v>신입사원이 이렇게 일을 잘했다고?</v>
      </c>
      <c r="J817">
        <v>100</v>
      </c>
      <c r="K817">
        <v>800</v>
      </c>
      <c r="L817">
        <v>8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800</v>
      </c>
      <c r="AH817">
        <v>8</v>
      </c>
      <c r="AI817">
        <v>0</v>
      </c>
      <c r="AJ817">
        <v>0</v>
      </c>
      <c r="AK817">
        <v>700</v>
      </c>
      <c r="AL817">
        <v>0</v>
      </c>
      <c r="AM817">
        <v>120</v>
      </c>
      <c r="AN817">
        <v>-12</v>
      </c>
      <c r="AO817">
        <v>0</v>
      </c>
      <c r="AP817"/>
      <c r="AQ817">
        <v>0</v>
      </c>
      <c r="AR817">
        <v>0</v>
      </c>
      <c r="AS817">
        <v>120</v>
      </c>
      <c r="AT817">
        <v>-12</v>
      </c>
      <c r="AU817">
        <v>0</v>
      </c>
      <c r="AW817">
        <v>0</v>
      </c>
      <c r="AX817">
        <v>0</v>
      </c>
      <c r="AY817">
        <v>565.6</v>
      </c>
      <c r="BC817" t="str">
        <f t="shared" si="139"/>
        <v>9791137602946</v>
      </c>
      <c r="BE817" t="str">
        <f t="shared" si="140"/>
        <v>판타지 웹소설 &gt; 현대 판타지</v>
      </c>
    </row>
    <row r="818" spans="1:57" x14ac:dyDescent="0.3">
      <c r="A818">
        <v>2313020382</v>
      </c>
      <c r="B818">
        <v>2313020504</v>
      </c>
      <c r="C818" t="str">
        <f>T("신입사원이 이렇게 일을 잘했다고? 123화")</f>
        <v>신입사원이 이렇게 일을 잘했다고? 123화</v>
      </c>
      <c r="D818" t="str">
        <f>T("123")</f>
        <v>123</v>
      </c>
      <c r="E818" t="str">
        <f t="shared" si="136"/>
        <v>왕십리글쟁이</v>
      </c>
      <c r="H818" t="str">
        <f t="shared" si="137"/>
        <v>스토리위즈</v>
      </c>
      <c r="I818" t="str">
        <f t="shared" si="138"/>
        <v>신입사원이 이렇게 일을 잘했다고?</v>
      </c>
      <c r="J818">
        <v>100</v>
      </c>
      <c r="K818">
        <v>800</v>
      </c>
      <c r="L818">
        <v>8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800</v>
      </c>
      <c r="AH818">
        <v>8</v>
      </c>
      <c r="AI818">
        <v>0</v>
      </c>
      <c r="AJ818">
        <v>0</v>
      </c>
      <c r="AK818">
        <v>700</v>
      </c>
      <c r="AL818">
        <v>0</v>
      </c>
      <c r="AM818">
        <v>120</v>
      </c>
      <c r="AN818">
        <v>-12</v>
      </c>
      <c r="AO818">
        <v>0</v>
      </c>
      <c r="AP818"/>
      <c r="AQ818">
        <v>0</v>
      </c>
      <c r="AR818">
        <v>0</v>
      </c>
      <c r="AS818">
        <v>120</v>
      </c>
      <c r="AT818">
        <v>-12</v>
      </c>
      <c r="AU818">
        <v>0</v>
      </c>
      <c r="AW818">
        <v>0</v>
      </c>
      <c r="AX818">
        <v>0</v>
      </c>
      <c r="AY818">
        <v>565.6</v>
      </c>
      <c r="BC818" t="str">
        <f t="shared" si="139"/>
        <v>9791137602946</v>
      </c>
      <c r="BE818" t="str">
        <f t="shared" si="140"/>
        <v>판타지 웹소설 &gt; 현대 판타지</v>
      </c>
    </row>
    <row r="819" spans="1:57" x14ac:dyDescent="0.3">
      <c r="A819">
        <v>2313020382</v>
      </c>
      <c r="B819">
        <v>2313020512</v>
      </c>
      <c r="C819" t="str">
        <f>T("신입사원이 이렇게 일을 잘했다고? 131화")</f>
        <v>신입사원이 이렇게 일을 잘했다고? 131화</v>
      </c>
      <c r="D819" t="str">
        <f>T("131")</f>
        <v>131</v>
      </c>
      <c r="E819" t="str">
        <f t="shared" si="136"/>
        <v>왕십리글쟁이</v>
      </c>
      <c r="H819" t="str">
        <f t="shared" si="137"/>
        <v>스토리위즈</v>
      </c>
      <c r="I819" t="str">
        <f t="shared" si="138"/>
        <v>신입사원이 이렇게 일을 잘했다고?</v>
      </c>
      <c r="J819">
        <v>100</v>
      </c>
      <c r="K819">
        <v>800</v>
      </c>
      <c r="L819">
        <v>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800</v>
      </c>
      <c r="AH819">
        <v>8</v>
      </c>
      <c r="AI819">
        <v>0</v>
      </c>
      <c r="AJ819">
        <v>0</v>
      </c>
      <c r="AK819">
        <v>700</v>
      </c>
      <c r="AL819">
        <v>0</v>
      </c>
      <c r="AM819">
        <v>120</v>
      </c>
      <c r="AN819">
        <v>-12</v>
      </c>
      <c r="AO819">
        <v>0</v>
      </c>
      <c r="AP819"/>
      <c r="AQ819">
        <v>0</v>
      </c>
      <c r="AR819">
        <v>0</v>
      </c>
      <c r="AS819">
        <v>120</v>
      </c>
      <c r="AT819">
        <v>-12</v>
      </c>
      <c r="AU819">
        <v>0</v>
      </c>
      <c r="AW819">
        <v>0</v>
      </c>
      <c r="AX819">
        <v>0</v>
      </c>
      <c r="AY819">
        <v>565.6</v>
      </c>
      <c r="BC819" t="str">
        <f t="shared" si="139"/>
        <v>9791137602946</v>
      </c>
      <c r="BE819" t="str">
        <f t="shared" si="140"/>
        <v>판타지 웹소설 &gt; 현대 판타지</v>
      </c>
    </row>
    <row r="820" spans="1:57" x14ac:dyDescent="0.3">
      <c r="A820">
        <v>2313020382</v>
      </c>
      <c r="B820">
        <v>2313020513</v>
      </c>
      <c r="C820" t="str">
        <f>T("신입사원이 이렇게 일을 잘했다고? 132화")</f>
        <v>신입사원이 이렇게 일을 잘했다고? 132화</v>
      </c>
      <c r="D820" t="str">
        <f>T("132")</f>
        <v>132</v>
      </c>
      <c r="E820" t="str">
        <f t="shared" si="136"/>
        <v>왕십리글쟁이</v>
      </c>
      <c r="H820" t="str">
        <f t="shared" si="137"/>
        <v>스토리위즈</v>
      </c>
      <c r="I820" t="str">
        <f t="shared" si="138"/>
        <v>신입사원이 이렇게 일을 잘했다고?</v>
      </c>
      <c r="J820">
        <v>100</v>
      </c>
      <c r="K820">
        <v>800</v>
      </c>
      <c r="L820">
        <v>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800</v>
      </c>
      <c r="AH820">
        <v>8</v>
      </c>
      <c r="AI820">
        <v>0</v>
      </c>
      <c r="AJ820">
        <v>0</v>
      </c>
      <c r="AK820">
        <v>700</v>
      </c>
      <c r="AL820">
        <v>0</v>
      </c>
      <c r="AM820">
        <v>120</v>
      </c>
      <c r="AN820">
        <v>-12</v>
      </c>
      <c r="AO820">
        <v>0</v>
      </c>
      <c r="AP820"/>
      <c r="AQ820">
        <v>0</v>
      </c>
      <c r="AR820">
        <v>0</v>
      </c>
      <c r="AS820">
        <v>120</v>
      </c>
      <c r="AT820">
        <v>-12</v>
      </c>
      <c r="AU820">
        <v>0</v>
      </c>
      <c r="AW820">
        <v>0</v>
      </c>
      <c r="AX820">
        <v>0</v>
      </c>
      <c r="AY820">
        <v>565.6</v>
      </c>
      <c r="BC820" t="str">
        <f t="shared" si="139"/>
        <v>9791137602946</v>
      </c>
      <c r="BE820" t="str">
        <f t="shared" si="140"/>
        <v>판타지 웹소설 &gt; 현대 판타지</v>
      </c>
    </row>
    <row r="821" spans="1:57" x14ac:dyDescent="0.3">
      <c r="A821">
        <v>2313020382</v>
      </c>
      <c r="B821">
        <v>2313020514</v>
      </c>
      <c r="C821" t="str">
        <f>T("신입사원이 이렇게 일을 잘했다고? 133화")</f>
        <v>신입사원이 이렇게 일을 잘했다고? 133화</v>
      </c>
      <c r="D821" t="str">
        <f>T("133")</f>
        <v>133</v>
      </c>
      <c r="E821" t="str">
        <f t="shared" si="136"/>
        <v>왕십리글쟁이</v>
      </c>
      <c r="H821" t="str">
        <f t="shared" si="137"/>
        <v>스토리위즈</v>
      </c>
      <c r="I821" t="str">
        <f t="shared" si="138"/>
        <v>신입사원이 이렇게 일을 잘했다고?</v>
      </c>
      <c r="J821">
        <v>100</v>
      </c>
      <c r="K821">
        <v>800</v>
      </c>
      <c r="L821">
        <v>8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800</v>
      </c>
      <c r="AH821">
        <v>8</v>
      </c>
      <c r="AI821">
        <v>0</v>
      </c>
      <c r="AJ821">
        <v>0</v>
      </c>
      <c r="AK821">
        <v>700</v>
      </c>
      <c r="AL821">
        <v>0</v>
      </c>
      <c r="AM821">
        <v>120</v>
      </c>
      <c r="AN821">
        <v>-12</v>
      </c>
      <c r="AO821">
        <v>0</v>
      </c>
      <c r="AP821"/>
      <c r="AQ821">
        <v>0</v>
      </c>
      <c r="AR821">
        <v>0</v>
      </c>
      <c r="AS821">
        <v>120</v>
      </c>
      <c r="AT821">
        <v>-12</v>
      </c>
      <c r="AU821">
        <v>0</v>
      </c>
      <c r="AW821">
        <v>0</v>
      </c>
      <c r="AX821">
        <v>0</v>
      </c>
      <c r="AY821">
        <v>565.6</v>
      </c>
      <c r="BC821" t="str">
        <f t="shared" si="139"/>
        <v>9791137602946</v>
      </c>
      <c r="BE821" t="str">
        <f t="shared" si="140"/>
        <v>판타지 웹소설 &gt; 현대 판타지</v>
      </c>
    </row>
    <row r="822" spans="1:57" x14ac:dyDescent="0.3">
      <c r="A822">
        <v>2313020382</v>
      </c>
      <c r="B822">
        <v>2313020515</v>
      </c>
      <c r="C822" t="str">
        <f>T("신입사원이 이렇게 일을 잘했다고? 134화")</f>
        <v>신입사원이 이렇게 일을 잘했다고? 134화</v>
      </c>
      <c r="D822" t="str">
        <f>T("134")</f>
        <v>134</v>
      </c>
      <c r="E822" t="str">
        <f t="shared" si="136"/>
        <v>왕십리글쟁이</v>
      </c>
      <c r="H822" t="str">
        <f t="shared" si="137"/>
        <v>스토리위즈</v>
      </c>
      <c r="I822" t="str">
        <f t="shared" si="138"/>
        <v>신입사원이 이렇게 일을 잘했다고?</v>
      </c>
      <c r="J822">
        <v>100</v>
      </c>
      <c r="K822">
        <v>800</v>
      </c>
      <c r="L822">
        <v>8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800</v>
      </c>
      <c r="AH822">
        <v>8</v>
      </c>
      <c r="AI822">
        <v>0</v>
      </c>
      <c r="AJ822">
        <v>0</v>
      </c>
      <c r="AK822">
        <v>700</v>
      </c>
      <c r="AL822">
        <v>0</v>
      </c>
      <c r="AM822">
        <v>120</v>
      </c>
      <c r="AN822">
        <v>-12</v>
      </c>
      <c r="AO822">
        <v>0</v>
      </c>
      <c r="AP822"/>
      <c r="AQ822">
        <v>0</v>
      </c>
      <c r="AR822">
        <v>0</v>
      </c>
      <c r="AS822">
        <v>120</v>
      </c>
      <c r="AT822">
        <v>-12</v>
      </c>
      <c r="AU822">
        <v>0</v>
      </c>
      <c r="AW822">
        <v>0</v>
      </c>
      <c r="AX822">
        <v>0</v>
      </c>
      <c r="AY822">
        <v>565.6</v>
      </c>
      <c r="BC822" t="str">
        <f t="shared" si="139"/>
        <v>9791137602946</v>
      </c>
      <c r="BE822" t="str">
        <f t="shared" si="140"/>
        <v>판타지 웹소설 &gt; 현대 판타지</v>
      </c>
    </row>
    <row r="823" spans="1:57" x14ac:dyDescent="0.3">
      <c r="A823">
        <v>2313020382</v>
      </c>
      <c r="B823">
        <v>2313020516</v>
      </c>
      <c r="C823" t="str">
        <f>T("신입사원이 이렇게 일을 잘했다고? 135화")</f>
        <v>신입사원이 이렇게 일을 잘했다고? 135화</v>
      </c>
      <c r="D823" t="str">
        <f>T("135")</f>
        <v>135</v>
      </c>
      <c r="E823" t="str">
        <f t="shared" si="136"/>
        <v>왕십리글쟁이</v>
      </c>
      <c r="H823" t="str">
        <f t="shared" si="137"/>
        <v>스토리위즈</v>
      </c>
      <c r="I823" t="str">
        <f t="shared" si="138"/>
        <v>신입사원이 이렇게 일을 잘했다고?</v>
      </c>
      <c r="J823">
        <v>100</v>
      </c>
      <c r="K823">
        <v>800</v>
      </c>
      <c r="L823">
        <v>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800</v>
      </c>
      <c r="AH823">
        <v>8</v>
      </c>
      <c r="AI823">
        <v>0</v>
      </c>
      <c r="AJ823">
        <v>0</v>
      </c>
      <c r="AK823">
        <v>700</v>
      </c>
      <c r="AL823">
        <v>0</v>
      </c>
      <c r="AM823">
        <v>120</v>
      </c>
      <c r="AN823">
        <v>-12</v>
      </c>
      <c r="AO823">
        <v>0</v>
      </c>
      <c r="AP823"/>
      <c r="AQ823">
        <v>0</v>
      </c>
      <c r="AR823">
        <v>0</v>
      </c>
      <c r="AS823">
        <v>120</v>
      </c>
      <c r="AT823">
        <v>-12</v>
      </c>
      <c r="AU823">
        <v>0</v>
      </c>
      <c r="AW823">
        <v>0</v>
      </c>
      <c r="AX823">
        <v>0</v>
      </c>
      <c r="AY823">
        <v>565.6</v>
      </c>
      <c r="BC823" t="str">
        <f t="shared" si="139"/>
        <v>9791137602946</v>
      </c>
      <c r="BE823" t="str">
        <f t="shared" si="140"/>
        <v>판타지 웹소설 &gt; 현대 판타지</v>
      </c>
    </row>
    <row r="824" spans="1:57" x14ac:dyDescent="0.3">
      <c r="A824">
        <v>2313020382</v>
      </c>
      <c r="B824">
        <v>2313020517</v>
      </c>
      <c r="C824" t="str">
        <f>T("신입사원이 이렇게 일을 잘했다고? 136화")</f>
        <v>신입사원이 이렇게 일을 잘했다고? 136화</v>
      </c>
      <c r="D824" t="str">
        <f>T("136")</f>
        <v>136</v>
      </c>
      <c r="E824" t="str">
        <f t="shared" si="136"/>
        <v>왕십리글쟁이</v>
      </c>
      <c r="H824" t="str">
        <f t="shared" si="137"/>
        <v>스토리위즈</v>
      </c>
      <c r="I824" t="str">
        <f t="shared" si="138"/>
        <v>신입사원이 이렇게 일을 잘했다고?</v>
      </c>
      <c r="J824">
        <v>100</v>
      </c>
      <c r="K824">
        <v>800</v>
      </c>
      <c r="L824">
        <v>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800</v>
      </c>
      <c r="AH824">
        <v>8</v>
      </c>
      <c r="AI824">
        <v>0</v>
      </c>
      <c r="AJ824">
        <v>0</v>
      </c>
      <c r="AK824">
        <v>700</v>
      </c>
      <c r="AL824">
        <v>0</v>
      </c>
      <c r="AM824">
        <v>120</v>
      </c>
      <c r="AN824">
        <v>-12</v>
      </c>
      <c r="AO824">
        <v>0</v>
      </c>
      <c r="AP824"/>
      <c r="AQ824">
        <v>0</v>
      </c>
      <c r="AR824">
        <v>0</v>
      </c>
      <c r="AS824">
        <v>120</v>
      </c>
      <c r="AT824">
        <v>-12</v>
      </c>
      <c r="AU824">
        <v>0</v>
      </c>
      <c r="AW824">
        <v>0</v>
      </c>
      <c r="AX824">
        <v>0</v>
      </c>
      <c r="AY824">
        <v>565.6</v>
      </c>
      <c r="BC824" t="str">
        <f t="shared" si="139"/>
        <v>9791137602946</v>
      </c>
      <c r="BE824" t="str">
        <f t="shared" si="140"/>
        <v>판타지 웹소설 &gt; 현대 판타지</v>
      </c>
    </row>
    <row r="825" spans="1:57" x14ac:dyDescent="0.3">
      <c r="A825">
        <v>2313020382</v>
      </c>
      <c r="B825">
        <v>2313020518</v>
      </c>
      <c r="C825" t="str">
        <f>T("신입사원이 이렇게 일을 잘했다고? 137화")</f>
        <v>신입사원이 이렇게 일을 잘했다고? 137화</v>
      </c>
      <c r="D825" t="str">
        <f>T("137")</f>
        <v>137</v>
      </c>
      <c r="E825" t="str">
        <f t="shared" si="136"/>
        <v>왕십리글쟁이</v>
      </c>
      <c r="H825" t="str">
        <f t="shared" si="137"/>
        <v>스토리위즈</v>
      </c>
      <c r="I825" t="str">
        <f t="shared" si="138"/>
        <v>신입사원이 이렇게 일을 잘했다고?</v>
      </c>
      <c r="J825">
        <v>100</v>
      </c>
      <c r="K825">
        <v>800</v>
      </c>
      <c r="L825">
        <v>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800</v>
      </c>
      <c r="AH825">
        <v>8</v>
      </c>
      <c r="AI825">
        <v>0</v>
      </c>
      <c r="AJ825">
        <v>0</v>
      </c>
      <c r="AK825">
        <v>700</v>
      </c>
      <c r="AL825">
        <v>0</v>
      </c>
      <c r="AM825">
        <v>120</v>
      </c>
      <c r="AN825">
        <v>-12</v>
      </c>
      <c r="AO825">
        <v>0</v>
      </c>
      <c r="AP825"/>
      <c r="AQ825">
        <v>0</v>
      </c>
      <c r="AR825">
        <v>0</v>
      </c>
      <c r="AS825">
        <v>120</v>
      </c>
      <c r="AT825">
        <v>-12</v>
      </c>
      <c r="AU825">
        <v>0</v>
      </c>
      <c r="AW825">
        <v>0</v>
      </c>
      <c r="AX825">
        <v>0</v>
      </c>
      <c r="AY825">
        <v>565.6</v>
      </c>
      <c r="BC825" t="str">
        <f t="shared" si="139"/>
        <v>9791137602946</v>
      </c>
      <c r="BE825" t="str">
        <f t="shared" si="140"/>
        <v>판타지 웹소설 &gt; 현대 판타지</v>
      </c>
    </row>
    <row r="826" spans="1:57" x14ac:dyDescent="0.3">
      <c r="A826">
        <v>2313020382</v>
      </c>
      <c r="B826">
        <v>2313020519</v>
      </c>
      <c r="C826" t="str">
        <f>T("신입사원이 이렇게 일을 잘했다고? 138화")</f>
        <v>신입사원이 이렇게 일을 잘했다고? 138화</v>
      </c>
      <c r="D826" t="str">
        <f>T("138")</f>
        <v>138</v>
      </c>
      <c r="E826" t="str">
        <f t="shared" si="136"/>
        <v>왕십리글쟁이</v>
      </c>
      <c r="H826" t="str">
        <f t="shared" si="137"/>
        <v>스토리위즈</v>
      </c>
      <c r="I826" t="str">
        <f t="shared" si="138"/>
        <v>신입사원이 이렇게 일을 잘했다고?</v>
      </c>
      <c r="J826">
        <v>100</v>
      </c>
      <c r="K826">
        <v>800</v>
      </c>
      <c r="L826">
        <v>8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800</v>
      </c>
      <c r="AH826">
        <v>8</v>
      </c>
      <c r="AI826">
        <v>0</v>
      </c>
      <c r="AJ826">
        <v>0</v>
      </c>
      <c r="AK826">
        <v>700</v>
      </c>
      <c r="AL826">
        <v>0</v>
      </c>
      <c r="AM826">
        <v>120</v>
      </c>
      <c r="AN826">
        <v>-12</v>
      </c>
      <c r="AO826">
        <v>0</v>
      </c>
      <c r="AP826"/>
      <c r="AQ826">
        <v>0</v>
      </c>
      <c r="AR826">
        <v>0</v>
      </c>
      <c r="AS826">
        <v>120</v>
      </c>
      <c r="AT826">
        <v>-12</v>
      </c>
      <c r="AU826">
        <v>0</v>
      </c>
      <c r="AW826">
        <v>0</v>
      </c>
      <c r="AX826">
        <v>0</v>
      </c>
      <c r="AY826">
        <v>565.6</v>
      </c>
      <c r="BC826" t="str">
        <f t="shared" si="139"/>
        <v>9791137602946</v>
      </c>
      <c r="BE826" t="str">
        <f t="shared" si="140"/>
        <v>판타지 웹소설 &gt; 현대 판타지</v>
      </c>
    </row>
    <row r="827" spans="1:57" x14ac:dyDescent="0.3">
      <c r="A827">
        <v>2313020382</v>
      </c>
      <c r="B827">
        <v>2313020520</v>
      </c>
      <c r="C827" t="str">
        <f>T("신입사원이 이렇게 일을 잘했다고? 139화")</f>
        <v>신입사원이 이렇게 일을 잘했다고? 139화</v>
      </c>
      <c r="D827" t="str">
        <f>T("139")</f>
        <v>139</v>
      </c>
      <c r="E827" t="str">
        <f t="shared" si="136"/>
        <v>왕십리글쟁이</v>
      </c>
      <c r="H827" t="str">
        <f t="shared" si="137"/>
        <v>스토리위즈</v>
      </c>
      <c r="I827" t="str">
        <f t="shared" si="138"/>
        <v>신입사원이 이렇게 일을 잘했다고?</v>
      </c>
      <c r="J827">
        <v>100</v>
      </c>
      <c r="K827">
        <v>800</v>
      </c>
      <c r="L827">
        <v>8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800</v>
      </c>
      <c r="AH827">
        <v>8</v>
      </c>
      <c r="AI827">
        <v>0</v>
      </c>
      <c r="AJ827">
        <v>0</v>
      </c>
      <c r="AK827">
        <v>700</v>
      </c>
      <c r="AL827">
        <v>0</v>
      </c>
      <c r="AM827">
        <v>120</v>
      </c>
      <c r="AN827">
        <v>-12</v>
      </c>
      <c r="AO827">
        <v>0</v>
      </c>
      <c r="AP827"/>
      <c r="AQ827">
        <v>0</v>
      </c>
      <c r="AR827">
        <v>0</v>
      </c>
      <c r="AS827">
        <v>120</v>
      </c>
      <c r="AT827">
        <v>-12</v>
      </c>
      <c r="AU827">
        <v>0</v>
      </c>
      <c r="AW827">
        <v>0</v>
      </c>
      <c r="AX827">
        <v>0</v>
      </c>
      <c r="AY827">
        <v>565.6</v>
      </c>
      <c r="BC827" t="str">
        <f t="shared" si="139"/>
        <v>9791137602946</v>
      </c>
      <c r="BE827" t="str">
        <f t="shared" si="140"/>
        <v>판타지 웹소설 &gt; 현대 판타지</v>
      </c>
    </row>
    <row r="828" spans="1:57" x14ac:dyDescent="0.3">
      <c r="A828">
        <v>2313020382</v>
      </c>
      <c r="B828">
        <v>2313020521</v>
      </c>
      <c r="C828" t="str">
        <f>T("신입사원이 이렇게 일을 잘했다고? 140화")</f>
        <v>신입사원이 이렇게 일을 잘했다고? 140화</v>
      </c>
      <c r="D828" t="str">
        <f>T("140")</f>
        <v>140</v>
      </c>
      <c r="E828" t="str">
        <f t="shared" si="136"/>
        <v>왕십리글쟁이</v>
      </c>
      <c r="H828" t="str">
        <f t="shared" si="137"/>
        <v>스토리위즈</v>
      </c>
      <c r="I828" t="str">
        <f t="shared" si="138"/>
        <v>신입사원이 이렇게 일을 잘했다고?</v>
      </c>
      <c r="J828">
        <v>100</v>
      </c>
      <c r="K828">
        <v>800</v>
      </c>
      <c r="L828">
        <v>8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800</v>
      </c>
      <c r="AH828">
        <v>8</v>
      </c>
      <c r="AI828">
        <v>0</v>
      </c>
      <c r="AJ828">
        <v>0</v>
      </c>
      <c r="AK828">
        <v>700</v>
      </c>
      <c r="AL828">
        <v>0</v>
      </c>
      <c r="AM828">
        <v>120</v>
      </c>
      <c r="AN828">
        <v>-12</v>
      </c>
      <c r="AO828">
        <v>0</v>
      </c>
      <c r="AP828"/>
      <c r="AQ828">
        <v>0</v>
      </c>
      <c r="AR828">
        <v>0</v>
      </c>
      <c r="AS828">
        <v>120</v>
      </c>
      <c r="AT828">
        <v>-12</v>
      </c>
      <c r="AU828">
        <v>0</v>
      </c>
      <c r="AW828">
        <v>0</v>
      </c>
      <c r="AX828">
        <v>0</v>
      </c>
      <c r="AY828">
        <v>565.6</v>
      </c>
      <c r="BC828" t="str">
        <f t="shared" si="139"/>
        <v>9791137602946</v>
      </c>
      <c r="BE828" t="str">
        <f t="shared" si="140"/>
        <v>판타지 웹소설 &gt; 현대 판타지</v>
      </c>
    </row>
    <row r="829" spans="1:57" x14ac:dyDescent="0.3">
      <c r="A829">
        <v>2313020382</v>
      </c>
      <c r="B829">
        <v>2313020522</v>
      </c>
      <c r="C829" t="str">
        <f>T("신입사원이 이렇게 일을 잘했다고? 141화")</f>
        <v>신입사원이 이렇게 일을 잘했다고? 141화</v>
      </c>
      <c r="D829" t="str">
        <f>T("141")</f>
        <v>141</v>
      </c>
      <c r="E829" t="str">
        <f t="shared" si="136"/>
        <v>왕십리글쟁이</v>
      </c>
      <c r="H829" t="str">
        <f t="shared" si="137"/>
        <v>스토리위즈</v>
      </c>
      <c r="I829" t="str">
        <f t="shared" si="138"/>
        <v>신입사원이 이렇게 일을 잘했다고?</v>
      </c>
      <c r="J829">
        <v>100</v>
      </c>
      <c r="K829">
        <v>800</v>
      </c>
      <c r="L829">
        <v>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800</v>
      </c>
      <c r="AH829">
        <v>8</v>
      </c>
      <c r="AI829">
        <v>0</v>
      </c>
      <c r="AJ829">
        <v>0</v>
      </c>
      <c r="AK829">
        <v>700</v>
      </c>
      <c r="AL829">
        <v>0</v>
      </c>
      <c r="AM829">
        <v>120</v>
      </c>
      <c r="AN829">
        <v>-12</v>
      </c>
      <c r="AO829">
        <v>0</v>
      </c>
      <c r="AP829"/>
      <c r="AQ829">
        <v>0</v>
      </c>
      <c r="AR829">
        <v>0</v>
      </c>
      <c r="AS829">
        <v>120</v>
      </c>
      <c r="AT829">
        <v>-12</v>
      </c>
      <c r="AU829">
        <v>0</v>
      </c>
      <c r="AW829">
        <v>0</v>
      </c>
      <c r="AX829">
        <v>0</v>
      </c>
      <c r="AY829">
        <v>565.6</v>
      </c>
      <c r="BC829" t="str">
        <f t="shared" si="139"/>
        <v>9791137602946</v>
      </c>
      <c r="BE829" t="str">
        <f t="shared" si="140"/>
        <v>판타지 웹소설 &gt; 현대 판타지</v>
      </c>
    </row>
    <row r="830" spans="1:57" x14ac:dyDescent="0.3">
      <c r="A830">
        <v>2313020382</v>
      </c>
      <c r="B830">
        <v>2313020523</v>
      </c>
      <c r="C830" t="str">
        <f>T("신입사원이 이렇게 일을 잘했다고? 142화")</f>
        <v>신입사원이 이렇게 일을 잘했다고? 142화</v>
      </c>
      <c r="D830" t="str">
        <f>T("142")</f>
        <v>142</v>
      </c>
      <c r="E830" t="str">
        <f t="shared" si="136"/>
        <v>왕십리글쟁이</v>
      </c>
      <c r="H830" t="str">
        <f t="shared" si="137"/>
        <v>스토리위즈</v>
      </c>
      <c r="I830" t="str">
        <f t="shared" si="138"/>
        <v>신입사원이 이렇게 일을 잘했다고?</v>
      </c>
      <c r="J830">
        <v>100</v>
      </c>
      <c r="K830">
        <v>800</v>
      </c>
      <c r="L830">
        <v>8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800</v>
      </c>
      <c r="AH830">
        <v>8</v>
      </c>
      <c r="AI830">
        <v>0</v>
      </c>
      <c r="AJ830">
        <v>0</v>
      </c>
      <c r="AK830">
        <v>700</v>
      </c>
      <c r="AL830">
        <v>0</v>
      </c>
      <c r="AM830">
        <v>120</v>
      </c>
      <c r="AN830">
        <v>-12</v>
      </c>
      <c r="AO830">
        <v>0</v>
      </c>
      <c r="AP830"/>
      <c r="AQ830">
        <v>0</v>
      </c>
      <c r="AR830">
        <v>0</v>
      </c>
      <c r="AS830">
        <v>120</v>
      </c>
      <c r="AT830">
        <v>-12</v>
      </c>
      <c r="AU830">
        <v>0</v>
      </c>
      <c r="AW830">
        <v>0</v>
      </c>
      <c r="AX830">
        <v>0</v>
      </c>
      <c r="AY830">
        <v>565.6</v>
      </c>
      <c r="BC830" t="str">
        <f t="shared" si="139"/>
        <v>9791137602946</v>
      </c>
      <c r="BE830" t="str">
        <f t="shared" si="140"/>
        <v>판타지 웹소설 &gt; 현대 판타지</v>
      </c>
    </row>
    <row r="831" spans="1:57" x14ac:dyDescent="0.3">
      <c r="A831">
        <v>2313020382</v>
      </c>
      <c r="B831">
        <v>2313020524</v>
      </c>
      <c r="C831" t="str">
        <f>T("신입사원이 이렇게 일을 잘했다고? 143화")</f>
        <v>신입사원이 이렇게 일을 잘했다고? 143화</v>
      </c>
      <c r="D831" t="str">
        <f>T("143")</f>
        <v>143</v>
      </c>
      <c r="E831" t="str">
        <f t="shared" si="136"/>
        <v>왕십리글쟁이</v>
      </c>
      <c r="H831" t="str">
        <f t="shared" si="137"/>
        <v>스토리위즈</v>
      </c>
      <c r="I831" t="str">
        <f t="shared" si="138"/>
        <v>신입사원이 이렇게 일을 잘했다고?</v>
      </c>
      <c r="J831">
        <v>100</v>
      </c>
      <c r="K831">
        <v>800</v>
      </c>
      <c r="L831">
        <v>8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800</v>
      </c>
      <c r="AH831">
        <v>8</v>
      </c>
      <c r="AI831">
        <v>0</v>
      </c>
      <c r="AJ831">
        <v>0</v>
      </c>
      <c r="AK831">
        <v>700</v>
      </c>
      <c r="AL831">
        <v>0</v>
      </c>
      <c r="AM831">
        <v>120</v>
      </c>
      <c r="AN831">
        <v>-12</v>
      </c>
      <c r="AO831">
        <v>0</v>
      </c>
      <c r="AP831"/>
      <c r="AQ831">
        <v>0</v>
      </c>
      <c r="AR831">
        <v>0</v>
      </c>
      <c r="AS831">
        <v>120</v>
      </c>
      <c r="AT831">
        <v>-12</v>
      </c>
      <c r="AU831">
        <v>0</v>
      </c>
      <c r="AW831">
        <v>0</v>
      </c>
      <c r="AX831">
        <v>0</v>
      </c>
      <c r="AY831">
        <v>565.6</v>
      </c>
      <c r="BC831" t="str">
        <f t="shared" si="139"/>
        <v>9791137602946</v>
      </c>
      <c r="BE831" t="str">
        <f t="shared" si="140"/>
        <v>판타지 웹소설 &gt; 현대 판타지</v>
      </c>
    </row>
    <row r="832" spans="1:57" x14ac:dyDescent="0.3">
      <c r="A832">
        <v>2313020382</v>
      </c>
      <c r="B832">
        <v>2313020525</v>
      </c>
      <c r="C832" t="str">
        <f>T("신입사원이 이렇게 일을 잘했다고? 144화")</f>
        <v>신입사원이 이렇게 일을 잘했다고? 144화</v>
      </c>
      <c r="D832" t="str">
        <f>T("144")</f>
        <v>144</v>
      </c>
      <c r="E832" t="str">
        <f t="shared" si="136"/>
        <v>왕십리글쟁이</v>
      </c>
      <c r="H832" t="str">
        <f t="shared" si="137"/>
        <v>스토리위즈</v>
      </c>
      <c r="I832" t="str">
        <f t="shared" si="138"/>
        <v>신입사원이 이렇게 일을 잘했다고?</v>
      </c>
      <c r="J832">
        <v>100</v>
      </c>
      <c r="K832">
        <v>800</v>
      </c>
      <c r="L832">
        <v>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800</v>
      </c>
      <c r="AH832">
        <v>8</v>
      </c>
      <c r="AI832">
        <v>0</v>
      </c>
      <c r="AJ832">
        <v>0</v>
      </c>
      <c r="AK832">
        <v>700</v>
      </c>
      <c r="AL832">
        <v>0</v>
      </c>
      <c r="AM832">
        <v>120</v>
      </c>
      <c r="AN832">
        <v>-12</v>
      </c>
      <c r="AO832">
        <v>0</v>
      </c>
      <c r="AP832"/>
      <c r="AQ832">
        <v>0</v>
      </c>
      <c r="AR832">
        <v>0</v>
      </c>
      <c r="AS832">
        <v>120</v>
      </c>
      <c r="AT832">
        <v>-12</v>
      </c>
      <c r="AU832">
        <v>0</v>
      </c>
      <c r="AW832">
        <v>0</v>
      </c>
      <c r="AX832">
        <v>0</v>
      </c>
      <c r="AY832">
        <v>565.6</v>
      </c>
      <c r="BC832" t="str">
        <f t="shared" si="139"/>
        <v>9791137602946</v>
      </c>
      <c r="BE832" t="str">
        <f t="shared" si="140"/>
        <v>판타지 웹소설 &gt; 현대 판타지</v>
      </c>
    </row>
    <row r="833" spans="1:57" x14ac:dyDescent="0.3">
      <c r="A833">
        <v>2313020382</v>
      </c>
      <c r="B833">
        <v>2313020526</v>
      </c>
      <c r="C833" t="str">
        <f>T("신입사원이 이렇게 일을 잘했다고? 145화")</f>
        <v>신입사원이 이렇게 일을 잘했다고? 145화</v>
      </c>
      <c r="D833" t="str">
        <f>T("145")</f>
        <v>145</v>
      </c>
      <c r="E833" t="str">
        <f t="shared" si="136"/>
        <v>왕십리글쟁이</v>
      </c>
      <c r="H833" t="str">
        <f t="shared" si="137"/>
        <v>스토리위즈</v>
      </c>
      <c r="I833" t="str">
        <f t="shared" si="138"/>
        <v>신입사원이 이렇게 일을 잘했다고?</v>
      </c>
      <c r="J833">
        <v>100</v>
      </c>
      <c r="K833">
        <v>800</v>
      </c>
      <c r="L833">
        <v>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800</v>
      </c>
      <c r="AH833">
        <v>8</v>
      </c>
      <c r="AI833">
        <v>0</v>
      </c>
      <c r="AJ833">
        <v>0</v>
      </c>
      <c r="AK833">
        <v>700</v>
      </c>
      <c r="AL833">
        <v>0</v>
      </c>
      <c r="AM833">
        <v>120</v>
      </c>
      <c r="AN833">
        <v>-12</v>
      </c>
      <c r="AO833">
        <v>0</v>
      </c>
      <c r="AP833"/>
      <c r="AQ833">
        <v>0</v>
      </c>
      <c r="AR833">
        <v>0</v>
      </c>
      <c r="AS833">
        <v>120</v>
      </c>
      <c r="AT833">
        <v>-12</v>
      </c>
      <c r="AU833">
        <v>0</v>
      </c>
      <c r="AW833">
        <v>0</v>
      </c>
      <c r="AX833">
        <v>0</v>
      </c>
      <c r="AY833">
        <v>565.6</v>
      </c>
      <c r="BC833" t="str">
        <f t="shared" si="139"/>
        <v>9791137602946</v>
      </c>
      <c r="BE833" t="str">
        <f t="shared" si="140"/>
        <v>판타지 웹소설 &gt; 현대 판타지</v>
      </c>
    </row>
    <row r="834" spans="1:57" x14ac:dyDescent="0.3">
      <c r="A834">
        <v>2313020382</v>
      </c>
      <c r="B834">
        <v>2313020527</v>
      </c>
      <c r="C834" t="str">
        <f>T("신입사원이 이렇게 일을 잘했다고? 146화")</f>
        <v>신입사원이 이렇게 일을 잘했다고? 146화</v>
      </c>
      <c r="D834" t="str">
        <f>T("146")</f>
        <v>146</v>
      </c>
      <c r="E834" t="str">
        <f t="shared" si="136"/>
        <v>왕십리글쟁이</v>
      </c>
      <c r="H834" t="str">
        <f t="shared" si="137"/>
        <v>스토리위즈</v>
      </c>
      <c r="I834" t="str">
        <f t="shared" si="138"/>
        <v>신입사원이 이렇게 일을 잘했다고?</v>
      </c>
      <c r="J834">
        <v>100</v>
      </c>
      <c r="K834">
        <v>800</v>
      </c>
      <c r="L834">
        <v>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800</v>
      </c>
      <c r="AH834">
        <v>8</v>
      </c>
      <c r="AI834">
        <v>0</v>
      </c>
      <c r="AJ834">
        <v>0</v>
      </c>
      <c r="AK834">
        <v>700</v>
      </c>
      <c r="AL834">
        <v>0</v>
      </c>
      <c r="AM834">
        <v>120</v>
      </c>
      <c r="AN834">
        <v>-12</v>
      </c>
      <c r="AO834">
        <v>0</v>
      </c>
      <c r="AP834"/>
      <c r="AQ834">
        <v>0</v>
      </c>
      <c r="AR834">
        <v>0</v>
      </c>
      <c r="AS834">
        <v>120</v>
      </c>
      <c r="AT834">
        <v>-12</v>
      </c>
      <c r="AU834">
        <v>0</v>
      </c>
      <c r="AW834">
        <v>0</v>
      </c>
      <c r="AX834">
        <v>0</v>
      </c>
      <c r="AY834">
        <v>565.6</v>
      </c>
      <c r="BC834" t="str">
        <f t="shared" si="139"/>
        <v>9791137602946</v>
      </c>
      <c r="BE834" t="str">
        <f t="shared" si="140"/>
        <v>판타지 웹소설 &gt; 현대 판타지</v>
      </c>
    </row>
    <row r="835" spans="1:57" x14ac:dyDescent="0.3">
      <c r="A835">
        <v>2313020382</v>
      </c>
      <c r="B835">
        <v>2313020529</v>
      </c>
      <c r="C835" t="str">
        <f>T("신입사원이 이렇게 일을 잘했다고? 148화")</f>
        <v>신입사원이 이렇게 일을 잘했다고? 148화</v>
      </c>
      <c r="D835" t="str">
        <f>T("148")</f>
        <v>148</v>
      </c>
      <c r="E835" t="str">
        <f t="shared" si="136"/>
        <v>왕십리글쟁이</v>
      </c>
      <c r="H835" t="str">
        <f t="shared" si="137"/>
        <v>스토리위즈</v>
      </c>
      <c r="I835" t="str">
        <f t="shared" si="138"/>
        <v>신입사원이 이렇게 일을 잘했다고?</v>
      </c>
      <c r="J835">
        <v>100</v>
      </c>
      <c r="K835">
        <v>800</v>
      </c>
      <c r="L835">
        <v>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800</v>
      </c>
      <c r="AH835">
        <v>8</v>
      </c>
      <c r="AI835">
        <v>0</v>
      </c>
      <c r="AJ835">
        <v>0</v>
      </c>
      <c r="AK835">
        <v>700</v>
      </c>
      <c r="AL835">
        <v>0</v>
      </c>
      <c r="AM835">
        <v>120</v>
      </c>
      <c r="AN835">
        <v>-12</v>
      </c>
      <c r="AO835">
        <v>0</v>
      </c>
      <c r="AP835"/>
      <c r="AQ835">
        <v>0</v>
      </c>
      <c r="AR835">
        <v>0</v>
      </c>
      <c r="AS835">
        <v>120</v>
      </c>
      <c r="AT835">
        <v>-12</v>
      </c>
      <c r="AU835">
        <v>0</v>
      </c>
      <c r="AW835">
        <v>0</v>
      </c>
      <c r="AX835">
        <v>0</v>
      </c>
      <c r="AY835">
        <v>565.6</v>
      </c>
      <c r="BC835" t="str">
        <f t="shared" si="139"/>
        <v>9791137602946</v>
      </c>
      <c r="BE835" t="str">
        <f t="shared" si="140"/>
        <v>판타지 웹소설 &gt; 현대 판타지</v>
      </c>
    </row>
    <row r="836" spans="1:57" x14ac:dyDescent="0.3">
      <c r="A836">
        <v>2313020382</v>
      </c>
      <c r="B836">
        <v>2313020530</v>
      </c>
      <c r="C836" t="str">
        <f>T("신입사원이 이렇게 일을 잘했다고? 149화")</f>
        <v>신입사원이 이렇게 일을 잘했다고? 149화</v>
      </c>
      <c r="D836" t="str">
        <f>T("149")</f>
        <v>149</v>
      </c>
      <c r="E836" t="str">
        <f t="shared" si="136"/>
        <v>왕십리글쟁이</v>
      </c>
      <c r="H836" t="str">
        <f t="shared" si="137"/>
        <v>스토리위즈</v>
      </c>
      <c r="I836" t="str">
        <f t="shared" si="138"/>
        <v>신입사원이 이렇게 일을 잘했다고?</v>
      </c>
      <c r="J836">
        <v>100</v>
      </c>
      <c r="K836">
        <v>800</v>
      </c>
      <c r="L836">
        <v>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800</v>
      </c>
      <c r="AH836">
        <v>8</v>
      </c>
      <c r="AI836">
        <v>0</v>
      </c>
      <c r="AJ836">
        <v>0</v>
      </c>
      <c r="AK836">
        <v>700</v>
      </c>
      <c r="AL836">
        <v>0</v>
      </c>
      <c r="AM836">
        <v>120</v>
      </c>
      <c r="AN836">
        <v>-12</v>
      </c>
      <c r="AO836">
        <v>0</v>
      </c>
      <c r="AP836"/>
      <c r="AQ836">
        <v>0</v>
      </c>
      <c r="AR836">
        <v>0</v>
      </c>
      <c r="AS836">
        <v>120</v>
      </c>
      <c r="AT836">
        <v>-12</v>
      </c>
      <c r="AU836">
        <v>0</v>
      </c>
      <c r="AW836">
        <v>0</v>
      </c>
      <c r="AX836">
        <v>0</v>
      </c>
      <c r="AY836">
        <v>565.6</v>
      </c>
      <c r="BC836" t="str">
        <f t="shared" si="139"/>
        <v>9791137602946</v>
      </c>
      <c r="BE836" t="str">
        <f t="shared" si="140"/>
        <v>판타지 웹소설 &gt; 현대 판타지</v>
      </c>
    </row>
    <row r="837" spans="1:57" x14ac:dyDescent="0.3">
      <c r="A837">
        <v>2313020382</v>
      </c>
      <c r="B837">
        <v>2313020531</v>
      </c>
      <c r="C837" t="str">
        <f>T("신입사원이 이렇게 일을 잘했다고? 150화")</f>
        <v>신입사원이 이렇게 일을 잘했다고? 150화</v>
      </c>
      <c r="D837" t="str">
        <f>T("150")</f>
        <v>150</v>
      </c>
      <c r="E837" t="str">
        <f t="shared" si="136"/>
        <v>왕십리글쟁이</v>
      </c>
      <c r="H837" t="str">
        <f t="shared" si="137"/>
        <v>스토리위즈</v>
      </c>
      <c r="I837" t="str">
        <f t="shared" si="138"/>
        <v>신입사원이 이렇게 일을 잘했다고?</v>
      </c>
      <c r="J837">
        <v>100</v>
      </c>
      <c r="K837">
        <v>800</v>
      </c>
      <c r="L837">
        <v>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800</v>
      </c>
      <c r="AH837">
        <v>8</v>
      </c>
      <c r="AI837">
        <v>0</v>
      </c>
      <c r="AJ837">
        <v>0</v>
      </c>
      <c r="AK837">
        <v>700</v>
      </c>
      <c r="AL837">
        <v>0</v>
      </c>
      <c r="AM837">
        <v>120</v>
      </c>
      <c r="AN837">
        <v>-12</v>
      </c>
      <c r="AO837">
        <v>0</v>
      </c>
      <c r="AP837"/>
      <c r="AQ837">
        <v>0</v>
      </c>
      <c r="AR837">
        <v>0</v>
      </c>
      <c r="AS837">
        <v>120</v>
      </c>
      <c r="AT837">
        <v>-12</v>
      </c>
      <c r="AU837">
        <v>0</v>
      </c>
      <c r="AW837">
        <v>0</v>
      </c>
      <c r="AX837">
        <v>0</v>
      </c>
      <c r="AY837">
        <v>565.6</v>
      </c>
      <c r="BC837" t="str">
        <f t="shared" si="139"/>
        <v>9791137602946</v>
      </c>
      <c r="BE837" t="str">
        <f t="shared" si="140"/>
        <v>판타지 웹소설 &gt; 현대 판타지</v>
      </c>
    </row>
    <row r="838" spans="1:57" x14ac:dyDescent="0.3">
      <c r="A838">
        <v>2313020382</v>
      </c>
      <c r="B838">
        <v>2313020532</v>
      </c>
      <c r="C838" t="str">
        <f>T("신입사원이 이렇게 일을 잘했다고? 151화")</f>
        <v>신입사원이 이렇게 일을 잘했다고? 151화</v>
      </c>
      <c r="D838" t="str">
        <f>T("151")</f>
        <v>151</v>
      </c>
      <c r="E838" t="str">
        <f t="shared" si="136"/>
        <v>왕십리글쟁이</v>
      </c>
      <c r="H838" t="str">
        <f t="shared" si="137"/>
        <v>스토리위즈</v>
      </c>
      <c r="I838" t="str">
        <f t="shared" si="138"/>
        <v>신입사원이 이렇게 일을 잘했다고?</v>
      </c>
      <c r="J838">
        <v>100</v>
      </c>
      <c r="K838">
        <v>800</v>
      </c>
      <c r="L838">
        <v>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800</v>
      </c>
      <c r="AH838">
        <v>8</v>
      </c>
      <c r="AI838">
        <v>0</v>
      </c>
      <c r="AJ838">
        <v>0</v>
      </c>
      <c r="AK838">
        <v>700</v>
      </c>
      <c r="AL838">
        <v>0</v>
      </c>
      <c r="AM838">
        <v>120</v>
      </c>
      <c r="AN838">
        <v>-12</v>
      </c>
      <c r="AO838">
        <v>0</v>
      </c>
      <c r="AP838"/>
      <c r="AQ838">
        <v>0</v>
      </c>
      <c r="AR838">
        <v>0</v>
      </c>
      <c r="AS838">
        <v>120</v>
      </c>
      <c r="AT838">
        <v>-12</v>
      </c>
      <c r="AU838">
        <v>0</v>
      </c>
      <c r="AW838">
        <v>0</v>
      </c>
      <c r="AX838">
        <v>0</v>
      </c>
      <c r="AY838">
        <v>565.6</v>
      </c>
      <c r="BC838" t="str">
        <f t="shared" si="139"/>
        <v>9791137602946</v>
      </c>
      <c r="BE838" t="str">
        <f t="shared" si="140"/>
        <v>판타지 웹소설 &gt; 현대 판타지</v>
      </c>
    </row>
    <row r="839" spans="1:57" x14ac:dyDescent="0.3">
      <c r="A839">
        <v>2313020382</v>
      </c>
      <c r="B839">
        <v>2313020543</v>
      </c>
      <c r="C839" t="str">
        <f>T("신입사원이 이렇게 일을 잘했다고? 162화")</f>
        <v>신입사원이 이렇게 일을 잘했다고? 162화</v>
      </c>
      <c r="D839" t="str">
        <f>T("162")</f>
        <v>162</v>
      </c>
      <c r="E839" t="str">
        <f t="shared" si="136"/>
        <v>왕십리글쟁이</v>
      </c>
      <c r="H839" t="str">
        <f t="shared" si="137"/>
        <v>스토리위즈</v>
      </c>
      <c r="I839" t="str">
        <f t="shared" si="138"/>
        <v>신입사원이 이렇게 일을 잘했다고?</v>
      </c>
      <c r="J839">
        <v>100</v>
      </c>
      <c r="K839">
        <v>800</v>
      </c>
      <c r="L839">
        <v>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800</v>
      </c>
      <c r="AH839">
        <v>8</v>
      </c>
      <c r="AI839">
        <v>0</v>
      </c>
      <c r="AJ839">
        <v>0</v>
      </c>
      <c r="AK839">
        <v>700</v>
      </c>
      <c r="AL839">
        <v>0</v>
      </c>
      <c r="AM839">
        <v>120</v>
      </c>
      <c r="AN839">
        <v>-12</v>
      </c>
      <c r="AO839">
        <v>0</v>
      </c>
      <c r="AP839"/>
      <c r="AQ839">
        <v>0</v>
      </c>
      <c r="AR839">
        <v>0</v>
      </c>
      <c r="AS839">
        <v>120</v>
      </c>
      <c r="AT839">
        <v>-12</v>
      </c>
      <c r="AU839">
        <v>0</v>
      </c>
      <c r="AW839">
        <v>0</v>
      </c>
      <c r="AX839">
        <v>0</v>
      </c>
      <c r="AY839">
        <v>565.6</v>
      </c>
      <c r="BC839" t="str">
        <f t="shared" si="139"/>
        <v>9791137602946</v>
      </c>
      <c r="BE839" t="str">
        <f t="shared" si="140"/>
        <v>판타지 웹소설 &gt; 현대 판타지</v>
      </c>
    </row>
    <row r="840" spans="1:57" x14ac:dyDescent="0.3">
      <c r="A840">
        <v>2313020382</v>
      </c>
      <c r="B840">
        <v>2313020544</v>
      </c>
      <c r="C840" t="str">
        <f>T("신입사원이 이렇게 일을 잘했다고? 163화")</f>
        <v>신입사원이 이렇게 일을 잘했다고? 163화</v>
      </c>
      <c r="D840" t="str">
        <f>T("163")</f>
        <v>163</v>
      </c>
      <c r="E840" t="str">
        <f t="shared" si="136"/>
        <v>왕십리글쟁이</v>
      </c>
      <c r="H840" t="str">
        <f t="shared" si="137"/>
        <v>스토리위즈</v>
      </c>
      <c r="I840" t="str">
        <f t="shared" si="138"/>
        <v>신입사원이 이렇게 일을 잘했다고?</v>
      </c>
      <c r="J840">
        <v>100</v>
      </c>
      <c r="K840">
        <v>800</v>
      </c>
      <c r="L840">
        <v>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800</v>
      </c>
      <c r="AH840">
        <v>8</v>
      </c>
      <c r="AI840">
        <v>0</v>
      </c>
      <c r="AJ840">
        <v>0</v>
      </c>
      <c r="AK840">
        <v>700</v>
      </c>
      <c r="AL840">
        <v>0</v>
      </c>
      <c r="AM840">
        <v>120</v>
      </c>
      <c r="AN840">
        <v>-12</v>
      </c>
      <c r="AO840">
        <v>0</v>
      </c>
      <c r="AP840"/>
      <c r="AQ840">
        <v>0</v>
      </c>
      <c r="AR840">
        <v>0</v>
      </c>
      <c r="AS840">
        <v>120</v>
      </c>
      <c r="AT840">
        <v>-12</v>
      </c>
      <c r="AU840">
        <v>0</v>
      </c>
      <c r="AW840">
        <v>0</v>
      </c>
      <c r="AX840">
        <v>0</v>
      </c>
      <c r="AY840">
        <v>565.6</v>
      </c>
      <c r="BC840" t="str">
        <f t="shared" si="139"/>
        <v>9791137602946</v>
      </c>
      <c r="BE840" t="str">
        <f t="shared" si="140"/>
        <v>판타지 웹소설 &gt; 현대 판타지</v>
      </c>
    </row>
    <row r="841" spans="1:57" x14ac:dyDescent="0.3">
      <c r="A841">
        <v>2313020594</v>
      </c>
      <c r="B841">
        <v>2313020653</v>
      </c>
      <c r="C841" t="str">
        <f>T("아카데미 속 궁술천재 60화")</f>
        <v>아카데미 속 궁술천재 60화</v>
      </c>
      <c r="D841" t="str">
        <f>T("60")</f>
        <v>60</v>
      </c>
      <c r="E841" t="str">
        <f>T("깡펀치")</f>
        <v>깡펀치</v>
      </c>
      <c r="H841" t="str">
        <f t="shared" si="137"/>
        <v>스토리위즈</v>
      </c>
      <c r="I841" t="str">
        <f>T("아카데미 속 궁술천재")</f>
        <v>아카데미 속 궁술천재</v>
      </c>
      <c r="J841">
        <v>100</v>
      </c>
      <c r="K841">
        <v>800</v>
      </c>
      <c r="L841">
        <v>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800</v>
      </c>
      <c r="AH841">
        <v>8</v>
      </c>
      <c r="AI841">
        <v>0</v>
      </c>
      <c r="AJ841">
        <v>0</v>
      </c>
      <c r="AK841">
        <v>700</v>
      </c>
      <c r="AL841">
        <v>0</v>
      </c>
      <c r="AM841">
        <v>120</v>
      </c>
      <c r="AN841">
        <v>-36</v>
      </c>
      <c r="AO841">
        <v>0</v>
      </c>
      <c r="AP841">
        <v>120</v>
      </c>
      <c r="AQ841">
        <v>-36</v>
      </c>
      <c r="AR841">
        <v>0</v>
      </c>
      <c r="AT841">
        <v>0</v>
      </c>
      <c r="AU841">
        <v>0</v>
      </c>
      <c r="AW841">
        <v>0</v>
      </c>
      <c r="AX841">
        <v>0</v>
      </c>
      <c r="AY841">
        <v>548.79999999999995</v>
      </c>
      <c r="BC841" t="str">
        <f>T("9791137602915")</f>
        <v>9791137602915</v>
      </c>
      <c r="BE841" t="str">
        <f>T("판타지 웹소설 &gt; 퓨전 판타지")</f>
        <v>판타지 웹소설 &gt; 퓨전 판타지</v>
      </c>
    </row>
    <row r="842" spans="1:57" x14ac:dyDescent="0.3">
      <c r="A842">
        <v>2313020594</v>
      </c>
      <c r="B842">
        <v>2313020658</v>
      </c>
      <c r="C842" t="str">
        <f>T("아카데미 속 궁술천재 65화")</f>
        <v>아카데미 속 궁술천재 65화</v>
      </c>
      <c r="D842" t="str">
        <f>T("65")</f>
        <v>65</v>
      </c>
      <c r="E842" t="str">
        <f>T("깡펀치")</f>
        <v>깡펀치</v>
      </c>
      <c r="H842" t="str">
        <f t="shared" si="137"/>
        <v>스토리위즈</v>
      </c>
      <c r="I842" t="str">
        <f>T("아카데미 속 궁술천재")</f>
        <v>아카데미 속 궁술천재</v>
      </c>
      <c r="J842">
        <v>100</v>
      </c>
      <c r="K842">
        <v>800</v>
      </c>
      <c r="L842">
        <v>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800</v>
      </c>
      <c r="AH842">
        <v>8</v>
      </c>
      <c r="AI842">
        <v>0</v>
      </c>
      <c r="AJ842">
        <v>0</v>
      </c>
      <c r="AK842">
        <v>700</v>
      </c>
      <c r="AL842">
        <v>0</v>
      </c>
      <c r="AM842">
        <v>120</v>
      </c>
      <c r="AN842">
        <v>-36</v>
      </c>
      <c r="AO842">
        <v>0</v>
      </c>
      <c r="AP842">
        <v>120</v>
      </c>
      <c r="AQ842">
        <v>-36</v>
      </c>
      <c r="AR842">
        <v>0</v>
      </c>
      <c r="AT842">
        <v>0</v>
      </c>
      <c r="AU842">
        <v>0</v>
      </c>
      <c r="AW842">
        <v>0</v>
      </c>
      <c r="AX842">
        <v>0</v>
      </c>
      <c r="AY842">
        <v>548.79999999999995</v>
      </c>
      <c r="BC842" t="str">
        <f>T("9791137602915")</f>
        <v>9791137602915</v>
      </c>
      <c r="BE842" t="str">
        <f>T("판타지 웹소설 &gt; 퓨전 판타지")</f>
        <v>판타지 웹소설 &gt; 퓨전 판타지</v>
      </c>
    </row>
    <row r="843" spans="1:57" x14ac:dyDescent="0.3">
      <c r="A843">
        <v>2313020594</v>
      </c>
      <c r="B843">
        <v>2313020661</v>
      </c>
      <c r="C843" t="str">
        <f>T("아카데미 속 궁술천재 68화")</f>
        <v>아카데미 속 궁술천재 68화</v>
      </c>
      <c r="D843" t="str">
        <f>T("68")</f>
        <v>68</v>
      </c>
      <c r="E843" t="str">
        <f>T("깡펀치")</f>
        <v>깡펀치</v>
      </c>
      <c r="H843" t="str">
        <f t="shared" si="137"/>
        <v>스토리위즈</v>
      </c>
      <c r="I843" t="str">
        <f>T("아카데미 속 궁술천재")</f>
        <v>아카데미 속 궁술천재</v>
      </c>
      <c r="J843">
        <v>100</v>
      </c>
      <c r="K843">
        <v>800</v>
      </c>
      <c r="L843">
        <v>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800</v>
      </c>
      <c r="AH843">
        <v>8</v>
      </c>
      <c r="AI843">
        <v>0</v>
      </c>
      <c r="AJ843">
        <v>0</v>
      </c>
      <c r="AK843">
        <v>700</v>
      </c>
      <c r="AL843">
        <v>0</v>
      </c>
      <c r="AM843">
        <v>120</v>
      </c>
      <c r="AN843">
        <v>-36</v>
      </c>
      <c r="AO843">
        <v>0</v>
      </c>
      <c r="AP843">
        <v>120</v>
      </c>
      <c r="AQ843">
        <v>-36</v>
      </c>
      <c r="AR843">
        <v>0</v>
      </c>
      <c r="AT843">
        <v>0</v>
      </c>
      <c r="AU843">
        <v>0</v>
      </c>
      <c r="AW843">
        <v>0</v>
      </c>
      <c r="AX843">
        <v>0</v>
      </c>
      <c r="AY843">
        <v>548.79999999999995</v>
      </c>
      <c r="BC843" t="str">
        <f>T("9791137602915")</f>
        <v>9791137602915</v>
      </c>
      <c r="BE843" t="str">
        <f>T("판타지 웹소설 &gt; 퓨전 판타지")</f>
        <v>판타지 웹소설 &gt; 퓨전 판타지</v>
      </c>
    </row>
    <row r="844" spans="1:57" x14ac:dyDescent="0.3">
      <c r="A844">
        <v>2313011400</v>
      </c>
      <c r="B844">
        <v>2313011547</v>
      </c>
      <c r="C844" t="str">
        <f>T("최종 보스 7권 19화")</f>
        <v>최종 보스 7권 19화</v>
      </c>
      <c r="D844" t="str">
        <f>T("148")</f>
        <v>148</v>
      </c>
      <c r="E844" t="str">
        <f t="shared" ref="E844:E866" si="141">T("무장")</f>
        <v>무장</v>
      </c>
      <c r="H844" t="str">
        <f t="shared" si="137"/>
        <v>스토리위즈</v>
      </c>
      <c r="I844" t="str">
        <f t="shared" ref="I844:I866" si="142">T("최종 보스 : 빛을 향해 달리는 그림자")</f>
        <v>최종 보스 : 빛을 향해 달리는 그림자</v>
      </c>
      <c r="J844">
        <v>100</v>
      </c>
      <c r="K844">
        <v>700</v>
      </c>
      <c r="L844">
        <v>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700</v>
      </c>
      <c r="AH844">
        <v>7</v>
      </c>
      <c r="AI844">
        <v>0</v>
      </c>
      <c r="AJ844">
        <v>0</v>
      </c>
      <c r="AK844">
        <v>500</v>
      </c>
      <c r="AL844">
        <v>0</v>
      </c>
      <c r="AM844">
        <v>240</v>
      </c>
      <c r="AN844">
        <v>-48</v>
      </c>
      <c r="AO844">
        <v>0</v>
      </c>
      <c r="AP844">
        <v>120</v>
      </c>
      <c r="AQ844">
        <v>-36</v>
      </c>
      <c r="AR844">
        <v>0</v>
      </c>
      <c r="AS844">
        <v>120</v>
      </c>
      <c r="AT844">
        <v>-12</v>
      </c>
      <c r="AU844">
        <v>0</v>
      </c>
      <c r="AW844">
        <v>0</v>
      </c>
      <c r="AX844">
        <v>0</v>
      </c>
      <c r="AY844">
        <v>484.4</v>
      </c>
      <c r="BC844" t="str">
        <f t="shared" ref="BC844:BC866" si="143">T("9791166067563")</f>
        <v>9791166067563</v>
      </c>
      <c r="BE844" t="str">
        <f t="shared" ref="BE844:BE866" si="144">T("판타지 웹소설 &gt; 현대 판타지")</f>
        <v>판타지 웹소설 &gt; 현대 판타지</v>
      </c>
    </row>
    <row r="845" spans="1:57" x14ac:dyDescent="0.3">
      <c r="A845">
        <v>2313011400</v>
      </c>
      <c r="B845">
        <v>2313011604</v>
      </c>
      <c r="C845" t="str">
        <f>T("최종 보스 10권 15화")</f>
        <v>최종 보스 10권 15화</v>
      </c>
      <c r="D845" t="str">
        <f>T("205")</f>
        <v>205</v>
      </c>
      <c r="E845" t="str">
        <f t="shared" si="141"/>
        <v>무장</v>
      </c>
      <c r="H845" t="str">
        <f t="shared" si="137"/>
        <v>스토리위즈</v>
      </c>
      <c r="I845" t="str">
        <f t="shared" si="142"/>
        <v>최종 보스 : 빛을 향해 달리는 그림자</v>
      </c>
      <c r="J845">
        <v>100</v>
      </c>
      <c r="K845">
        <v>700</v>
      </c>
      <c r="L845">
        <v>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700</v>
      </c>
      <c r="AH845">
        <v>7</v>
      </c>
      <c r="AI845">
        <v>0</v>
      </c>
      <c r="AJ845">
        <v>0</v>
      </c>
      <c r="AK845">
        <v>500</v>
      </c>
      <c r="AL845">
        <v>0</v>
      </c>
      <c r="AM845">
        <v>240</v>
      </c>
      <c r="AN845">
        <v>-48</v>
      </c>
      <c r="AO845">
        <v>0</v>
      </c>
      <c r="AP845">
        <v>120</v>
      </c>
      <c r="AQ845">
        <v>-36</v>
      </c>
      <c r="AR845">
        <v>0</v>
      </c>
      <c r="AS845">
        <v>120</v>
      </c>
      <c r="AT845">
        <v>-12</v>
      </c>
      <c r="AU845">
        <v>0</v>
      </c>
      <c r="AW845">
        <v>0</v>
      </c>
      <c r="AX845">
        <v>0</v>
      </c>
      <c r="AY845">
        <v>484.4</v>
      </c>
      <c r="BC845" t="str">
        <f t="shared" si="143"/>
        <v>9791166067563</v>
      </c>
      <c r="BE845" t="str">
        <f t="shared" si="144"/>
        <v>판타지 웹소설 &gt; 현대 판타지</v>
      </c>
    </row>
    <row r="846" spans="1:57" x14ac:dyDescent="0.3">
      <c r="A846">
        <v>2313011400</v>
      </c>
      <c r="B846">
        <v>2313011649</v>
      </c>
      <c r="C846" t="str">
        <f>T("최종 보스 12권 18화")</f>
        <v>최종 보스 12권 18화</v>
      </c>
      <c r="D846" t="str">
        <f>T("250")</f>
        <v>250</v>
      </c>
      <c r="E846" t="str">
        <f t="shared" si="141"/>
        <v>무장</v>
      </c>
      <c r="H846" t="str">
        <f t="shared" si="137"/>
        <v>스토리위즈</v>
      </c>
      <c r="I846" t="str">
        <f t="shared" si="142"/>
        <v>최종 보스 : 빛을 향해 달리는 그림자</v>
      </c>
      <c r="J846">
        <v>100</v>
      </c>
      <c r="K846">
        <v>700</v>
      </c>
      <c r="L846">
        <v>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700</v>
      </c>
      <c r="AH846">
        <v>7</v>
      </c>
      <c r="AI846">
        <v>0</v>
      </c>
      <c r="AJ846">
        <v>0</v>
      </c>
      <c r="AK846">
        <v>500</v>
      </c>
      <c r="AL846">
        <v>0</v>
      </c>
      <c r="AM846">
        <v>240</v>
      </c>
      <c r="AN846">
        <v>-48</v>
      </c>
      <c r="AO846">
        <v>0</v>
      </c>
      <c r="AP846">
        <v>120</v>
      </c>
      <c r="AQ846">
        <v>-36</v>
      </c>
      <c r="AR846">
        <v>0</v>
      </c>
      <c r="AS846">
        <v>120</v>
      </c>
      <c r="AT846">
        <v>-12</v>
      </c>
      <c r="AU846">
        <v>0</v>
      </c>
      <c r="AW846">
        <v>0</v>
      </c>
      <c r="AX846">
        <v>0</v>
      </c>
      <c r="AY846">
        <v>484.4</v>
      </c>
      <c r="BC846" t="str">
        <f t="shared" si="143"/>
        <v>9791166067563</v>
      </c>
      <c r="BE846" t="str">
        <f t="shared" si="144"/>
        <v>판타지 웹소설 &gt; 현대 판타지</v>
      </c>
    </row>
    <row r="847" spans="1:57" x14ac:dyDescent="0.3">
      <c r="A847">
        <v>2313011400</v>
      </c>
      <c r="B847">
        <v>2313011650</v>
      </c>
      <c r="C847" t="str">
        <f>T("최종 보스 12권 19화")</f>
        <v>최종 보스 12권 19화</v>
      </c>
      <c r="D847" t="str">
        <f>T("251")</f>
        <v>251</v>
      </c>
      <c r="E847" t="str">
        <f t="shared" si="141"/>
        <v>무장</v>
      </c>
      <c r="H847" t="str">
        <f t="shared" si="137"/>
        <v>스토리위즈</v>
      </c>
      <c r="I847" t="str">
        <f t="shared" si="142"/>
        <v>최종 보스 : 빛을 향해 달리는 그림자</v>
      </c>
      <c r="J847">
        <v>100</v>
      </c>
      <c r="K847">
        <v>700</v>
      </c>
      <c r="L847">
        <v>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700</v>
      </c>
      <c r="AH847">
        <v>7</v>
      </c>
      <c r="AI847">
        <v>0</v>
      </c>
      <c r="AJ847">
        <v>0</v>
      </c>
      <c r="AK847">
        <v>500</v>
      </c>
      <c r="AL847">
        <v>0</v>
      </c>
      <c r="AM847">
        <v>240</v>
      </c>
      <c r="AN847">
        <v>-48</v>
      </c>
      <c r="AO847">
        <v>0</v>
      </c>
      <c r="AP847">
        <v>120</v>
      </c>
      <c r="AQ847">
        <v>-36</v>
      </c>
      <c r="AR847">
        <v>0</v>
      </c>
      <c r="AS847">
        <v>120</v>
      </c>
      <c r="AT847">
        <v>-12</v>
      </c>
      <c r="AU847">
        <v>0</v>
      </c>
      <c r="AW847">
        <v>0</v>
      </c>
      <c r="AX847">
        <v>0</v>
      </c>
      <c r="AY847">
        <v>484.4</v>
      </c>
      <c r="BC847" t="str">
        <f t="shared" si="143"/>
        <v>9791166067563</v>
      </c>
      <c r="BE847" t="str">
        <f t="shared" si="144"/>
        <v>판타지 웹소설 &gt; 현대 판타지</v>
      </c>
    </row>
    <row r="848" spans="1:57" x14ac:dyDescent="0.3">
      <c r="A848">
        <v>2313011400</v>
      </c>
      <c r="B848">
        <v>2313011651</v>
      </c>
      <c r="C848" t="str">
        <f>T("최종 보스 12권 20화")</f>
        <v>최종 보스 12권 20화</v>
      </c>
      <c r="D848" t="str">
        <f>T("252")</f>
        <v>252</v>
      </c>
      <c r="E848" t="str">
        <f t="shared" si="141"/>
        <v>무장</v>
      </c>
      <c r="H848" t="str">
        <f t="shared" si="137"/>
        <v>스토리위즈</v>
      </c>
      <c r="I848" t="str">
        <f t="shared" si="142"/>
        <v>최종 보스 : 빛을 향해 달리는 그림자</v>
      </c>
      <c r="J848">
        <v>100</v>
      </c>
      <c r="K848">
        <v>700</v>
      </c>
      <c r="L848">
        <v>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700</v>
      </c>
      <c r="AH848">
        <v>7</v>
      </c>
      <c r="AI848">
        <v>0</v>
      </c>
      <c r="AJ848">
        <v>0</v>
      </c>
      <c r="AK848">
        <v>500</v>
      </c>
      <c r="AL848">
        <v>0</v>
      </c>
      <c r="AM848">
        <v>240</v>
      </c>
      <c r="AN848">
        <v>-48</v>
      </c>
      <c r="AO848">
        <v>0</v>
      </c>
      <c r="AP848">
        <v>120</v>
      </c>
      <c r="AQ848">
        <v>-36</v>
      </c>
      <c r="AR848">
        <v>0</v>
      </c>
      <c r="AS848">
        <v>120</v>
      </c>
      <c r="AT848">
        <v>-12</v>
      </c>
      <c r="AU848">
        <v>0</v>
      </c>
      <c r="AW848">
        <v>0</v>
      </c>
      <c r="AX848">
        <v>0</v>
      </c>
      <c r="AY848">
        <v>484.4</v>
      </c>
      <c r="BC848" t="str">
        <f t="shared" si="143"/>
        <v>9791166067563</v>
      </c>
      <c r="BE848" t="str">
        <f t="shared" si="144"/>
        <v>판타지 웹소설 &gt; 현대 판타지</v>
      </c>
    </row>
    <row r="849" spans="1:57" x14ac:dyDescent="0.3">
      <c r="A849">
        <v>2313011400</v>
      </c>
      <c r="B849">
        <v>2313011652</v>
      </c>
      <c r="C849" t="str">
        <f>T("최종 보스 13권 1화")</f>
        <v>최종 보스 13권 1화</v>
      </c>
      <c r="D849" t="str">
        <f>T("253")</f>
        <v>253</v>
      </c>
      <c r="E849" t="str">
        <f t="shared" si="141"/>
        <v>무장</v>
      </c>
      <c r="H849" t="str">
        <f t="shared" si="137"/>
        <v>스토리위즈</v>
      </c>
      <c r="I849" t="str">
        <f t="shared" si="142"/>
        <v>최종 보스 : 빛을 향해 달리는 그림자</v>
      </c>
      <c r="J849">
        <v>100</v>
      </c>
      <c r="K849">
        <v>700</v>
      </c>
      <c r="L849">
        <v>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700</v>
      </c>
      <c r="AH849">
        <v>7</v>
      </c>
      <c r="AI849">
        <v>0</v>
      </c>
      <c r="AJ849">
        <v>0</v>
      </c>
      <c r="AK849">
        <v>500</v>
      </c>
      <c r="AL849">
        <v>0</v>
      </c>
      <c r="AM849">
        <v>240</v>
      </c>
      <c r="AN849">
        <v>-48</v>
      </c>
      <c r="AO849">
        <v>0</v>
      </c>
      <c r="AP849">
        <v>120</v>
      </c>
      <c r="AQ849">
        <v>-36</v>
      </c>
      <c r="AR849">
        <v>0</v>
      </c>
      <c r="AS849">
        <v>120</v>
      </c>
      <c r="AT849">
        <v>-12</v>
      </c>
      <c r="AU849">
        <v>0</v>
      </c>
      <c r="AW849">
        <v>0</v>
      </c>
      <c r="AX849">
        <v>0</v>
      </c>
      <c r="AY849">
        <v>484.4</v>
      </c>
      <c r="BC849" t="str">
        <f t="shared" si="143"/>
        <v>9791166067563</v>
      </c>
      <c r="BE849" t="str">
        <f t="shared" si="144"/>
        <v>판타지 웹소설 &gt; 현대 판타지</v>
      </c>
    </row>
    <row r="850" spans="1:57" x14ac:dyDescent="0.3">
      <c r="A850">
        <v>2313011400</v>
      </c>
      <c r="B850">
        <v>2313011653</v>
      </c>
      <c r="C850" t="str">
        <f>T("최종 보스 13권 2화")</f>
        <v>최종 보스 13권 2화</v>
      </c>
      <c r="D850" t="str">
        <f>T("254")</f>
        <v>254</v>
      </c>
      <c r="E850" t="str">
        <f t="shared" si="141"/>
        <v>무장</v>
      </c>
      <c r="H850" t="str">
        <f t="shared" si="137"/>
        <v>스토리위즈</v>
      </c>
      <c r="I850" t="str">
        <f t="shared" si="142"/>
        <v>최종 보스 : 빛을 향해 달리는 그림자</v>
      </c>
      <c r="J850">
        <v>100</v>
      </c>
      <c r="K850">
        <v>700</v>
      </c>
      <c r="L850">
        <v>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700</v>
      </c>
      <c r="AH850">
        <v>7</v>
      </c>
      <c r="AI850">
        <v>0</v>
      </c>
      <c r="AJ850">
        <v>0</v>
      </c>
      <c r="AK850">
        <v>500</v>
      </c>
      <c r="AL850">
        <v>0</v>
      </c>
      <c r="AM850">
        <v>240</v>
      </c>
      <c r="AN850">
        <v>-48</v>
      </c>
      <c r="AO850">
        <v>0</v>
      </c>
      <c r="AP850">
        <v>120</v>
      </c>
      <c r="AQ850">
        <v>-36</v>
      </c>
      <c r="AR850">
        <v>0</v>
      </c>
      <c r="AS850">
        <v>120</v>
      </c>
      <c r="AT850">
        <v>-12</v>
      </c>
      <c r="AU850">
        <v>0</v>
      </c>
      <c r="AW850">
        <v>0</v>
      </c>
      <c r="AX850">
        <v>0</v>
      </c>
      <c r="AY850">
        <v>484.4</v>
      </c>
      <c r="BC850" t="str">
        <f t="shared" si="143"/>
        <v>9791166067563</v>
      </c>
      <c r="BE850" t="str">
        <f t="shared" si="144"/>
        <v>판타지 웹소설 &gt; 현대 판타지</v>
      </c>
    </row>
    <row r="851" spans="1:57" x14ac:dyDescent="0.3">
      <c r="A851">
        <v>2313011400</v>
      </c>
      <c r="B851">
        <v>2313011654</v>
      </c>
      <c r="C851" t="str">
        <f>T("최종 보스 13권 3화")</f>
        <v>최종 보스 13권 3화</v>
      </c>
      <c r="D851" t="str">
        <f>T("255")</f>
        <v>255</v>
      </c>
      <c r="E851" t="str">
        <f t="shared" si="141"/>
        <v>무장</v>
      </c>
      <c r="H851" t="str">
        <f t="shared" si="137"/>
        <v>스토리위즈</v>
      </c>
      <c r="I851" t="str">
        <f t="shared" si="142"/>
        <v>최종 보스 : 빛을 향해 달리는 그림자</v>
      </c>
      <c r="J851">
        <v>100</v>
      </c>
      <c r="K851">
        <v>700</v>
      </c>
      <c r="L851">
        <v>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700</v>
      </c>
      <c r="AH851">
        <v>7</v>
      </c>
      <c r="AI851">
        <v>0</v>
      </c>
      <c r="AJ851">
        <v>0</v>
      </c>
      <c r="AK851">
        <v>500</v>
      </c>
      <c r="AL851">
        <v>0</v>
      </c>
      <c r="AM851">
        <v>240</v>
      </c>
      <c r="AN851">
        <v>-48</v>
      </c>
      <c r="AO851">
        <v>0</v>
      </c>
      <c r="AP851">
        <v>120</v>
      </c>
      <c r="AQ851">
        <v>-36</v>
      </c>
      <c r="AR851">
        <v>0</v>
      </c>
      <c r="AS851">
        <v>120</v>
      </c>
      <c r="AT851">
        <v>-12</v>
      </c>
      <c r="AU851">
        <v>0</v>
      </c>
      <c r="AW851">
        <v>0</v>
      </c>
      <c r="AX851">
        <v>0</v>
      </c>
      <c r="AY851">
        <v>484.4</v>
      </c>
      <c r="BC851" t="str">
        <f t="shared" si="143"/>
        <v>9791166067563</v>
      </c>
      <c r="BE851" t="str">
        <f t="shared" si="144"/>
        <v>판타지 웹소설 &gt; 현대 판타지</v>
      </c>
    </row>
    <row r="852" spans="1:57" x14ac:dyDescent="0.3">
      <c r="A852">
        <v>2313011400</v>
      </c>
      <c r="B852">
        <v>2313011655</v>
      </c>
      <c r="C852" t="str">
        <f>T("최종 보스 13권 4화")</f>
        <v>최종 보스 13권 4화</v>
      </c>
      <c r="D852" t="str">
        <f>T("256")</f>
        <v>256</v>
      </c>
      <c r="E852" t="str">
        <f t="shared" si="141"/>
        <v>무장</v>
      </c>
      <c r="H852" t="str">
        <f t="shared" si="137"/>
        <v>스토리위즈</v>
      </c>
      <c r="I852" t="str">
        <f t="shared" si="142"/>
        <v>최종 보스 : 빛을 향해 달리는 그림자</v>
      </c>
      <c r="J852">
        <v>100</v>
      </c>
      <c r="K852">
        <v>700</v>
      </c>
      <c r="L852">
        <v>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700</v>
      </c>
      <c r="AH852">
        <v>7</v>
      </c>
      <c r="AI852">
        <v>0</v>
      </c>
      <c r="AJ852">
        <v>0</v>
      </c>
      <c r="AK852">
        <v>500</v>
      </c>
      <c r="AL852">
        <v>0</v>
      </c>
      <c r="AM852">
        <v>240</v>
      </c>
      <c r="AN852">
        <v>-48</v>
      </c>
      <c r="AO852">
        <v>0</v>
      </c>
      <c r="AP852">
        <v>120</v>
      </c>
      <c r="AQ852">
        <v>-36</v>
      </c>
      <c r="AR852">
        <v>0</v>
      </c>
      <c r="AS852">
        <v>120</v>
      </c>
      <c r="AT852">
        <v>-12</v>
      </c>
      <c r="AU852">
        <v>0</v>
      </c>
      <c r="AW852">
        <v>0</v>
      </c>
      <c r="AX852">
        <v>0</v>
      </c>
      <c r="AY852">
        <v>484.4</v>
      </c>
      <c r="BC852" t="str">
        <f t="shared" si="143"/>
        <v>9791166067563</v>
      </c>
      <c r="BE852" t="str">
        <f t="shared" si="144"/>
        <v>판타지 웹소설 &gt; 현대 판타지</v>
      </c>
    </row>
    <row r="853" spans="1:57" x14ac:dyDescent="0.3">
      <c r="A853">
        <v>2313011400</v>
      </c>
      <c r="B853">
        <v>2313011656</v>
      </c>
      <c r="C853" t="str">
        <f>T("최종 보스 13권 5화")</f>
        <v>최종 보스 13권 5화</v>
      </c>
      <c r="D853" t="str">
        <f>T("257")</f>
        <v>257</v>
      </c>
      <c r="E853" t="str">
        <f t="shared" si="141"/>
        <v>무장</v>
      </c>
      <c r="H853" t="str">
        <f t="shared" si="137"/>
        <v>스토리위즈</v>
      </c>
      <c r="I853" t="str">
        <f t="shared" si="142"/>
        <v>최종 보스 : 빛을 향해 달리는 그림자</v>
      </c>
      <c r="J853">
        <v>100</v>
      </c>
      <c r="K853">
        <v>700</v>
      </c>
      <c r="L853">
        <v>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700</v>
      </c>
      <c r="AH853">
        <v>7</v>
      </c>
      <c r="AI853">
        <v>0</v>
      </c>
      <c r="AJ853">
        <v>0</v>
      </c>
      <c r="AK853">
        <v>500</v>
      </c>
      <c r="AL853">
        <v>0</v>
      </c>
      <c r="AM853">
        <v>240</v>
      </c>
      <c r="AN853">
        <v>-48</v>
      </c>
      <c r="AO853">
        <v>0</v>
      </c>
      <c r="AP853">
        <v>120</v>
      </c>
      <c r="AQ853">
        <v>-36</v>
      </c>
      <c r="AR853">
        <v>0</v>
      </c>
      <c r="AS853">
        <v>120</v>
      </c>
      <c r="AT853">
        <v>-12</v>
      </c>
      <c r="AU853">
        <v>0</v>
      </c>
      <c r="AW853">
        <v>0</v>
      </c>
      <c r="AX853">
        <v>0</v>
      </c>
      <c r="AY853">
        <v>484.4</v>
      </c>
      <c r="BC853" t="str">
        <f t="shared" si="143"/>
        <v>9791166067563</v>
      </c>
      <c r="BE853" t="str">
        <f t="shared" si="144"/>
        <v>판타지 웹소설 &gt; 현대 판타지</v>
      </c>
    </row>
    <row r="854" spans="1:57" x14ac:dyDescent="0.3">
      <c r="A854">
        <v>2313011400</v>
      </c>
      <c r="B854">
        <v>2313011657</v>
      </c>
      <c r="C854" t="str">
        <f>T("최종 보스 13권 6화")</f>
        <v>최종 보스 13권 6화</v>
      </c>
      <c r="D854" t="str">
        <f>T("258")</f>
        <v>258</v>
      </c>
      <c r="E854" t="str">
        <f t="shared" si="141"/>
        <v>무장</v>
      </c>
      <c r="H854" t="str">
        <f t="shared" si="137"/>
        <v>스토리위즈</v>
      </c>
      <c r="I854" t="str">
        <f t="shared" si="142"/>
        <v>최종 보스 : 빛을 향해 달리는 그림자</v>
      </c>
      <c r="J854">
        <v>100</v>
      </c>
      <c r="K854">
        <v>700</v>
      </c>
      <c r="L854">
        <v>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700</v>
      </c>
      <c r="AH854">
        <v>7</v>
      </c>
      <c r="AI854">
        <v>0</v>
      </c>
      <c r="AJ854">
        <v>0</v>
      </c>
      <c r="AK854">
        <v>500</v>
      </c>
      <c r="AL854">
        <v>0</v>
      </c>
      <c r="AM854">
        <v>240</v>
      </c>
      <c r="AN854">
        <v>-48</v>
      </c>
      <c r="AO854">
        <v>0</v>
      </c>
      <c r="AP854">
        <v>120</v>
      </c>
      <c r="AQ854">
        <v>-36</v>
      </c>
      <c r="AR854">
        <v>0</v>
      </c>
      <c r="AS854">
        <v>120</v>
      </c>
      <c r="AT854">
        <v>-12</v>
      </c>
      <c r="AU854">
        <v>0</v>
      </c>
      <c r="AW854">
        <v>0</v>
      </c>
      <c r="AX854">
        <v>0</v>
      </c>
      <c r="AY854">
        <v>484.4</v>
      </c>
      <c r="BC854" t="str">
        <f t="shared" si="143"/>
        <v>9791166067563</v>
      </c>
      <c r="BE854" t="str">
        <f t="shared" si="144"/>
        <v>판타지 웹소설 &gt; 현대 판타지</v>
      </c>
    </row>
    <row r="855" spans="1:57" x14ac:dyDescent="0.3">
      <c r="A855">
        <v>2313011400</v>
      </c>
      <c r="B855">
        <v>2313011658</v>
      </c>
      <c r="C855" t="str">
        <f>T("최종 보스 13권 7화")</f>
        <v>최종 보스 13권 7화</v>
      </c>
      <c r="D855" t="str">
        <f>T("259")</f>
        <v>259</v>
      </c>
      <c r="E855" t="str">
        <f t="shared" si="141"/>
        <v>무장</v>
      </c>
      <c r="H855" t="str">
        <f t="shared" si="137"/>
        <v>스토리위즈</v>
      </c>
      <c r="I855" t="str">
        <f t="shared" si="142"/>
        <v>최종 보스 : 빛을 향해 달리는 그림자</v>
      </c>
      <c r="J855">
        <v>100</v>
      </c>
      <c r="K855">
        <v>700</v>
      </c>
      <c r="L855">
        <v>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700</v>
      </c>
      <c r="AH855">
        <v>7</v>
      </c>
      <c r="AI855">
        <v>0</v>
      </c>
      <c r="AJ855">
        <v>0</v>
      </c>
      <c r="AK855">
        <v>500</v>
      </c>
      <c r="AL855">
        <v>0</v>
      </c>
      <c r="AM855">
        <v>240</v>
      </c>
      <c r="AN855">
        <v>-48</v>
      </c>
      <c r="AO855">
        <v>0</v>
      </c>
      <c r="AP855">
        <v>120</v>
      </c>
      <c r="AQ855">
        <v>-36</v>
      </c>
      <c r="AR855">
        <v>0</v>
      </c>
      <c r="AS855">
        <v>120</v>
      </c>
      <c r="AT855">
        <v>-12</v>
      </c>
      <c r="AU855">
        <v>0</v>
      </c>
      <c r="AW855">
        <v>0</v>
      </c>
      <c r="AX855">
        <v>0</v>
      </c>
      <c r="AY855">
        <v>484.4</v>
      </c>
      <c r="BC855" t="str">
        <f t="shared" si="143"/>
        <v>9791166067563</v>
      </c>
      <c r="BE855" t="str">
        <f t="shared" si="144"/>
        <v>판타지 웹소설 &gt; 현대 판타지</v>
      </c>
    </row>
    <row r="856" spans="1:57" x14ac:dyDescent="0.3">
      <c r="A856">
        <v>2313011400</v>
      </c>
      <c r="B856">
        <v>2313011659</v>
      </c>
      <c r="C856" t="str">
        <f>T("최종 보스 13권 8화")</f>
        <v>최종 보스 13권 8화</v>
      </c>
      <c r="D856" t="str">
        <f>T("260")</f>
        <v>260</v>
      </c>
      <c r="E856" t="str">
        <f t="shared" si="141"/>
        <v>무장</v>
      </c>
      <c r="H856" t="str">
        <f t="shared" si="137"/>
        <v>스토리위즈</v>
      </c>
      <c r="I856" t="str">
        <f t="shared" si="142"/>
        <v>최종 보스 : 빛을 향해 달리는 그림자</v>
      </c>
      <c r="J856">
        <v>100</v>
      </c>
      <c r="K856">
        <v>700</v>
      </c>
      <c r="L856">
        <v>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700</v>
      </c>
      <c r="AH856">
        <v>7</v>
      </c>
      <c r="AI856">
        <v>0</v>
      </c>
      <c r="AJ856">
        <v>0</v>
      </c>
      <c r="AK856">
        <v>500</v>
      </c>
      <c r="AL856">
        <v>0</v>
      </c>
      <c r="AM856">
        <v>240</v>
      </c>
      <c r="AN856">
        <v>-48</v>
      </c>
      <c r="AO856">
        <v>0</v>
      </c>
      <c r="AP856">
        <v>120</v>
      </c>
      <c r="AQ856">
        <v>-36</v>
      </c>
      <c r="AR856">
        <v>0</v>
      </c>
      <c r="AS856">
        <v>120</v>
      </c>
      <c r="AT856">
        <v>-12</v>
      </c>
      <c r="AU856">
        <v>0</v>
      </c>
      <c r="AW856">
        <v>0</v>
      </c>
      <c r="AX856">
        <v>0</v>
      </c>
      <c r="AY856">
        <v>484.4</v>
      </c>
      <c r="BC856" t="str">
        <f t="shared" si="143"/>
        <v>9791166067563</v>
      </c>
      <c r="BE856" t="str">
        <f t="shared" si="144"/>
        <v>판타지 웹소설 &gt; 현대 판타지</v>
      </c>
    </row>
    <row r="857" spans="1:57" x14ac:dyDescent="0.3">
      <c r="A857">
        <v>2313011400</v>
      </c>
      <c r="B857">
        <v>2313011660</v>
      </c>
      <c r="C857" t="str">
        <f>T("최종 보스 13권 9화")</f>
        <v>최종 보스 13권 9화</v>
      </c>
      <c r="D857" t="str">
        <f>T("261")</f>
        <v>261</v>
      </c>
      <c r="E857" t="str">
        <f t="shared" si="141"/>
        <v>무장</v>
      </c>
      <c r="H857" t="str">
        <f t="shared" si="137"/>
        <v>스토리위즈</v>
      </c>
      <c r="I857" t="str">
        <f t="shared" si="142"/>
        <v>최종 보스 : 빛을 향해 달리는 그림자</v>
      </c>
      <c r="J857">
        <v>100</v>
      </c>
      <c r="K857">
        <v>700</v>
      </c>
      <c r="L857">
        <v>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700</v>
      </c>
      <c r="AH857">
        <v>7</v>
      </c>
      <c r="AI857">
        <v>0</v>
      </c>
      <c r="AJ857">
        <v>0</v>
      </c>
      <c r="AK857">
        <v>500</v>
      </c>
      <c r="AL857">
        <v>0</v>
      </c>
      <c r="AM857">
        <v>240</v>
      </c>
      <c r="AN857">
        <v>-48</v>
      </c>
      <c r="AO857">
        <v>0</v>
      </c>
      <c r="AP857">
        <v>120</v>
      </c>
      <c r="AQ857">
        <v>-36</v>
      </c>
      <c r="AR857">
        <v>0</v>
      </c>
      <c r="AS857">
        <v>120</v>
      </c>
      <c r="AT857">
        <v>-12</v>
      </c>
      <c r="AU857">
        <v>0</v>
      </c>
      <c r="AW857">
        <v>0</v>
      </c>
      <c r="AX857">
        <v>0</v>
      </c>
      <c r="AY857">
        <v>484.4</v>
      </c>
      <c r="BC857" t="str">
        <f t="shared" si="143"/>
        <v>9791166067563</v>
      </c>
      <c r="BE857" t="str">
        <f t="shared" si="144"/>
        <v>판타지 웹소설 &gt; 현대 판타지</v>
      </c>
    </row>
    <row r="858" spans="1:57" x14ac:dyDescent="0.3">
      <c r="A858">
        <v>2313011400</v>
      </c>
      <c r="B858">
        <v>2313011661</v>
      </c>
      <c r="C858" t="str">
        <f>T("최종 보스 13권 10화")</f>
        <v>최종 보스 13권 10화</v>
      </c>
      <c r="D858" t="str">
        <f>T("262")</f>
        <v>262</v>
      </c>
      <c r="E858" t="str">
        <f t="shared" si="141"/>
        <v>무장</v>
      </c>
      <c r="H858" t="str">
        <f t="shared" si="137"/>
        <v>스토리위즈</v>
      </c>
      <c r="I858" t="str">
        <f t="shared" si="142"/>
        <v>최종 보스 : 빛을 향해 달리는 그림자</v>
      </c>
      <c r="J858">
        <v>100</v>
      </c>
      <c r="K858">
        <v>700</v>
      </c>
      <c r="L858">
        <v>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700</v>
      </c>
      <c r="AH858">
        <v>7</v>
      </c>
      <c r="AI858">
        <v>0</v>
      </c>
      <c r="AJ858">
        <v>0</v>
      </c>
      <c r="AK858">
        <v>500</v>
      </c>
      <c r="AL858">
        <v>0</v>
      </c>
      <c r="AM858">
        <v>240</v>
      </c>
      <c r="AN858">
        <v>-48</v>
      </c>
      <c r="AO858">
        <v>0</v>
      </c>
      <c r="AP858">
        <v>120</v>
      </c>
      <c r="AQ858">
        <v>-36</v>
      </c>
      <c r="AR858">
        <v>0</v>
      </c>
      <c r="AS858">
        <v>120</v>
      </c>
      <c r="AT858">
        <v>-12</v>
      </c>
      <c r="AU858">
        <v>0</v>
      </c>
      <c r="AW858">
        <v>0</v>
      </c>
      <c r="AX858">
        <v>0</v>
      </c>
      <c r="AY858">
        <v>484.4</v>
      </c>
      <c r="BC858" t="str">
        <f t="shared" si="143"/>
        <v>9791166067563</v>
      </c>
      <c r="BE858" t="str">
        <f t="shared" si="144"/>
        <v>판타지 웹소설 &gt; 현대 판타지</v>
      </c>
    </row>
    <row r="859" spans="1:57" x14ac:dyDescent="0.3">
      <c r="A859">
        <v>2313011400</v>
      </c>
      <c r="B859">
        <v>2313011663</v>
      </c>
      <c r="C859" t="str">
        <f>T("최종 보스 13권 12화")</f>
        <v>최종 보스 13권 12화</v>
      </c>
      <c r="D859" t="str">
        <f>T("264")</f>
        <v>264</v>
      </c>
      <c r="E859" t="str">
        <f t="shared" si="141"/>
        <v>무장</v>
      </c>
      <c r="H859" t="str">
        <f t="shared" si="137"/>
        <v>스토리위즈</v>
      </c>
      <c r="I859" t="str">
        <f t="shared" si="142"/>
        <v>최종 보스 : 빛을 향해 달리는 그림자</v>
      </c>
      <c r="J859">
        <v>100</v>
      </c>
      <c r="K859">
        <v>700</v>
      </c>
      <c r="L859">
        <v>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700</v>
      </c>
      <c r="AH859">
        <v>7</v>
      </c>
      <c r="AI859">
        <v>0</v>
      </c>
      <c r="AJ859">
        <v>0</v>
      </c>
      <c r="AK859">
        <v>500</v>
      </c>
      <c r="AL859">
        <v>0</v>
      </c>
      <c r="AM859">
        <v>240</v>
      </c>
      <c r="AN859">
        <v>-48</v>
      </c>
      <c r="AO859">
        <v>0</v>
      </c>
      <c r="AP859">
        <v>120</v>
      </c>
      <c r="AQ859">
        <v>-36</v>
      </c>
      <c r="AR859">
        <v>0</v>
      </c>
      <c r="AS859">
        <v>120</v>
      </c>
      <c r="AT859">
        <v>-12</v>
      </c>
      <c r="AU859">
        <v>0</v>
      </c>
      <c r="AW859">
        <v>0</v>
      </c>
      <c r="AX859">
        <v>0</v>
      </c>
      <c r="AY859">
        <v>484.4</v>
      </c>
      <c r="BC859" t="str">
        <f t="shared" si="143"/>
        <v>9791166067563</v>
      </c>
      <c r="BE859" t="str">
        <f t="shared" si="144"/>
        <v>판타지 웹소설 &gt; 현대 판타지</v>
      </c>
    </row>
    <row r="860" spans="1:57" x14ac:dyDescent="0.3">
      <c r="A860">
        <v>2313011400</v>
      </c>
      <c r="B860">
        <v>2313011664</v>
      </c>
      <c r="C860" t="str">
        <f>T("최종 보스 13권 13화")</f>
        <v>최종 보스 13권 13화</v>
      </c>
      <c r="D860" t="str">
        <f>T("265")</f>
        <v>265</v>
      </c>
      <c r="E860" t="str">
        <f t="shared" si="141"/>
        <v>무장</v>
      </c>
      <c r="H860" t="str">
        <f t="shared" si="137"/>
        <v>스토리위즈</v>
      </c>
      <c r="I860" t="str">
        <f t="shared" si="142"/>
        <v>최종 보스 : 빛을 향해 달리는 그림자</v>
      </c>
      <c r="J860">
        <v>100</v>
      </c>
      <c r="K860">
        <v>700</v>
      </c>
      <c r="L860">
        <v>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700</v>
      </c>
      <c r="AH860">
        <v>7</v>
      </c>
      <c r="AI860">
        <v>0</v>
      </c>
      <c r="AJ860">
        <v>0</v>
      </c>
      <c r="AK860">
        <v>566</v>
      </c>
      <c r="AL860">
        <v>0</v>
      </c>
      <c r="AM860">
        <v>160.80000000000001</v>
      </c>
      <c r="AN860">
        <v>-24.24</v>
      </c>
      <c r="AO860">
        <v>0</v>
      </c>
      <c r="AP860">
        <v>40.799999999999997</v>
      </c>
      <c r="AQ860">
        <v>-12.24</v>
      </c>
      <c r="AR860">
        <v>0</v>
      </c>
      <c r="AS860">
        <v>120</v>
      </c>
      <c r="AT860">
        <v>-12</v>
      </c>
      <c r="AU860">
        <v>0</v>
      </c>
      <c r="AW860">
        <v>0</v>
      </c>
      <c r="AX860">
        <v>0</v>
      </c>
      <c r="AY860">
        <v>491.79</v>
      </c>
      <c r="BC860" t="str">
        <f t="shared" si="143"/>
        <v>9791166067563</v>
      </c>
      <c r="BE860" t="str">
        <f t="shared" si="144"/>
        <v>판타지 웹소설 &gt; 현대 판타지</v>
      </c>
    </row>
    <row r="861" spans="1:57" x14ac:dyDescent="0.3">
      <c r="A861">
        <v>2313011400</v>
      </c>
      <c r="B861">
        <v>2313011665</v>
      </c>
      <c r="C861" t="str">
        <f>T("최종 보스 13권 14화")</f>
        <v>최종 보스 13권 14화</v>
      </c>
      <c r="D861" t="str">
        <f>T("266")</f>
        <v>266</v>
      </c>
      <c r="E861" t="str">
        <f t="shared" si="141"/>
        <v>무장</v>
      </c>
      <c r="H861" t="str">
        <f t="shared" si="137"/>
        <v>스토리위즈</v>
      </c>
      <c r="I861" t="str">
        <f t="shared" si="142"/>
        <v>최종 보스 : 빛을 향해 달리는 그림자</v>
      </c>
      <c r="J861">
        <v>100</v>
      </c>
      <c r="K861">
        <v>700</v>
      </c>
      <c r="L861">
        <v>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700</v>
      </c>
      <c r="AH861">
        <v>7</v>
      </c>
      <c r="AI861">
        <v>0</v>
      </c>
      <c r="AJ861">
        <v>0</v>
      </c>
      <c r="AK861">
        <v>500</v>
      </c>
      <c r="AL861">
        <v>0</v>
      </c>
      <c r="AM861">
        <v>240</v>
      </c>
      <c r="AN861">
        <v>-48</v>
      </c>
      <c r="AO861">
        <v>0</v>
      </c>
      <c r="AP861">
        <v>120</v>
      </c>
      <c r="AQ861">
        <v>-36</v>
      </c>
      <c r="AR861">
        <v>0</v>
      </c>
      <c r="AS861">
        <v>120</v>
      </c>
      <c r="AT861">
        <v>-12</v>
      </c>
      <c r="AU861">
        <v>0</v>
      </c>
      <c r="AW861">
        <v>0</v>
      </c>
      <c r="AX861">
        <v>0</v>
      </c>
      <c r="AY861">
        <v>484.4</v>
      </c>
      <c r="BC861" t="str">
        <f t="shared" si="143"/>
        <v>9791166067563</v>
      </c>
      <c r="BE861" t="str">
        <f t="shared" si="144"/>
        <v>판타지 웹소설 &gt; 현대 판타지</v>
      </c>
    </row>
    <row r="862" spans="1:57" x14ac:dyDescent="0.3">
      <c r="A862">
        <v>2313011400</v>
      </c>
      <c r="B862">
        <v>2313011666</v>
      </c>
      <c r="C862" t="str">
        <f>T("최종 보스 13권 15화")</f>
        <v>최종 보스 13권 15화</v>
      </c>
      <c r="D862" t="str">
        <f>T("267")</f>
        <v>267</v>
      </c>
      <c r="E862" t="str">
        <f t="shared" si="141"/>
        <v>무장</v>
      </c>
      <c r="H862" t="str">
        <f t="shared" si="137"/>
        <v>스토리위즈</v>
      </c>
      <c r="I862" t="str">
        <f t="shared" si="142"/>
        <v>최종 보스 : 빛을 향해 달리는 그림자</v>
      </c>
      <c r="J862">
        <v>100</v>
      </c>
      <c r="K862">
        <v>700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700</v>
      </c>
      <c r="AH862">
        <v>7</v>
      </c>
      <c r="AI862">
        <v>0</v>
      </c>
      <c r="AJ862">
        <v>0</v>
      </c>
      <c r="AK862">
        <v>500</v>
      </c>
      <c r="AL862">
        <v>0</v>
      </c>
      <c r="AM862">
        <v>240</v>
      </c>
      <c r="AN862">
        <v>-48</v>
      </c>
      <c r="AO862">
        <v>0</v>
      </c>
      <c r="AP862">
        <v>120</v>
      </c>
      <c r="AQ862">
        <v>-36</v>
      </c>
      <c r="AR862">
        <v>0</v>
      </c>
      <c r="AS862">
        <v>120</v>
      </c>
      <c r="AT862">
        <v>-12</v>
      </c>
      <c r="AU862">
        <v>0</v>
      </c>
      <c r="AW862">
        <v>0</v>
      </c>
      <c r="AX862">
        <v>0</v>
      </c>
      <c r="AY862">
        <v>484.4</v>
      </c>
      <c r="BC862" t="str">
        <f t="shared" si="143"/>
        <v>9791166067563</v>
      </c>
      <c r="BE862" t="str">
        <f t="shared" si="144"/>
        <v>판타지 웹소설 &gt; 현대 판타지</v>
      </c>
    </row>
    <row r="863" spans="1:57" x14ac:dyDescent="0.3">
      <c r="A863">
        <v>2313011400</v>
      </c>
      <c r="B863">
        <v>2313011667</v>
      </c>
      <c r="C863" t="str">
        <f>T("최종 보스 13권 16화")</f>
        <v>최종 보스 13권 16화</v>
      </c>
      <c r="D863" t="str">
        <f>T("268")</f>
        <v>268</v>
      </c>
      <c r="E863" t="str">
        <f t="shared" si="141"/>
        <v>무장</v>
      </c>
      <c r="H863" t="str">
        <f t="shared" si="137"/>
        <v>스토리위즈</v>
      </c>
      <c r="I863" t="str">
        <f t="shared" si="142"/>
        <v>최종 보스 : 빛을 향해 달리는 그림자</v>
      </c>
      <c r="J863">
        <v>100</v>
      </c>
      <c r="K863">
        <v>700</v>
      </c>
      <c r="L863">
        <v>7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700</v>
      </c>
      <c r="AH863">
        <v>7</v>
      </c>
      <c r="AI863">
        <v>0</v>
      </c>
      <c r="AJ863">
        <v>0</v>
      </c>
      <c r="AK863">
        <v>500</v>
      </c>
      <c r="AL863">
        <v>0</v>
      </c>
      <c r="AM863">
        <v>240</v>
      </c>
      <c r="AN863">
        <v>-48</v>
      </c>
      <c r="AO863">
        <v>0</v>
      </c>
      <c r="AP863">
        <v>120</v>
      </c>
      <c r="AQ863">
        <v>-36</v>
      </c>
      <c r="AR863">
        <v>0</v>
      </c>
      <c r="AS863">
        <v>120</v>
      </c>
      <c r="AT863">
        <v>-12</v>
      </c>
      <c r="AU863">
        <v>0</v>
      </c>
      <c r="AW863">
        <v>0</v>
      </c>
      <c r="AX863">
        <v>0</v>
      </c>
      <c r="AY863">
        <v>484.4</v>
      </c>
      <c r="BC863" t="str">
        <f t="shared" si="143"/>
        <v>9791166067563</v>
      </c>
      <c r="BE863" t="str">
        <f t="shared" si="144"/>
        <v>판타지 웹소설 &gt; 현대 판타지</v>
      </c>
    </row>
    <row r="864" spans="1:57" x14ac:dyDescent="0.3">
      <c r="A864">
        <v>2313011400</v>
      </c>
      <c r="B864">
        <v>2313011668</v>
      </c>
      <c r="C864" t="str">
        <f>T("최종 보스 13권 17화")</f>
        <v>최종 보스 13권 17화</v>
      </c>
      <c r="D864" t="str">
        <f>T("269")</f>
        <v>269</v>
      </c>
      <c r="E864" t="str">
        <f t="shared" si="141"/>
        <v>무장</v>
      </c>
      <c r="H864" t="str">
        <f t="shared" si="137"/>
        <v>스토리위즈</v>
      </c>
      <c r="I864" t="str">
        <f t="shared" si="142"/>
        <v>최종 보스 : 빛을 향해 달리는 그림자</v>
      </c>
      <c r="J864">
        <v>100</v>
      </c>
      <c r="K864">
        <v>700</v>
      </c>
      <c r="L864">
        <v>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700</v>
      </c>
      <c r="AH864">
        <v>7</v>
      </c>
      <c r="AI864">
        <v>0</v>
      </c>
      <c r="AJ864">
        <v>0</v>
      </c>
      <c r="AK864">
        <v>500</v>
      </c>
      <c r="AL864">
        <v>0</v>
      </c>
      <c r="AM864">
        <v>240</v>
      </c>
      <c r="AN864">
        <v>-48</v>
      </c>
      <c r="AO864">
        <v>0</v>
      </c>
      <c r="AP864">
        <v>120</v>
      </c>
      <c r="AQ864">
        <v>-36</v>
      </c>
      <c r="AR864">
        <v>0</v>
      </c>
      <c r="AS864">
        <v>120</v>
      </c>
      <c r="AT864">
        <v>-12</v>
      </c>
      <c r="AU864">
        <v>0</v>
      </c>
      <c r="AW864">
        <v>0</v>
      </c>
      <c r="AX864">
        <v>0</v>
      </c>
      <c r="AY864">
        <v>484.4</v>
      </c>
      <c r="BC864" t="str">
        <f t="shared" si="143"/>
        <v>9791166067563</v>
      </c>
      <c r="BE864" t="str">
        <f t="shared" si="144"/>
        <v>판타지 웹소설 &gt; 현대 판타지</v>
      </c>
    </row>
    <row r="865" spans="1:57" x14ac:dyDescent="0.3">
      <c r="A865">
        <v>2313011400</v>
      </c>
      <c r="B865">
        <v>2313011669</v>
      </c>
      <c r="C865" t="str">
        <f>T("최종 보스 13권 18화")</f>
        <v>최종 보스 13권 18화</v>
      </c>
      <c r="D865" t="str">
        <f>T("270")</f>
        <v>270</v>
      </c>
      <c r="E865" t="str">
        <f t="shared" si="141"/>
        <v>무장</v>
      </c>
      <c r="H865" t="str">
        <f t="shared" si="137"/>
        <v>스토리위즈</v>
      </c>
      <c r="I865" t="str">
        <f t="shared" si="142"/>
        <v>최종 보스 : 빛을 향해 달리는 그림자</v>
      </c>
      <c r="J865">
        <v>100</v>
      </c>
      <c r="K865">
        <v>700</v>
      </c>
      <c r="L865">
        <v>7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700</v>
      </c>
      <c r="AH865">
        <v>7</v>
      </c>
      <c r="AI865">
        <v>0</v>
      </c>
      <c r="AJ865">
        <v>0</v>
      </c>
      <c r="AK865">
        <v>500</v>
      </c>
      <c r="AL865">
        <v>0</v>
      </c>
      <c r="AM865">
        <v>240</v>
      </c>
      <c r="AN865">
        <v>-48</v>
      </c>
      <c r="AO865">
        <v>0</v>
      </c>
      <c r="AP865">
        <v>120</v>
      </c>
      <c r="AQ865">
        <v>-36</v>
      </c>
      <c r="AR865">
        <v>0</v>
      </c>
      <c r="AS865">
        <v>120</v>
      </c>
      <c r="AT865">
        <v>-12</v>
      </c>
      <c r="AU865">
        <v>0</v>
      </c>
      <c r="AW865">
        <v>0</v>
      </c>
      <c r="AX865">
        <v>0</v>
      </c>
      <c r="AY865">
        <v>484.4</v>
      </c>
      <c r="BC865" t="str">
        <f t="shared" si="143"/>
        <v>9791166067563</v>
      </c>
      <c r="BE865" t="str">
        <f t="shared" si="144"/>
        <v>판타지 웹소설 &gt; 현대 판타지</v>
      </c>
    </row>
    <row r="866" spans="1:57" x14ac:dyDescent="0.3">
      <c r="A866">
        <v>2313011400</v>
      </c>
      <c r="B866">
        <v>2313011670</v>
      </c>
      <c r="C866" t="str">
        <f>T("최종 보스 13권 19화")</f>
        <v>최종 보스 13권 19화</v>
      </c>
      <c r="D866" t="str">
        <f>T("271")</f>
        <v>271</v>
      </c>
      <c r="E866" t="str">
        <f t="shared" si="141"/>
        <v>무장</v>
      </c>
      <c r="H866" t="str">
        <f t="shared" si="137"/>
        <v>스토리위즈</v>
      </c>
      <c r="I866" t="str">
        <f t="shared" si="142"/>
        <v>최종 보스 : 빛을 향해 달리는 그림자</v>
      </c>
      <c r="J866">
        <v>100</v>
      </c>
      <c r="K866">
        <v>700</v>
      </c>
      <c r="L866">
        <v>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700</v>
      </c>
      <c r="AH866">
        <v>7</v>
      </c>
      <c r="AI866">
        <v>0</v>
      </c>
      <c r="AJ866">
        <v>0</v>
      </c>
      <c r="AK866">
        <v>500</v>
      </c>
      <c r="AL866">
        <v>0</v>
      </c>
      <c r="AM866">
        <v>240</v>
      </c>
      <c r="AN866">
        <v>-48</v>
      </c>
      <c r="AO866">
        <v>0</v>
      </c>
      <c r="AP866">
        <v>120</v>
      </c>
      <c r="AQ866">
        <v>-36</v>
      </c>
      <c r="AR866">
        <v>0</v>
      </c>
      <c r="AS866">
        <v>120</v>
      </c>
      <c r="AT866">
        <v>-12</v>
      </c>
      <c r="AU866">
        <v>0</v>
      </c>
      <c r="AW866">
        <v>0</v>
      </c>
      <c r="AX866">
        <v>0</v>
      </c>
      <c r="AY866">
        <v>484.4</v>
      </c>
      <c r="BC866" t="str">
        <f t="shared" si="143"/>
        <v>9791166067563</v>
      </c>
      <c r="BE866" t="str">
        <f t="shared" si="144"/>
        <v>판타지 웹소설 &gt; 현대 판타지</v>
      </c>
    </row>
    <row r="867" spans="1:57" x14ac:dyDescent="0.3">
      <c r="A867">
        <v>2313017163</v>
      </c>
      <c r="B867">
        <v>2313017245</v>
      </c>
      <c r="C867" t="str">
        <f>T("친절하기는 얼어 죽을 82화")</f>
        <v>친절하기는 얼어 죽을 82화</v>
      </c>
      <c r="D867" t="str">
        <f>T("83")</f>
        <v>83</v>
      </c>
      <c r="E867" t="str">
        <f t="shared" ref="E867:E876" si="145">T("솜목화")</f>
        <v>솜목화</v>
      </c>
      <c r="H867" t="str">
        <f t="shared" ref="H867:H876" si="146">T("블레슈(Blesshuu)")</f>
        <v>블레슈(Blesshuu)</v>
      </c>
      <c r="I867" t="str">
        <f t="shared" ref="I867:I876" si="147">T("친절하기는 얼어 죽을")</f>
        <v>친절하기는 얼어 죽을</v>
      </c>
      <c r="J867">
        <v>100</v>
      </c>
      <c r="K867">
        <v>700</v>
      </c>
      <c r="L867">
        <v>7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700</v>
      </c>
      <c r="AH867">
        <v>7</v>
      </c>
      <c r="AI867">
        <v>0</v>
      </c>
      <c r="AJ867">
        <v>0</v>
      </c>
      <c r="AK867">
        <v>600</v>
      </c>
      <c r="AL867">
        <v>0</v>
      </c>
      <c r="AM867">
        <v>120</v>
      </c>
      <c r="AN867">
        <v>-12</v>
      </c>
      <c r="AO867">
        <v>0</v>
      </c>
      <c r="AP867"/>
      <c r="AQ867">
        <v>0</v>
      </c>
      <c r="AR867">
        <v>0</v>
      </c>
      <c r="AS867">
        <v>120</v>
      </c>
      <c r="AT867">
        <v>-12</v>
      </c>
      <c r="AU867">
        <v>0</v>
      </c>
      <c r="AW867">
        <v>0</v>
      </c>
      <c r="AX867">
        <v>0</v>
      </c>
      <c r="AY867">
        <v>424.8</v>
      </c>
      <c r="BA867" t="str">
        <f t="shared" ref="BA867:BA876" si="148">T("0000000000000")</f>
        <v>0000000000000</v>
      </c>
      <c r="BC867" t="str">
        <f t="shared" ref="BC867:BC876" si="149">T("9791137604131")</f>
        <v>9791137604131</v>
      </c>
      <c r="BE867" t="str">
        <f t="shared" ref="BE867:BE876" si="150">T("로맨스 웹소설 &gt; 현대물")</f>
        <v>로맨스 웹소설 &gt; 현대물</v>
      </c>
    </row>
    <row r="868" spans="1:57" x14ac:dyDescent="0.3">
      <c r="A868">
        <v>2313017163</v>
      </c>
      <c r="B868">
        <v>2313018079</v>
      </c>
      <c r="C868" t="str">
        <f>T("친절하기는 얼어 죽을 외전 6화")</f>
        <v>친절하기는 얼어 죽을 외전 6화</v>
      </c>
      <c r="D868" t="str">
        <f>T("95")</f>
        <v>95</v>
      </c>
      <c r="E868" t="str">
        <f t="shared" si="145"/>
        <v>솜목화</v>
      </c>
      <c r="H868" t="str">
        <f t="shared" si="146"/>
        <v>블레슈(Blesshuu)</v>
      </c>
      <c r="I868" t="str">
        <f t="shared" si="147"/>
        <v>친절하기는 얼어 죽을</v>
      </c>
      <c r="J868">
        <v>100</v>
      </c>
      <c r="K868">
        <v>700</v>
      </c>
      <c r="L868">
        <v>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700</v>
      </c>
      <c r="AH868">
        <v>7</v>
      </c>
      <c r="AI868">
        <v>0</v>
      </c>
      <c r="AJ868">
        <v>0</v>
      </c>
      <c r="AK868">
        <v>600</v>
      </c>
      <c r="AL868">
        <v>0</v>
      </c>
      <c r="AM868">
        <v>120</v>
      </c>
      <c r="AN868">
        <v>-12</v>
      </c>
      <c r="AO868">
        <v>0</v>
      </c>
      <c r="AP868"/>
      <c r="AQ868">
        <v>0</v>
      </c>
      <c r="AR868">
        <v>0</v>
      </c>
      <c r="AS868">
        <v>120</v>
      </c>
      <c r="AT868">
        <v>-12</v>
      </c>
      <c r="AU868">
        <v>0</v>
      </c>
      <c r="AW868">
        <v>0</v>
      </c>
      <c r="AX868">
        <v>0</v>
      </c>
      <c r="AY868">
        <v>424.8</v>
      </c>
      <c r="BA868" t="str">
        <f t="shared" si="148"/>
        <v>0000000000000</v>
      </c>
      <c r="BC868" t="str">
        <f t="shared" si="149"/>
        <v>9791137604131</v>
      </c>
      <c r="BE868" t="str">
        <f t="shared" si="150"/>
        <v>로맨스 웹소설 &gt; 현대물</v>
      </c>
    </row>
    <row r="869" spans="1:57" x14ac:dyDescent="0.3">
      <c r="A869">
        <v>2313017163</v>
      </c>
      <c r="B869">
        <v>2313018589</v>
      </c>
      <c r="C869" t="str">
        <f>T("친절하기는 얼어 죽을 외전2 1화")</f>
        <v>친절하기는 얼어 죽을 외전2 1화</v>
      </c>
      <c r="D869" t="str">
        <f>T("97")</f>
        <v>97</v>
      </c>
      <c r="E869" t="str">
        <f t="shared" si="145"/>
        <v>솜목화</v>
      </c>
      <c r="H869" t="str">
        <f t="shared" si="146"/>
        <v>블레슈(Blesshuu)</v>
      </c>
      <c r="I869" t="str">
        <f t="shared" si="147"/>
        <v>친절하기는 얼어 죽을</v>
      </c>
      <c r="J869">
        <v>100</v>
      </c>
      <c r="K869">
        <v>700</v>
      </c>
      <c r="L869">
        <v>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700</v>
      </c>
      <c r="AH869">
        <v>7</v>
      </c>
      <c r="AI869">
        <v>0</v>
      </c>
      <c r="AJ869">
        <v>0</v>
      </c>
      <c r="AK869">
        <v>600</v>
      </c>
      <c r="AL869">
        <v>0</v>
      </c>
      <c r="AM869">
        <v>120</v>
      </c>
      <c r="AN869">
        <v>-12</v>
      </c>
      <c r="AO869">
        <v>0</v>
      </c>
      <c r="AP869"/>
      <c r="AQ869">
        <v>0</v>
      </c>
      <c r="AR869">
        <v>0</v>
      </c>
      <c r="AS869">
        <v>120</v>
      </c>
      <c r="AT869">
        <v>-12</v>
      </c>
      <c r="AU869">
        <v>0</v>
      </c>
      <c r="AW869">
        <v>0</v>
      </c>
      <c r="AX869">
        <v>0</v>
      </c>
      <c r="AY869">
        <v>424.8</v>
      </c>
      <c r="BA869" t="str">
        <f t="shared" si="148"/>
        <v>0000000000000</v>
      </c>
      <c r="BC869" t="str">
        <f t="shared" si="149"/>
        <v>9791137604131</v>
      </c>
      <c r="BE869" t="str">
        <f t="shared" si="150"/>
        <v>로맨스 웹소설 &gt; 현대물</v>
      </c>
    </row>
    <row r="870" spans="1:57" x14ac:dyDescent="0.3">
      <c r="A870">
        <v>2313017163</v>
      </c>
      <c r="B870">
        <v>2313018590</v>
      </c>
      <c r="C870" t="str">
        <f>T("친절하기는 얼어 죽을 외전2 2화")</f>
        <v>친절하기는 얼어 죽을 외전2 2화</v>
      </c>
      <c r="D870" t="str">
        <f>T("98")</f>
        <v>98</v>
      </c>
      <c r="E870" t="str">
        <f t="shared" si="145"/>
        <v>솜목화</v>
      </c>
      <c r="H870" t="str">
        <f t="shared" si="146"/>
        <v>블레슈(Blesshuu)</v>
      </c>
      <c r="I870" t="str">
        <f t="shared" si="147"/>
        <v>친절하기는 얼어 죽을</v>
      </c>
      <c r="J870">
        <v>100</v>
      </c>
      <c r="K870">
        <v>700</v>
      </c>
      <c r="L870">
        <v>7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700</v>
      </c>
      <c r="AH870">
        <v>7</v>
      </c>
      <c r="AI870">
        <v>0</v>
      </c>
      <c r="AJ870">
        <v>0</v>
      </c>
      <c r="AK870">
        <v>600</v>
      </c>
      <c r="AL870">
        <v>0</v>
      </c>
      <c r="AM870">
        <v>120</v>
      </c>
      <c r="AN870">
        <v>-12</v>
      </c>
      <c r="AO870">
        <v>0</v>
      </c>
      <c r="AP870"/>
      <c r="AQ870">
        <v>0</v>
      </c>
      <c r="AR870">
        <v>0</v>
      </c>
      <c r="AS870">
        <v>120</v>
      </c>
      <c r="AT870">
        <v>-12</v>
      </c>
      <c r="AU870">
        <v>0</v>
      </c>
      <c r="AW870">
        <v>0</v>
      </c>
      <c r="AX870">
        <v>0</v>
      </c>
      <c r="AY870">
        <v>424.8</v>
      </c>
      <c r="BA870" t="str">
        <f t="shared" si="148"/>
        <v>0000000000000</v>
      </c>
      <c r="BC870" t="str">
        <f t="shared" si="149"/>
        <v>9791137604131</v>
      </c>
      <c r="BE870" t="str">
        <f t="shared" si="150"/>
        <v>로맨스 웹소설 &gt; 현대물</v>
      </c>
    </row>
    <row r="871" spans="1:57" x14ac:dyDescent="0.3">
      <c r="A871">
        <v>2313017163</v>
      </c>
      <c r="B871">
        <v>2313018591</v>
      </c>
      <c r="C871" t="str">
        <f>T("친절하기는 얼어 죽을 외전2 3화")</f>
        <v>친절하기는 얼어 죽을 외전2 3화</v>
      </c>
      <c r="D871" t="str">
        <f>T("99")</f>
        <v>99</v>
      </c>
      <c r="E871" t="str">
        <f t="shared" si="145"/>
        <v>솜목화</v>
      </c>
      <c r="H871" t="str">
        <f t="shared" si="146"/>
        <v>블레슈(Blesshuu)</v>
      </c>
      <c r="I871" t="str">
        <f t="shared" si="147"/>
        <v>친절하기는 얼어 죽을</v>
      </c>
      <c r="J871">
        <v>100</v>
      </c>
      <c r="K871">
        <v>700</v>
      </c>
      <c r="L871">
        <v>7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700</v>
      </c>
      <c r="AH871">
        <v>7</v>
      </c>
      <c r="AI871">
        <v>0</v>
      </c>
      <c r="AJ871">
        <v>0</v>
      </c>
      <c r="AK871">
        <v>600</v>
      </c>
      <c r="AL871">
        <v>0</v>
      </c>
      <c r="AM871">
        <v>120</v>
      </c>
      <c r="AN871">
        <v>-12</v>
      </c>
      <c r="AO871">
        <v>0</v>
      </c>
      <c r="AP871"/>
      <c r="AQ871">
        <v>0</v>
      </c>
      <c r="AR871">
        <v>0</v>
      </c>
      <c r="AS871">
        <v>120</v>
      </c>
      <c r="AT871">
        <v>-12</v>
      </c>
      <c r="AU871">
        <v>0</v>
      </c>
      <c r="AW871">
        <v>0</v>
      </c>
      <c r="AX871">
        <v>0</v>
      </c>
      <c r="AY871">
        <v>424.8</v>
      </c>
      <c r="BA871" t="str">
        <f t="shared" si="148"/>
        <v>0000000000000</v>
      </c>
      <c r="BC871" t="str">
        <f t="shared" si="149"/>
        <v>9791137604131</v>
      </c>
      <c r="BE871" t="str">
        <f t="shared" si="150"/>
        <v>로맨스 웹소설 &gt; 현대물</v>
      </c>
    </row>
    <row r="872" spans="1:57" x14ac:dyDescent="0.3">
      <c r="A872">
        <v>2313017163</v>
      </c>
      <c r="B872">
        <v>2313018592</v>
      </c>
      <c r="C872" t="str">
        <f>T("친절하기는 얼어 죽을 외전2 4화")</f>
        <v>친절하기는 얼어 죽을 외전2 4화</v>
      </c>
      <c r="D872" t="str">
        <f>T("100")</f>
        <v>100</v>
      </c>
      <c r="E872" t="str">
        <f t="shared" si="145"/>
        <v>솜목화</v>
      </c>
      <c r="H872" t="str">
        <f t="shared" si="146"/>
        <v>블레슈(Blesshuu)</v>
      </c>
      <c r="I872" t="str">
        <f t="shared" si="147"/>
        <v>친절하기는 얼어 죽을</v>
      </c>
      <c r="J872">
        <v>100</v>
      </c>
      <c r="K872">
        <v>700</v>
      </c>
      <c r="L872">
        <v>7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700</v>
      </c>
      <c r="AH872">
        <v>7</v>
      </c>
      <c r="AI872">
        <v>0</v>
      </c>
      <c r="AJ872">
        <v>0</v>
      </c>
      <c r="AK872">
        <v>600</v>
      </c>
      <c r="AL872">
        <v>0</v>
      </c>
      <c r="AM872">
        <v>120</v>
      </c>
      <c r="AN872">
        <v>-12</v>
      </c>
      <c r="AO872">
        <v>0</v>
      </c>
      <c r="AP872"/>
      <c r="AQ872">
        <v>0</v>
      </c>
      <c r="AR872">
        <v>0</v>
      </c>
      <c r="AS872">
        <v>120</v>
      </c>
      <c r="AT872">
        <v>-12</v>
      </c>
      <c r="AU872">
        <v>0</v>
      </c>
      <c r="AW872">
        <v>0</v>
      </c>
      <c r="AX872">
        <v>0</v>
      </c>
      <c r="AY872">
        <v>424.8</v>
      </c>
      <c r="BA872" t="str">
        <f t="shared" si="148"/>
        <v>0000000000000</v>
      </c>
      <c r="BC872" t="str">
        <f t="shared" si="149"/>
        <v>9791137604131</v>
      </c>
      <c r="BE872" t="str">
        <f t="shared" si="150"/>
        <v>로맨스 웹소설 &gt; 현대물</v>
      </c>
    </row>
    <row r="873" spans="1:57" x14ac:dyDescent="0.3">
      <c r="A873">
        <v>2313017163</v>
      </c>
      <c r="B873">
        <v>2313018593</v>
      </c>
      <c r="C873" t="str">
        <f>T("친절하기는 얼어 죽을 외전2 5화")</f>
        <v>친절하기는 얼어 죽을 외전2 5화</v>
      </c>
      <c r="D873" t="str">
        <f>T("101")</f>
        <v>101</v>
      </c>
      <c r="E873" t="str">
        <f t="shared" si="145"/>
        <v>솜목화</v>
      </c>
      <c r="H873" t="str">
        <f t="shared" si="146"/>
        <v>블레슈(Blesshuu)</v>
      </c>
      <c r="I873" t="str">
        <f t="shared" si="147"/>
        <v>친절하기는 얼어 죽을</v>
      </c>
      <c r="J873">
        <v>100</v>
      </c>
      <c r="K873">
        <v>700</v>
      </c>
      <c r="L873">
        <v>7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700</v>
      </c>
      <c r="AH873">
        <v>7</v>
      </c>
      <c r="AI873">
        <v>0</v>
      </c>
      <c r="AJ873">
        <v>0</v>
      </c>
      <c r="AK873">
        <v>600</v>
      </c>
      <c r="AL873">
        <v>0</v>
      </c>
      <c r="AM873">
        <v>120</v>
      </c>
      <c r="AN873">
        <v>-12</v>
      </c>
      <c r="AO873">
        <v>0</v>
      </c>
      <c r="AP873"/>
      <c r="AQ873">
        <v>0</v>
      </c>
      <c r="AR873">
        <v>0</v>
      </c>
      <c r="AS873">
        <v>120</v>
      </c>
      <c r="AT873">
        <v>-12</v>
      </c>
      <c r="AU873">
        <v>0</v>
      </c>
      <c r="AW873">
        <v>0</v>
      </c>
      <c r="AX873">
        <v>0</v>
      </c>
      <c r="AY873">
        <v>424.8</v>
      </c>
      <c r="BA873" t="str">
        <f t="shared" si="148"/>
        <v>0000000000000</v>
      </c>
      <c r="BC873" t="str">
        <f t="shared" si="149"/>
        <v>9791137604131</v>
      </c>
      <c r="BE873" t="str">
        <f t="shared" si="150"/>
        <v>로맨스 웹소설 &gt; 현대물</v>
      </c>
    </row>
    <row r="874" spans="1:57" x14ac:dyDescent="0.3">
      <c r="A874">
        <v>2313017163</v>
      </c>
      <c r="B874">
        <v>2313018594</v>
      </c>
      <c r="C874" t="str">
        <f>T("친절하기는 얼어 죽을 외전2 6화")</f>
        <v>친절하기는 얼어 죽을 외전2 6화</v>
      </c>
      <c r="D874" t="str">
        <f>T("102")</f>
        <v>102</v>
      </c>
      <c r="E874" t="str">
        <f t="shared" si="145"/>
        <v>솜목화</v>
      </c>
      <c r="H874" t="str">
        <f t="shared" si="146"/>
        <v>블레슈(Blesshuu)</v>
      </c>
      <c r="I874" t="str">
        <f t="shared" si="147"/>
        <v>친절하기는 얼어 죽을</v>
      </c>
      <c r="J874">
        <v>100</v>
      </c>
      <c r="K874">
        <v>700</v>
      </c>
      <c r="L874">
        <v>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700</v>
      </c>
      <c r="AH874">
        <v>7</v>
      </c>
      <c r="AI874">
        <v>0</v>
      </c>
      <c r="AJ874">
        <v>0</v>
      </c>
      <c r="AK874">
        <v>600</v>
      </c>
      <c r="AL874">
        <v>0</v>
      </c>
      <c r="AM874">
        <v>120</v>
      </c>
      <c r="AN874">
        <v>-12</v>
      </c>
      <c r="AO874">
        <v>0</v>
      </c>
      <c r="AP874"/>
      <c r="AQ874">
        <v>0</v>
      </c>
      <c r="AR874">
        <v>0</v>
      </c>
      <c r="AS874">
        <v>120</v>
      </c>
      <c r="AT874">
        <v>-12</v>
      </c>
      <c r="AU874">
        <v>0</v>
      </c>
      <c r="AW874">
        <v>0</v>
      </c>
      <c r="AX874">
        <v>0</v>
      </c>
      <c r="AY874">
        <v>424.8</v>
      </c>
      <c r="BA874" t="str">
        <f t="shared" si="148"/>
        <v>0000000000000</v>
      </c>
      <c r="BC874" t="str">
        <f t="shared" si="149"/>
        <v>9791137604131</v>
      </c>
      <c r="BE874" t="str">
        <f t="shared" si="150"/>
        <v>로맨스 웹소설 &gt; 현대물</v>
      </c>
    </row>
    <row r="875" spans="1:57" x14ac:dyDescent="0.3">
      <c r="A875">
        <v>2313017163</v>
      </c>
      <c r="B875">
        <v>2313018595</v>
      </c>
      <c r="C875" t="str">
        <f>T("친절하기는 얼어 죽을 외전2 7화")</f>
        <v>친절하기는 얼어 죽을 외전2 7화</v>
      </c>
      <c r="D875" t="str">
        <f>T("103")</f>
        <v>103</v>
      </c>
      <c r="E875" t="str">
        <f t="shared" si="145"/>
        <v>솜목화</v>
      </c>
      <c r="H875" t="str">
        <f t="shared" si="146"/>
        <v>블레슈(Blesshuu)</v>
      </c>
      <c r="I875" t="str">
        <f t="shared" si="147"/>
        <v>친절하기는 얼어 죽을</v>
      </c>
      <c r="J875">
        <v>100</v>
      </c>
      <c r="K875">
        <v>700</v>
      </c>
      <c r="L875">
        <v>7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700</v>
      </c>
      <c r="AH875">
        <v>7</v>
      </c>
      <c r="AI875">
        <v>0</v>
      </c>
      <c r="AJ875">
        <v>0</v>
      </c>
      <c r="AK875">
        <v>600</v>
      </c>
      <c r="AL875">
        <v>0</v>
      </c>
      <c r="AM875">
        <v>120</v>
      </c>
      <c r="AN875">
        <v>-12</v>
      </c>
      <c r="AO875">
        <v>0</v>
      </c>
      <c r="AP875"/>
      <c r="AQ875">
        <v>0</v>
      </c>
      <c r="AR875">
        <v>0</v>
      </c>
      <c r="AS875">
        <v>120</v>
      </c>
      <c r="AT875">
        <v>-12</v>
      </c>
      <c r="AU875">
        <v>0</v>
      </c>
      <c r="AW875">
        <v>0</v>
      </c>
      <c r="AX875">
        <v>0</v>
      </c>
      <c r="AY875">
        <v>424.8</v>
      </c>
      <c r="BA875" t="str">
        <f t="shared" si="148"/>
        <v>0000000000000</v>
      </c>
      <c r="BC875" t="str">
        <f t="shared" si="149"/>
        <v>9791137604131</v>
      </c>
      <c r="BE875" t="str">
        <f t="shared" si="150"/>
        <v>로맨스 웹소설 &gt; 현대물</v>
      </c>
    </row>
    <row r="876" spans="1:57" x14ac:dyDescent="0.3">
      <c r="A876">
        <v>2313017163</v>
      </c>
      <c r="B876">
        <v>2313018596</v>
      </c>
      <c r="C876" t="str">
        <f>T("친절하기는 얼어 죽을 외전2 8화")</f>
        <v>친절하기는 얼어 죽을 외전2 8화</v>
      </c>
      <c r="D876" t="str">
        <f>T("104")</f>
        <v>104</v>
      </c>
      <c r="E876" t="str">
        <f t="shared" si="145"/>
        <v>솜목화</v>
      </c>
      <c r="H876" t="str">
        <f t="shared" si="146"/>
        <v>블레슈(Blesshuu)</v>
      </c>
      <c r="I876" t="str">
        <f t="shared" si="147"/>
        <v>친절하기는 얼어 죽을</v>
      </c>
      <c r="J876">
        <v>100</v>
      </c>
      <c r="K876">
        <v>700</v>
      </c>
      <c r="L876">
        <v>7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700</v>
      </c>
      <c r="AH876">
        <v>8</v>
      </c>
      <c r="AI876">
        <v>0</v>
      </c>
      <c r="AJ876">
        <v>0</v>
      </c>
      <c r="AK876">
        <v>600</v>
      </c>
      <c r="AL876">
        <v>0</v>
      </c>
      <c r="AM876">
        <v>120</v>
      </c>
      <c r="AN876">
        <v>-12</v>
      </c>
      <c r="AO876">
        <v>0</v>
      </c>
      <c r="AP876"/>
      <c r="AQ876">
        <v>0</v>
      </c>
      <c r="AR876">
        <v>0</v>
      </c>
      <c r="AS876">
        <v>120</v>
      </c>
      <c r="AT876">
        <v>-12</v>
      </c>
      <c r="AU876">
        <v>0</v>
      </c>
      <c r="AW876">
        <v>0</v>
      </c>
      <c r="AX876">
        <v>0</v>
      </c>
      <c r="AY876">
        <v>424.8</v>
      </c>
      <c r="BA876" t="str">
        <f t="shared" si="148"/>
        <v>0000000000000</v>
      </c>
      <c r="BC876" t="str">
        <f t="shared" si="149"/>
        <v>9791137604131</v>
      </c>
      <c r="BE876" t="str">
        <f t="shared" si="150"/>
        <v>로맨스 웹소설 &gt; 현대물</v>
      </c>
    </row>
    <row r="877" spans="1:57" x14ac:dyDescent="0.3">
      <c r="A877">
        <v>2313020382</v>
      </c>
      <c r="B877">
        <v>2313020505</v>
      </c>
      <c r="C877" t="str">
        <f>T("신입사원이 이렇게 일을 잘했다고? 124화")</f>
        <v>신입사원이 이렇게 일을 잘했다고? 124화</v>
      </c>
      <c r="D877" t="str">
        <f>T("124")</f>
        <v>124</v>
      </c>
      <c r="E877" t="str">
        <f t="shared" ref="E877:E885" si="151">T("왕십리글쟁이")</f>
        <v>왕십리글쟁이</v>
      </c>
      <c r="H877" t="str">
        <f t="shared" ref="H877:H940" si="152">T("스토리위즈")</f>
        <v>스토리위즈</v>
      </c>
      <c r="I877" t="str">
        <f t="shared" ref="I877:I885" si="153">T("신입사원이 이렇게 일을 잘했다고?")</f>
        <v>신입사원이 이렇게 일을 잘했다고?</v>
      </c>
      <c r="J877">
        <v>100</v>
      </c>
      <c r="K877">
        <v>700</v>
      </c>
      <c r="L877">
        <v>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700</v>
      </c>
      <c r="AH877">
        <v>7</v>
      </c>
      <c r="AI877">
        <v>0</v>
      </c>
      <c r="AJ877">
        <v>0</v>
      </c>
      <c r="AK877">
        <v>600</v>
      </c>
      <c r="AL877">
        <v>0</v>
      </c>
      <c r="AM877">
        <v>120</v>
      </c>
      <c r="AN877">
        <v>-12</v>
      </c>
      <c r="AO877">
        <v>0</v>
      </c>
      <c r="AP877"/>
      <c r="AQ877">
        <v>0</v>
      </c>
      <c r="AR877">
        <v>0</v>
      </c>
      <c r="AS877">
        <v>120</v>
      </c>
      <c r="AT877">
        <v>-12</v>
      </c>
      <c r="AU877">
        <v>0</v>
      </c>
      <c r="AW877">
        <v>0</v>
      </c>
      <c r="AX877">
        <v>0</v>
      </c>
      <c r="AY877">
        <v>495.6</v>
      </c>
      <c r="BC877" t="str">
        <f t="shared" ref="BC877:BC885" si="154">T("9791137602946")</f>
        <v>9791137602946</v>
      </c>
      <c r="BE877" t="str">
        <f t="shared" ref="BE877:BE885" si="155">T("판타지 웹소설 &gt; 현대 판타지")</f>
        <v>판타지 웹소설 &gt; 현대 판타지</v>
      </c>
    </row>
    <row r="878" spans="1:57" x14ac:dyDescent="0.3">
      <c r="A878">
        <v>2313020382</v>
      </c>
      <c r="B878">
        <v>2313020506</v>
      </c>
      <c r="C878" t="str">
        <f>T("신입사원이 이렇게 일을 잘했다고? 125화")</f>
        <v>신입사원이 이렇게 일을 잘했다고? 125화</v>
      </c>
      <c r="D878" t="str">
        <f>T("125")</f>
        <v>125</v>
      </c>
      <c r="E878" t="str">
        <f t="shared" si="151"/>
        <v>왕십리글쟁이</v>
      </c>
      <c r="H878" t="str">
        <f t="shared" si="152"/>
        <v>스토리위즈</v>
      </c>
      <c r="I878" t="str">
        <f t="shared" si="153"/>
        <v>신입사원이 이렇게 일을 잘했다고?</v>
      </c>
      <c r="J878">
        <v>100</v>
      </c>
      <c r="K878">
        <v>700</v>
      </c>
      <c r="L878">
        <v>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700</v>
      </c>
      <c r="AH878">
        <v>7</v>
      </c>
      <c r="AI878">
        <v>0</v>
      </c>
      <c r="AJ878">
        <v>0</v>
      </c>
      <c r="AK878">
        <v>600</v>
      </c>
      <c r="AL878">
        <v>0</v>
      </c>
      <c r="AM878">
        <v>120</v>
      </c>
      <c r="AN878">
        <v>-12</v>
      </c>
      <c r="AO878">
        <v>0</v>
      </c>
      <c r="AP878"/>
      <c r="AQ878">
        <v>0</v>
      </c>
      <c r="AR878">
        <v>0</v>
      </c>
      <c r="AS878">
        <v>120</v>
      </c>
      <c r="AT878">
        <v>-12</v>
      </c>
      <c r="AU878">
        <v>0</v>
      </c>
      <c r="AW878">
        <v>0</v>
      </c>
      <c r="AX878">
        <v>0</v>
      </c>
      <c r="AY878">
        <v>495.6</v>
      </c>
      <c r="BC878" t="str">
        <f t="shared" si="154"/>
        <v>9791137602946</v>
      </c>
      <c r="BE878" t="str">
        <f t="shared" si="155"/>
        <v>판타지 웹소설 &gt; 현대 판타지</v>
      </c>
    </row>
    <row r="879" spans="1:57" x14ac:dyDescent="0.3">
      <c r="A879">
        <v>2313020382</v>
      </c>
      <c r="B879">
        <v>2313020507</v>
      </c>
      <c r="C879" t="str">
        <f>T("신입사원이 이렇게 일을 잘했다고? 126화")</f>
        <v>신입사원이 이렇게 일을 잘했다고? 126화</v>
      </c>
      <c r="D879" t="str">
        <f>T("126")</f>
        <v>126</v>
      </c>
      <c r="E879" t="str">
        <f t="shared" si="151"/>
        <v>왕십리글쟁이</v>
      </c>
      <c r="H879" t="str">
        <f t="shared" si="152"/>
        <v>스토리위즈</v>
      </c>
      <c r="I879" t="str">
        <f t="shared" si="153"/>
        <v>신입사원이 이렇게 일을 잘했다고?</v>
      </c>
      <c r="J879">
        <v>100</v>
      </c>
      <c r="K879">
        <v>700</v>
      </c>
      <c r="L879">
        <v>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700</v>
      </c>
      <c r="AH879">
        <v>7</v>
      </c>
      <c r="AI879">
        <v>0</v>
      </c>
      <c r="AJ879">
        <v>0</v>
      </c>
      <c r="AK879">
        <v>600</v>
      </c>
      <c r="AL879">
        <v>0</v>
      </c>
      <c r="AM879">
        <v>120</v>
      </c>
      <c r="AN879">
        <v>-12</v>
      </c>
      <c r="AO879">
        <v>0</v>
      </c>
      <c r="AP879"/>
      <c r="AQ879">
        <v>0</v>
      </c>
      <c r="AR879">
        <v>0</v>
      </c>
      <c r="AS879">
        <v>120</v>
      </c>
      <c r="AT879">
        <v>-12</v>
      </c>
      <c r="AU879">
        <v>0</v>
      </c>
      <c r="AW879">
        <v>0</v>
      </c>
      <c r="AX879">
        <v>0</v>
      </c>
      <c r="AY879">
        <v>495.6</v>
      </c>
      <c r="BC879" t="str">
        <f t="shared" si="154"/>
        <v>9791137602946</v>
      </c>
      <c r="BE879" t="str">
        <f t="shared" si="155"/>
        <v>판타지 웹소설 &gt; 현대 판타지</v>
      </c>
    </row>
    <row r="880" spans="1:57" x14ac:dyDescent="0.3">
      <c r="A880">
        <v>2313020382</v>
      </c>
      <c r="B880">
        <v>2313020508</v>
      </c>
      <c r="C880" t="str">
        <f>T("신입사원이 이렇게 일을 잘했다고? 127화")</f>
        <v>신입사원이 이렇게 일을 잘했다고? 127화</v>
      </c>
      <c r="D880" t="str">
        <f>T("127")</f>
        <v>127</v>
      </c>
      <c r="E880" t="str">
        <f t="shared" si="151"/>
        <v>왕십리글쟁이</v>
      </c>
      <c r="H880" t="str">
        <f t="shared" si="152"/>
        <v>스토리위즈</v>
      </c>
      <c r="I880" t="str">
        <f t="shared" si="153"/>
        <v>신입사원이 이렇게 일을 잘했다고?</v>
      </c>
      <c r="J880">
        <v>100</v>
      </c>
      <c r="K880">
        <v>700</v>
      </c>
      <c r="L880">
        <v>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700</v>
      </c>
      <c r="AH880">
        <v>7</v>
      </c>
      <c r="AI880">
        <v>0</v>
      </c>
      <c r="AJ880">
        <v>0</v>
      </c>
      <c r="AK880">
        <v>600</v>
      </c>
      <c r="AL880">
        <v>0</v>
      </c>
      <c r="AM880">
        <v>120</v>
      </c>
      <c r="AN880">
        <v>-12</v>
      </c>
      <c r="AO880">
        <v>0</v>
      </c>
      <c r="AP880"/>
      <c r="AQ880">
        <v>0</v>
      </c>
      <c r="AR880">
        <v>0</v>
      </c>
      <c r="AS880">
        <v>120</v>
      </c>
      <c r="AT880">
        <v>-12</v>
      </c>
      <c r="AU880">
        <v>0</v>
      </c>
      <c r="AW880">
        <v>0</v>
      </c>
      <c r="AX880">
        <v>0</v>
      </c>
      <c r="AY880">
        <v>495.6</v>
      </c>
      <c r="BC880" t="str">
        <f t="shared" si="154"/>
        <v>9791137602946</v>
      </c>
      <c r="BE880" t="str">
        <f t="shared" si="155"/>
        <v>판타지 웹소설 &gt; 현대 판타지</v>
      </c>
    </row>
    <row r="881" spans="1:57" x14ac:dyDescent="0.3">
      <c r="A881">
        <v>2313020382</v>
      </c>
      <c r="B881">
        <v>2313020509</v>
      </c>
      <c r="C881" t="str">
        <f>T("신입사원이 이렇게 일을 잘했다고? 128화")</f>
        <v>신입사원이 이렇게 일을 잘했다고? 128화</v>
      </c>
      <c r="D881" t="str">
        <f>T("128")</f>
        <v>128</v>
      </c>
      <c r="E881" t="str">
        <f t="shared" si="151"/>
        <v>왕십리글쟁이</v>
      </c>
      <c r="H881" t="str">
        <f t="shared" si="152"/>
        <v>스토리위즈</v>
      </c>
      <c r="I881" t="str">
        <f t="shared" si="153"/>
        <v>신입사원이 이렇게 일을 잘했다고?</v>
      </c>
      <c r="J881">
        <v>100</v>
      </c>
      <c r="K881">
        <v>700</v>
      </c>
      <c r="L881">
        <v>7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700</v>
      </c>
      <c r="AH881">
        <v>7</v>
      </c>
      <c r="AI881">
        <v>0</v>
      </c>
      <c r="AJ881">
        <v>0</v>
      </c>
      <c r="AK881">
        <v>600</v>
      </c>
      <c r="AL881">
        <v>0</v>
      </c>
      <c r="AM881">
        <v>120</v>
      </c>
      <c r="AN881">
        <v>-12</v>
      </c>
      <c r="AO881">
        <v>0</v>
      </c>
      <c r="AP881"/>
      <c r="AQ881">
        <v>0</v>
      </c>
      <c r="AR881">
        <v>0</v>
      </c>
      <c r="AS881">
        <v>120</v>
      </c>
      <c r="AT881">
        <v>-12</v>
      </c>
      <c r="AU881">
        <v>0</v>
      </c>
      <c r="AW881">
        <v>0</v>
      </c>
      <c r="AX881">
        <v>0</v>
      </c>
      <c r="AY881">
        <v>495.6</v>
      </c>
      <c r="BC881" t="str">
        <f t="shared" si="154"/>
        <v>9791137602946</v>
      </c>
      <c r="BE881" t="str">
        <f t="shared" si="155"/>
        <v>판타지 웹소설 &gt; 현대 판타지</v>
      </c>
    </row>
    <row r="882" spans="1:57" x14ac:dyDescent="0.3">
      <c r="A882">
        <v>2313020382</v>
      </c>
      <c r="B882">
        <v>2313020510</v>
      </c>
      <c r="C882" t="str">
        <f>T("신입사원이 이렇게 일을 잘했다고? 129화")</f>
        <v>신입사원이 이렇게 일을 잘했다고? 129화</v>
      </c>
      <c r="D882" t="str">
        <f>T("129")</f>
        <v>129</v>
      </c>
      <c r="E882" t="str">
        <f t="shared" si="151"/>
        <v>왕십리글쟁이</v>
      </c>
      <c r="H882" t="str">
        <f t="shared" si="152"/>
        <v>스토리위즈</v>
      </c>
      <c r="I882" t="str">
        <f t="shared" si="153"/>
        <v>신입사원이 이렇게 일을 잘했다고?</v>
      </c>
      <c r="J882">
        <v>100</v>
      </c>
      <c r="K882">
        <v>700</v>
      </c>
      <c r="L882">
        <v>7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700</v>
      </c>
      <c r="AH882">
        <v>7</v>
      </c>
      <c r="AI882">
        <v>0</v>
      </c>
      <c r="AJ882">
        <v>0</v>
      </c>
      <c r="AK882">
        <v>600</v>
      </c>
      <c r="AL882">
        <v>0</v>
      </c>
      <c r="AM882">
        <v>120</v>
      </c>
      <c r="AN882">
        <v>-12</v>
      </c>
      <c r="AO882">
        <v>0</v>
      </c>
      <c r="AP882"/>
      <c r="AQ882">
        <v>0</v>
      </c>
      <c r="AR882">
        <v>0</v>
      </c>
      <c r="AS882">
        <v>120</v>
      </c>
      <c r="AT882">
        <v>-12</v>
      </c>
      <c r="AU882">
        <v>0</v>
      </c>
      <c r="AW882">
        <v>0</v>
      </c>
      <c r="AX882">
        <v>0</v>
      </c>
      <c r="AY882">
        <v>495.6</v>
      </c>
      <c r="BC882" t="str">
        <f t="shared" si="154"/>
        <v>9791137602946</v>
      </c>
      <c r="BE882" t="str">
        <f t="shared" si="155"/>
        <v>판타지 웹소설 &gt; 현대 판타지</v>
      </c>
    </row>
    <row r="883" spans="1:57" x14ac:dyDescent="0.3">
      <c r="A883">
        <v>2313020382</v>
      </c>
      <c r="B883">
        <v>2313020511</v>
      </c>
      <c r="C883" t="str">
        <f>T("신입사원이 이렇게 일을 잘했다고? 130화")</f>
        <v>신입사원이 이렇게 일을 잘했다고? 130화</v>
      </c>
      <c r="D883" t="str">
        <f>T("130")</f>
        <v>130</v>
      </c>
      <c r="E883" t="str">
        <f t="shared" si="151"/>
        <v>왕십리글쟁이</v>
      </c>
      <c r="H883" t="str">
        <f t="shared" si="152"/>
        <v>스토리위즈</v>
      </c>
      <c r="I883" t="str">
        <f t="shared" si="153"/>
        <v>신입사원이 이렇게 일을 잘했다고?</v>
      </c>
      <c r="J883">
        <v>100</v>
      </c>
      <c r="K883">
        <v>700</v>
      </c>
      <c r="L883">
        <v>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700</v>
      </c>
      <c r="AH883">
        <v>7</v>
      </c>
      <c r="AI883">
        <v>0</v>
      </c>
      <c r="AJ883">
        <v>0</v>
      </c>
      <c r="AK883">
        <v>600</v>
      </c>
      <c r="AL883">
        <v>0</v>
      </c>
      <c r="AM883">
        <v>120</v>
      </c>
      <c r="AN883">
        <v>-12</v>
      </c>
      <c r="AO883">
        <v>0</v>
      </c>
      <c r="AP883"/>
      <c r="AQ883">
        <v>0</v>
      </c>
      <c r="AR883">
        <v>0</v>
      </c>
      <c r="AS883">
        <v>120</v>
      </c>
      <c r="AT883">
        <v>-12</v>
      </c>
      <c r="AU883">
        <v>0</v>
      </c>
      <c r="AW883">
        <v>0</v>
      </c>
      <c r="AX883">
        <v>0</v>
      </c>
      <c r="AY883">
        <v>495.6</v>
      </c>
      <c r="BC883" t="str">
        <f t="shared" si="154"/>
        <v>9791137602946</v>
      </c>
      <c r="BE883" t="str">
        <f t="shared" si="155"/>
        <v>판타지 웹소설 &gt; 현대 판타지</v>
      </c>
    </row>
    <row r="884" spans="1:57" x14ac:dyDescent="0.3">
      <c r="A884">
        <v>2313020382</v>
      </c>
      <c r="B884">
        <v>2313020528</v>
      </c>
      <c r="C884" t="str">
        <f>T("신입사원이 이렇게 일을 잘했다고? 147화")</f>
        <v>신입사원이 이렇게 일을 잘했다고? 147화</v>
      </c>
      <c r="D884" t="str">
        <f>T("147")</f>
        <v>147</v>
      </c>
      <c r="E884" t="str">
        <f t="shared" si="151"/>
        <v>왕십리글쟁이</v>
      </c>
      <c r="H884" t="str">
        <f t="shared" si="152"/>
        <v>스토리위즈</v>
      </c>
      <c r="I884" t="str">
        <f t="shared" si="153"/>
        <v>신입사원이 이렇게 일을 잘했다고?</v>
      </c>
      <c r="J884">
        <v>100</v>
      </c>
      <c r="K884">
        <v>700</v>
      </c>
      <c r="L884">
        <v>7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700</v>
      </c>
      <c r="AH884">
        <v>7</v>
      </c>
      <c r="AI884">
        <v>0</v>
      </c>
      <c r="AJ884">
        <v>0</v>
      </c>
      <c r="AK884">
        <v>600</v>
      </c>
      <c r="AL884">
        <v>0</v>
      </c>
      <c r="AM884">
        <v>120</v>
      </c>
      <c r="AN884">
        <v>-12</v>
      </c>
      <c r="AO884">
        <v>0</v>
      </c>
      <c r="AP884"/>
      <c r="AQ884">
        <v>0</v>
      </c>
      <c r="AR884">
        <v>0</v>
      </c>
      <c r="AS884">
        <v>120</v>
      </c>
      <c r="AT884">
        <v>-12</v>
      </c>
      <c r="AU884">
        <v>0</v>
      </c>
      <c r="AW884">
        <v>0</v>
      </c>
      <c r="AX884">
        <v>0</v>
      </c>
      <c r="AY884">
        <v>495.6</v>
      </c>
      <c r="BC884" t="str">
        <f t="shared" si="154"/>
        <v>9791137602946</v>
      </c>
      <c r="BE884" t="str">
        <f t="shared" si="155"/>
        <v>판타지 웹소설 &gt; 현대 판타지</v>
      </c>
    </row>
    <row r="885" spans="1:57" x14ac:dyDescent="0.3">
      <c r="A885">
        <v>2313020382</v>
      </c>
      <c r="B885">
        <v>2313020549</v>
      </c>
      <c r="C885" t="str">
        <f>T("신입사원이 이렇게 일을 잘했다고? 168화")</f>
        <v>신입사원이 이렇게 일을 잘했다고? 168화</v>
      </c>
      <c r="D885" t="str">
        <f>T("168")</f>
        <v>168</v>
      </c>
      <c r="E885" t="str">
        <f t="shared" si="151"/>
        <v>왕십리글쟁이</v>
      </c>
      <c r="H885" t="str">
        <f t="shared" si="152"/>
        <v>스토리위즈</v>
      </c>
      <c r="I885" t="str">
        <f t="shared" si="153"/>
        <v>신입사원이 이렇게 일을 잘했다고?</v>
      </c>
      <c r="J885">
        <v>100</v>
      </c>
      <c r="K885">
        <v>700</v>
      </c>
      <c r="L885">
        <v>7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700</v>
      </c>
      <c r="AH885">
        <v>7</v>
      </c>
      <c r="AI885">
        <v>0</v>
      </c>
      <c r="AJ885">
        <v>0</v>
      </c>
      <c r="AK885">
        <v>600</v>
      </c>
      <c r="AL885">
        <v>0</v>
      </c>
      <c r="AM885">
        <v>120</v>
      </c>
      <c r="AN885">
        <v>-12</v>
      </c>
      <c r="AO885">
        <v>0</v>
      </c>
      <c r="AP885"/>
      <c r="AQ885">
        <v>0</v>
      </c>
      <c r="AR885">
        <v>0</v>
      </c>
      <c r="AS885">
        <v>120</v>
      </c>
      <c r="AT885">
        <v>-12</v>
      </c>
      <c r="AU885">
        <v>0</v>
      </c>
      <c r="AW885">
        <v>0</v>
      </c>
      <c r="AX885">
        <v>0</v>
      </c>
      <c r="AY885">
        <v>495.6</v>
      </c>
      <c r="BC885" t="str">
        <f t="shared" si="154"/>
        <v>9791137602946</v>
      </c>
      <c r="BE885" t="str">
        <f t="shared" si="155"/>
        <v>판타지 웹소설 &gt; 현대 판타지</v>
      </c>
    </row>
    <row r="886" spans="1:57" x14ac:dyDescent="0.3">
      <c r="A886">
        <v>2313020594</v>
      </c>
      <c r="B886">
        <v>2313020662</v>
      </c>
      <c r="C886" t="str">
        <f>T("아카데미 속 궁술천재 69화")</f>
        <v>아카데미 속 궁술천재 69화</v>
      </c>
      <c r="D886" t="str">
        <f>T("69")</f>
        <v>69</v>
      </c>
      <c r="E886" t="str">
        <f t="shared" ref="E886:E894" si="156">T("깡펀치")</f>
        <v>깡펀치</v>
      </c>
      <c r="H886" t="str">
        <f t="shared" si="152"/>
        <v>스토리위즈</v>
      </c>
      <c r="I886" t="str">
        <f t="shared" ref="I886:I894" si="157">T("아카데미 속 궁술천재")</f>
        <v>아카데미 속 궁술천재</v>
      </c>
      <c r="J886">
        <v>100</v>
      </c>
      <c r="K886">
        <v>700</v>
      </c>
      <c r="L886">
        <v>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700</v>
      </c>
      <c r="AH886">
        <v>7</v>
      </c>
      <c r="AI886">
        <v>0</v>
      </c>
      <c r="AJ886">
        <v>0</v>
      </c>
      <c r="AK886">
        <v>600</v>
      </c>
      <c r="AL886">
        <v>0</v>
      </c>
      <c r="AM886">
        <v>120</v>
      </c>
      <c r="AN886">
        <v>-36</v>
      </c>
      <c r="AO886">
        <v>0</v>
      </c>
      <c r="AP886">
        <v>120</v>
      </c>
      <c r="AQ886">
        <v>-36</v>
      </c>
      <c r="AR886">
        <v>0</v>
      </c>
      <c r="AT886">
        <v>0</v>
      </c>
      <c r="AU886">
        <v>0</v>
      </c>
      <c r="AW886">
        <v>0</v>
      </c>
      <c r="AX886">
        <v>0</v>
      </c>
      <c r="AY886">
        <v>478.8</v>
      </c>
      <c r="BC886" t="str">
        <f t="shared" ref="BC886:BC894" si="158">T("9791137602915")</f>
        <v>9791137602915</v>
      </c>
      <c r="BE886" t="str">
        <f t="shared" ref="BE886:BE894" si="159">T("판타지 웹소설 &gt; 퓨전 판타지")</f>
        <v>판타지 웹소설 &gt; 퓨전 판타지</v>
      </c>
    </row>
    <row r="887" spans="1:57" x14ac:dyDescent="0.3">
      <c r="A887">
        <v>2313020594</v>
      </c>
      <c r="B887">
        <v>2313020663</v>
      </c>
      <c r="C887" t="str">
        <f>T("아카데미 속 궁술천재 70화")</f>
        <v>아카데미 속 궁술천재 70화</v>
      </c>
      <c r="D887" t="str">
        <f>T("70")</f>
        <v>70</v>
      </c>
      <c r="E887" t="str">
        <f t="shared" si="156"/>
        <v>깡펀치</v>
      </c>
      <c r="H887" t="str">
        <f t="shared" si="152"/>
        <v>스토리위즈</v>
      </c>
      <c r="I887" t="str">
        <f t="shared" si="157"/>
        <v>아카데미 속 궁술천재</v>
      </c>
      <c r="J887">
        <v>100</v>
      </c>
      <c r="K887">
        <v>700</v>
      </c>
      <c r="L887">
        <v>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700</v>
      </c>
      <c r="AH887">
        <v>7</v>
      </c>
      <c r="AI887">
        <v>0</v>
      </c>
      <c r="AJ887">
        <v>0</v>
      </c>
      <c r="AK887">
        <v>600</v>
      </c>
      <c r="AL887">
        <v>0</v>
      </c>
      <c r="AM887">
        <v>120</v>
      </c>
      <c r="AN887">
        <v>-36</v>
      </c>
      <c r="AO887">
        <v>0</v>
      </c>
      <c r="AP887">
        <v>120</v>
      </c>
      <c r="AQ887">
        <v>-36</v>
      </c>
      <c r="AR887">
        <v>0</v>
      </c>
      <c r="AT887">
        <v>0</v>
      </c>
      <c r="AU887">
        <v>0</v>
      </c>
      <c r="AW887">
        <v>0</v>
      </c>
      <c r="AX887">
        <v>0</v>
      </c>
      <c r="AY887">
        <v>478.8</v>
      </c>
      <c r="BC887" t="str">
        <f t="shared" si="158"/>
        <v>9791137602915</v>
      </c>
      <c r="BE887" t="str">
        <f t="shared" si="159"/>
        <v>판타지 웹소설 &gt; 퓨전 판타지</v>
      </c>
    </row>
    <row r="888" spans="1:57" x14ac:dyDescent="0.3">
      <c r="A888">
        <v>2313020594</v>
      </c>
      <c r="B888">
        <v>2313020664</v>
      </c>
      <c r="C888" t="str">
        <f>T("아카데미 속 궁술천재 71화")</f>
        <v>아카데미 속 궁술천재 71화</v>
      </c>
      <c r="D888" t="str">
        <f>T("71")</f>
        <v>71</v>
      </c>
      <c r="E888" t="str">
        <f t="shared" si="156"/>
        <v>깡펀치</v>
      </c>
      <c r="H888" t="str">
        <f t="shared" si="152"/>
        <v>스토리위즈</v>
      </c>
      <c r="I888" t="str">
        <f t="shared" si="157"/>
        <v>아카데미 속 궁술천재</v>
      </c>
      <c r="J888">
        <v>100</v>
      </c>
      <c r="K888">
        <v>700</v>
      </c>
      <c r="L888">
        <v>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700</v>
      </c>
      <c r="AH888">
        <v>7</v>
      </c>
      <c r="AI888">
        <v>0</v>
      </c>
      <c r="AJ888">
        <v>0</v>
      </c>
      <c r="AK888">
        <v>700</v>
      </c>
      <c r="AL888">
        <v>0</v>
      </c>
      <c r="AM888">
        <v>0</v>
      </c>
      <c r="AN888">
        <v>0</v>
      </c>
      <c r="AO888">
        <v>0</v>
      </c>
      <c r="AP888"/>
      <c r="AQ888">
        <v>0</v>
      </c>
      <c r="AR888">
        <v>0</v>
      </c>
      <c r="AT888">
        <v>0</v>
      </c>
      <c r="AU888">
        <v>0</v>
      </c>
      <c r="AW888">
        <v>0</v>
      </c>
      <c r="AX888">
        <v>0</v>
      </c>
      <c r="AY888">
        <v>490</v>
      </c>
      <c r="BC888" t="str">
        <f t="shared" si="158"/>
        <v>9791137602915</v>
      </c>
      <c r="BE888" t="str">
        <f t="shared" si="159"/>
        <v>판타지 웹소설 &gt; 퓨전 판타지</v>
      </c>
    </row>
    <row r="889" spans="1:57" x14ac:dyDescent="0.3">
      <c r="A889">
        <v>2313020594</v>
      </c>
      <c r="B889">
        <v>2313020668</v>
      </c>
      <c r="C889" t="str">
        <f>T("아카데미 속 궁술천재 75화")</f>
        <v>아카데미 속 궁술천재 75화</v>
      </c>
      <c r="D889" t="str">
        <f>T("75")</f>
        <v>75</v>
      </c>
      <c r="E889" t="str">
        <f t="shared" si="156"/>
        <v>깡펀치</v>
      </c>
      <c r="H889" t="str">
        <f t="shared" si="152"/>
        <v>스토리위즈</v>
      </c>
      <c r="I889" t="str">
        <f t="shared" si="157"/>
        <v>아카데미 속 궁술천재</v>
      </c>
      <c r="J889">
        <v>100</v>
      </c>
      <c r="K889">
        <v>700</v>
      </c>
      <c r="L889">
        <v>7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700</v>
      </c>
      <c r="AH889">
        <v>7</v>
      </c>
      <c r="AI889">
        <v>0</v>
      </c>
      <c r="AJ889">
        <v>0</v>
      </c>
      <c r="AK889">
        <v>700</v>
      </c>
      <c r="AL889">
        <v>0</v>
      </c>
      <c r="AM889">
        <v>0</v>
      </c>
      <c r="AN889">
        <v>0</v>
      </c>
      <c r="AO889">
        <v>0</v>
      </c>
      <c r="AP889"/>
      <c r="AQ889">
        <v>0</v>
      </c>
      <c r="AR889">
        <v>0</v>
      </c>
      <c r="AT889">
        <v>0</v>
      </c>
      <c r="AU889">
        <v>0</v>
      </c>
      <c r="AW889">
        <v>0</v>
      </c>
      <c r="AX889">
        <v>0</v>
      </c>
      <c r="AY889">
        <v>490</v>
      </c>
      <c r="BC889" t="str">
        <f t="shared" si="158"/>
        <v>9791137602915</v>
      </c>
      <c r="BE889" t="str">
        <f t="shared" si="159"/>
        <v>판타지 웹소설 &gt; 퓨전 판타지</v>
      </c>
    </row>
    <row r="890" spans="1:57" x14ac:dyDescent="0.3">
      <c r="A890">
        <v>2313020594</v>
      </c>
      <c r="B890">
        <v>2313020669</v>
      </c>
      <c r="C890" t="str">
        <f>T("아카데미 속 궁술천재 76화")</f>
        <v>아카데미 속 궁술천재 76화</v>
      </c>
      <c r="D890" t="str">
        <f>T("76")</f>
        <v>76</v>
      </c>
      <c r="E890" t="str">
        <f t="shared" si="156"/>
        <v>깡펀치</v>
      </c>
      <c r="H890" t="str">
        <f t="shared" si="152"/>
        <v>스토리위즈</v>
      </c>
      <c r="I890" t="str">
        <f t="shared" si="157"/>
        <v>아카데미 속 궁술천재</v>
      </c>
      <c r="J890">
        <v>100</v>
      </c>
      <c r="K890">
        <v>700</v>
      </c>
      <c r="L890">
        <v>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700</v>
      </c>
      <c r="AH890">
        <v>7</v>
      </c>
      <c r="AI890">
        <v>0</v>
      </c>
      <c r="AJ890">
        <v>0</v>
      </c>
      <c r="AK890">
        <v>700</v>
      </c>
      <c r="AL890">
        <v>0</v>
      </c>
      <c r="AM890">
        <v>0</v>
      </c>
      <c r="AN890">
        <v>0</v>
      </c>
      <c r="AO890">
        <v>0</v>
      </c>
      <c r="AP890"/>
      <c r="AQ890">
        <v>0</v>
      </c>
      <c r="AR890">
        <v>0</v>
      </c>
      <c r="AT890">
        <v>0</v>
      </c>
      <c r="AU890">
        <v>0</v>
      </c>
      <c r="AW890">
        <v>0</v>
      </c>
      <c r="AX890">
        <v>0</v>
      </c>
      <c r="AY890">
        <v>490</v>
      </c>
      <c r="BC890" t="str">
        <f t="shared" si="158"/>
        <v>9791137602915</v>
      </c>
      <c r="BE890" t="str">
        <f t="shared" si="159"/>
        <v>판타지 웹소설 &gt; 퓨전 판타지</v>
      </c>
    </row>
    <row r="891" spans="1:57" x14ac:dyDescent="0.3">
      <c r="A891">
        <v>2313020594</v>
      </c>
      <c r="B891">
        <v>2313020670</v>
      </c>
      <c r="C891" t="str">
        <f>T("아카데미 속 궁술천재 77화")</f>
        <v>아카데미 속 궁술천재 77화</v>
      </c>
      <c r="D891" t="str">
        <f>T("77")</f>
        <v>77</v>
      </c>
      <c r="E891" t="str">
        <f t="shared" si="156"/>
        <v>깡펀치</v>
      </c>
      <c r="H891" t="str">
        <f t="shared" si="152"/>
        <v>스토리위즈</v>
      </c>
      <c r="I891" t="str">
        <f t="shared" si="157"/>
        <v>아카데미 속 궁술천재</v>
      </c>
      <c r="J891">
        <v>100</v>
      </c>
      <c r="K891">
        <v>700</v>
      </c>
      <c r="L891">
        <v>7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700</v>
      </c>
      <c r="AH891">
        <v>7</v>
      </c>
      <c r="AI891">
        <v>0</v>
      </c>
      <c r="AJ891">
        <v>0</v>
      </c>
      <c r="AK891">
        <v>700</v>
      </c>
      <c r="AL891">
        <v>0</v>
      </c>
      <c r="AM891">
        <v>0</v>
      </c>
      <c r="AN891">
        <v>0</v>
      </c>
      <c r="AO891">
        <v>0</v>
      </c>
      <c r="AP891"/>
      <c r="AQ891">
        <v>0</v>
      </c>
      <c r="AR891">
        <v>0</v>
      </c>
      <c r="AT891">
        <v>0</v>
      </c>
      <c r="AU891">
        <v>0</v>
      </c>
      <c r="AW891">
        <v>0</v>
      </c>
      <c r="AX891">
        <v>0</v>
      </c>
      <c r="AY891">
        <v>490</v>
      </c>
      <c r="BC891" t="str">
        <f t="shared" si="158"/>
        <v>9791137602915</v>
      </c>
      <c r="BE891" t="str">
        <f t="shared" si="159"/>
        <v>판타지 웹소설 &gt; 퓨전 판타지</v>
      </c>
    </row>
    <row r="892" spans="1:57" x14ac:dyDescent="0.3">
      <c r="A892">
        <v>2313020594</v>
      </c>
      <c r="B892">
        <v>2313020671</v>
      </c>
      <c r="C892" t="str">
        <f>T("아카데미 속 궁술천재 78화")</f>
        <v>아카데미 속 궁술천재 78화</v>
      </c>
      <c r="D892" t="str">
        <f>T("78")</f>
        <v>78</v>
      </c>
      <c r="E892" t="str">
        <f t="shared" si="156"/>
        <v>깡펀치</v>
      </c>
      <c r="H892" t="str">
        <f t="shared" si="152"/>
        <v>스토리위즈</v>
      </c>
      <c r="I892" t="str">
        <f t="shared" si="157"/>
        <v>아카데미 속 궁술천재</v>
      </c>
      <c r="J892">
        <v>100</v>
      </c>
      <c r="K892">
        <v>700</v>
      </c>
      <c r="L892">
        <v>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700</v>
      </c>
      <c r="AH892">
        <v>7</v>
      </c>
      <c r="AI892">
        <v>0</v>
      </c>
      <c r="AJ892">
        <v>0</v>
      </c>
      <c r="AK892">
        <v>700</v>
      </c>
      <c r="AL892">
        <v>0</v>
      </c>
      <c r="AM892">
        <v>0</v>
      </c>
      <c r="AN892">
        <v>0</v>
      </c>
      <c r="AO892">
        <v>0</v>
      </c>
      <c r="AP892"/>
      <c r="AQ892">
        <v>0</v>
      </c>
      <c r="AR892">
        <v>0</v>
      </c>
      <c r="AT892">
        <v>0</v>
      </c>
      <c r="AU892">
        <v>0</v>
      </c>
      <c r="AW892">
        <v>0</v>
      </c>
      <c r="AX892">
        <v>0</v>
      </c>
      <c r="AY892">
        <v>490</v>
      </c>
      <c r="BC892" t="str">
        <f t="shared" si="158"/>
        <v>9791137602915</v>
      </c>
      <c r="BE892" t="str">
        <f t="shared" si="159"/>
        <v>판타지 웹소설 &gt; 퓨전 판타지</v>
      </c>
    </row>
    <row r="893" spans="1:57" x14ac:dyDescent="0.3">
      <c r="A893">
        <v>2313020594</v>
      </c>
      <c r="B893">
        <v>2313020672</v>
      </c>
      <c r="C893" t="str">
        <f>T("아카데미 속 궁술천재 79화")</f>
        <v>아카데미 속 궁술천재 79화</v>
      </c>
      <c r="D893" t="str">
        <f>T("79")</f>
        <v>79</v>
      </c>
      <c r="E893" t="str">
        <f t="shared" si="156"/>
        <v>깡펀치</v>
      </c>
      <c r="H893" t="str">
        <f t="shared" si="152"/>
        <v>스토리위즈</v>
      </c>
      <c r="I893" t="str">
        <f t="shared" si="157"/>
        <v>아카데미 속 궁술천재</v>
      </c>
      <c r="J893">
        <v>100</v>
      </c>
      <c r="K893">
        <v>700</v>
      </c>
      <c r="L893">
        <v>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700</v>
      </c>
      <c r="AH893">
        <v>7</v>
      </c>
      <c r="AI893">
        <v>0</v>
      </c>
      <c r="AJ893">
        <v>0</v>
      </c>
      <c r="AK893">
        <v>700</v>
      </c>
      <c r="AL893">
        <v>0</v>
      </c>
      <c r="AM893">
        <v>0</v>
      </c>
      <c r="AN893">
        <v>0</v>
      </c>
      <c r="AO893">
        <v>0</v>
      </c>
      <c r="AP893"/>
      <c r="AQ893">
        <v>0</v>
      </c>
      <c r="AR893">
        <v>0</v>
      </c>
      <c r="AT893">
        <v>0</v>
      </c>
      <c r="AU893">
        <v>0</v>
      </c>
      <c r="AW893">
        <v>0</v>
      </c>
      <c r="AX893">
        <v>0</v>
      </c>
      <c r="AY893">
        <v>490</v>
      </c>
      <c r="BC893" t="str">
        <f t="shared" si="158"/>
        <v>9791137602915</v>
      </c>
      <c r="BE893" t="str">
        <f t="shared" si="159"/>
        <v>판타지 웹소설 &gt; 퓨전 판타지</v>
      </c>
    </row>
    <row r="894" spans="1:57" x14ac:dyDescent="0.3">
      <c r="A894">
        <v>2313020594</v>
      </c>
      <c r="B894">
        <v>2313020673</v>
      </c>
      <c r="C894" t="str">
        <f>T("아카데미 속 궁술천재 80화")</f>
        <v>아카데미 속 궁술천재 80화</v>
      </c>
      <c r="D894" t="str">
        <f>T("80")</f>
        <v>80</v>
      </c>
      <c r="E894" t="str">
        <f t="shared" si="156"/>
        <v>깡펀치</v>
      </c>
      <c r="H894" t="str">
        <f t="shared" si="152"/>
        <v>스토리위즈</v>
      </c>
      <c r="I894" t="str">
        <f t="shared" si="157"/>
        <v>아카데미 속 궁술천재</v>
      </c>
      <c r="J894">
        <v>100</v>
      </c>
      <c r="K894">
        <v>700</v>
      </c>
      <c r="L894">
        <v>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700</v>
      </c>
      <c r="AH894">
        <v>7</v>
      </c>
      <c r="AI894">
        <v>0</v>
      </c>
      <c r="AJ894">
        <v>0</v>
      </c>
      <c r="AK894">
        <v>700</v>
      </c>
      <c r="AL894">
        <v>0</v>
      </c>
      <c r="AM894">
        <v>0</v>
      </c>
      <c r="AN894">
        <v>0</v>
      </c>
      <c r="AO894">
        <v>0</v>
      </c>
      <c r="AP894"/>
      <c r="AQ894">
        <v>0</v>
      </c>
      <c r="AR894">
        <v>0</v>
      </c>
      <c r="AT894">
        <v>0</v>
      </c>
      <c r="AU894">
        <v>0</v>
      </c>
      <c r="AW894">
        <v>0</v>
      </c>
      <c r="AX894">
        <v>0</v>
      </c>
      <c r="AY894">
        <v>490</v>
      </c>
      <c r="BC894" t="str">
        <f t="shared" si="158"/>
        <v>9791137602915</v>
      </c>
      <c r="BE894" t="str">
        <f t="shared" si="159"/>
        <v>판타지 웹소설 &gt; 퓨전 판타지</v>
      </c>
    </row>
    <row r="895" spans="1:57" x14ac:dyDescent="0.3">
      <c r="A895">
        <v>2313011400</v>
      </c>
      <c r="B895">
        <v>2313011424</v>
      </c>
      <c r="C895" t="str">
        <f>T("최종 보스 2권 3화")</f>
        <v>최종 보스 2권 3화</v>
      </c>
      <c r="D895" t="str">
        <f>T("25")</f>
        <v>25</v>
      </c>
      <c r="E895" t="str">
        <f t="shared" ref="E895:E958" si="160">T("무장")</f>
        <v>무장</v>
      </c>
      <c r="H895" t="str">
        <f t="shared" si="152"/>
        <v>스토리위즈</v>
      </c>
      <c r="I895" t="str">
        <f t="shared" ref="I895:I958" si="161">T("최종 보스 : 빛을 향해 달리는 그림자")</f>
        <v>최종 보스 : 빛을 향해 달리는 그림자</v>
      </c>
      <c r="J895">
        <v>100</v>
      </c>
      <c r="K895">
        <v>600</v>
      </c>
      <c r="L895">
        <v>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600</v>
      </c>
      <c r="AH895">
        <v>6</v>
      </c>
      <c r="AI895">
        <v>0</v>
      </c>
      <c r="AJ895">
        <v>0</v>
      </c>
      <c r="AK895">
        <v>400</v>
      </c>
      <c r="AL895">
        <v>0</v>
      </c>
      <c r="AM895">
        <v>240</v>
      </c>
      <c r="AN895">
        <v>-48</v>
      </c>
      <c r="AO895">
        <v>0</v>
      </c>
      <c r="AP895">
        <v>120</v>
      </c>
      <c r="AQ895">
        <v>-36</v>
      </c>
      <c r="AR895">
        <v>0</v>
      </c>
      <c r="AS895">
        <v>120</v>
      </c>
      <c r="AT895">
        <v>-12</v>
      </c>
      <c r="AU895">
        <v>0</v>
      </c>
      <c r="AW895">
        <v>0</v>
      </c>
      <c r="AX895">
        <v>0</v>
      </c>
      <c r="AY895">
        <v>414.4</v>
      </c>
      <c r="BC895" t="str">
        <f t="shared" ref="BC895:BC958" si="162">T("9791166067563")</f>
        <v>9791166067563</v>
      </c>
      <c r="BE895" t="str">
        <f t="shared" ref="BE895:BE958" si="163">T("판타지 웹소설 &gt; 현대 판타지")</f>
        <v>판타지 웹소설 &gt; 현대 판타지</v>
      </c>
    </row>
    <row r="896" spans="1:57" x14ac:dyDescent="0.3">
      <c r="A896">
        <v>2313011400</v>
      </c>
      <c r="B896">
        <v>2313011425</v>
      </c>
      <c r="C896" t="str">
        <f>T("최종 보스 2권 4화")</f>
        <v>최종 보스 2권 4화</v>
      </c>
      <c r="D896" t="str">
        <f>T("26")</f>
        <v>26</v>
      </c>
      <c r="E896" t="str">
        <f t="shared" si="160"/>
        <v>무장</v>
      </c>
      <c r="H896" t="str">
        <f t="shared" si="152"/>
        <v>스토리위즈</v>
      </c>
      <c r="I896" t="str">
        <f t="shared" si="161"/>
        <v>최종 보스 : 빛을 향해 달리는 그림자</v>
      </c>
      <c r="J896">
        <v>100</v>
      </c>
      <c r="K896">
        <v>600</v>
      </c>
      <c r="L896">
        <v>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600</v>
      </c>
      <c r="AH896">
        <v>6</v>
      </c>
      <c r="AI896">
        <v>0</v>
      </c>
      <c r="AJ896">
        <v>0</v>
      </c>
      <c r="AK896">
        <v>400</v>
      </c>
      <c r="AL896">
        <v>0</v>
      </c>
      <c r="AM896">
        <v>240</v>
      </c>
      <c r="AN896">
        <v>-48</v>
      </c>
      <c r="AO896">
        <v>0</v>
      </c>
      <c r="AP896">
        <v>120</v>
      </c>
      <c r="AQ896">
        <v>-36</v>
      </c>
      <c r="AR896">
        <v>0</v>
      </c>
      <c r="AS896">
        <v>120</v>
      </c>
      <c r="AT896">
        <v>-12</v>
      </c>
      <c r="AU896">
        <v>0</v>
      </c>
      <c r="AW896">
        <v>0</v>
      </c>
      <c r="AX896">
        <v>0</v>
      </c>
      <c r="AY896">
        <v>414.4</v>
      </c>
      <c r="BC896" t="str">
        <f t="shared" si="162"/>
        <v>9791166067563</v>
      </c>
      <c r="BE896" t="str">
        <f t="shared" si="163"/>
        <v>판타지 웹소설 &gt; 현대 판타지</v>
      </c>
    </row>
    <row r="897" spans="1:57" x14ac:dyDescent="0.3">
      <c r="A897">
        <v>2313011400</v>
      </c>
      <c r="B897">
        <v>2313011426</v>
      </c>
      <c r="C897" t="str">
        <f>T("최종 보스 2권 5화")</f>
        <v>최종 보스 2권 5화</v>
      </c>
      <c r="D897" t="str">
        <f>T("27")</f>
        <v>27</v>
      </c>
      <c r="E897" t="str">
        <f t="shared" si="160"/>
        <v>무장</v>
      </c>
      <c r="H897" t="str">
        <f t="shared" si="152"/>
        <v>스토리위즈</v>
      </c>
      <c r="I897" t="str">
        <f t="shared" si="161"/>
        <v>최종 보스 : 빛을 향해 달리는 그림자</v>
      </c>
      <c r="J897">
        <v>100</v>
      </c>
      <c r="K897">
        <v>600</v>
      </c>
      <c r="L897">
        <v>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600</v>
      </c>
      <c r="AH897">
        <v>6</v>
      </c>
      <c r="AI897">
        <v>0</v>
      </c>
      <c r="AJ897">
        <v>0</v>
      </c>
      <c r="AK897">
        <v>400</v>
      </c>
      <c r="AL897">
        <v>0</v>
      </c>
      <c r="AM897">
        <v>240</v>
      </c>
      <c r="AN897">
        <v>-48</v>
      </c>
      <c r="AO897">
        <v>0</v>
      </c>
      <c r="AP897">
        <v>120</v>
      </c>
      <c r="AQ897">
        <v>-36</v>
      </c>
      <c r="AR897">
        <v>0</v>
      </c>
      <c r="AS897">
        <v>120</v>
      </c>
      <c r="AT897">
        <v>-12</v>
      </c>
      <c r="AU897">
        <v>0</v>
      </c>
      <c r="AW897">
        <v>0</v>
      </c>
      <c r="AX897">
        <v>0</v>
      </c>
      <c r="AY897">
        <v>414.4</v>
      </c>
      <c r="BC897" t="str">
        <f t="shared" si="162"/>
        <v>9791166067563</v>
      </c>
      <c r="BE897" t="str">
        <f t="shared" si="163"/>
        <v>판타지 웹소설 &gt; 현대 판타지</v>
      </c>
    </row>
    <row r="898" spans="1:57" x14ac:dyDescent="0.3">
      <c r="A898">
        <v>2313011400</v>
      </c>
      <c r="B898">
        <v>2313011427</v>
      </c>
      <c r="C898" t="str">
        <f>T("최종 보스 2권 6화")</f>
        <v>최종 보스 2권 6화</v>
      </c>
      <c r="D898" t="str">
        <f>T("28")</f>
        <v>28</v>
      </c>
      <c r="E898" t="str">
        <f t="shared" si="160"/>
        <v>무장</v>
      </c>
      <c r="H898" t="str">
        <f t="shared" si="152"/>
        <v>스토리위즈</v>
      </c>
      <c r="I898" t="str">
        <f t="shared" si="161"/>
        <v>최종 보스 : 빛을 향해 달리는 그림자</v>
      </c>
      <c r="J898">
        <v>100</v>
      </c>
      <c r="K898">
        <v>600</v>
      </c>
      <c r="L898">
        <v>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600</v>
      </c>
      <c r="AH898">
        <v>6</v>
      </c>
      <c r="AI898">
        <v>0</v>
      </c>
      <c r="AJ898">
        <v>0</v>
      </c>
      <c r="AK898">
        <v>400</v>
      </c>
      <c r="AL898">
        <v>0</v>
      </c>
      <c r="AM898">
        <v>240</v>
      </c>
      <c r="AN898">
        <v>-48</v>
      </c>
      <c r="AO898">
        <v>0</v>
      </c>
      <c r="AP898">
        <v>120</v>
      </c>
      <c r="AQ898">
        <v>-36</v>
      </c>
      <c r="AR898">
        <v>0</v>
      </c>
      <c r="AS898">
        <v>120</v>
      </c>
      <c r="AT898">
        <v>-12</v>
      </c>
      <c r="AU898">
        <v>0</v>
      </c>
      <c r="AW898">
        <v>0</v>
      </c>
      <c r="AX898">
        <v>0</v>
      </c>
      <c r="AY898">
        <v>414.4</v>
      </c>
      <c r="BC898" t="str">
        <f t="shared" si="162"/>
        <v>9791166067563</v>
      </c>
      <c r="BE898" t="str">
        <f t="shared" si="163"/>
        <v>판타지 웹소설 &gt; 현대 판타지</v>
      </c>
    </row>
    <row r="899" spans="1:57" x14ac:dyDescent="0.3">
      <c r="A899">
        <v>2313011400</v>
      </c>
      <c r="B899">
        <v>2313011428</v>
      </c>
      <c r="C899" t="str">
        <f>T("최종 보스 2권 7화")</f>
        <v>최종 보스 2권 7화</v>
      </c>
      <c r="D899" t="str">
        <f>T("29")</f>
        <v>29</v>
      </c>
      <c r="E899" t="str">
        <f t="shared" si="160"/>
        <v>무장</v>
      </c>
      <c r="H899" t="str">
        <f t="shared" si="152"/>
        <v>스토리위즈</v>
      </c>
      <c r="I899" t="str">
        <f t="shared" si="161"/>
        <v>최종 보스 : 빛을 향해 달리는 그림자</v>
      </c>
      <c r="J899">
        <v>100</v>
      </c>
      <c r="K899">
        <v>600</v>
      </c>
      <c r="L899">
        <v>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600</v>
      </c>
      <c r="AH899">
        <v>6</v>
      </c>
      <c r="AI899">
        <v>0</v>
      </c>
      <c r="AJ899">
        <v>0</v>
      </c>
      <c r="AK899">
        <v>400</v>
      </c>
      <c r="AL899">
        <v>0</v>
      </c>
      <c r="AM899">
        <v>240</v>
      </c>
      <c r="AN899">
        <v>-48</v>
      </c>
      <c r="AO899">
        <v>0</v>
      </c>
      <c r="AP899">
        <v>120</v>
      </c>
      <c r="AQ899">
        <v>-36</v>
      </c>
      <c r="AR899">
        <v>0</v>
      </c>
      <c r="AS899">
        <v>120</v>
      </c>
      <c r="AT899">
        <v>-12</v>
      </c>
      <c r="AU899">
        <v>0</v>
      </c>
      <c r="AW899">
        <v>0</v>
      </c>
      <c r="AX899">
        <v>0</v>
      </c>
      <c r="AY899">
        <v>414.4</v>
      </c>
      <c r="BC899" t="str">
        <f t="shared" si="162"/>
        <v>9791166067563</v>
      </c>
      <c r="BE899" t="str">
        <f t="shared" si="163"/>
        <v>판타지 웹소설 &gt; 현대 판타지</v>
      </c>
    </row>
    <row r="900" spans="1:57" x14ac:dyDescent="0.3">
      <c r="A900">
        <v>2313011400</v>
      </c>
      <c r="B900">
        <v>2313011429</v>
      </c>
      <c r="C900" t="str">
        <f>T("최종 보스 2권 8화")</f>
        <v>최종 보스 2권 8화</v>
      </c>
      <c r="D900" t="str">
        <f>T("30")</f>
        <v>30</v>
      </c>
      <c r="E900" t="str">
        <f t="shared" si="160"/>
        <v>무장</v>
      </c>
      <c r="H900" t="str">
        <f t="shared" si="152"/>
        <v>스토리위즈</v>
      </c>
      <c r="I900" t="str">
        <f t="shared" si="161"/>
        <v>최종 보스 : 빛을 향해 달리는 그림자</v>
      </c>
      <c r="J900">
        <v>100</v>
      </c>
      <c r="K900">
        <v>600</v>
      </c>
      <c r="L900">
        <v>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600</v>
      </c>
      <c r="AH900">
        <v>6</v>
      </c>
      <c r="AI900">
        <v>0</v>
      </c>
      <c r="AJ900">
        <v>0</v>
      </c>
      <c r="AK900">
        <v>400</v>
      </c>
      <c r="AL900">
        <v>0</v>
      </c>
      <c r="AM900">
        <v>240</v>
      </c>
      <c r="AN900">
        <v>-48</v>
      </c>
      <c r="AO900">
        <v>0</v>
      </c>
      <c r="AP900">
        <v>120</v>
      </c>
      <c r="AQ900">
        <v>-36</v>
      </c>
      <c r="AR900">
        <v>0</v>
      </c>
      <c r="AS900">
        <v>120</v>
      </c>
      <c r="AT900">
        <v>-12</v>
      </c>
      <c r="AU900">
        <v>0</v>
      </c>
      <c r="AW900">
        <v>0</v>
      </c>
      <c r="AX900">
        <v>0</v>
      </c>
      <c r="AY900">
        <v>414.4</v>
      </c>
      <c r="BC900" t="str">
        <f t="shared" si="162"/>
        <v>9791166067563</v>
      </c>
      <c r="BE900" t="str">
        <f t="shared" si="163"/>
        <v>판타지 웹소설 &gt; 현대 판타지</v>
      </c>
    </row>
    <row r="901" spans="1:57" x14ac:dyDescent="0.3">
      <c r="A901">
        <v>2313011400</v>
      </c>
      <c r="B901">
        <v>2313011430</v>
      </c>
      <c r="C901" t="str">
        <f>T("최종 보스 2권 9화")</f>
        <v>최종 보스 2권 9화</v>
      </c>
      <c r="D901" t="str">
        <f>T("31")</f>
        <v>31</v>
      </c>
      <c r="E901" t="str">
        <f t="shared" si="160"/>
        <v>무장</v>
      </c>
      <c r="H901" t="str">
        <f t="shared" si="152"/>
        <v>스토리위즈</v>
      </c>
      <c r="I901" t="str">
        <f t="shared" si="161"/>
        <v>최종 보스 : 빛을 향해 달리는 그림자</v>
      </c>
      <c r="J901">
        <v>100</v>
      </c>
      <c r="K901">
        <v>600</v>
      </c>
      <c r="L901">
        <v>6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600</v>
      </c>
      <c r="AH901">
        <v>6</v>
      </c>
      <c r="AI901">
        <v>0</v>
      </c>
      <c r="AJ901">
        <v>0</v>
      </c>
      <c r="AK901">
        <v>400</v>
      </c>
      <c r="AL901">
        <v>0</v>
      </c>
      <c r="AM901">
        <v>240</v>
      </c>
      <c r="AN901">
        <v>-48</v>
      </c>
      <c r="AO901">
        <v>0</v>
      </c>
      <c r="AP901">
        <v>120</v>
      </c>
      <c r="AQ901">
        <v>-36</v>
      </c>
      <c r="AR901">
        <v>0</v>
      </c>
      <c r="AS901">
        <v>120</v>
      </c>
      <c r="AT901">
        <v>-12</v>
      </c>
      <c r="AU901">
        <v>0</v>
      </c>
      <c r="AW901">
        <v>0</v>
      </c>
      <c r="AX901">
        <v>0</v>
      </c>
      <c r="AY901">
        <v>414.4</v>
      </c>
      <c r="BC901" t="str">
        <f t="shared" si="162"/>
        <v>9791166067563</v>
      </c>
      <c r="BE901" t="str">
        <f t="shared" si="163"/>
        <v>판타지 웹소설 &gt; 현대 판타지</v>
      </c>
    </row>
    <row r="902" spans="1:57" x14ac:dyDescent="0.3">
      <c r="A902">
        <v>2313011400</v>
      </c>
      <c r="B902">
        <v>2313011431</v>
      </c>
      <c r="C902" t="str">
        <f>T("최종 보스 2권 10화")</f>
        <v>최종 보스 2권 10화</v>
      </c>
      <c r="D902" t="str">
        <f>T("32")</f>
        <v>32</v>
      </c>
      <c r="E902" t="str">
        <f t="shared" si="160"/>
        <v>무장</v>
      </c>
      <c r="H902" t="str">
        <f t="shared" si="152"/>
        <v>스토리위즈</v>
      </c>
      <c r="I902" t="str">
        <f t="shared" si="161"/>
        <v>최종 보스 : 빛을 향해 달리는 그림자</v>
      </c>
      <c r="J902">
        <v>100</v>
      </c>
      <c r="K902">
        <v>600</v>
      </c>
      <c r="L902">
        <v>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600</v>
      </c>
      <c r="AH902">
        <v>6</v>
      </c>
      <c r="AI902">
        <v>0</v>
      </c>
      <c r="AJ902">
        <v>0</v>
      </c>
      <c r="AK902">
        <v>400</v>
      </c>
      <c r="AL902">
        <v>0</v>
      </c>
      <c r="AM902">
        <v>240</v>
      </c>
      <c r="AN902">
        <v>-48</v>
      </c>
      <c r="AO902">
        <v>0</v>
      </c>
      <c r="AP902">
        <v>120</v>
      </c>
      <c r="AQ902">
        <v>-36</v>
      </c>
      <c r="AR902">
        <v>0</v>
      </c>
      <c r="AS902">
        <v>120</v>
      </c>
      <c r="AT902">
        <v>-12</v>
      </c>
      <c r="AU902">
        <v>0</v>
      </c>
      <c r="AW902">
        <v>0</v>
      </c>
      <c r="AX902">
        <v>0</v>
      </c>
      <c r="AY902">
        <v>414.4</v>
      </c>
      <c r="BC902" t="str">
        <f t="shared" si="162"/>
        <v>9791166067563</v>
      </c>
      <c r="BE902" t="str">
        <f t="shared" si="163"/>
        <v>판타지 웹소설 &gt; 현대 판타지</v>
      </c>
    </row>
    <row r="903" spans="1:57" x14ac:dyDescent="0.3">
      <c r="A903">
        <v>2313011400</v>
      </c>
      <c r="B903">
        <v>2313011432</v>
      </c>
      <c r="C903" t="str">
        <f>T("최종 보스 2권 11화")</f>
        <v>최종 보스 2권 11화</v>
      </c>
      <c r="D903" t="str">
        <f>T("33")</f>
        <v>33</v>
      </c>
      <c r="E903" t="str">
        <f t="shared" si="160"/>
        <v>무장</v>
      </c>
      <c r="H903" t="str">
        <f t="shared" si="152"/>
        <v>스토리위즈</v>
      </c>
      <c r="I903" t="str">
        <f t="shared" si="161"/>
        <v>최종 보스 : 빛을 향해 달리는 그림자</v>
      </c>
      <c r="J903">
        <v>100</v>
      </c>
      <c r="K903">
        <v>600</v>
      </c>
      <c r="L903">
        <v>6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600</v>
      </c>
      <c r="AH903">
        <v>6</v>
      </c>
      <c r="AI903">
        <v>0</v>
      </c>
      <c r="AJ903">
        <v>0</v>
      </c>
      <c r="AK903">
        <v>400</v>
      </c>
      <c r="AL903">
        <v>0</v>
      </c>
      <c r="AM903">
        <v>240</v>
      </c>
      <c r="AN903">
        <v>-48</v>
      </c>
      <c r="AO903">
        <v>0</v>
      </c>
      <c r="AP903">
        <v>120</v>
      </c>
      <c r="AQ903">
        <v>-36</v>
      </c>
      <c r="AR903">
        <v>0</v>
      </c>
      <c r="AS903">
        <v>120</v>
      </c>
      <c r="AT903">
        <v>-12</v>
      </c>
      <c r="AU903">
        <v>0</v>
      </c>
      <c r="AW903">
        <v>0</v>
      </c>
      <c r="AX903">
        <v>0</v>
      </c>
      <c r="AY903">
        <v>414.4</v>
      </c>
      <c r="BC903" t="str">
        <f t="shared" si="162"/>
        <v>9791166067563</v>
      </c>
      <c r="BE903" t="str">
        <f t="shared" si="163"/>
        <v>판타지 웹소설 &gt; 현대 판타지</v>
      </c>
    </row>
    <row r="904" spans="1:57" x14ac:dyDescent="0.3">
      <c r="A904">
        <v>2313011400</v>
      </c>
      <c r="B904">
        <v>2313011433</v>
      </c>
      <c r="C904" t="str">
        <f>T("최종 보스 2권 12화")</f>
        <v>최종 보스 2권 12화</v>
      </c>
      <c r="D904" t="str">
        <f>T("34")</f>
        <v>34</v>
      </c>
      <c r="E904" t="str">
        <f t="shared" si="160"/>
        <v>무장</v>
      </c>
      <c r="H904" t="str">
        <f t="shared" si="152"/>
        <v>스토리위즈</v>
      </c>
      <c r="I904" t="str">
        <f t="shared" si="161"/>
        <v>최종 보스 : 빛을 향해 달리는 그림자</v>
      </c>
      <c r="J904">
        <v>100</v>
      </c>
      <c r="K904">
        <v>600</v>
      </c>
      <c r="L904">
        <v>6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600</v>
      </c>
      <c r="AH904">
        <v>6</v>
      </c>
      <c r="AI904">
        <v>0</v>
      </c>
      <c r="AJ904">
        <v>0</v>
      </c>
      <c r="AK904">
        <v>400</v>
      </c>
      <c r="AL904">
        <v>0</v>
      </c>
      <c r="AM904">
        <v>240</v>
      </c>
      <c r="AN904">
        <v>-48</v>
      </c>
      <c r="AO904">
        <v>0</v>
      </c>
      <c r="AP904">
        <v>120</v>
      </c>
      <c r="AQ904">
        <v>-36</v>
      </c>
      <c r="AR904">
        <v>0</v>
      </c>
      <c r="AS904">
        <v>120</v>
      </c>
      <c r="AT904">
        <v>-12</v>
      </c>
      <c r="AU904">
        <v>0</v>
      </c>
      <c r="AW904">
        <v>0</v>
      </c>
      <c r="AX904">
        <v>0</v>
      </c>
      <c r="AY904">
        <v>414.4</v>
      </c>
      <c r="BC904" t="str">
        <f t="shared" si="162"/>
        <v>9791166067563</v>
      </c>
      <c r="BE904" t="str">
        <f t="shared" si="163"/>
        <v>판타지 웹소설 &gt; 현대 판타지</v>
      </c>
    </row>
    <row r="905" spans="1:57" x14ac:dyDescent="0.3">
      <c r="A905">
        <v>2313011400</v>
      </c>
      <c r="B905">
        <v>2313011434</v>
      </c>
      <c r="C905" t="str">
        <f>T("최종 보스 2권 13화")</f>
        <v>최종 보스 2권 13화</v>
      </c>
      <c r="D905" t="str">
        <f>T("35")</f>
        <v>35</v>
      </c>
      <c r="E905" t="str">
        <f t="shared" si="160"/>
        <v>무장</v>
      </c>
      <c r="H905" t="str">
        <f t="shared" si="152"/>
        <v>스토리위즈</v>
      </c>
      <c r="I905" t="str">
        <f t="shared" si="161"/>
        <v>최종 보스 : 빛을 향해 달리는 그림자</v>
      </c>
      <c r="J905">
        <v>100</v>
      </c>
      <c r="K905">
        <v>600</v>
      </c>
      <c r="L905">
        <v>6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600</v>
      </c>
      <c r="AH905">
        <v>6</v>
      </c>
      <c r="AI905">
        <v>0</v>
      </c>
      <c r="AJ905">
        <v>0</v>
      </c>
      <c r="AK905">
        <v>400</v>
      </c>
      <c r="AL905">
        <v>0</v>
      </c>
      <c r="AM905">
        <v>240</v>
      </c>
      <c r="AN905">
        <v>-48</v>
      </c>
      <c r="AO905">
        <v>0</v>
      </c>
      <c r="AP905">
        <v>120</v>
      </c>
      <c r="AQ905">
        <v>-36</v>
      </c>
      <c r="AR905">
        <v>0</v>
      </c>
      <c r="AS905">
        <v>120</v>
      </c>
      <c r="AT905">
        <v>-12</v>
      </c>
      <c r="AU905">
        <v>0</v>
      </c>
      <c r="AW905">
        <v>0</v>
      </c>
      <c r="AX905">
        <v>0</v>
      </c>
      <c r="AY905">
        <v>414.4</v>
      </c>
      <c r="BC905" t="str">
        <f t="shared" si="162"/>
        <v>9791166067563</v>
      </c>
      <c r="BE905" t="str">
        <f t="shared" si="163"/>
        <v>판타지 웹소설 &gt; 현대 판타지</v>
      </c>
    </row>
    <row r="906" spans="1:57" x14ac:dyDescent="0.3">
      <c r="A906">
        <v>2313011400</v>
      </c>
      <c r="B906">
        <v>2313011435</v>
      </c>
      <c r="C906" t="str">
        <f>T("최종 보스 2권 14화")</f>
        <v>최종 보스 2권 14화</v>
      </c>
      <c r="D906" t="str">
        <f>T("36")</f>
        <v>36</v>
      </c>
      <c r="E906" t="str">
        <f t="shared" si="160"/>
        <v>무장</v>
      </c>
      <c r="H906" t="str">
        <f t="shared" si="152"/>
        <v>스토리위즈</v>
      </c>
      <c r="I906" t="str">
        <f t="shared" si="161"/>
        <v>최종 보스 : 빛을 향해 달리는 그림자</v>
      </c>
      <c r="J906">
        <v>100</v>
      </c>
      <c r="K906">
        <v>600</v>
      </c>
      <c r="L906">
        <v>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600</v>
      </c>
      <c r="AH906">
        <v>6</v>
      </c>
      <c r="AI906">
        <v>0</v>
      </c>
      <c r="AJ906">
        <v>0</v>
      </c>
      <c r="AK906">
        <v>400</v>
      </c>
      <c r="AL906">
        <v>0</v>
      </c>
      <c r="AM906">
        <v>240</v>
      </c>
      <c r="AN906">
        <v>-48</v>
      </c>
      <c r="AO906">
        <v>0</v>
      </c>
      <c r="AP906">
        <v>120</v>
      </c>
      <c r="AQ906">
        <v>-36</v>
      </c>
      <c r="AR906">
        <v>0</v>
      </c>
      <c r="AS906">
        <v>120</v>
      </c>
      <c r="AT906">
        <v>-12</v>
      </c>
      <c r="AU906">
        <v>0</v>
      </c>
      <c r="AW906">
        <v>0</v>
      </c>
      <c r="AX906">
        <v>0</v>
      </c>
      <c r="AY906">
        <v>414.4</v>
      </c>
      <c r="BC906" t="str">
        <f t="shared" si="162"/>
        <v>9791166067563</v>
      </c>
      <c r="BE906" t="str">
        <f t="shared" si="163"/>
        <v>판타지 웹소설 &gt; 현대 판타지</v>
      </c>
    </row>
    <row r="907" spans="1:57" x14ac:dyDescent="0.3">
      <c r="A907">
        <v>2313011400</v>
      </c>
      <c r="B907">
        <v>2313011436</v>
      </c>
      <c r="C907" t="str">
        <f>T("최종 보스 2권 15화")</f>
        <v>최종 보스 2권 15화</v>
      </c>
      <c r="D907" t="str">
        <f>T("37")</f>
        <v>37</v>
      </c>
      <c r="E907" t="str">
        <f t="shared" si="160"/>
        <v>무장</v>
      </c>
      <c r="H907" t="str">
        <f t="shared" si="152"/>
        <v>스토리위즈</v>
      </c>
      <c r="I907" t="str">
        <f t="shared" si="161"/>
        <v>최종 보스 : 빛을 향해 달리는 그림자</v>
      </c>
      <c r="J907">
        <v>100</v>
      </c>
      <c r="K907">
        <v>600</v>
      </c>
      <c r="L907">
        <v>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600</v>
      </c>
      <c r="AH907">
        <v>6</v>
      </c>
      <c r="AI907">
        <v>0</v>
      </c>
      <c r="AJ907">
        <v>0</v>
      </c>
      <c r="AK907">
        <v>400</v>
      </c>
      <c r="AL907">
        <v>0</v>
      </c>
      <c r="AM907">
        <v>240</v>
      </c>
      <c r="AN907">
        <v>-48</v>
      </c>
      <c r="AO907">
        <v>0</v>
      </c>
      <c r="AP907">
        <v>120</v>
      </c>
      <c r="AQ907">
        <v>-36</v>
      </c>
      <c r="AR907">
        <v>0</v>
      </c>
      <c r="AS907">
        <v>120</v>
      </c>
      <c r="AT907">
        <v>-12</v>
      </c>
      <c r="AU907">
        <v>0</v>
      </c>
      <c r="AW907">
        <v>0</v>
      </c>
      <c r="AX907">
        <v>0</v>
      </c>
      <c r="AY907">
        <v>414.4</v>
      </c>
      <c r="BC907" t="str">
        <f t="shared" si="162"/>
        <v>9791166067563</v>
      </c>
      <c r="BE907" t="str">
        <f t="shared" si="163"/>
        <v>판타지 웹소설 &gt; 현대 판타지</v>
      </c>
    </row>
    <row r="908" spans="1:57" x14ac:dyDescent="0.3">
      <c r="A908">
        <v>2313011400</v>
      </c>
      <c r="B908">
        <v>2313011437</v>
      </c>
      <c r="C908" t="str">
        <f>T("최종 보스 2권 16화")</f>
        <v>최종 보스 2권 16화</v>
      </c>
      <c r="D908" t="str">
        <f>T("38")</f>
        <v>38</v>
      </c>
      <c r="E908" t="str">
        <f t="shared" si="160"/>
        <v>무장</v>
      </c>
      <c r="H908" t="str">
        <f t="shared" si="152"/>
        <v>스토리위즈</v>
      </c>
      <c r="I908" t="str">
        <f t="shared" si="161"/>
        <v>최종 보스 : 빛을 향해 달리는 그림자</v>
      </c>
      <c r="J908">
        <v>100</v>
      </c>
      <c r="K908">
        <v>600</v>
      </c>
      <c r="L908">
        <v>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600</v>
      </c>
      <c r="AH908">
        <v>6</v>
      </c>
      <c r="AI908">
        <v>0</v>
      </c>
      <c r="AJ908">
        <v>0</v>
      </c>
      <c r="AK908">
        <v>400</v>
      </c>
      <c r="AL908">
        <v>0</v>
      </c>
      <c r="AM908">
        <v>240</v>
      </c>
      <c r="AN908">
        <v>-48</v>
      </c>
      <c r="AO908">
        <v>0</v>
      </c>
      <c r="AP908">
        <v>120</v>
      </c>
      <c r="AQ908">
        <v>-36</v>
      </c>
      <c r="AR908">
        <v>0</v>
      </c>
      <c r="AS908">
        <v>120</v>
      </c>
      <c r="AT908">
        <v>-12</v>
      </c>
      <c r="AU908">
        <v>0</v>
      </c>
      <c r="AW908">
        <v>0</v>
      </c>
      <c r="AX908">
        <v>0</v>
      </c>
      <c r="AY908">
        <v>414.4</v>
      </c>
      <c r="BC908" t="str">
        <f t="shared" si="162"/>
        <v>9791166067563</v>
      </c>
      <c r="BE908" t="str">
        <f t="shared" si="163"/>
        <v>판타지 웹소설 &gt; 현대 판타지</v>
      </c>
    </row>
    <row r="909" spans="1:57" x14ac:dyDescent="0.3">
      <c r="A909">
        <v>2313011400</v>
      </c>
      <c r="B909">
        <v>2313011438</v>
      </c>
      <c r="C909" t="str">
        <f>T("최종 보스 2권 17화")</f>
        <v>최종 보스 2권 17화</v>
      </c>
      <c r="D909" t="str">
        <f>T("39")</f>
        <v>39</v>
      </c>
      <c r="E909" t="str">
        <f t="shared" si="160"/>
        <v>무장</v>
      </c>
      <c r="H909" t="str">
        <f t="shared" si="152"/>
        <v>스토리위즈</v>
      </c>
      <c r="I909" t="str">
        <f t="shared" si="161"/>
        <v>최종 보스 : 빛을 향해 달리는 그림자</v>
      </c>
      <c r="J909">
        <v>100</v>
      </c>
      <c r="K909">
        <v>600</v>
      </c>
      <c r="L909">
        <v>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600</v>
      </c>
      <c r="AH909">
        <v>6</v>
      </c>
      <c r="AI909">
        <v>0</v>
      </c>
      <c r="AJ909">
        <v>0</v>
      </c>
      <c r="AK909">
        <v>400</v>
      </c>
      <c r="AL909">
        <v>0</v>
      </c>
      <c r="AM909">
        <v>240</v>
      </c>
      <c r="AN909">
        <v>-48</v>
      </c>
      <c r="AO909">
        <v>0</v>
      </c>
      <c r="AP909">
        <v>120</v>
      </c>
      <c r="AQ909">
        <v>-36</v>
      </c>
      <c r="AR909">
        <v>0</v>
      </c>
      <c r="AS909">
        <v>120</v>
      </c>
      <c r="AT909">
        <v>-12</v>
      </c>
      <c r="AU909">
        <v>0</v>
      </c>
      <c r="AW909">
        <v>0</v>
      </c>
      <c r="AX909">
        <v>0</v>
      </c>
      <c r="AY909">
        <v>414.4</v>
      </c>
      <c r="BC909" t="str">
        <f t="shared" si="162"/>
        <v>9791166067563</v>
      </c>
      <c r="BE909" t="str">
        <f t="shared" si="163"/>
        <v>판타지 웹소설 &gt; 현대 판타지</v>
      </c>
    </row>
    <row r="910" spans="1:57" x14ac:dyDescent="0.3">
      <c r="A910">
        <v>2313011400</v>
      </c>
      <c r="B910">
        <v>2313011439</v>
      </c>
      <c r="C910" t="str">
        <f>T("최종 보스 2권 18화")</f>
        <v>최종 보스 2권 18화</v>
      </c>
      <c r="D910" t="str">
        <f>T("40")</f>
        <v>40</v>
      </c>
      <c r="E910" t="str">
        <f t="shared" si="160"/>
        <v>무장</v>
      </c>
      <c r="H910" t="str">
        <f t="shared" si="152"/>
        <v>스토리위즈</v>
      </c>
      <c r="I910" t="str">
        <f t="shared" si="161"/>
        <v>최종 보스 : 빛을 향해 달리는 그림자</v>
      </c>
      <c r="J910">
        <v>100</v>
      </c>
      <c r="K910">
        <v>600</v>
      </c>
      <c r="L910">
        <v>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600</v>
      </c>
      <c r="AH910">
        <v>6</v>
      </c>
      <c r="AI910">
        <v>0</v>
      </c>
      <c r="AJ910">
        <v>0</v>
      </c>
      <c r="AK910">
        <v>400</v>
      </c>
      <c r="AL910">
        <v>0</v>
      </c>
      <c r="AM910">
        <v>240</v>
      </c>
      <c r="AN910">
        <v>-48</v>
      </c>
      <c r="AO910">
        <v>0</v>
      </c>
      <c r="AP910">
        <v>120</v>
      </c>
      <c r="AQ910">
        <v>-36</v>
      </c>
      <c r="AR910">
        <v>0</v>
      </c>
      <c r="AS910">
        <v>120</v>
      </c>
      <c r="AT910">
        <v>-12</v>
      </c>
      <c r="AU910">
        <v>0</v>
      </c>
      <c r="AW910">
        <v>0</v>
      </c>
      <c r="AX910">
        <v>0</v>
      </c>
      <c r="AY910">
        <v>414.4</v>
      </c>
      <c r="BC910" t="str">
        <f t="shared" si="162"/>
        <v>9791166067563</v>
      </c>
      <c r="BE910" t="str">
        <f t="shared" si="163"/>
        <v>판타지 웹소설 &gt; 현대 판타지</v>
      </c>
    </row>
    <row r="911" spans="1:57" x14ac:dyDescent="0.3">
      <c r="A911">
        <v>2313011400</v>
      </c>
      <c r="B911">
        <v>2313011440</v>
      </c>
      <c r="C911" t="str">
        <f>T("최종 보스 2권 19화")</f>
        <v>최종 보스 2권 19화</v>
      </c>
      <c r="D911" t="str">
        <f>T("41")</f>
        <v>41</v>
      </c>
      <c r="E911" t="str">
        <f t="shared" si="160"/>
        <v>무장</v>
      </c>
      <c r="H911" t="str">
        <f t="shared" si="152"/>
        <v>스토리위즈</v>
      </c>
      <c r="I911" t="str">
        <f t="shared" si="161"/>
        <v>최종 보스 : 빛을 향해 달리는 그림자</v>
      </c>
      <c r="J911">
        <v>100</v>
      </c>
      <c r="K911">
        <v>600</v>
      </c>
      <c r="L911">
        <v>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600</v>
      </c>
      <c r="AH911">
        <v>6</v>
      </c>
      <c r="AI911">
        <v>0</v>
      </c>
      <c r="AJ911">
        <v>0</v>
      </c>
      <c r="AK911">
        <v>400</v>
      </c>
      <c r="AL911">
        <v>0</v>
      </c>
      <c r="AM911">
        <v>240</v>
      </c>
      <c r="AN911">
        <v>-48</v>
      </c>
      <c r="AO911">
        <v>0</v>
      </c>
      <c r="AP911">
        <v>120</v>
      </c>
      <c r="AQ911">
        <v>-36</v>
      </c>
      <c r="AR911">
        <v>0</v>
      </c>
      <c r="AS911">
        <v>120</v>
      </c>
      <c r="AT911">
        <v>-12</v>
      </c>
      <c r="AU911">
        <v>0</v>
      </c>
      <c r="AW911">
        <v>0</v>
      </c>
      <c r="AX911">
        <v>0</v>
      </c>
      <c r="AY911">
        <v>414.4</v>
      </c>
      <c r="BC911" t="str">
        <f t="shared" si="162"/>
        <v>9791166067563</v>
      </c>
      <c r="BE911" t="str">
        <f t="shared" si="163"/>
        <v>판타지 웹소설 &gt; 현대 판타지</v>
      </c>
    </row>
    <row r="912" spans="1:57" x14ac:dyDescent="0.3">
      <c r="A912">
        <v>2313011400</v>
      </c>
      <c r="B912">
        <v>2313011441</v>
      </c>
      <c r="C912" t="str">
        <f>T("최종 보스 2권 20화")</f>
        <v>최종 보스 2권 20화</v>
      </c>
      <c r="D912" t="str">
        <f>T("42")</f>
        <v>42</v>
      </c>
      <c r="E912" t="str">
        <f t="shared" si="160"/>
        <v>무장</v>
      </c>
      <c r="H912" t="str">
        <f t="shared" si="152"/>
        <v>스토리위즈</v>
      </c>
      <c r="I912" t="str">
        <f t="shared" si="161"/>
        <v>최종 보스 : 빛을 향해 달리는 그림자</v>
      </c>
      <c r="J912">
        <v>100</v>
      </c>
      <c r="K912">
        <v>600</v>
      </c>
      <c r="L912">
        <v>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600</v>
      </c>
      <c r="AH912">
        <v>6</v>
      </c>
      <c r="AI912">
        <v>0</v>
      </c>
      <c r="AJ912">
        <v>0</v>
      </c>
      <c r="AK912">
        <v>400</v>
      </c>
      <c r="AL912">
        <v>0</v>
      </c>
      <c r="AM912">
        <v>240</v>
      </c>
      <c r="AN912">
        <v>-48</v>
      </c>
      <c r="AO912">
        <v>0</v>
      </c>
      <c r="AP912">
        <v>120</v>
      </c>
      <c r="AQ912">
        <v>-36</v>
      </c>
      <c r="AR912">
        <v>0</v>
      </c>
      <c r="AS912">
        <v>120</v>
      </c>
      <c r="AT912">
        <v>-12</v>
      </c>
      <c r="AU912">
        <v>0</v>
      </c>
      <c r="AW912">
        <v>0</v>
      </c>
      <c r="AX912">
        <v>0</v>
      </c>
      <c r="AY912">
        <v>414.4</v>
      </c>
      <c r="BC912" t="str">
        <f t="shared" si="162"/>
        <v>9791166067563</v>
      </c>
      <c r="BE912" t="str">
        <f t="shared" si="163"/>
        <v>판타지 웹소설 &gt; 현대 판타지</v>
      </c>
    </row>
    <row r="913" spans="1:57" x14ac:dyDescent="0.3">
      <c r="A913">
        <v>2313011400</v>
      </c>
      <c r="B913">
        <v>2313011442</v>
      </c>
      <c r="C913" t="str">
        <f>T("최종 보스 2권 21화")</f>
        <v>최종 보스 2권 21화</v>
      </c>
      <c r="D913" t="str">
        <f>T("43")</f>
        <v>43</v>
      </c>
      <c r="E913" t="str">
        <f t="shared" si="160"/>
        <v>무장</v>
      </c>
      <c r="H913" t="str">
        <f t="shared" si="152"/>
        <v>스토리위즈</v>
      </c>
      <c r="I913" t="str">
        <f t="shared" si="161"/>
        <v>최종 보스 : 빛을 향해 달리는 그림자</v>
      </c>
      <c r="J913">
        <v>100</v>
      </c>
      <c r="K913">
        <v>600</v>
      </c>
      <c r="L913">
        <v>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600</v>
      </c>
      <c r="AH913">
        <v>6</v>
      </c>
      <c r="AI913">
        <v>0</v>
      </c>
      <c r="AJ913">
        <v>0</v>
      </c>
      <c r="AK913">
        <v>400</v>
      </c>
      <c r="AL913">
        <v>0</v>
      </c>
      <c r="AM913">
        <v>240</v>
      </c>
      <c r="AN913">
        <v>-48</v>
      </c>
      <c r="AO913">
        <v>0</v>
      </c>
      <c r="AP913">
        <v>120</v>
      </c>
      <c r="AQ913">
        <v>-36</v>
      </c>
      <c r="AR913">
        <v>0</v>
      </c>
      <c r="AS913">
        <v>120</v>
      </c>
      <c r="AT913">
        <v>-12</v>
      </c>
      <c r="AU913">
        <v>0</v>
      </c>
      <c r="AW913">
        <v>0</v>
      </c>
      <c r="AX913">
        <v>0</v>
      </c>
      <c r="AY913">
        <v>414.4</v>
      </c>
      <c r="BC913" t="str">
        <f t="shared" si="162"/>
        <v>9791166067563</v>
      </c>
      <c r="BE913" t="str">
        <f t="shared" si="163"/>
        <v>판타지 웹소설 &gt; 현대 판타지</v>
      </c>
    </row>
    <row r="914" spans="1:57" x14ac:dyDescent="0.3">
      <c r="A914">
        <v>2313011400</v>
      </c>
      <c r="B914">
        <v>2313011443</v>
      </c>
      <c r="C914" t="str">
        <f>T("최종 보스 2권 22화")</f>
        <v>최종 보스 2권 22화</v>
      </c>
      <c r="D914" t="str">
        <f>T("44")</f>
        <v>44</v>
      </c>
      <c r="E914" t="str">
        <f t="shared" si="160"/>
        <v>무장</v>
      </c>
      <c r="H914" t="str">
        <f t="shared" si="152"/>
        <v>스토리위즈</v>
      </c>
      <c r="I914" t="str">
        <f t="shared" si="161"/>
        <v>최종 보스 : 빛을 향해 달리는 그림자</v>
      </c>
      <c r="J914">
        <v>100</v>
      </c>
      <c r="K914">
        <v>600</v>
      </c>
      <c r="L914">
        <v>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600</v>
      </c>
      <c r="AH914">
        <v>6</v>
      </c>
      <c r="AI914">
        <v>0</v>
      </c>
      <c r="AJ914">
        <v>0</v>
      </c>
      <c r="AK914">
        <v>400</v>
      </c>
      <c r="AL914">
        <v>0</v>
      </c>
      <c r="AM914">
        <v>240</v>
      </c>
      <c r="AN914">
        <v>-48</v>
      </c>
      <c r="AO914">
        <v>0</v>
      </c>
      <c r="AP914">
        <v>120</v>
      </c>
      <c r="AQ914">
        <v>-36</v>
      </c>
      <c r="AR914">
        <v>0</v>
      </c>
      <c r="AS914">
        <v>120</v>
      </c>
      <c r="AT914">
        <v>-12</v>
      </c>
      <c r="AU914">
        <v>0</v>
      </c>
      <c r="AW914">
        <v>0</v>
      </c>
      <c r="AX914">
        <v>0</v>
      </c>
      <c r="AY914">
        <v>414.4</v>
      </c>
      <c r="BC914" t="str">
        <f t="shared" si="162"/>
        <v>9791166067563</v>
      </c>
      <c r="BE914" t="str">
        <f t="shared" si="163"/>
        <v>판타지 웹소설 &gt; 현대 판타지</v>
      </c>
    </row>
    <row r="915" spans="1:57" x14ac:dyDescent="0.3">
      <c r="A915">
        <v>2313011400</v>
      </c>
      <c r="B915">
        <v>2313011444</v>
      </c>
      <c r="C915" t="str">
        <f>T("최종 보스 2권 23화")</f>
        <v>최종 보스 2권 23화</v>
      </c>
      <c r="D915" t="str">
        <f>T("45")</f>
        <v>45</v>
      </c>
      <c r="E915" t="str">
        <f t="shared" si="160"/>
        <v>무장</v>
      </c>
      <c r="H915" t="str">
        <f t="shared" si="152"/>
        <v>스토리위즈</v>
      </c>
      <c r="I915" t="str">
        <f t="shared" si="161"/>
        <v>최종 보스 : 빛을 향해 달리는 그림자</v>
      </c>
      <c r="J915">
        <v>100</v>
      </c>
      <c r="K915">
        <v>600</v>
      </c>
      <c r="L915">
        <v>6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600</v>
      </c>
      <c r="AH915">
        <v>6</v>
      </c>
      <c r="AI915">
        <v>0</v>
      </c>
      <c r="AJ915">
        <v>0</v>
      </c>
      <c r="AK915">
        <v>400</v>
      </c>
      <c r="AL915">
        <v>0</v>
      </c>
      <c r="AM915">
        <v>240</v>
      </c>
      <c r="AN915">
        <v>-48</v>
      </c>
      <c r="AO915">
        <v>0</v>
      </c>
      <c r="AP915">
        <v>120</v>
      </c>
      <c r="AQ915">
        <v>-36</v>
      </c>
      <c r="AR915">
        <v>0</v>
      </c>
      <c r="AS915">
        <v>120</v>
      </c>
      <c r="AT915">
        <v>-12</v>
      </c>
      <c r="AU915">
        <v>0</v>
      </c>
      <c r="AW915">
        <v>0</v>
      </c>
      <c r="AX915">
        <v>0</v>
      </c>
      <c r="AY915">
        <v>414.4</v>
      </c>
      <c r="BC915" t="str">
        <f t="shared" si="162"/>
        <v>9791166067563</v>
      </c>
      <c r="BE915" t="str">
        <f t="shared" si="163"/>
        <v>판타지 웹소설 &gt; 현대 판타지</v>
      </c>
    </row>
    <row r="916" spans="1:57" x14ac:dyDescent="0.3">
      <c r="A916">
        <v>2313011400</v>
      </c>
      <c r="B916">
        <v>2313011445</v>
      </c>
      <c r="C916" t="str">
        <f>T("최종 보스 3권 1화")</f>
        <v>최종 보스 3권 1화</v>
      </c>
      <c r="D916" t="str">
        <f>T("46")</f>
        <v>46</v>
      </c>
      <c r="E916" t="str">
        <f t="shared" si="160"/>
        <v>무장</v>
      </c>
      <c r="H916" t="str">
        <f t="shared" si="152"/>
        <v>스토리위즈</v>
      </c>
      <c r="I916" t="str">
        <f t="shared" si="161"/>
        <v>최종 보스 : 빛을 향해 달리는 그림자</v>
      </c>
      <c r="J916">
        <v>100</v>
      </c>
      <c r="K916">
        <v>600</v>
      </c>
      <c r="L916">
        <v>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600</v>
      </c>
      <c r="AH916">
        <v>6</v>
      </c>
      <c r="AI916">
        <v>0</v>
      </c>
      <c r="AJ916">
        <v>0</v>
      </c>
      <c r="AK916">
        <v>400</v>
      </c>
      <c r="AL916">
        <v>0</v>
      </c>
      <c r="AM916">
        <v>240</v>
      </c>
      <c r="AN916">
        <v>-48</v>
      </c>
      <c r="AO916">
        <v>0</v>
      </c>
      <c r="AP916">
        <v>120</v>
      </c>
      <c r="AQ916">
        <v>-36</v>
      </c>
      <c r="AR916">
        <v>0</v>
      </c>
      <c r="AS916">
        <v>120</v>
      </c>
      <c r="AT916">
        <v>-12</v>
      </c>
      <c r="AU916">
        <v>0</v>
      </c>
      <c r="AW916">
        <v>0</v>
      </c>
      <c r="AX916">
        <v>0</v>
      </c>
      <c r="AY916">
        <v>414.4</v>
      </c>
      <c r="BC916" t="str">
        <f t="shared" si="162"/>
        <v>9791166067563</v>
      </c>
      <c r="BE916" t="str">
        <f t="shared" si="163"/>
        <v>판타지 웹소설 &gt; 현대 판타지</v>
      </c>
    </row>
    <row r="917" spans="1:57" x14ac:dyDescent="0.3">
      <c r="A917">
        <v>2313011400</v>
      </c>
      <c r="B917">
        <v>2313011446</v>
      </c>
      <c r="C917" t="str">
        <f>T("최종 보스 3권 2화")</f>
        <v>최종 보스 3권 2화</v>
      </c>
      <c r="D917" t="str">
        <f>T("47")</f>
        <v>47</v>
      </c>
      <c r="E917" t="str">
        <f t="shared" si="160"/>
        <v>무장</v>
      </c>
      <c r="H917" t="str">
        <f t="shared" si="152"/>
        <v>스토리위즈</v>
      </c>
      <c r="I917" t="str">
        <f t="shared" si="161"/>
        <v>최종 보스 : 빛을 향해 달리는 그림자</v>
      </c>
      <c r="J917">
        <v>100</v>
      </c>
      <c r="K917">
        <v>600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600</v>
      </c>
      <c r="AH917">
        <v>6</v>
      </c>
      <c r="AI917">
        <v>0</v>
      </c>
      <c r="AJ917">
        <v>0</v>
      </c>
      <c r="AK917">
        <v>400</v>
      </c>
      <c r="AL917">
        <v>0</v>
      </c>
      <c r="AM917">
        <v>240</v>
      </c>
      <c r="AN917">
        <v>-48</v>
      </c>
      <c r="AO917">
        <v>0</v>
      </c>
      <c r="AP917">
        <v>120</v>
      </c>
      <c r="AQ917">
        <v>-36</v>
      </c>
      <c r="AR917">
        <v>0</v>
      </c>
      <c r="AS917">
        <v>120</v>
      </c>
      <c r="AT917">
        <v>-12</v>
      </c>
      <c r="AU917">
        <v>0</v>
      </c>
      <c r="AW917">
        <v>0</v>
      </c>
      <c r="AX917">
        <v>0</v>
      </c>
      <c r="AY917">
        <v>414.4</v>
      </c>
      <c r="BC917" t="str">
        <f t="shared" si="162"/>
        <v>9791166067563</v>
      </c>
      <c r="BE917" t="str">
        <f t="shared" si="163"/>
        <v>판타지 웹소설 &gt; 현대 판타지</v>
      </c>
    </row>
    <row r="918" spans="1:57" x14ac:dyDescent="0.3">
      <c r="A918">
        <v>2313011400</v>
      </c>
      <c r="B918">
        <v>2313011447</v>
      </c>
      <c r="C918" t="str">
        <f>T("최종 보스 3권 3화")</f>
        <v>최종 보스 3권 3화</v>
      </c>
      <c r="D918" t="str">
        <f>T("48")</f>
        <v>48</v>
      </c>
      <c r="E918" t="str">
        <f t="shared" si="160"/>
        <v>무장</v>
      </c>
      <c r="H918" t="str">
        <f t="shared" si="152"/>
        <v>스토리위즈</v>
      </c>
      <c r="I918" t="str">
        <f t="shared" si="161"/>
        <v>최종 보스 : 빛을 향해 달리는 그림자</v>
      </c>
      <c r="J918">
        <v>100</v>
      </c>
      <c r="K918">
        <v>600</v>
      </c>
      <c r="L918">
        <v>6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600</v>
      </c>
      <c r="AH918">
        <v>6</v>
      </c>
      <c r="AI918">
        <v>0</v>
      </c>
      <c r="AJ918">
        <v>0</v>
      </c>
      <c r="AK918">
        <v>400</v>
      </c>
      <c r="AL918">
        <v>0</v>
      </c>
      <c r="AM918">
        <v>240</v>
      </c>
      <c r="AN918">
        <v>-48</v>
      </c>
      <c r="AO918">
        <v>0</v>
      </c>
      <c r="AP918">
        <v>120</v>
      </c>
      <c r="AQ918">
        <v>-36</v>
      </c>
      <c r="AR918">
        <v>0</v>
      </c>
      <c r="AS918">
        <v>120</v>
      </c>
      <c r="AT918">
        <v>-12</v>
      </c>
      <c r="AU918">
        <v>0</v>
      </c>
      <c r="AW918">
        <v>0</v>
      </c>
      <c r="AX918">
        <v>0</v>
      </c>
      <c r="AY918">
        <v>414.4</v>
      </c>
      <c r="BC918" t="str">
        <f t="shared" si="162"/>
        <v>9791166067563</v>
      </c>
      <c r="BE918" t="str">
        <f t="shared" si="163"/>
        <v>판타지 웹소설 &gt; 현대 판타지</v>
      </c>
    </row>
    <row r="919" spans="1:57" x14ac:dyDescent="0.3">
      <c r="A919">
        <v>2313011400</v>
      </c>
      <c r="B919">
        <v>2313011448</v>
      </c>
      <c r="C919" t="str">
        <f>T("최종 보스 3권 4화")</f>
        <v>최종 보스 3권 4화</v>
      </c>
      <c r="D919" t="str">
        <f>T("49")</f>
        <v>49</v>
      </c>
      <c r="E919" t="str">
        <f t="shared" si="160"/>
        <v>무장</v>
      </c>
      <c r="H919" t="str">
        <f t="shared" si="152"/>
        <v>스토리위즈</v>
      </c>
      <c r="I919" t="str">
        <f t="shared" si="161"/>
        <v>최종 보스 : 빛을 향해 달리는 그림자</v>
      </c>
      <c r="J919">
        <v>100</v>
      </c>
      <c r="K919">
        <v>600</v>
      </c>
      <c r="L919">
        <v>6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600</v>
      </c>
      <c r="AH919">
        <v>6</v>
      </c>
      <c r="AI919">
        <v>0</v>
      </c>
      <c r="AJ919">
        <v>0</v>
      </c>
      <c r="AK919">
        <v>400</v>
      </c>
      <c r="AL919">
        <v>0</v>
      </c>
      <c r="AM919">
        <v>240</v>
      </c>
      <c r="AN919">
        <v>-48</v>
      </c>
      <c r="AO919">
        <v>0</v>
      </c>
      <c r="AP919">
        <v>120</v>
      </c>
      <c r="AQ919">
        <v>-36</v>
      </c>
      <c r="AR919">
        <v>0</v>
      </c>
      <c r="AS919">
        <v>120</v>
      </c>
      <c r="AT919">
        <v>-12</v>
      </c>
      <c r="AU919">
        <v>0</v>
      </c>
      <c r="AW919">
        <v>0</v>
      </c>
      <c r="AX919">
        <v>0</v>
      </c>
      <c r="AY919">
        <v>414.4</v>
      </c>
      <c r="BC919" t="str">
        <f t="shared" si="162"/>
        <v>9791166067563</v>
      </c>
      <c r="BE919" t="str">
        <f t="shared" si="163"/>
        <v>판타지 웹소설 &gt; 현대 판타지</v>
      </c>
    </row>
    <row r="920" spans="1:57" x14ac:dyDescent="0.3">
      <c r="A920">
        <v>2313011400</v>
      </c>
      <c r="B920">
        <v>2313011449</v>
      </c>
      <c r="C920" t="str">
        <f>T("최종 보스 3권 5화")</f>
        <v>최종 보스 3권 5화</v>
      </c>
      <c r="D920" t="str">
        <f>T("50")</f>
        <v>50</v>
      </c>
      <c r="E920" t="str">
        <f t="shared" si="160"/>
        <v>무장</v>
      </c>
      <c r="H920" t="str">
        <f t="shared" si="152"/>
        <v>스토리위즈</v>
      </c>
      <c r="I920" t="str">
        <f t="shared" si="161"/>
        <v>최종 보스 : 빛을 향해 달리는 그림자</v>
      </c>
      <c r="J920">
        <v>100</v>
      </c>
      <c r="K920">
        <v>600</v>
      </c>
      <c r="L920">
        <v>6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600</v>
      </c>
      <c r="AH920">
        <v>6</v>
      </c>
      <c r="AI920">
        <v>0</v>
      </c>
      <c r="AJ920">
        <v>0</v>
      </c>
      <c r="AK920">
        <v>400</v>
      </c>
      <c r="AL920">
        <v>0</v>
      </c>
      <c r="AM920">
        <v>240</v>
      </c>
      <c r="AN920">
        <v>-48</v>
      </c>
      <c r="AO920">
        <v>0</v>
      </c>
      <c r="AP920">
        <v>120</v>
      </c>
      <c r="AQ920">
        <v>-36</v>
      </c>
      <c r="AR920">
        <v>0</v>
      </c>
      <c r="AS920">
        <v>120</v>
      </c>
      <c r="AT920">
        <v>-12</v>
      </c>
      <c r="AU920">
        <v>0</v>
      </c>
      <c r="AW920">
        <v>0</v>
      </c>
      <c r="AX920">
        <v>0</v>
      </c>
      <c r="AY920">
        <v>414.4</v>
      </c>
      <c r="BC920" t="str">
        <f t="shared" si="162"/>
        <v>9791166067563</v>
      </c>
      <c r="BE920" t="str">
        <f t="shared" si="163"/>
        <v>판타지 웹소설 &gt; 현대 판타지</v>
      </c>
    </row>
    <row r="921" spans="1:57" x14ac:dyDescent="0.3">
      <c r="A921">
        <v>2313011400</v>
      </c>
      <c r="B921">
        <v>2313011546</v>
      </c>
      <c r="C921" t="str">
        <f>T("최종 보스 7권 18화")</f>
        <v>최종 보스 7권 18화</v>
      </c>
      <c r="D921" t="str">
        <f>T("147")</f>
        <v>147</v>
      </c>
      <c r="E921" t="str">
        <f t="shared" si="160"/>
        <v>무장</v>
      </c>
      <c r="H921" t="str">
        <f t="shared" si="152"/>
        <v>스토리위즈</v>
      </c>
      <c r="I921" t="str">
        <f t="shared" si="161"/>
        <v>최종 보스 : 빛을 향해 달리는 그림자</v>
      </c>
      <c r="J921">
        <v>100</v>
      </c>
      <c r="K921">
        <v>600</v>
      </c>
      <c r="L921">
        <v>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600</v>
      </c>
      <c r="AH921">
        <v>6</v>
      </c>
      <c r="AI921">
        <v>0</v>
      </c>
      <c r="AJ921">
        <v>0</v>
      </c>
      <c r="AK921">
        <v>400</v>
      </c>
      <c r="AL921">
        <v>0</v>
      </c>
      <c r="AM921">
        <v>240</v>
      </c>
      <c r="AN921">
        <v>-48</v>
      </c>
      <c r="AO921">
        <v>0</v>
      </c>
      <c r="AP921">
        <v>120</v>
      </c>
      <c r="AQ921">
        <v>-36</v>
      </c>
      <c r="AR921">
        <v>0</v>
      </c>
      <c r="AS921">
        <v>120</v>
      </c>
      <c r="AT921">
        <v>-12</v>
      </c>
      <c r="AU921">
        <v>0</v>
      </c>
      <c r="AW921">
        <v>0</v>
      </c>
      <c r="AX921">
        <v>0</v>
      </c>
      <c r="AY921">
        <v>414.4</v>
      </c>
      <c r="BC921" t="str">
        <f t="shared" si="162"/>
        <v>9791166067563</v>
      </c>
      <c r="BE921" t="str">
        <f t="shared" si="163"/>
        <v>판타지 웹소설 &gt; 현대 판타지</v>
      </c>
    </row>
    <row r="922" spans="1:57" x14ac:dyDescent="0.3">
      <c r="A922">
        <v>2313011400</v>
      </c>
      <c r="B922">
        <v>2313011548</v>
      </c>
      <c r="C922" t="str">
        <f>T("최종 보스 7권 20화")</f>
        <v>최종 보스 7권 20화</v>
      </c>
      <c r="D922" t="str">
        <f>T("149")</f>
        <v>149</v>
      </c>
      <c r="E922" t="str">
        <f t="shared" si="160"/>
        <v>무장</v>
      </c>
      <c r="H922" t="str">
        <f t="shared" si="152"/>
        <v>스토리위즈</v>
      </c>
      <c r="I922" t="str">
        <f t="shared" si="161"/>
        <v>최종 보스 : 빛을 향해 달리는 그림자</v>
      </c>
      <c r="J922">
        <v>100</v>
      </c>
      <c r="K922">
        <v>600</v>
      </c>
      <c r="L922">
        <v>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600</v>
      </c>
      <c r="AH922">
        <v>6</v>
      </c>
      <c r="AI922">
        <v>0</v>
      </c>
      <c r="AJ922">
        <v>0</v>
      </c>
      <c r="AK922">
        <v>400</v>
      </c>
      <c r="AL922">
        <v>0</v>
      </c>
      <c r="AM922">
        <v>240</v>
      </c>
      <c r="AN922">
        <v>-48</v>
      </c>
      <c r="AO922">
        <v>0</v>
      </c>
      <c r="AP922">
        <v>120</v>
      </c>
      <c r="AQ922">
        <v>-36</v>
      </c>
      <c r="AR922">
        <v>0</v>
      </c>
      <c r="AS922">
        <v>120</v>
      </c>
      <c r="AT922">
        <v>-12</v>
      </c>
      <c r="AU922">
        <v>0</v>
      </c>
      <c r="AW922">
        <v>0</v>
      </c>
      <c r="AX922">
        <v>0</v>
      </c>
      <c r="AY922">
        <v>414.4</v>
      </c>
      <c r="BC922" t="str">
        <f t="shared" si="162"/>
        <v>9791166067563</v>
      </c>
      <c r="BE922" t="str">
        <f t="shared" si="163"/>
        <v>판타지 웹소설 &gt; 현대 판타지</v>
      </c>
    </row>
    <row r="923" spans="1:57" x14ac:dyDescent="0.3">
      <c r="A923">
        <v>2313011400</v>
      </c>
      <c r="B923">
        <v>2313011549</v>
      </c>
      <c r="C923" t="str">
        <f>T("최종 보스 8권 1화")</f>
        <v>최종 보스 8권 1화</v>
      </c>
      <c r="D923" t="str">
        <f>T("150")</f>
        <v>150</v>
      </c>
      <c r="E923" t="str">
        <f t="shared" si="160"/>
        <v>무장</v>
      </c>
      <c r="H923" t="str">
        <f t="shared" si="152"/>
        <v>스토리위즈</v>
      </c>
      <c r="I923" t="str">
        <f t="shared" si="161"/>
        <v>최종 보스 : 빛을 향해 달리는 그림자</v>
      </c>
      <c r="J923">
        <v>100</v>
      </c>
      <c r="K923">
        <v>600</v>
      </c>
      <c r="L923">
        <v>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600</v>
      </c>
      <c r="AH923">
        <v>6</v>
      </c>
      <c r="AI923">
        <v>0</v>
      </c>
      <c r="AJ923">
        <v>0</v>
      </c>
      <c r="AK923">
        <v>400</v>
      </c>
      <c r="AL923">
        <v>0</v>
      </c>
      <c r="AM923">
        <v>240</v>
      </c>
      <c r="AN923">
        <v>-48</v>
      </c>
      <c r="AO923">
        <v>0</v>
      </c>
      <c r="AP923">
        <v>120</v>
      </c>
      <c r="AQ923">
        <v>-36</v>
      </c>
      <c r="AR923">
        <v>0</v>
      </c>
      <c r="AS923">
        <v>120</v>
      </c>
      <c r="AT923">
        <v>-12</v>
      </c>
      <c r="AU923">
        <v>0</v>
      </c>
      <c r="AW923">
        <v>0</v>
      </c>
      <c r="AX923">
        <v>0</v>
      </c>
      <c r="AY923">
        <v>414.4</v>
      </c>
      <c r="BC923" t="str">
        <f t="shared" si="162"/>
        <v>9791166067563</v>
      </c>
      <c r="BE923" t="str">
        <f t="shared" si="163"/>
        <v>판타지 웹소설 &gt; 현대 판타지</v>
      </c>
    </row>
    <row r="924" spans="1:57" x14ac:dyDescent="0.3">
      <c r="A924">
        <v>2313011400</v>
      </c>
      <c r="B924">
        <v>2313011550</v>
      </c>
      <c r="C924" t="str">
        <f>T("최종 보스 8권 2화")</f>
        <v>최종 보스 8권 2화</v>
      </c>
      <c r="D924" t="str">
        <f>T("151")</f>
        <v>151</v>
      </c>
      <c r="E924" t="str">
        <f t="shared" si="160"/>
        <v>무장</v>
      </c>
      <c r="H924" t="str">
        <f t="shared" si="152"/>
        <v>스토리위즈</v>
      </c>
      <c r="I924" t="str">
        <f t="shared" si="161"/>
        <v>최종 보스 : 빛을 향해 달리는 그림자</v>
      </c>
      <c r="J924">
        <v>100</v>
      </c>
      <c r="K924">
        <v>600</v>
      </c>
      <c r="L924">
        <v>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600</v>
      </c>
      <c r="AH924">
        <v>6</v>
      </c>
      <c r="AI924">
        <v>0</v>
      </c>
      <c r="AJ924">
        <v>0</v>
      </c>
      <c r="AK924">
        <v>400</v>
      </c>
      <c r="AL924">
        <v>0</v>
      </c>
      <c r="AM924">
        <v>240</v>
      </c>
      <c r="AN924">
        <v>-48</v>
      </c>
      <c r="AO924">
        <v>0</v>
      </c>
      <c r="AP924">
        <v>120</v>
      </c>
      <c r="AQ924">
        <v>-36</v>
      </c>
      <c r="AR924">
        <v>0</v>
      </c>
      <c r="AS924">
        <v>120</v>
      </c>
      <c r="AT924">
        <v>-12</v>
      </c>
      <c r="AU924">
        <v>0</v>
      </c>
      <c r="AW924">
        <v>0</v>
      </c>
      <c r="AX924">
        <v>0</v>
      </c>
      <c r="AY924">
        <v>414.4</v>
      </c>
      <c r="BC924" t="str">
        <f t="shared" si="162"/>
        <v>9791166067563</v>
      </c>
      <c r="BE924" t="str">
        <f t="shared" si="163"/>
        <v>판타지 웹소설 &gt; 현대 판타지</v>
      </c>
    </row>
    <row r="925" spans="1:57" x14ac:dyDescent="0.3">
      <c r="A925">
        <v>2313011400</v>
      </c>
      <c r="B925">
        <v>2313011551</v>
      </c>
      <c r="C925" t="str">
        <f>T("최종 보스 8권 3화")</f>
        <v>최종 보스 8권 3화</v>
      </c>
      <c r="D925" t="str">
        <f>T("152")</f>
        <v>152</v>
      </c>
      <c r="E925" t="str">
        <f t="shared" si="160"/>
        <v>무장</v>
      </c>
      <c r="H925" t="str">
        <f t="shared" si="152"/>
        <v>스토리위즈</v>
      </c>
      <c r="I925" t="str">
        <f t="shared" si="161"/>
        <v>최종 보스 : 빛을 향해 달리는 그림자</v>
      </c>
      <c r="J925">
        <v>100</v>
      </c>
      <c r="K925">
        <v>600</v>
      </c>
      <c r="L925">
        <v>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600</v>
      </c>
      <c r="AH925">
        <v>6</v>
      </c>
      <c r="AI925">
        <v>0</v>
      </c>
      <c r="AJ925">
        <v>0</v>
      </c>
      <c r="AK925">
        <v>400</v>
      </c>
      <c r="AL925">
        <v>0</v>
      </c>
      <c r="AM925">
        <v>240</v>
      </c>
      <c r="AN925">
        <v>-48</v>
      </c>
      <c r="AO925">
        <v>0</v>
      </c>
      <c r="AP925">
        <v>120</v>
      </c>
      <c r="AQ925">
        <v>-36</v>
      </c>
      <c r="AR925">
        <v>0</v>
      </c>
      <c r="AS925">
        <v>120</v>
      </c>
      <c r="AT925">
        <v>-12</v>
      </c>
      <c r="AU925">
        <v>0</v>
      </c>
      <c r="AW925">
        <v>0</v>
      </c>
      <c r="AX925">
        <v>0</v>
      </c>
      <c r="AY925">
        <v>414.4</v>
      </c>
      <c r="BC925" t="str">
        <f t="shared" si="162"/>
        <v>9791166067563</v>
      </c>
      <c r="BE925" t="str">
        <f t="shared" si="163"/>
        <v>판타지 웹소설 &gt; 현대 판타지</v>
      </c>
    </row>
    <row r="926" spans="1:57" x14ac:dyDescent="0.3">
      <c r="A926">
        <v>2313011400</v>
      </c>
      <c r="B926">
        <v>2313011552</v>
      </c>
      <c r="C926" t="str">
        <f>T("최종 보스 8권 4화")</f>
        <v>최종 보스 8권 4화</v>
      </c>
      <c r="D926" t="str">
        <f>T("153")</f>
        <v>153</v>
      </c>
      <c r="E926" t="str">
        <f t="shared" si="160"/>
        <v>무장</v>
      </c>
      <c r="H926" t="str">
        <f t="shared" si="152"/>
        <v>스토리위즈</v>
      </c>
      <c r="I926" t="str">
        <f t="shared" si="161"/>
        <v>최종 보스 : 빛을 향해 달리는 그림자</v>
      </c>
      <c r="J926">
        <v>100</v>
      </c>
      <c r="K926">
        <v>600</v>
      </c>
      <c r="L926">
        <v>6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600</v>
      </c>
      <c r="AH926">
        <v>6</v>
      </c>
      <c r="AI926">
        <v>0</v>
      </c>
      <c r="AJ926">
        <v>0</v>
      </c>
      <c r="AK926">
        <v>400</v>
      </c>
      <c r="AL926">
        <v>0</v>
      </c>
      <c r="AM926">
        <v>240</v>
      </c>
      <c r="AN926">
        <v>-48</v>
      </c>
      <c r="AO926">
        <v>0</v>
      </c>
      <c r="AP926">
        <v>120</v>
      </c>
      <c r="AQ926">
        <v>-36</v>
      </c>
      <c r="AR926">
        <v>0</v>
      </c>
      <c r="AS926">
        <v>120</v>
      </c>
      <c r="AT926">
        <v>-12</v>
      </c>
      <c r="AU926">
        <v>0</v>
      </c>
      <c r="AW926">
        <v>0</v>
      </c>
      <c r="AX926">
        <v>0</v>
      </c>
      <c r="AY926">
        <v>414.4</v>
      </c>
      <c r="BC926" t="str">
        <f t="shared" si="162"/>
        <v>9791166067563</v>
      </c>
      <c r="BE926" t="str">
        <f t="shared" si="163"/>
        <v>판타지 웹소설 &gt; 현대 판타지</v>
      </c>
    </row>
    <row r="927" spans="1:57" x14ac:dyDescent="0.3">
      <c r="A927">
        <v>2313011400</v>
      </c>
      <c r="B927">
        <v>2313011553</v>
      </c>
      <c r="C927" t="str">
        <f>T("최종 보스 8권 5화")</f>
        <v>최종 보스 8권 5화</v>
      </c>
      <c r="D927" t="str">
        <f>T("154")</f>
        <v>154</v>
      </c>
      <c r="E927" t="str">
        <f t="shared" si="160"/>
        <v>무장</v>
      </c>
      <c r="H927" t="str">
        <f t="shared" si="152"/>
        <v>스토리위즈</v>
      </c>
      <c r="I927" t="str">
        <f t="shared" si="161"/>
        <v>최종 보스 : 빛을 향해 달리는 그림자</v>
      </c>
      <c r="J927">
        <v>100</v>
      </c>
      <c r="K927">
        <v>600</v>
      </c>
      <c r="L927">
        <v>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600</v>
      </c>
      <c r="AH927">
        <v>6</v>
      </c>
      <c r="AI927">
        <v>0</v>
      </c>
      <c r="AJ927">
        <v>0</v>
      </c>
      <c r="AK927">
        <v>400</v>
      </c>
      <c r="AL927">
        <v>0</v>
      </c>
      <c r="AM927">
        <v>240</v>
      </c>
      <c r="AN927">
        <v>-48</v>
      </c>
      <c r="AO927">
        <v>0</v>
      </c>
      <c r="AP927">
        <v>120</v>
      </c>
      <c r="AQ927">
        <v>-36</v>
      </c>
      <c r="AR927">
        <v>0</v>
      </c>
      <c r="AS927">
        <v>120</v>
      </c>
      <c r="AT927">
        <v>-12</v>
      </c>
      <c r="AU927">
        <v>0</v>
      </c>
      <c r="AW927">
        <v>0</v>
      </c>
      <c r="AX927">
        <v>0</v>
      </c>
      <c r="AY927">
        <v>414.4</v>
      </c>
      <c r="BC927" t="str">
        <f t="shared" si="162"/>
        <v>9791166067563</v>
      </c>
      <c r="BE927" t="str">
        <f t="shared" si="163"/>
        <v>판타지 웹소설 &gt; 현대 판타지</v>
      </c>
    </row>
    <row r="928" spans="1:57" x14ac:dyDescent="0.3">
      <c r="A928">
        <v>2313011400</v>
      </c>
      <c r="B928">
        <v>2313011554</v>
      </c>
      <c r="C928" t="str">
        <f>T("최종 보스 8권 6화")</f>
        <v>최종 보스 8권 6화</v>
      </c>
      <c r="D928" t="str">
        <f>T("155")</f>
        <v>155</v>
      </c>
      <c r="E928" t="str">
        <f t="shared" si="160"/>
        <v>무장</v>
      </c>
      <c r="H928" t="str">
        <f t="shared" si="152"/>
        <v>스토리위즈</v>
      </c>
      <c r="I928" t="str">
        <f t="shared" si="161"/>
        <v>최종 보스 : 빛을 향해 달리는 그림자</v>
      </c>
      <c r="J928">
        <v>100</v>
      </c>
      <c r="K928">
        <v>600</v>
      </c>
      <c r="L928">
        <v>6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600</v>
      </c>
      <c r="AH928">
        <v>6</v>
      </c>
      <c r="AI928">
        <v>0</v>
      </c>
      <c r="AJ928">
        <v>0</v>
      </c>
      <c r="AK928">
        <v>400</v>
      </c>
      <c r="AL928">
        <v>0</v>
      </c>
      <c r="AM928">
        <v>240</v>
      </c>
      <c r="AN928">
        <v>-48</v>
      </c>
      <c r="AO928">
        <v>0</v>
      </c>
      <c r="AP928">
        <v>120</v>
      </c>
      <c r="AQ928">
        <v>-36</v>
      </c>
      <c r="AR928">
        <v>0</v>
      </c>
      <c r="AS928">
        <v>120</v>
      </c>
      <c r="AT928">
        <v>-12</v>
      </c>
      <c r="AU928">
        <v>0</v>
      </c>
      <c r="AW928">
        <v>0</v>
      </c>
      <c r="AX928">
        <v>0</v>
      </c>
      <c r="AY928">
        <v>414.4</v>
      </c>
      <c r="BC928" t="str">
        <f t="shared" si="162"/>
        <v>9791166067563</v>
      </c>
      <c r="BE928" t="str">
        <f t="shared" si="163"/>
        <v>판타지 웹소설 &gt; 현대 판타지</v>
      </c>
    </row>
    <row r="929" spans="1:57" x14ac:dyDescent="0.3">
      <c r="A929">
        <v>2313011400</v>
      </c>
      <c r="B929">
        <v>2313011555</v>
      </c>
      <c r="C929" t="str">
        <f>T("최종 보스 8권 7화")</f>
        <v>최종 보스 8권 7화</v>
      </c>
      <c r="D929" t="str">
        <f>T("156")</f>
        <v>156</v>
      </c>
      <c r="E929" t="str">
        <f t="shared" si="160"/>
        <v>무장</v>
      </c>
      <c r="H929" t="str">
        <f t="shared" si="152"/>
        <v>스토리위즈</v>
      </c>
      <c r="I929" t="str">
        <f t="shared" si="161"/>
        <v>최종 보스 : 빛을 향해 달리는 그림자</v>
      </c>
      <c r="J929">
        <v>100</v>
      </c>
      <c r="K929">
        <v>600</v>
      </c>
      <c r="L929">
        <v>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600</v>
      </c>
      <c r="AH929">
        <v>6</v>
      </c>
      <c r="AI929">
        <v>0</v>
      </c>
      <c r="AJ929">
        <v>0</v>
      </c>
      <c r="AK929">
        <v>400</v>
      </c>
      <c r="AL929">
        <v>0</v>
      </c>
      <c r="AM929">
        <v>240</v>
      </c>
      <c r="AN929">
        <v>-48</v>
      </c>
      <c r="AO929">
        <v>0</v>
      </c>
      <c r="AP929">
        <v>120</v>
      </c>
      <c r="AQ929">
        <v>-36</v>
      </c>
      <c r="AR929">
        <v>0</v>
      </c>
      <c r="AS929">
        <v>120</v>
      </c>
      <c r="AT929">
        <v>-12</v>
      </c>
      <c r="AU929">
        <v>0</v>
      </c>
      <c r="AW929">
        <v>0</v>
      </c>
      <c r="AX929">
        <v>0</v>
      </c>
      <c r="AY929">
        <v>414.4</v>
      </c>
      <c r="BC929" t="str">
        <f t="shared" si="162"/>
        <v>9791166067563</v>
      </c>
      <c r="BE929" t="str">
        <f t="shared" si="163"/>
        <v>판타지 웹소설 &gt; 현대 판타지</v>
      </c>
    </row>
    <row r="930" spans="1:57" x14ac:dyDescent="0.3">
      <c r="A930">
        <v>2313011400</v>
      </c>
      <c r="B930">
        <v>2313011556</v>
      </c>
      <c r="C930" t="str">
        <f>T("최종 보스 8권 8화")</f>
        <v>최종 보스 8권 8화</v>
      </c>
      <c r="D930" t="str">
        <f>T("157")</f>
        <v>157</v>
      </c>
      <c r="E930" t="str">
        <f t="shared" si="160"/>
        <v>무장</v>
      </c>
      <c r="H930" t="str">
        <f t="shared" si="152"/>
        <v>스토리위즈</v>
      </c>
      <c r="I930" t="str">
        <f t="shared" si="161"/>
        <v>최종 보스 : 빛을 향해 달리는 그림자</v>
      </c>
      <c r="J930">
        <v>100</v>
      </c>
      <c r="K930">
        <v>600</v>
      </c>
      <c r="L930">
        <v>6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600</v>
      </c>
      <c r="AH930">
        <v>6</v>
      </c>
      <c r="AI930">
        <v>0</v>
      </c>
      <c r="AJ930">
        <v>0</v>
      </c>
      <c r="AK930">
        <v>400</v>
      </c>
      <c r="AL930">
        <v>0</v>
      </c>
      <c r="AM930">
        <v>240</v>
      </c>
      <c r="AN930">
        <v>-48</v>
      </c>
      <c r="AO930">
        <v>0</v>
      </c>
      <c r="AP930">
        <v>120</v>
      </c>
      <c r="AQ930">
        <v>-36</v>
      </c>
      <c r="AR930">
        <v>0</v>
      </c>
      <c r="AS930">
        <v>120</v>
      </c>
      <c r="AT930">
        <v>-12</v>
      </c>
      <c r="AU930">
        <v>0</v>
      </c>
      <c r="AW930">
        <v>0</v>
      </c>
      <c r="AX930">
        <v>0</v>
      </c>
      <c r="AY930">
        <v>414.4</v>
      </c>
      <c r="BC930" t="str">
        <f t="shared" si="162"/>
        <v>9791166067563</v>
      </c>
      <c r="BE930" t="str">
        <f t="shared" si="163"/>
        <v>판타지 웹소설 &gt; 현대 판타지</v>
      </c>
    </row>
    <row r="931" spans="1:57" x14ac:dyDescent="0.3">
      <c r="A931">
        <v>2313011400</v>
      </c>
      <c r="B931">
        <v>2313011557</v>
      </c>
      <c r="C931" t="str">
        <f>T("최종 보스 8권 9화")</f>
        <v>최종 보스 8권 9화</v>
      </c>
      <c r="D931" t="str">
        <f>T("158")</f>
        <v>158</v>
      </c>
      <c r="E931" t="str">
        <f t="shared" si="160"/>
        <v>무장</v>
      </c>
      <c r="H931" t="str">
        <f t="shared" si="152"/>
        <v>스토리위즈</v>
      </c>
      <c r="I931" t="str">
        <f t="shared" si="161"/>
        <v>최종 보스 : 빛을 향해 달리는 그림자</v>
      </c>
      <c r="J931">
        <v>100</v>
      </c>
      <c r="K931">
        <v>600</v>
      </c>
      <c r="L931">
        <v>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600</v>
      </c>
      <c r="AH931">
        <v>6</v>
      </c>
      <c r="AI931">
        <v>0</v>
      </c>
      <c r="AJ931">
        <v>0</v>
      </c>
      <c r="AK931">
        <v>400</v>
      </c>
      <c r="AL931">
        <v>0</v>
      </c>
      <c r="AM931">
        <v>240</v>
      </c>
      <c r="AN931">
        <v>-48</v>
      </c>
      <c r="AO931">
        <v>0</v>
      </c>
      <c r="AP931">
        <v>120</v>
      </c>
      <c r="AQ931">
        <v>-36</v>
      </c>
      <c r="AR931">
        <v>0</v>
      </c>
      <c r="AS931">
        <v>120</v>
      </c>
      <c r="AT931">
        <v>-12</v>
      </c>
      <c r="AU931">
        <v>0</v>
      </c>
      <c r="AW931">
        <v>0</v>
      </c>
      <c r="AX931">
        <v>0</v>
      </c>
      <c r="AY931">
        <v>414.4</v>
      </c>
      <c r="BC931" t="str">
        <f t="shared" si="162"/>
        <v>9791166067563</v>
      </c>
      <c r="BE931" t="str">
        <f t="shared" si="163"/>
        <v>판타지 웹소설 &gt; 현대 판타지</v>
      </c>
    </row>
    <row r="932" spans="1:57" x14ac:dyDescent="0.3">
      <c r="A932">
        <v>2313011400</v>
      </c>
      <c r="B932">
        <v>2313011558</v>
      </c>
      <c r="C932" t="str">
        <f>T("최종 보스 8권 10화")</f>
        <v>최종 보스 8권 10화</v>
      </c>
      <c r="D932" t="str">
        <f>T("159")</f>
        <v>159</v>
      </c>
      <c r="E932" t="str">
        <f t="shared" si="160"/>
        <v>무장</v>
      </c>
      <c r="H932" t="str">
        <f t="shared" si="152"/>
        <v>스토리위즈</v>
      </c>
      <c r="I932" t="str">
        <f t="shared" si="161"/>
        <v>최종 보스 : 빛을 향해 달리는 그림자</v>
      </c>
      <c r="J932">
        <v>100</v>
      </c>
      <c r="K932">
        <v>600</v>
      </c>
      <c r="L932">
        <v>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600</v>
      </c>
      <c r="AH932">
        <v>6</v>
      </c>
      <c r="AI932">
        <v>0</v>
      </c>
      <c r="AJ932">
        <v>0</v>
      </c>
      <c r="AK932">
        <v>400</v>
      </c>
      <c r="AL932">
        <v>0</v>
      </c>
      <c r="AM932">
        <v>240</v>
      </c>
      <c r="AN932">
        <v>-48</v>
      </c>
      <c r="AO932">
        <v>0</v>
      </c>
      <c r="AP932">
        <v>120</v>
      </c>
      <c r="AQ932">
        <v>-36</v>
      </c>
      <c r="AR932">
        <v>0</v>
      </c>
      <c r="AS932">
        <v>120</v>
      </c>
      <c r="AT932">
        <v>-12</v>
      </c>
      <c r="AU932">
        <v>0</v>
      </c>
      <c r="AW932">
        <v>0</v>
      </c>
      <c r="AX932">
        <v>0</v>
      </c>
      <c r="AY932">
        <v>414.4</v>
      </c>
      <c r="BC932" t="str">
        <f t="shared" si="162"/>
        <v>9791166067563</v>
      </c>
      <c r="BE932" t="str">
        <f t="shared" si="163"/>
        <v>판타지 웹소설 &gt; 현대 판타지</v>
      </c>
    </row>
    <row r="933" spans="1:57" x14ac:dyDescent="0.3">
      <c r="A933">
        <v>2313011400</v>
      </c>
      <c r="B933">
        <v>2313011559</v>
      </c>
      <c r="C933" t="str">
        <f>T("최종 보스 8권 11화")</f>
        <v>최종 보스 8권 11화</v>
      </c>
      <c r="D933" t="str">
        <f>T("160")</f>
        <v>160</v>
      </c>
      <c r="E933" t="str">
        <f t="shared" si="160"/>
        <v>무장</v>
      </c>
      <c r="H933" t="str">
        <f t="shared" si="152"/>
        <v>스토리위즈</v>
      </c>
      <c r="I933" t="str">
        <f t="shared" si="161"/>
        <v>최종 보스 : 빛을 향해 달리는 그림자</v>
      </c>
      <c r="J933">
        <v>100</v>
      </c>
      <c r="K933">
        <v>600</v>
      </c>
      <c r="L933">
        <v>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600</v>
      </c>
      <c r="AH933">
        <v>6</v>
      </c>
      <c r="AI933">
        <v>0</v>
      </c>
      <c r="AJ933">
        <v>0</v>
      </c>
      <c r="AK933">
        <v>400</v>
      </c>
      <c r="AL933">
        <v>0</v>
      </c>
      <c r="AM933">
        <v>240</v>
      </c>
      <c r="AN933">
        <v>-48</v>
      </c>
      <c r="AO933">
        <v>0</v>
      </c>
      <c r="AP933">
        <v>120</v>
      </c>
      <c r="AQ933">
        <v>-36</v>
      </c>
      <c r="AR933">
        <v>0</v>
      </c>
      <c r="AS933">
        <v>120</v>
      </c>
      <c r="AT933">
        <v>-12</v>
      </c>
      <c r="AU933">
        <v>0</v>
      </c>
      <c r="AW933">
        <v>0</v>
      </c>
      <c r="AX933">
        <v>0</v>
      </c>
      <c r="AY933">
        <v>414.4</v>
      </c>
      <c r="BC933" t="str">
        <f t="shared" si="162"/>
        <v>9791166067563</v>
      </c>
      <c r="BE933" t="str">
        <f t="shared" si="163"/>
        <v>판타지 웹소설 &gt; 현대 판타지</v>
      </c>
    </row>
    <row r="934" spans="1:57" x14ac:dyDescent="0.3">
      <c r="A934">
        <v>2313011400</v>
      </c>
      <c r="B934">
        <v>2313011560</v>
      </c>
      <c r="C934" t="str">
        <f>T("최종 보스 8권 12화")</f>
        <v>최종 보스 8권 12화</v>
      </c>
      <c r="D934" t="str">
        <f>T("161")</f>
        <v>161</v>
      </c>
      <c r="E934" t="str">
        <f t="shared" si="160"/>
        <v>무장</v>
      </c>
      <c r="H934" t="str">
        <f t="shared" si="152"/>
        <v>스토리위즈</v>
      </c>
      <c r="I934" t="str">
        <f t="shared" si="161"/>
        <v>최종 보스 : 빛을 향해 달리는 그림자</v>
      </c>
      <c r="J934">
        <v>100</v>
      </c>
      <c r="K934">
        <v>600</v>
      </c>
      <c r="L934">
        <v>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600</v>
      </c>
      <c r="AH934">
        <v>6</v>
      </c>
      <c r="AI934">
        <v>0</v>
      </c>
      <c r="AJ934">
        <v>0</v>
      </c>
      <c r="AK934">
        <v>400</v>
      </c>
      <c r="AL934">
        <v>0</v>
      </c>
      <c r="AM934">
        <v>240</v>
      </c>
      <c r="AN934">
        <v>-48</v>
      </c>
      <c r="AO934">
        <v>0</v>
      </c>
      <c r="AP934">
        <v>120</v>
      </c>
      <c r="AQ934">
        <v>-36</v>
      </c>
      <c r="AR934">
        <v>0</v>
      </c>
      <c r="AS934">
        <v>120</v>
      </c>
      <c r="AT934">
        <v>-12</v>
      </c>
      <c r="AU934">
        <v>0</v>
      </c>
      <c r="AW934">
        <v>0</v>
      </c>
      <c r="AX934">
        <v>0</v>
      </c>
      <c r="AY934">
        <v>414.4</v>
      </c>
      <c r="BC934" t="str">
        <f t="shared" si="162"/>
        <v>9791166067563</v>
      </c>
      <c r="BE934" t="str">
        <f t="shared" si="163"/>
        <v>판타지 웹소설 &gt; 현대 판타지</v>
      </c>
    </row>
    <row r="935" spans="1:57" x14ac:dyDescent="0.3">
      <c r="A935">
        <v>2313011400</v>
      </c>
      <c r="B935">
        <v>2313011561</v>
      </c>
      <c r="C935" t="str">
        <f>T("최종 보스 8권 13화")</f>
        <v>최종 보스 8권 13화</v>
      </c>
      <c r="D935" t="str">
        <f>T("162")</f>
        <v>162</v>
      </c>
      <c r="E935" t="str">
        <f t="shared" si="160"/>
        <v>무장</v>
      </c>
      <c r="H935" t="str">
        <f t="shared" si="152"/>
        <v>스토리위즈</v>
      </c>
      <c r="I935" t="str">
        <f t="shared" si="161"/>
        <v>최종 보스 : 빛을 향해 달리는 그림자</v>
      </c>
      <c r="J935">
        <v>100</v>
      </c>
      <c r="K935">
        <v>600</v>
      </c>
      <c r="L935">
        <v>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600</v>
      </c>
      <c r="AH935">
        <v>6</v>
      </c>
      <c r="AI935">
        <v>0</v>
      </c>
      <c r="AJ935">
        <v>0</v>
      </c>
      <c r="AK935">
        <v>400</v>
      </c>
      <c r="AL935">
        <v>0</v>
      </c>
      <c r="AM935">
        <v>240</v>
      </c>
      <c r="AN935">
        <v>-48</v>
      </c>
      <c r="AO935">
        <v>0</v>
      </c>
      <c r="AP935">
        <v>120</v>
      </c>
      <c r="AQ935">
        <v>-36</v>
      </c>
      <c r="AR935">
        <v>0</v>
      </c>
      <c r="AS935">
        <v>120</v>
      </c>
      <c r="AT935">
        <v>-12</v>
      </c>
      <c r="AU935">
        <v>0</v>
      </c>
      <c r="AW935">
        <v>0</v>
      </c>
      <c r="AX935">
        <v>0</v>
      </c>
      <c r="AY935">
        <v>414.4</v>
      </c>
      <c r="BC935" t="str">
        <f t="shared" si="162"/>
        <v>9791166067563</v>
      </c>
      <c r="BE935" t="str">
        <f t="shared" si="163"/>
        <v>판타지 웹소설 &gt; 현대 판타지</v>
      </c>
    </row>
    <row r="936" spans="1:57" x14ac:dyDescent="0.3">
      <c r="A936">
        <v>2313011400</v>
      </c>
      <c r="B936">
        <v>2313011562</v>
      </c>
      <c r="C936" t="str">
        <f>T("최종 보스 8권 14화")</f>
        <v>최종 보스 8권 14화</v>
      </c>
      <c r="D936" t="str">
        <f>T("163")</f>
        <v>163</v>
      </c>
      <c r="E936" t="str">
        <f t="shared" si="160"/>
        <v>무장</v>
      </c>
      <c r="H936" t="str">
        <f t="shared" si="152"/>
        <v>스토리위즈</v>
      </c>
      <c r="I936" t="str">
        <f t="shared" si="161"/>
        <v>최종 보스 : 빛을 향해 달리는 그림자</v>
      </c>
      <c r="J936">
        <v>100</v>
      </c>
      <c r="K936">
        <v>600</v>
      </c>
      <c r="L936">
        <v>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600</v>
      </c>
      <c r="AH936">
        <v>6</v>
      </c>
      <c r="AI936">
        <v>0</v>
      </c>
      <c r="AJ936">
        <v>0</v>
      </c>
      <c r="AK936">
        <v>400</v>
      </c>
      <c r="AL936">
        <v>0</v>
      </c>
      <c r="AM936">
        <v>240</v>
      </c>
      <c r="AN936">
        <v>-48</v>
      </c>
      <c r="AO936">
        <v>0</v>
      </c>
      <c r="AP936">
        <v>120</v>
      </c>
      <c r="AQ936">
        <v>-36</v>
      </c>
      <c r="AR936">
        <v>0</v>
      </c>
      <c r="AS936">
        <v>120</v>
      </c>
      <c r="AT936">
        <v>-12</v>
      </c>
      <c r="AU936">
        <v>0</v>
      </c>
      <c r="AW936">
        <v>0</v>
      </c>
      <c r="AX936">
        <v>0</v>
      </c>
      <c r="AY936">
        <v>414.4</v>
      </c>
      <c r="BC936" t="str">
        <f t="shared" si="162"/>
        <v>9791166067563</v>
      </c>
      <c r="BE936" t="str">
        <f t="shared" si="163"/>
        <v>판타지 웹소설 &gt; 현대 판타지</v>
      </c>
    </row>
    <row r="937" spans="1:57" x14ac:dyDescent="0.3">
      <c r="A937">
        <v>2313011400</v>
      </c>
      <c r="B937">
        <v>2313011563</v>
      </c>
      <c r="C937" t="str">
        <f>T("최종 보스 8권 15화")</f>
        <v>최종 보스 8권 15화</v>
      </c>
      <c r="D937" t="str">
        <f>T("164")</f>
        <v>164</v>
      </c>
      <c r="E937" t="str">
        <f t="shared" si="160"/>
        <v>무장</v>
      </c>
      <c r="H937" t="str">
        <f t="shared" si="152"/>
        <v>스토리위즈</v>
      </c>
      <c r="I937" t="str">
        <f t="shared" si="161"/>
        <v>최종 보스 : 빛을 향해 달리는 그림자</v>
      </c>
      <c r="J937">
        <v>100</v>
      </c>
      <c r="K937">
        <v>600</v>
      </c>
      <c r="L937">
        <v>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600</v>
      </c>
      <c r="AH937">
        <v>6</v>
      </c>
      <c r="AI937">
        <v>0</v>
      </c>
      <c r="AJ937">
        <v>0</v>
      </c>
      <c r="AK937">
        <v>400</v>
      </c>
      <c r="AL937">
        <v>0</v>
      </c>
      <c r="AM937">
        <v>240</v>
      </c>
      <c r="AN937">
        <v>-48</v>
      </c>
      <c r="AO937">
        <v>0</v>
      </c>
      <c r="AP937">
        <v>120</v>
      </c>
      <c r="AQ937">
        <v>-36</v>
      </c>
      <c r="AR937">
        <v>0</v>
      </c>
      <c r="AS937">
        <v>120</v>
      </c>
      <c r="AT937">
        <v>-12</v>
      </c>
      <c r="AU937">
        <v>0</v>
      </c>
      <c r="AW937">
        <v>0</v>
      </c>
      <c r="AX937">
        <v>0</v>
      </c>
      <c r="AY937">
        <v>414.4</v>
      </c>
      <c r="BC937" t="str">
        <f t="shared" si="162"/>
        <v>9791166067563</v>
      </c>
      <c r="BE937" t="str">
        <f t="shared" si="163"/>
        <v>판타지 웹소설 &gt; 현대 판타지</v>
      </c>
    </row>
    <row r="938" spans="1:57" x14ac:dyDescent="0.3">
      <c r="A938">
        <v>2313011400</v>
      </c>
      <c r="B938">
        <v>2313011564</v>
      </c>
      <c r="C938" t="str">
        <f>T("최종 보스 8권 16화")</f>
        <v>최종 보스 8권 16화</v>
      </c>
      <c r="D938" t="str">
        <f>T("165")</f>
        <v>165</v>
      </c>
      <c r="E938" t="str">
        <f t="shared" si="160"/>
        <v>무장</v>
      </c>
      <c r="H938" t="str">
        <f t="shared" si="152"/>
        <v>스토리위즈</v>
      </c>
      <c r="I938" t="str">
        <f t="shared" si="161"/>
        <v>최종 보스 : 빛을 향해 달리는 그림자</v>
      </c>
      <c r="J938">
        <v>100</v>
      </c>
      <c r="K938">
        <v>600</v>
      </c>
      <c r="L938">
        <v>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600</v>
      </c>
      <c r="AH938">
        <v>6</v>
      </c>
      <c r="AI938">
        <v>0</v>
      </c>
      <c r="AJ938">
        <v>0</v>
      </c>
      <c r="AK938">
        <v>466</v>
      </c>
      <c r="AL938">
        <v>0</v>
      </c>
      <c r="AM938">
        <v>160.80000000000001</v>
      </c>
      <c r="AN938">
        <v>-24.24</v>
      </c>
      <c r="AO938">
        <v>0</v>
      </c>
      <c r="AP938">
        <v>40.799999999999997</v>
      </c>
      <c r="AQ938">
        <v>-12.24</v>
      </c>
      <c r="AR938">
        <v>0</v>
      </c>
      <c r="AS938">
        <v>120</v>
      </c>
      <c r="AT938">
        <v>-12</v>
      </c>
      <c r="AU938">
        <v>0</v>
      </c>
      <c r="AW938">
        <v>0</v>
      </c>
      <c r="AX938">
        <v>0</v>
      </c>
      <c r="AY938">
        <v>421.79</v>
      </c>
      <c r="BC938" t="str">
        <f t="shared" si="162"/>
        <v>9791166067563</v>
      </c>
      <c r="BE938" t="str">
        <f t="shared" si="163"/>
        <v>판타지 웹소설 &gt; 현대 판타지</v>
      </c>
    </row>
    <row r="939" spans="1:57" x14ac:dyDescent="0.3">
      <c r="A939">
        <v>2313011400</v>
      </c>
      <c r="B939">
        <v>2313011565</v>
      </c>
      <c r="C939" t="str">
        <f>T("최종 보스 8권 17화")</f>
        <v>최종 보스 8권 17화</v>
      </c>
      <c r="D939" t="str">
        <f>T("166")</f>
        <v>166</v>
      </c>
      <c r="E939" t="str">
        <f t="shared" si="160"/>
        <v>무장</v>
      </c>
      <c r="H939" t="str">
        <f t="shared" si="152"/>
        <v>스토리위즈</v>
      </c>
      <c r="I939" t="str">
        <f t="shared" si="161"/>
        <v>최종 보스 : 빛을 향해 달리는 그림자</v>
      </c>
      <c r="J939">
        <v>100</v>
      </c>
      <c r="K939">
        <v>600</v>
      </c>
      <c r="L939">
        <v>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600</v>
      </c>
      <c r="AH939">
        <v>6</v>
      </c>
      <c r="AI939">
        <v>0</v>
      </c>
      <c r="AJ939">
        <v>0</v>
      </c>
      <c r="AK939">
        <v>400</v>
      </c>
      <c r="AL939">
        <v>0</v>
      </c>
      <c r="AM939">
        <v>240</v>
      </c>
      <c r="AN939">
        <v>-48</v>
      </c>
      <c r="AO939">
        <v>0</v>
      </c>
      <c r="AP939">
        <v>120</v>
      </c>
      <c r="AQ939">
        <v>-36</v>
      </c>
      <c r="AR939">
        <v>0</v>
      </c>
      <c r="AS939">
        <v>120</v>
      </c>
      <c r="AT939">
        <v>-12</v>
      </c>
      <c r="AU939">
        <v>0</v>
      </c>
      <c r="AW939">
        <v>0</v>
      </c>
      <c r="AX939">
        <v>0</v>
      </c>
      <c r="AY939">
        <v>414.4</v>
      </c>
      <c r="BC939" t="str">
        <f t="shared" si="162"/>
        <v>9791166067563</v>
      </c>
      <c r="BE939" t="str">
        <f t="shared" si="163"/>
        <v>판타지 웹소설 &gt; 현대 판타지</v>
      </c>
    </row>
    <row r="940" spans="1:57" x14ac:dyDescent="0.3">
      <c r="A940">
        <v>2313011400</v>
      </c>
      <c r="B940">
        <v>2313011566</v>
      </c>
      <c r="C940" t="str">
        <f>T("최종 보스 8권 18화")</f>
        <v>최종 보스 8권 18화</v>
      </c>
      <c r="D940" t="str">
        <f>T("167")</f>
        <v>167</v>
      </c>
      <c r="E940" t="str">
        <f t="shared" si="160"/>
        <v>무장</v>
      </c>
      <c r="H940" t="str">
        <f t="shared" si="152"/>
        <v>스토리위즈</v>
      </c>
      <c r="I940" t="str">
        <f t="shared" si="161"/>
        <v>최종 보스 : 빛을 향해 달리는 그림자</v>
      </c>
      <c r="J940">
        <v>100</v>
      </c>
      <c r="K940">
        <v>600</v>
      </c>
      <c r="L940">
        <v>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600</v>
      </c>
      <c r="AH940">
        <v>6</v>
      </c>
      <c r="AI940">
        <v>0</v>
      </c>
      <c r="AJ940">
        <v>0</v>
      </c>
      <c r="AK940">
        <v>400</v>
      </c>
      <c r="AL940">
        <v>0</v>
      </c>
      <c r="AM940">
        <v>240</v>
      </c>
      <c r="AN940">
        <v>-48</v>
      </c>
      <c r="AO940">
        <v>0</v>
      </c>
      <c r="AP940">
        <v>120</v>
      </c>
      <c r="AQ940">
        <v>-36</v>
      </c>
      <c r="AR940">
        <v>0</v>
      </c>
      <c r="AS940">
        <v>120</v>
      </c>
      <c r="AT940">
        <v>-12</v>
      </c>
      <c r="AU940">
        <v>0</v>
      </c>
      <c r="AW940">
        <v>0</v>
      </c>
      <c r="AX940">
        <v>0</v>
      </c>
      <c r="AY940">
        <v>414.4</v>
      </c>
      <c r="BC940" t="str">
        <f t="shared" si="162"/>
        <v>9791166067563</v>
      </c>
      <c r="BE940" t="str">
        <f t="shared" si="163"/>
        <v>판타지 웹소설 &gt; 현대 판타지</v>
      </c>
    </row>
    <row r="941" spans="1:57" x14ac:dyDescent="0.3">
      <c r="A941">
        <v>2313011400</v>
      </c>
      <c r="B941">
        <v>2313011567</v>
      </c>
      <c r="C941" t="str">
        <f>T("최종 보스 8권 19화")</f>
        <v>최종 보스 8권 19화</v>
      </c>
      <c r="D941" t="str">
        <f>T("168")</f>
        <v>168</v>
      </c>
      <c r="E941" t="str">
        <f t="shared" si="160"/>
        <v>무장</v>
      </c>
      <c r="H941" t="str">
        <f t="shared" ref="H941:H1004" si="164">T("스토리위즈")</f>
        <v>스토리위즈</v>
      </c>
      <c r="I941" t="str">
        <f t="shared" si="161"/>
        <v>최종 보스 : 빛을 향해 달리는 그림자</v>
      </c>
      <c r="J941">
        <v>100</v>
      </c>
      <c r="K941">
        <v>600</v>
      </c>
      <c r="L941">
        <v>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600</v>
      </c>
      <c r="AH941">
        <v>6</v>
      </c>
      <c r="AI941">
        <v>0</v>
      </c>
      <c r="AJ941">
        <v>0</v>
      </c>
      <c r="AK941">
        <v>400</v>
      </c>
      <c r="AL941">
        <v>0</v>
      </c>
      <c r="AM941">
        <v>240</v>
      </c>
      <c r="AN941">
        <v>-48</v>
      </c>
      <c r="AO941">
        <v>0</v>
      </c>
      <c r="AP941">
        <v>120</v>
      </c>
      <c r="AQ941">
        <v>-36</v>
      </c>
      <c r="AR941">
        <v>0</v>
      </c>
      <c r="AS941">
        <v>120</v>
      </c>
      <c r="AT941">
        <v>-12</v>
      </c>
      <c r="AU941">
        <v>0</v>
      </c>
      <c r="AW941">
        <v>0</v>
      </c>
      <c r="AX941">
        <v>0</v>
      </c>
      <c r="AY941">
        <v>414.4</v>
      </c>
      <c r="BC941" t="str">
        <f t="shared" si="162"/>
        <v>9791166067563</v>
      </c>
      <c r="BE941" t="str">
        <f t="shared" si="163"/>
        <v>판타지 웹소설 &gt; 현대 판타지</v>
      </c>
    </row>
    <row r="942" spans="1:57" x14ac:dyDescent="0.3">
      <c r="A942">
        <v>2313011400</v>
      </c>
      <c r="B942">
        <v>2313011568</v>
      </c>
      <c r="C942" t="str">
        <f>T("최종 보스 8권 20화")</f>
        <v>최종 보스 8권 20화</v>
      </c>
      <c r="D942" t="str">
        <f>T("169")</f>
        <v>169</v>
      </c>
      <c r="E942" t="str">
        <f t="shared" si="160"/>
        <v>무장</v>
      </c>
      <c r="H942" t="str">
        <f t="shared" si="164"/>
        <v>스토리위즈</v>
      </c>
      <c r="I942" t="str">
        <f t="shared" si="161"/>
        <v>최종 보스 : 빛을 향해 달리는 그림자</v>
      </c>
      <c r="J942">
        <v>100</v>
      </c>
      <c r="K942">
        <v>600</v>
      </c>
      <c r="L942">
        <v>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600</v>
      </c>
      <c r="AH942">
        <v>6</v>
      </c>
      <c r="AI942">
        <v>0</v>
      </c>
      <c r="AJ942">
        <v>0</v>
      </c>
      <c r="AK942">
        <v>400</v>
      </c>
      <c r="AL942">
        <v>0</v>
      </c>
      <c r="AM942">
        <v>240</v>
      </c>
      <c r="AN942">
        <v>-48</v>
      </c>
      <c r="AO942">
        <v>0</v>
      </c>
      <c r="AP942">
        <v>120</v>
      </c>
      <c r="AQ942">
        <v>-36</v>
      </c>
      <c r="AR942">
        <v>0</v>
      </c>
      <c r="AS942">
        <v>120</v>
      </c>
      <c r="AT942">
        <v>-12</v>
      </c>
      <c r="AU942">
        <v>0</v>
      </c>
      <c r="AW942">
        <v>0</v>
      </c>
      <c r="AX942">
        <v>0</v>
      </c>
      <c r="AY942">
        <v>414.4</v>
      </c>
      <c r="BC942" t="str">
        <f t="shared" si="162"/>
        <v>9791166067563</v>
      </c>
      <c r="BE942" t="str">
        <f t="shared" si="163"/>
        <v>판타지 웹소설 &gt; 현대 판타지</v>
      </c>
    </row>
    <row r="943" spans="1:57" x14ac:dyDescent="0.3">
      <c r="A943">
        <v>2313011400</v>
      </c>
      <c r="B943">
        <v>2313011569</v>
      </c>
      <c r="C943" t="str">
        <f>T("최종 보스 8권 21화")</f>
        <v>최종 보스 8권 21화</v>
      </c>
      <c r="D943" t="str">
        <f>T("170")</f>
        <v>170</v>
      </c>
      <c r="E943" t="str">
        <f t="shared" si="160"/>
        <v>무장</v>
      </c>
      <c r="H943" t="str">
        <f t="shared" si="164"/>
        <v>스토리위즈</v>
      </c>
      <c r="I943" t="str">
        <f t="shared" si="161"/>
        <v>최종 보스 : 빛을 향해 달리는 그림자</v>
      </c>
      <c r="J943">
        <v>100</v>
      </c>
      <c r="K943">
        <v>600</v>
      </c>
      <c r="L943">
        <v>6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600</v>
      </c>
      <c r="AH943">
        <v>6</v>
      </c>
      <c r="AI943">
        <v>0</v>
      </c>
      <c r="AJ943">
        <v>0</v>
      </c>
      <c r="AK943">
        <v>400</v>
      </c>
      <c r="AL943">
        <v>0</v>
      </c>
      <c r="AM943">
        <v>240</v>
      </c>
      <c r="AN943">
        <v>-48</v>
      </c>
      <c r="AO943">
        <v>0</v>
      </c>
      <c r="AP943">
        <v>120</v>
      </c>
      <c r="AQ943">
        <v>-36</v>
      </c>
      <c r="AR943">
        <v>0</v>
      </c>
      <c r="AS943">
        <v>120</v>
      </c>
      <c r="AT943">
        <v>-12</v>
      </c>
      <c r="AU943">
        <v>0</v>
      </c>
      <c r="AW943">
        <v>0</v>
      </c>
      <c r="AX943">
        <v>0</v>
      </c>
      <c r="AY943">
        <v>414.4</v>
      </c>
      <c r="BC943" t="str">
        <f t="shared" si="162"/>
        <v>9791166067563</v>
      </c>
      <c r="BE943" t="str">
        <f t="shared" si="163"/>
        <v>판타지 웹소설 &gt; 현대 판타지</v>
      </c>
    </row>
    <row r="944" spans="1:57" x14ac:dyDescent="0.3">
      <c r="A944">
        <v>2313011400</v>
      </c>
      <c r="B944">
        <v>2313011570</v>
      </c>
      <c r="C944" t="str">
        <f>T("최종 보스 9권 1화")</f>
        <v>최종 보스 9권 1화</v>
      </c>
      <c r="D944" t="str">
        <f>T("171")</f>
        <v>171</v>
      </c>
      <c r="E944" t="str">
        <f t="shared" si="160"/>
        <v>무장</v>
      </c>
      <c r="H944" t="str">
        <f t="shared" si="164"/>
        <v>스토리위즈</v>
      </c>
      <c r="I944" t="str">
        <f t="shared" si="161"/>
        <v>최종 보스 : 빛을 향해 달리는 그림자</v>
      </c>
      <c r="J944">
        <v>100</v>
      </c>
      <c r="K944">
        <v>600</v>
      </c>
      <c r="L944">
        <v>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600</v>
      </c>
      <c r="AH944">
        <v>6</v>
      </c>
      <c r="AI944">
        <v>0</v>
      </c>
      <c r="AJ944">
        <v>0</v>
      </c>
      <c r="AK944">
        <v>400</v>
      </c>
      <c r="AL944">
        <v>0</v>
      </c>
      <c r="AM944">
        <v>240</v>
      </c>
      <c r="AN944">
        <v>-48</v>
      </c>
      <c r="AO944">
        <v>0</v>
      </c>
      <c r="AP944">
        <v>120</v>
      </c>
      <c r="AQ944">
        <v>-36</v>
      </c>
      <c r="AR944">
        <v>0</v>
      </c>
      <c r="AS944">
        <v>120</v>
      </c>
      <c r="AT944">
        <v>-12</v>
      </c>
      <c r="AU944">
        <v>0</v>
      </c>
      <c r="AW944">
        <v>0</v>
      </c>
      <c r="AX944">
        <v>0</v>
      </c>
      <c r="AY944">
        <v>414.4</v>
      </c>
      <c r="BC944" t="str">
        <f t="shared" si="162"/>
        <v>9791166067563</v>
      </c>
      <c r="BE944" t="str">
        <f t="shared" si="163"/>
        <v>판타지 웹소설 &gt; 현대 판타지</v>
      </c>
    </row>
    <row r="945" spans="1:57" x14ac:dyDescent="0.3">
      <c r="A945">
        <v>2313011400</v>
      </c>
      <c r="B945">
        <v>2313011571</v>
      </c>
      <c r="C945" t="str">
        <f>T("최종 보스 9권 2화")</f>
        <v>최종 보스 9권 2화</v>
      </c>
      <c r="D945" t="str">
        <f>T("172")</f>
        <v>172</v>
      </c>
      <c r="E945" t="str">
        <f t="shared" si="160"/>
        <v>무장</v>
      </c>
      <c r="H945" t="str">
        <f t="shared" si="164"/>
        <v>스토리위즈</v>
      </c>
      <c r="I945" t="str">
        <f t="shared" si="161"/>
        <v>최종 보스 : 빛을 향해 달리는 그림자</v>
      </c>
      <c r="J945">
        <v>100</v>
      </c>
      <c r="K945">
        <v>600</v>
      </c>
      <c r="L945">
        <v>6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600</v>
      </c>
      <c r="AH945">
        <v>6</v>
      </c>
      <c r="AI945">
        <v>0</v>
      </c>
      <c r="AJ945">
        <v>0</v>
      </c>
      <c r="AK945">
        <v>400</v>
      </c>
      <c r="AL945">
        <v>0</v>
      </c>
      <c r="AM945">
        <v>240</v>
      </c>
      <c r="AN945">
        <v>-48</v>
      </c>
      <c r="AO945">
        <v>0</v>
      </c>
      <c r="AP945">
        <v>120</v>
      </c>
      <c r="AQ945">
        <v>-36</v>
      </c>
      <c r="AR945">
        <v>0</v>
      </c>
      <c r="AS945">
        <v>120</v>
      </c>
      <c r="AT945">
        <v>-12</v>
      </c>
      <c r="AU945">
        <v>0</v>
      </c>
      <c r="AW945">
        <v>0</v>
      </c>
      <c r="AX945">
        <v>0</v>
      </c>
      <c r="AY945">
        <v>414.4</v>
      </c>
      <c r="BC945" t="str">
        <f t="shared" si="162"/>
        <v>9791166067563</v>
      </c>
      <c r="BE945" t="str">
        <f t="shared" si="163"/>
        <v>판타지 웹소설 &gt; 현대 판타지</v>
      </c>
    </row>
    <row r="946" spans="1:57" x14ac:dyDescent="0.3">
      <c r="A946">
        <v>2313011400</v>
      </c>
      <c r="B946">
        <v>2313011572</v>
      </c>
      <c r="C946" t="str">
        <f>T("최종 보스 9권 3화")</f>
        <v>최종 보스 9권 3화</v>
      </c>
      <c r="D946" t="str">
        <f>T("173")</f>
        <v>173</v>
      </c>
      <c r="E946" t="str">
        <f t="shared" si="160"/>
        <v>무장</v>
      </c>
      <c r="H946" t="str">
        <f t="shared" si="164"/>
        <v>스토리위즈</v>
      </c>
      <c r="I946" t="str">
        <f t="shared" si="161"/>
        <v>최종 보스 : 빛을 향해 달리는 그림자</v>
      </c>
      <c r="J946">
        <v>100</v>
      </c>
      <c r="K946">
        <v>600</v>
      </c>
      <c r="L946">
        <v>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600</v>
      </c>
      <c r="AH946">
        <v>6</v>
      </c>
      <c r="AI946">
        <v>0</v>
      </c>
      <c r="AJ946">
        <v>0</v>
      </c>
      <c r="AK946">
        <v>400</v>
      </c>
      <c r="AL946">
        <v>0</v>
      </c>
      <c r="AM946">
        <v>240</v>
      </c>
      <c r="AN946">
        <v>-48</v>
      </c>
      <c r="AO946">
        <v>0</v>
      </c>
      <c r="AP946">
        <v>120</v>
      </c>
      <c r="AQ946">
        <v>-36</v>
      </c>
      <c r="AR946">
        <v>0</v>
      </c>
      <c r="AS946">
        <v>120</v>
      </c>
      <c r="AT946">
        <v>-12</v>
      </c>
      <c r="AU946">
        <v>0</v>
      </c>
      <c r="AW946">
        <v>0</v>
      </c>
      <c r="AX946">
        <v>0</v>
      </c>
      <c r="AY946">
        <v>414.4</v>
      </c>
      <c r="BC946" t="str">
        <f t="shared" si="162"/>
        <v>9791166067563</v>
      </c>
      <c r="BE946" t="str">
        <f t="shared" si="163"/>
        <v>판타지 웹소설 &gt; 현대 판타지</v>
      </c>
    </row>
    <row r="947" spans="1:57" x14ac:dyDescent="0.3">
      <c r="A947">
        <v>2313011400</v>
      </c>
      <c r="B947">
        <v>2313011573</v>
      </c>
      <c r="C947" t="str">
        <f>T("최종 보스 9권 4화")</f>
        <v>최종 보스 9권 4화</v>
      </c>
      <c r="D947" t="str">
        <f>T("174")</f>
        <v>174</v>
      </c>
      <c r="E947" t="str">
        <f t="shared" si="160"/>
        <v>무장</v>
      </c>
      <c r="H947" t="str">
        <f t="shared" si="164"/>
        <v>스토리위즈</v>
      </c>
      <c r="I947" t="str">
        <f t="shared" si="161"/>
        <v>최종 보스 : 빛을 향해 달리는 그림자</v>
      </c>
      <c r="J947">
        <v>100</v>
      </c>
      <c r="K947">
        <v>600</v>
      </c>
      <c r="L947">
        <v>6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600</v>
      </c>
      <c r="AH947">
        <v>6</v>
      </c>
      <c r="AI947">
        <v>0</v>
      </c>
      <c r="AJ947">
        <v>0</v>
      </c>
      <c r="AK947">
        <v>400</v>
      </c>
      <c r="AL947">
        <v>0</v>
      </c>
      <c r="AM947">
        <v>240</v>
      </c>
      <c r="AN947">
        <v>-48</v>
      </c>
      <c r="AO947">
        <v>0</v>
      </c>
      <c r="AP947">
        <v>120</v>
      </c>
      <c r="AQ947">
        <v>-36</v>
      </c>
      <c r="AR947">
        <v>0</v>
      </c>
      <c r="AS947">
        <v>120</v>
      </c>
      <c r="AT947">
        <v>-12</v>
      </c>
      <c r="AU947">
        <v>0</v>
      </c>
      <c r="AW947">
        <v>0</v>
      </c>
      <c r="AX947">
        <v>0</v>
      </c>
      <c r="AY947">
        <v>414.4</v>
      </c>
      <c r="BC947" t="str">
        <f t="shared" si="162"/>
        <v>9791166067563</v>
      </c>
      <c r="BE947" t="str">
        <f t="shared" si="163"/>
        <v>판타지 웹소설 &gt; 현대 판타지</v>
      </c>
    </row>
    <row r="948" spans="1:57" x14ac:dyDescent="0.3">
      <c r="A948">
        <v>2313011400</v>
      </c>
      <c r="B948">
        <v>2313011574</v>
      </c>
      <c r="C948" t="str">
        <f>T("최종 보스 9권 5화")</f>
        <v>최종 보스 9권 5화</v>
      </c>
      <c r="D948" t="str">
        <f>T("175")</f>
        <v>175</v>
      </c>
      <c r="E948" t="str">
        <f t="shared" si="160"/>
        <v>무장</v>
      </c>
      <c r="H948" t="str">
        <f t="shared" si="164"/>
        <v>스토리위즈</v>
      </c>
      <c r="I948" t="str">
        <f t="shared" si="161"/>
        <v>최종 보스 : 빛을 향해 달리는 그림자</v>
      </c>
      <c r="J948">
        <v>100</v>
      </c>
      <c r="K948">
        <v>600</v>
      </c>
      <c r="L948">
        <v>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600</v>
      </c>
      <c r="AH948">
        <v>6</v>
      </c>
      <c r="AI948">
        <v>0</v>
      </c>
      <c r="AJ948">
        <v>0</v>
      </c>
      <c r="AK948">
        <v>400</v>
      </c>
      <c r="AL948">
        <v>0</v>
      </c>
      <c r="AM948">
        <v>240</v>
      </c>
      <c r="AN948">
        <v>-48</v>
      </c>
      <c r="AO948">
        <v>0</v>
      </c>
      <c r="AP948">
        <v>120</v>
      </c>
      <c r="AQ948">
        <v>-36</v>
      </c>
      <c r="AR948">
        <v>0</v>
      </c>
      <c r="AS948">
        <v>120</v>
      </c>
      <c r="AT948">
        <v>-12</v>
      </c>
      <c r="AU948">
        <v>0</v>
      </c>
      <c r="AW948">
        <v>0</v>
      </c>
      <c r="AX948">
        <v>0</v>
      </c>
      <c r="AY948">
        <v>414.4</v>
      </c>
      <c r="BC948" t="str">
        <f t="shared" si="162"/>
        <v>9791166067563</v>
      </c>
      <c r="BE948" t="str">
        <f t="shared" si="163"/>
        <v>판타지 웹소설 &gt; 현대 판타지</v>
      </c>
    </row>
    <row r="949" spans="1:57" x14ac:dyDescent="0.3">
      <c r="A949">
        <v>2313011400</v>
      </c>
      <c r="B949">
        <v>2313011575</v>
      </c>
      <c r="C949" t="str">
        <f>T("최종 보스 9권 6화")</f>
        <v>최종 보스 9권 6화</v>
      </c>
      <c r="D949" t="str">
        <f>T("176")</f>
        <v>176</v>
      </c>
      <c r="E949" t="str">
        <f t="shared" si="160"/>
        <v>무장</v>
      </c>
      <c r="H949" t="str">
        <f t="shared" si="164"/>
        <v>스토리위즈</v>
      </c>
      <c r="I949" t="str">
        <f t="shared" si="161"/>
        <v>최종 보스 : 빛을 향해 달리는 그림자</v>
      </c>
      <c r="J949">
        <v>100</v>
      </c>
      <c r="K949">
        <v>600</v>
      </c>
      <c r="L949">
        <v>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600</v>
      </c>
      <c r="AH949">
        <v>6</v>
      </c>
      <c r="AI949">
        <v>0</v>
      </c>
      <c r="AJ949">
        <v>0</v>
      </c>
      <c r="AK949">
        <v>400</v>
      </c>
      <c r="AL949">
        <v>0</v>
      </c>
      <c r="AM949">
        <v>240</v>
      </c>
      <c r="AN949">
        <v>-48</v>
      </c>
      <c r="AO949">
        <v>0</v>
      </c>
      <c r="AP949">
        <v>120</v>
      </c>
      <c r="AQ949">
        <v>-36</v>
      </c>
      <c r="AR949">
        <v>0</v>
      </c>
      <c r="AS949">
        <v>120</v>
      </c>
      <c r="AT949">
        <v>-12</v>
      </c>
      <c r="AU949">
        <v>0</v>
      </c>
      <c r="AW949">
        <v>0</v>
      </c>
      <c r="AX949">
        <v>0</v>
      </c>
      <c r="AY949">
        <v>414.4</v>
      </c>
      <c r="BC949" t="str">
        <f t="shared" si="162"/>
        <v>9791166067563</v>
      </c>
      <c r="BE949" t="str">
        <f t="shared" si="163"/>
        <v>판타지 웹소설 &gt; 현대 판타지</v>
      </c>
    </row>
    <row r="950" spans="1:57" x14ac:dyDescent="0.3">
      <c r="A950">
        <v>2313011400</v>
      </c>
      <c r="B950">
        <v>2313011576</v>
      </c>
      <c r="C950" t="str">
        <f>T("최종 보스 9권 7화")</f>
        <v>최종 보스 9권 7화</v>
      </c>
      <c r="D950" t="str">
        <f>T("177")</f>
        <v>177</v>
      </c>
      <c r="E950" t="str">
        <f t="shared" si="160"/>
        <v>무장</v>
      </c>
      <c r="H950" t="str">
        <f t="shared" si="164"/>
        <v>스토리위즈</v>
      </c>
      <c r="I950" t="str">
        <f t="shared" si="161"/>
        <v>최종 보스 : 빛을 향해 달리는 그림자</v>
      </c>
      <c r="J950">
        <v>100</v>
      </c>
      <c r="K950">
        <v>600</v>
      </c>
      <c r="L950">
        <v>6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600</v>
      </c>
      <c r="AH950">
        <v>6</v>
      </c>
      <c r="AI950">
        <v>0</v>
      </c>
      <c r="AJ950">
        <v>0</v>
      </c>
      <c r="AK950">
        <v>400</v>
      </c>
      <c r="AL950">
        <v>0</v>
      </c>
      <c r="AM950">
        <v>240</v>
      </c>
      <c r="AN950">
        <v>-48</v>
      </c>
      <c r="AO950">
        <v>0</v>
      </c>
      <c r="AP950">
        <v>120</v>
      </c>
      <c r="AQ950">
        <v>-36</v>
      </c>
      <c r="AR950">
        <v>0</v>
      </c>
      <c r="AS950">
        <v>120</v>
      </c>
      <c r="AT950">
        <v>-12</v>
      </c>
      <c r="AU950">
        <v>0</v>
      </c>
      <c r="AW950">
        <v>0</v>
      </c>
      <c r="AX950">
        <v>0</v>
      </c>
      <c r="AY950">
        <v>414.4</v>
      </c>
      <c r="BC950" t="str">
        <f t="shared" si="162"/>
        <v>9791166067563</v>
      </c>
      <c r="BE950" t="str">
        <f t="shared" si="163"/>
        <v>판타지 웹소설 &gt; 현대 판타지</v>
      </c>
    </row>
    <row r="951" spans="1:57" x14ac:dyDescent="0.3">
      <c r="A951">
        <v>2313011400</v>
      </c>
      <c r="B951">
        <v>2313011577</v>
      </c>
      <c r="C951" t="str">
        <f>T("최종 보스 9권 8화")</f>
        <v>최종 보스 9권 8화</v>
      </c>
      <c r="D951" t="str">
        <f>T("178")</f>
        <v>178</v>
      </c>
      <c r="E951" t="str">
        <f t="shared" si="160"/>
        <v>무장</v>
      </c>
      <c r="H951" t="str">
        <f t="shared" si="164"/>
        <v>스토리위즈</v>
      </c>
      <c r="I951" t="str">
        <f t="shared" si="161"/>
        <v>최종 보스 : 빛을 향해 달리는 그림자</v>
      </c>
      <c r="J951">
        <v>100</v>
      </c>
      <c r="K951">
        <v>600</v>
      </c>
      <c r="L951">
        <v>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600</v>
      </c>
      <c r="AH951">
        <v>6</v>
      </c>
      <c r="AI951">
        <v>0</v>
      </c>
      <c r="AJ951">
        <v>0</v>
      </c>
      <c r="AK951">
        <v>400</v>
      </c>
      <c r="AL951">
        <v>0</v>
      </c>
      <c r="AM951">
        <v>240</v>
      </c>
      <c r="AN951">
        <v>-48</v>
      </c>
      <c r="AO951">
        <v>0</v>
      </c>
      <c r="AP951">
        <v>120</v>
      </c>
      <c r="AQ951">
        <v>-36</v>
      </c>
      <c r="AR951">
        <v>0</v>
      </c>
      <c r="AS951">
        <v>120</v>
      </c>
      <c r="AT951">
        <v>-12</v>
      </c>
      <c r="AU951">
        <v>0</v>
      </c>
      <c r="AW951">
        <v>0</v>
      </c>
      <c r="AX951">
        <v>0</v>
      </c>
      <c r="AY951">
        <v>414.4</v>
      </c>
      <c r="BC951" t="str">
        <f t="shared" si="162"/>
        <v>9791166067563</v>
      </c>
      <c r="BE951" t="str">
        <f t="shared" si="163"/>
        <v>판타지 웹소설 &gt; 현대 판타지</v>
      </c>
    </row>
    <row r="952" spans="1:57" x14ac:dyDescent="0.3">
      <c r="A952">
        <v>2313011400</v>
      </c>
      <c r="B952">
        <v>2313011578</v>
      </c>
      <c r="C952" t="str">
        <f>T("최종 보스 9권 9화")</f>
        <v>최종 보스 9권 9화</v>
      </c>
      <c r="D952" t="str">
        <f>T("179")</f>
        <v>179</v>
      </c>
      <c r="E952" t="str">
        <f t="shared" si="160"/>
        <v>무장</v>
      </c>
      <c r="H952" t="str">
        <f t="shared" si="164"/>
        <v>스토리위즈</v>
      </c>
      <c r="I952" t="str">
        <f t="shared" si="161"/>
        <v>최종 보스 : 빛을 향해 달리는 그림자</v>
      </c>
      <c r="J952">
        <v>100</v>
      </c>
      <c r="K952">
        <v>600</v>
      </c>
      <c r="L952">
        <v>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600</v>
      </c>
      <c r="AH952">
        <v>6</v>
      </c>
      <c r="AI952">
        <v>0</v>
      </c>
      <c r="AJ952">
        <v>0</v>
      </c>
      <c r="AK952">
        <v>400</v>
      </c>
      <c r="AL952">
        <v>0</v>
      </c>
      <c r="AM952">
        <v>240</v>
      </c>
      <c r="AN952">
        <v>-48</v>
      </c>
      <c r="AO952">
        <v>0</v>
      </c>
      <c r="AP952">
        <v>120</v>
      </c>
      <c r="AQ952">
        <v>-36</v>
      </c>
      <c r="AR952">
        <v>0</v>
      </c>
      <c r="AS952">
        <v>120</v>
      </c>
      <c r="AT952">
        <v>-12</v>
      </c>
      <c r="AU952">
        <v>0</v>
      </c>
      <c r="AW952">
        <v>0</v>
      </c>
      <c r="AX952">
        <v>0</v>
      </c>
      <c r="AY952">
        <v>414.4</v>
      </c>
      <c r="BC952" t="str">
        <f t="shared" si="162"/>
        <v>9791166067563</v>
      </c>
      <c r="BE952" t="str">
        <f t="shared" si="163"/>
        <v>판타지 웹소설 &gt; 현대 판타지</v>
      </c>
    </row>
    <row r="953" spans="1:57" x14ac:dyDescent="0.3">
      <c r="A953">
        <v>2313011400</v>
      </c>
      <c r="B953">
        <v>2313011579</v>
      </c>
      <c r="C953" t="str">
        <f>T("최종 보스 9권 10화")</f>
        <v>최종 보스 9권 10화</v>
      </c>
      <c r="D953" t="str">
        <f>T("180")</f>
        <v>180</v>
      </c>
      <c r="E953" t="str">
        <f t="shared" si="160"/>
        <v>무장</v>
      </c>
      <c r="H953" t="str">
        <f t="shared" si="164"/>
        <v>스토리위즈</v>
      </c>
      <c r="I953" t="str">
        <f t="shared" si="161"/>
        <v>최종 보스 : 빛을 향해 달리는 그림자</v>
      </c>
      <c r="J953">
        <v>100</v>
      </c>
      <c r="K953">
        <v>600</v>
      </c>
      <c r="L953">
        <v>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600</v>
      </c>
      <c r="AH953">
        <v>6</v>
      </c>
      <c r="AI953">
        <v>0</v>
      </c>
      <c r="AJ953">
        <v>0</v>
      </c>
      <c r="AK953">
        <v>400</v>
      </c>
      <c r="AL953">
        <v>0</v>
      </c>
      <c r="AM953">
        <v>240</v>
      </c>
      <c r="AN953">
        <v>-48</v>
      </c>
      <c r="AO953">
        <v>0</v>
      </c>
      <c r="AP953">
        <v>120</v>
      </c>
      <c r="AQ953">
        <v>-36</v>
      </c>
      <c r="AR953">
        <v>0</v>
      </c>
      <c r="AS953">
        <v>120</v>
      </c>
      <c r="AT953">
        <v>-12</v>
      </c>
      <c r="AU953">
        <v>0</v>
      </c>
      <c r="AW953">
        <v>0</v>
      </c>
      <c r="AX953">
        <v>0</v>
      </c>
      <c r="AY953">
        <v>414.4</v>
      </c>
      <c r="BC953" t="str">
        <f t="shared" si="162"/>
        <v>9791166067563</v>
      </c>
      <c r="BE953" t="str">
        <f t="shared" si="163"/>
        <v>판타지 웹소설 &gt; 현대 판타지</v>
      </c>
    </row>
    <row r="954" spans="1:57" x14ac:dyDescent="0.3">
      <c r="A954">
        <v>2313011400</v>
      </c>
      <c r="B954">
        <v>2313011580</v>
      </c>
      <c r="C954" t="str">
        <f>T("최종 보스 9권 11화")</f>
        <v>최종 보스 9권 11화</v>
      </c>
      <c r="D954" t="str">
        <f>T("181")</f>
        <v>181</v>
      </c>
      <c r="E954" t="str">
        <f t="shared" si="160"/>
        <v>무장</v>
      </c>
      <c r="H954" t="str">
        <f t="shared" si="164"/>
        <v>스토리위즈</v>
      </c>
      <c r="I954" t="str">
        <f t="shared" si="161"/>
        <v>최종 보스 : 빛을 향해 달리는 그림자</v>
      </c>
      <c r="J954">
        <v>100</v>
      </c>
      <c r="K954">
        <v>600</v>
      </c>
      <c r="L954">
        <v>6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600</v>
      </c>
      <c r="AH954">
        <v>6</v>
      </c>
      <c r="AI954">
        <v>0</v>
      </c>
      <c r="AJ954">
        <v>0</v>
      </c>
      <c r="AK954">
        <v>400</v>
      </c>
      <c r="AL954">
        <v>0</v>
      </c>
      <c r="AM954">
        <v>240</v>
      </c>
      <c r="AN954">
        <v>-48</v>
      </c>
      <c r="AO954">
        <v>0</v>
      </c>
      <c r="AP954">
        <v>120</v>
      </c>
      <c r="AQ954">
        <v>-36</v>
      </c>
      <c r="AR954">
        <v>0</v>
      </c>
      <c r="AS954">
        <v>120</v>
      </c>
      <c r="AT954">
        <v>-12</v>
      </c>
      <c r="AU954">
        <v>0</v>
      </c>
      <c r="AW954">
        <v>0</v>
      </c>
      <c r="AX954">
        <v>0</v>
      </c>
      <c r="AY954">
        <v>414.4</v>
      </c>
      <c r="BC954" t="str">
        <f t="shared" si="162"/>
        <v>9791166067563</v>
      </c>
      <c r="BE954" t="str">
        <f t="shared" si="163"/>
        <v>판타지 웹소설 &gt; 현대 판타지</v>
      </c>
    </row>
    <row r="955" spans="1:57" x14ac:dyDescent="0.3">
      <c r="A955">
        <v>2313011400</v>
      </c>
      <c r="B955">
        <v>2313011581</v>
      </c>
      <c r="C955" t="str">
        <f>T("최종 보스 9권 12화")</f>
        <v>최종 보스 9권 12화</v>
      </c>
      <c r="D955" t="str">
        <f>T("182")</f>
        <v>182</v>
      </c>
      <c r="E955" t="str">
        <f t="shared" si="160"/>
        <v>무장</v>
      </c>
      <c r="H955" t="str">
        <f t="shared" si="164"/>
        <v>스토리위즈</v>
      </c>
      <c r="I955" t="str">
        <f t="shared" si="161"/>
        <v>최종 보스 : 빛을 향해 달리는 그림자</v>
      </c>
      <c r="J955">
        <v>100</v>
      </c>
      <c r="K955">
        <v>600</v>
      </c>
      <c r="L955">
        <v>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600</v>
      </c>
      <c r="AH955">
        <v>6</v>
      </c>
      <c r="AI955">
        <v>0</v>
      </c>
      <c r="AJ955">
        <v>0</v>
      </c>
      <c r="AK955">
        <v>400</v>
      </c>
      <c r="AL955">
        <v>0</v>
      </c>
      <c r="AM955">
        <v>240</v>
      </c>
      <c r="AN955">
        <v>-48</v>
      </c>
      <c r="AO955">
        <v>0</v>
      </c>
      <c r="AP955">
        <v>120</v>
      </c>
      <c r="AQ955">
        <v>-36</v>
      </c>
      <c r="AR955">
        <v>0</v>
      </c>
      <c r="AS955">
        <v>120</v>
      </c>
      <c r="AT955">
        <v>-12</v>
      </c>
      <c r="AU955">
        <v>0</v>
      </c>
      <c r="AW955">
        <v>0</v>
      </c>
      <c r="AX955">
        <v>0</v>
      </c>
      <c r="AY955">
        <v>414.4</v>
      </c>
      <c r="BC955" t="str">
        <f t="shared" si="162"/>
        <v>9791166067563</v>
      </c>
      <c r="BE955" t="str">
        <f t="shared" si="163"/>
        <v>판타지 웹소설 &gt; 현대 판타지</v>
      </c>
    </row>
    <row r="956" spans="1:57" x14ac:dyDescent="0.3">
      <c r="A956">
        <v>2313011400</v>
      </c>
      <c r="B956">
        <v>2313011582</v>
      </c>
      <c r="C956" t="str">
        <f>T("최종 보스 9권 13화")</f>
        <v>최종 보스 9권 13화</v>
      </c>
      <c r="D956" t="str">
        <f>T("183")</f>
        <v>183</v>
      </c>
      <c r="E956" t="str">
        <f t="shared" si="160"/>
        <v>무장</v>
      </c>
      <c r="H956" t="str">
        <f t="shared" si="164"/>
        <v>스토리위즈</v>
      </c>
      <c r="I956" t="str">
        <f t="shared" si="161"/>
        <v>최종 보스 : 빛을 향해 달리는 그림자</v>
      </c>
      <c r="J956">
        <v>100</v>
      </c>
      <c r="K956">
        <v>600</v>
      </c>
      <c r="L956">
        <v>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600</v>
      </c>
      <c r="AH956">
        <v>6</v>
      </c>
      <c r="AI956">
        <v>0</v>
      </c>
      <c r="AJ956">
        <v>0</v>
      </c>
      <c r="AK956">
        <v>400</v>
      </c>
      <c r="AL956">
        <v>0</v>
      </c>
      <c r="AM956">
        <v>240</v>
      </c>
      <c r="AN956">
        <v>-48</v>
      </c>
      <c r="AO956">
        <v>0</v>
      </c>
      <c r="AP956">
        <v>120</v>
      </c>
      <c r="AQ956">
        <v>-36</v>
      </c>
      <c r="AR956">
        <v>0</v>
      </c>
      <c r="AS956">
        <v>120</v>
      </c>
      <c r="AT956">
        <v>-12</v>
      </c>
      <c r="AU956">
        <v>0</v>
      </c>
      <c r="AW956">
        <v>0</v>
      </c>
      <c r="AX956">
        <v>0</v>
      </c>
      <c r="AY956">
        <v>414.4</v>
      </c>
      <c r="BC956" t="str">
        <f t="shared" si="162"/>
        <v>9791166067563</v>
      </c>
      <c r="BE956" t="str">
        <f t="shared" si="163"/>
        <v>판타지 웹소설 &gt; 현대 판타지</v>
      </c>
    </row>
    <row r="957" spans="1:57" x14ac:dyDescent="0.3">
      <c r="A957">
        <v>2313011400</v>
      </c>
      <c r="B957">
        <v>2313011583</v>
      </c>
      <c r="C957" t="str">
        <f>T("최종 보스 9권 14화")</f>
        <v>최종 보스 9권 14화</v>
      </c>
      <c r="D957" t="str">
        <f>T("184")</f>
        <v>184</v>
      </c>
      <c r="E957" t="str">
        <f t="shared" si="160"/>
        <v>무장</v>
      </c>
      <c r="H957" t="str">
        <f t="shared" si="164"/>
        <v>스토리위즈</v>
      </c>
      <c r="I957" t="str">
        <f t="shared" si="161"/>
        <v>최종 보스 : 빛을 향해 달리는 그림자</v>
      </c>
      <c r="J957">
        <v>100</v>
      </c>
      <c r="K957">
        <v>600</v>
      </c>
      <c r="L957">
        <v>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600</v>
      </c>
      <c r="AH957">
        <v>6</v>
      </c>
      <c r="AI957">
        <v>0</v>
      </c>
      <c r="AJ957">
        <v>0</v>
      </c>
      <c r="AK957">
        <v>400</v>
      </c>
      <c r="AL957">
        <v>0</v>
      </c>
      <c r="AM957">
        <v>240</v>
      </c>
      <c r="AN957">
        <v>-48</v>
      </c>
      <c r="AO957">
        <v>0</v>
      </c>
      <c r="AP957">
        <v>120</v>
      </c>
      <c r="AQ957">
        <v>-36</v>
      </c>
      <c r="AR957">
        <v>0</v>
      </c>
      <c r="AS957">
        <v>120</v>
      </c>
      <c r="AT957">
        <v>-12</v>
      </c>
      <c r="AU957">
        <v>0</v>
      </c>
      <c r="AW957">
        <v>0</v>
      </c>
      <c r="AX957">
        <v>0</v>
      </c>
      <c r="AY957">
        <v>414.4</v>
      </c>
      <c r="BC957" t="str">
        <f t="shared" si="162"/>
        <v>9791166067563</v>
      </c>
      <c r="BE957" t="str">
        <f t="shared" si="163"/>
        <v>판타지 웹소설 &gt; 현대 판타지</v>
      </c>
    </row>
    <row r="958" spans="1:57" x14ac:dyDescent="0.3">
      <c r="A958">
        <v>2313011400</v>
      </c>
      <c r="B958">
        <v>2313011584</v>
      </c>
      <c r="C958" t="str">
        <f>T("최종 보스 9권 15화")</f>
        <v>최종 보스 9권 15화</v>
      </c>
      <c r="D958" t="str">
        <f>T("185")</f>
        <v>185</v>
      </c>
      <c r="E958" t="str">
        <f t="shared" si="160"/>
        <v>무장</v>
      </c>
      <c r="H958" t="str">
        <f t="shared" si="164"/>
        <v>스토리위즈</v>
      </c>
      <c r="I958" t="str">
        <f t="shared" si="161"/>
        <v>최종 보스 : 빛을 향해 달리는 그림자</v>
      </c>
      <c r="J958">
        <v>100</v>
      </c>
      <c r="K958">
        <v>600</v>
      </c>
      <c r="L958">
        <v>6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600</v>
      </c>
      <c r="AH958">
        <v>6</v>
      </c>
      <c r="AI958">
        <v>0</v>
      </c>
      <c r="AJ958">
        <v>0</v>
      </c>
      <c r="AK958">
        <v>400</v>
      </c>
      <c r="AL958">
        <v>0</v>
      </c>
      <c r="AM958">
        <v>240</v>
      </c>
      <c r="AN958">
        <v>-48</v>
      </c>
      <c r="AO958">
        <v>0</v>
      </c>
      <c r="AP958">
        <v>120</v>
      </c>
      <c r="AQ958">
        <v>-36</v>
      </c>
      <c r="AR958">
        <v>0</v>
      </c>
      <c r="AS958">
        <v>120</v>
      </c>
      <c r="AT958">
        <v>-12</v>
      </c>
      <c r="AU958">
        <v>0</v>
      </c>
      <c r="AW958">
        <v>0</v>
      </c>
      <c r="AX958">
        <v>0</v>
      </c>
      <c r="AY958">
        <v>414.4</v>
      </c>
      <c r="BC958" t="str">
        <f t="shared" si="162"/>
        <v>9791166067563</v>
      </c>
      <c r="BE958" t="str">
        <f t="shared" si="163"/>
        <v>판타지 웹소설 &gt; 현대 판타지</v>
      </c>
    </row>
    <row r="959" spans="1:57" x14ac:dyDescent="0.3">
      <c r="A959">
        <v>2313011400</v>
      </c>
      <c r="B959">
        <v>2313011585</v>
      </c>
      <c r="C959" t="str">
        <f>T("최종 보스 9권 16화")</f>
        <v>최종 보스 9권 16화</v>
      </c>
      <c r="D959" t="str">
        <f>T("186")</f>
        <v>186</v>
      </c>
      <c r="E959" t="str">
        <f t="shared" ref="E959:E1022" si="165">T("무장")</f>
        <v>무장</v>
      </c>
      <c r="H959" t="str">
        <f t="shared" si="164"/>
        <v>스토리위즈</v>
      </c>
      <c r="I959" t="str">
        <f t="shared" ref="I959:I1022" si="166">T("최종 보스 : 빛을 향해 달리는 그림자")</f>
        <v>최종 보스 : 빛을 향해 달리는 그림자</v>
      </c>
      <c r="J959">
        <v>100</v>
      </c>
      <c r="K959">
        <v>600</v>
      </c>
      <c r="L959">
        <v>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600</v>
      </c>
      <c r="AH959">
        <v>6</v>
      </c>
      <c r="AI959">
        <v>0</v>
      </c>
      <c r="AJ959">
        <v>0</v>
      </c>
      <c r="AK959">
        <v>400</v>
      </c>
      <c r="AL959">
        <v>0</v>
      </c>
      <c r="AM959">
        <v>240</v>
      </c>
      <c r="AN959">
        <v>-48</v>
      </c>
      <c r="AO959">
        <v>0</v>
      </c>
      <c r="AP959">
        <v>120</v>
      </c>
      <c r="AQ959">
        <v>-36</v>
      </c>
      <c r="AR959">
        <v>0</v>
      </c>
      <c r="AS959">
        <v>120</v>
      </c>
      <c r="AT959">
        <v>-12</v>
      </c>
      <c r="AU959">
        <v>0</v>
      </c>
      <c r="AW959">
        <v>0</v>
      </c>
      <c r="AX959">
        <v>0</v>
      </c>
      <c r="AY959">
        <v>414.4</v>
      </c>
      <c r="BC959" t="str">
        <f t="shared" ref="BC959:BC1022" si="167">T("9791166067563")</f>
        <v>9791166067563</v>
      </c>
      <c r="BE959" t="str">
        <f t="shared" ref="BE959:BE1022" si="168">T("판타지 웹소설 &gt; 현대 판타지")</f>
        <v>판타지 웹소설 &gt; 현대 판타지</v>
      </c>
    </row>
    <row r="960" spans="1:57" x14ac:dyDescent="0.3">
      <c r="A960">
        <v>2313011400</v>
      </c>
      <c r="B960">
        <v>2313011586</v>
      </c>
      <c r="C960" t="str">
        <f>T("최종 보스 9권 17화")</f>
        <v>최종 보스 9권 17화</v>
      </c>
      <c r="D960" t="str">
        <f>T("187")</f>
        <v>187</v>
      </c>
      <c r="E960" t="str">
        <f t="shared" si="165"/>
        <v>무장</v>
      </c>
      <c r="H960" t="str">
        <f t="shared" si="164"/>
        <v>스토리위즈</v>
      </c>
      <c r="I960" t="str">
        <f t="shared" si="166"/>
        <v>최종 보스 : 빛을 향해 달리는 그림자</v>
      </c>
      <c r="J960">
        <v>100</v>
      </c>
      <c r="K960">
        <v>600</v>
      </c>
      <c r="L960">
        <v>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600</v>
      </c>
      <c r="AH960">
        <v>6</v>
      </c>
      <c r="AI960">
        <v>0</v>
      </c>
      <c r="AJ960">
        <v>0</v>
      </c>
      <c r="AK960">
        <v>400</v>
      </c>
      <c r="AL960">
        <v>0</v>
      </c>
      <c r="AM960">
        <v>240</v>
      </c>
      <c r="AN960">
        <v>-48</v>
      </c>
      <c r="AO960">
        <v>0</v>
      </c>
      <c r="AP960">
        <v>120</v>
      </c>
      <c r="AQ960">
        <v>-36</v>
      </c>
      <c r="AR960">
        <v>0</v>
      </c>
      <c r="AS960">
        <v>120</v>
      </c>
      <c r="AT960">
        <v>-12</v>
      </c>
      <c r="AU960">
        <v>0</v>
      </c>
      <c r="AW960">
        <v>0</v>
      </c>
      <c r="AX960">
        <v>0</v>
      </c>
      <c r="AY960">
        <v>414.4</v>
      </c>
      <c r="BC960" t="str">
        <f t="shared" si="167"/>
        <v>9791166067563</v>
      </c>
      <c r="BE960" t="str">
        <f t="shared" si="168"/>
        <v>판타지 웹소설 &gt; 현대 판타지</v>
      </c>
    </row>
    <row r="961" spans="1:57" x14ac:dyDescent="0.3">
      <c r="A961">
        <v>2313011400</v>
      </c>
      <c r="B961">
        <v>2313011587</v>
      </c>
      <c r="C961" t="str">
        <f>T("최종 보스 9권 18화")</f>
        <v>최종 보스 9권 18화</v>
      </c>
      <c r="D961" t="str">
        <f>T("188")</f>
        <v>188</v>
      </c>
      <c r="E961" t="str">
        <f t="shared" si="165"/>
        <v>무장</v>
      </c>
      <c r="H961" t="str">
        <f t="shared" si="164"/>
        <v>스토리위즈</v>
      </c>
      <c r="I961" t="str">
        <f t="shared" si="166"/>
        <v>최종 보스 : 빛을 향해 달리는 그림자</v>
      </c>
      <c r="J961">
        <v>100</v>
      </c>
      <c r="K961">
        <v>600</v>
      </c>
      <c r="L961">
        <v>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600</v>
      </c>
      <c r="AH961">
        <v>6</v>
      </c>
      <c r="AI961">
        <v>0</v>
      </c>
      <c r="AJ961">
        <v>0</v>
      </c>
      <c r="AK961">
        <v>400</v>
      </c>
      <c r="AL961">
        <v>0</v>
      </c>
      <c r="AM961">
        <v>240</v>
      </c>
      <c r="AN961">
        <v>-48</v>
      </c>
      <c r="AO961">
        <v>0</v>
      </c>
      <c r="AP961">
        <v>120</v>
      </c>
      <c r="AQ961">
        <v>-36</v>
      </c>
      <c r="AR961">
        <v>0</v>
      </c>
      <c r="AS961">
        <v>120</v>
      </c>
      <c r="AT961">
        <v>-12</v>
      </c>
      <c r="AU961">
        <v>0</v>
      </c>
      <c r="AW961">
        <v>0</v>
      </c>
      <c r="AX961">
        <v>0</v>
      </c>
      <c r="AY961">
        <v>414.4</v>
      </c>
      <c r="BC961" t="str">
        <f t="shared" si="167"/>
        <v>9791166067563</v>
      </c>
      <c r="BE961" t="str">
        <f t="shared" si="168"/>
        <v>판타지 웹소설 &gt; 현대 판타지</v>
      </c>
    </row>
    <row r="962" spans="1:57" x14ac:dyDescent="0.3">
      <c r="A962">
        <v>2313011400</v>
      </c>
      <c r="B962">
        <v>2313011588</v>
      </c>
      <c r="C962" t="str">
        <f>T("최종 보스 9권 19화")</f>
        <v>최종 보스 9권 19화</v>
      </c>
      <c r="D962" t="str">
        <f>T("189")</f>
        <v>189</v>
      </c>
      <c r="E962" t="str">
        <f t="shared" si="165"/>
        <v>무장</v>
      </c>
      <c r="H962" t="str">
        <f t="shared" si="164"/>
        <v>스토리위즈</v>
      </c>
      <c r="I962" t="str">
        <f t="shared" si="166"/>
        <v>최종 보스 : 빛을 향해 달리는 그림자</v>
      </c>
      <c r="J962">
        <v>100</v>
      </c>
      <c r="K962">
        <v>600</v>
      </c>
      <c r="L962">
        <v>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600</v>
      </c>
      <c r="AH962">
        <v>6</v>
      </c>
      <c r="AI962">
        <v>0</v>
      </c>
      <c r="AJ962">
        <v>0</v>
      </c>
      <c r="AK962">
        <v>400</v>
      </c>
      <c r="AL962">
        <v>0</v>
      </c>
      <c r="AM962">
        <v>240</v>
      </c>
      <c r="AN962">
        <v>-48</v>
      </c>
      <c r="AO962">
        <v>0</v>
      </c>
      <c r="AP962">
        <v>120</v>
      </c>
      <c r="AQ962">
        <v>-36</v>
      </c>
      <c r="AR962">
        <v>0</v>
      </c>
      <c r="AS962">
        <v>120</v>
      </c>
      <c r="AT962">
        <v>-12</v>
      </c>
      <c r="AU962">
        <v>0</v>
      </c>
      <c r="AW962">
        <v>0</v>
      </c>
      <c r="AX962">
        <v>0</v>
      </c>
      <c r="AY962">
        <v>414.4</v>
      </c>
      <c r="BC962" t="str">
        <f t="shared" si="167"/>
        <v>9791166067563</v>
      </c>
      <c r="BE962" t="str">
        <f t="shared" si="168"/>
        <v>판타지 웹소설 &gt; 현대 판타지</v>
      </c>
    </row>
    <row r="963" spans="1:57" x14ac:dyDescent="0.3">
      <c r="A963">
        <v>2313011400</v>
      </c>
      <c r="B963">
        <v>2313011589</v>
      </c>
      <c r="C963" t="str">
        <f>T("최종 보스 9권 20화")</f>
        <v>최종 보스 9권 20화</v>
      </c>
      <c r="D963" t="str">
        <f>T("190")</f>
        <v>190</v>
      </c>
      <c r="E963" t="str">
        <f t="shared" si="165"/>
        <v>무장</v>
      </c>
      <c r="H963" t="str">
        <f t="shared" si="164"/>
        <v>스토리위즈</v>
      </c>
      <c r="I963" t="str">
        <f t="shared" si="166"/>
        <v>최종 보스 : 빛을 향해 달리는 그림자</v>
      </c>
      <c r="J963">
        <v>100</v>
      </c>
      <c r="K963">
        <v>600</v>
      </c>
      <c r="L963">
        <v>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600</v>
      </c>
      <c r="AH963">
        <v>6</v>
      </c>
      <c r="AI963">
        <v>0</v>
      </c>
      <c r="AJ963">
        <v>0</v>
      </c>
      <c r="AK963">
        <v>400</v>
      </c>
      <c r="AL963">
        <v>0</v>
      </c>
      <c r="AM963">
        <v>240</v>
      </c>
      <c r="AN963">
        <v>-48</v>
      </c>
      <c r="AO963">
        <v>0</v>
      </c>
      <c r="AP963">
        <v>120</v>
      </c>
      <c r="AQ963">
        <v>-36</v>
      </c>
      <c r="AR963">
        <v>0</v>
      </c>
      <c r="AS963">
        <v>120</v>
      </c>
      <c r="AT963">
        <v>-12</v>
      </c>
      <c r="AU963">
        <v>0</v>
      </c>
      <c r="AW963">
        <v>0</v>
      </c>
      <c r="AX963">
        <v>0</v>
      </c>
      <c r="AY963">
        <v>414.4</v>
      </c>
      <c r="BC963" t="str">
        <f t="shared" si="167"/>
        <v>9791166067563</v>
      </c>
      <c r="BE963" t="str">
        <f t="shared" si="168"/>
        <v>판타지 웹소설 &gt; 현대 판타지</v>
      </c>
    </row>
    <row r="964" spans="1:57" x14ac:dyDescent="0.3">
      <c r="A964">
        <v>2313011400</v>
      </c>
      <c r="B964">
        <v>2313011590</v>
      </c>
      <c r="C964" t="str">
        <f>T("최종 보스 10권 1화")</f>
        <v>최종 보스 10권 1화</v>
      </c>
      <c r="D964" t="str">
        <f>T("191")</f>
        <v>191</v>
      </c>
      <c r="E964" t="str">
        <f t="shared" si="165"/>
        <v>무장</v>
      </c>
      <c r="H964" t="str">
        <f t="shared" si="164"/>
        <v>스토리위즈</v>
      </c>
      <c r="I964" t="str">
        <f t="shared" si="166"/>
        <v>최종 보스 : 빛을 향해 달리는 그림자</v>
      </c>
      <c r="J964">
        <v>100</v>
      </c>
      <c r="K964">
        <v>600</v>
      </c>
      <c r="L964">
        <v>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600</v>
      </c>
      <c r="AH964">
        <v>6</v>
      </c>
      <c r="AI964">
        <v>0</v>
      </c>
      <c r="AJ964">
        <v>0</v>
      </c>
      <c r="AK964">
        <v>400</v>
      </c>
      <c r="AL964">
        <v>0</v>
      </c>
      <c r="AM964">
        <v>240</v>
      </c>
      <c r="AN964">
        <v>-48</v>
      </c>
      <c r="AO964">
        <v>0</v>
      </c>
      <c r="AP964">
        <v>120</v>
      </c>
      <c r="AQ964">
        <v>-36</v>
      </c>
      <c r="AR964">
        <v>0</v>
      </c>
      <c r="AS964">
        <v>120</v>
      </c>
      <c r="AT964">
        <v>-12</v>
      </c>
      <c r="AU964">
        <v>0</v>
      </c>
      <c r="AW964">
        <v>0</v>
      </c>
      <c r="AX964">
        <v>0</v>
      </c>
      <c r="AY964">
        <v>414.4</v>
      </c>
      <c r="BC964" t="str">
        <f t="shared" si="167"/>
        <v>9791166067563</v>
      </c>
      <c r="BE964" t="str">
        <f t="shared" si="168"/>
        <v>판타지 웹소설 &gt; 현대 판타지</v>
      </c>
    </row>
    <row r="965" spans="1:57" x14ac:dyDescent="0.3">
      <c r="A965">
        <v>2313011400</v>
      </c>
      <c r="B965">
        <v>2313011591</v>
      </c>
      <c r="C965" t="str">
        <f>T("최종 보스 10권 2화")</f>
        <v>최종 보스 10권 2화</v>
      </c>
      <c r="D965" t="str">
        <f>T("192")</f>
        <v>192</v>
      </c>
      <c r="E965" t="str">
        <f t="shared" si="165"/>
        <v>무장</v>
      </c>
      <c r="H965" t="str">
        <f t="shared" si="164"/>
        <v>스토리위즈</v>
      </c>
      <c r="I965" t="str">
        <f t="shared" si="166"/>
        <v>최종 보스 : 빛을 향해 달리는 그림자</v>
      </c>
      <c r="J965">
        <v>100</v>
      </c>
      <c r="K965">
        <v>600</v>
      </c>
      <c r="L965">
        <v>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600</v>
      </c>
      <c r="AH965">
        <v>6</v>
      </c>
      <c r="AI965">
        <v>0</v>
      </c>
      <c r="AJ965">
        <v>0</v>
      </c>
      <c r="AK965">
        <v>400</v>
      </c>
      <c r="AL965">
        <v>0</v>
      </c>
      <c r="AM965">
        <v>240</v>
      </c>
      <c r="AN965">
        <v>-48</v>
      </c>
      <c r="AO965">
        <v>0</v>
      </c>
      <c r="AP965">
        <v>120</v>
      </c>
      <c r="AQ965">
        <v>-36</v>
      </c>
      <c r="AR965">
        <v>0</v>
      </c>
      <c r="AS965">
        <v>120</v>
      </c>
      <c r="AT965">
        <v>-12</v>
      </c>
      <c r="AU965">
        <v>0</v>
      </c>
      <c r="AW965">
        <v>0</v>
      </c>
      <c r="AX965">
        <v>0</v>
      </c>
      <c r="AY965">
        <v>414.4</v>
      </c>
      <c r="BC965" t="str">
        <f t="shared" si="167"/>
        <v>9791166067563</v>
      </c>
      <c r="BE965" t="str">
        <f t="shared" si="168"/>
        <v>판타지 웹소설 &gt; 현대 판타지</v>
      </c>
    </row>
    <row r="966" spans="1:57" x14ac:dyDescent="0.3">
      <c r="A966">
        <v>2313011400</v>
      </c>
      <c r="B966">
        <v>2313011592</v>
      </c>
      <c r="C966" t="str">
        <f>T("최종 보스 10권 3화")</f>
        <v>최종 보스 10권 3화</v>
      </c>
      <c r="D966" t="str">
        <f>T("193")</f>
        <v>193</v>
      </c>
      <c r="E966" t="str">
        <f t="shared" si="165"/>
        <v>무장</v>
      </c>
      <c r="H966" t="str">
        <f t="shared" si="164"/>
        <v>스토리위즈</v>
      </c>
      <c r="I966" t="str">
        <f t="shared" si="166"/>
        <v>최종 보스 : 빛을 향해 달리는 그림자</v>
      </c>
      <c r="J966">
        <v>100</v>
      </c>
      <c r="K966">
        <v>600</v>
      </c>
      <c r="L966">
        <v>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600</v>
      </c>
      <c r="AH966">
        <v>6</v>
      </c>
      <c r="AI966">
        <v>0</v>
      </c>
      <c r="AJ966">
        <v>0</v>
      </c>
      <c r="AK966">
        <v>400</v>
      </c>
      <c r="AL966">
        <v>0</v>
      </c>
      <c r="AM966">
        <v>240</v>
      </c>
      <c r="AN966">
        <v>-48</v>
      </c>
      <c r="AO966">
        <v>0</v>
      </c>
      <c r="AP966">
        <v>120</v>
      </c>
      <c r="AQ966">
        <v>-36</v>
      </c>
      <c r="AR966">
        <v>0</v>
      </c>
      <c r="AS966">
        <v>120</v>
      </c>
      <c r="AT966">
        <v>-12</v>
      </c>
      <c r="AU966">
        <v>0</v>
      </c>
      <c r="AW966">
        <v>0</v>
      </c>
      <c r="AX966">
        <v>0</v>
      </c>
      <c r="AY966">
        <v>414.4</v>
      </c>
      <c r="BC966" t="str">
        <f t="shared" si="167"/>
        <v>9791166067563</v>
      </c>
      <c r="BE966" t="str">
        <f t="shared" si="168"/>
        <v>판타지 웹소설 &gt; 현대 판타지</v>
      </c>
    </row>
    <row r="967" spans="1:57" x14ac:dyDescent="0.3">
      <c r="A967">
        <v>2313011400</v>
      </c>
      <c r="B967">
        <v>2313011593</v>
      </c>
      <c r="C967" t="str">
        <f>T("최종 보스 10권 4화")</f>
        <v>최종 보스 10권 4화</v>
      </c>
      <c r="D967" t="str">
        <f>T("194")</f>
        <v>194</v>
      </c>
      <c r="E967" t="str">
        <f t="shared" si="165"/>
        <v>무장</v>
      </c>
      <c r="H967" t="str">
        <f t="shared" si="164"/>
        <v>스토리위즈</v>
      </c>
      <c r="I967" t="str">
        <f t="shared" si="166"/>
        <v>최종 보스 : 빛을 향해 달리는 그림자</v>
      </c>
      <c r="J967">
        <v>100</v>
      </c>
      <c r="K967">
        <v>600</v>
      </c>
      <c r="L967">
        <v>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600</v>
      </c>
      <c r="AH967">
        <v>6</v>
      </c>
      <c r="AI967">
        <v>0</v>
      </c>
      <c r="AJ967">
        <v>0</v>
      </c>
      <c r="AK967">
        <v>400</v>
      </c>
      <c r="AL967">
        <v>0</v>
      </c>
      <c r="AM967">
        <v>240</v>
      </c>
      <c r="AN967">
        <v>-48</v>
      </c>
      <c r="AO967">
        <v>0</v>
      </c>
      <c r="AP967">
        <v>120</v>
      </c>
      <c r="AQ967">
        <v>-36</v>
      </c>
      <c r="AR967">
        <v>0</v>
      </c>
      <c r="AS967">
        <v>120</v>
      </c>
      <c r="AT967">
        <v>-12</v>
      </c>
      <c r="AU967">
        <v>0</v>
      </c>
      <c r="AW967">
        <v>0</v>
      </c>
      <c r="AX967">
        <v>0</v>
      </c>
      <c r="AY967">
        <v>414.4</v>
      </c>
      <c r="BC967" t="str">
        <f t="shared" si="167"/>
        <v>9791166067563</v>
      </c>
      <c r="BE967" t="str">
        <f t="shared" si="168"/>
        <v>판타지 웹소설 &gt; 현대 판타지</v>
      </c>
    </row>
    <row r="968" spans="1:57" x14ac:dyDescent="0.3">
      <c r="A968">
        <v>2313011400</v>
      </c>
      <c r="B968">
        <v>2313011594</v>
      </c>
      <c r="C968" t="str">
        <f>T("최종 보스 10권 5화")</f>
        <v>최종 보스 10권 5화</v>
      </c>
      <c r="D968" t="str">
        <f>T("195")</f>
        <v>195</v>
      </c>
      <c r="E968" t="str">
        <f t="shared" si="165"/>
        <v>무장</v>
      </c>
      <c r="H968" t="str">
        <f t="shared" si="164"/>
        <v>스토리위즈</v>
      </c>
      <c r="I968" t="str">
        <f t="shared" si="166"/>
        <v>최종 보스 : 빛을 향해 달리는 그림자</v>
      </c>
      <c r="J968">
        <v>100</v>
      </c>
      <c r="K968">
        <v>600</v>
      </c>
      <c r="L968">
        <v>6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600</v>
      </c>
      <c r="AH968">
        <v>6</v>
      </c>
      <c r="AI968">
        <v>0</v>
      </c>
      <c r="AJ968">
        <v>0</v>
      </c>
      <c r="AK968">
        <v>400</v>
      </c>
      <c r="AL968">
        <v>0</v>
      </c>
      <c r="AM968">
        <v>240</v>
      </c>
      <c r="AN968">
        <v>-48</v>
      </c>
      <c r="AO968">
        <v>0</v>
      </c>
      <c r="AP968">
        <v>120</v>
      </c>
      <c r="AQ968">
        <v>-36</v>
      </c>
      <c r="AR968">
        <v>0</v>
      </c>
      <c r="AS968">
        <v>120</v>
      </c>
      <c r="AT968">
        <v>-12</v>
      </c>
      <c r="AU968">
        <v>0</v>
      </c>
      <c r="AW968">
        <v>0</v>
      </c>
      <c r="AX968">
        <v>0</v>
      </c>
      <c r="AY968">
        <v>414.4</v>
      </c>
      <c r="BC968" t="str">
        <f t="shared" si="167"/>
        <v>9791166067563</v>
      </c>
      <c r="BE968" t="str">
        <f t="shared" si="168"/>
        <v>판타지 웹소설 &gt; 현대 판타지</v>
      </c>
    </row>
    <row r="969" spans="1:57" x14ac:dyDescent="0.3">
      <c r="A969">
        <v>2313011400</v>
      </c>
      <c r="B969">
        <v>2313011595</v>
      </c>
      <c r="C969" t="str">
        <f>T("최종 보스 10권 6화")</f>
        <v>최종 보스 10권 6화</v>
      </c>
      <c r="D969" t="str">
        <f>T("196")</f>
        <v>196</v>
      </c>
      <c r="E969" t="str">
        <f t="shared" si="165"/>
        <v>무장</v>
      </c>
      <c r="H969" t="str">
        <f t="shared" si="164"/>
        <v>스토리위즈</v>
      </c>
      <c r="I969" t="str">
        <f t="shared" si="166"/>
        <v>최종 보스 : 빛을 향해 달리는 그림자</v>
      </c>
      <c r="J969">
        <v>100</v>
      </c>
      <c r="K969">
        <v>600</v>
      </c>
      <c r="L969">
        <v>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600</v>
      </c>
      <c r="AH969">
        <v>6</v>
      </c>
      <c r="AI969">
        <v>0</v>
      </c>
      <c r="AJ969">
        <v>0</v>
      </c>
      <c r="AK969">
        <v>400</v>
      </c>
      <c r="AL969">
        <v>0</v>
      </c>
      <c r="AM969">
        <v>240</v>
      </c>
      <c r="AN969">
        <v>-48</v>
      </c>
      <c r="AO969">
        <v>0</v>
      </c>
      <c r="AP969">
        <v>120</v>
      </c>
      <c r="AQ969">
        <v>-36</v>
      </c>
      <c r="AR969">
        <v>0</v>
      </c>
      <c r="AS969">
        <v>120</v>
      </c>
      <c r="AT969">
        <v>-12</v>
      </c>
      <c r="AU969">
        <v>0</v>
      </c>
      <c r="AW969">
        <v>0</v>
      </c>
      <c r="AX969">
        <v>0</v>
      </c>
      <c r="AY969">
        <v>414.4</v>
      </c>
      <c r="BC969" t="str">
        <f t="shared" si="167"/>
        <v>9791166067563</v>
      </c>
      <c r="BE969" t="str">
        <f t="shared" si="168"/>
        <v>판타지 웹소설 &gt; 현대 판타지</v>
      </c>
    </row>
    <row r="970" spans="1:57" x14ac:dyDescent="0.3">
      <c r="A970">
        <v>2313011400</v>
      </c>
      <c r="B970">
        <v>2313011596</v>
      </c>
      <c r="C970" t="str">
        <f>T("최종 보스 10권 7화")</f>
        <v>최종 보스 10권 7화</v>
      </c>
      <c r="D970" t="str">
        <f>T("197")</f>
        <v>197</v>
      </c>
      <c r="E970" t="str">
        <f t="shared" si="165"/>
        <v>무장</v>
      </c>
      <c r="H970" t="str">
        <f t="shared" si="164"/>
        <v>스토리위즈</v>
      </c>
      <c r="I970" t="str">
        <f t="shared" si="166"/>
        <v>최종 보스 : 빛을 향해 달리는 그림자</v>
      </c>
      <c r="J970">
        <v>100</v>
      </c>
      <c r="K970">
        <v>600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600</v>
      </c>
      <c r="AH970">
        <v>6</v>
      </c>
      <c r="AI970">
        <v>0</v>
      </c>
      <c r="AJ970">
        <v>0</v>
      </c>
      <c r="AK970">
        <v>400</v>
      </c>
      <c r="AL970">
        <v>0</v>
      </c>
      <c r="AM970">
        <v>240</v>
      </c>
      <c r="AN970">
        <v>-48</v>
      </c>
      <c r="AO970">
        <v>0</v>
      </c>
      <c r="AP970">
        <v>120</v>
      </c>
      <c r="AQ970">
        <v>-36</v>
      </c>
      <c r="AR970">
        <v>0</v>
      </c>
      <c r="AS970">
        <v>120</v>
      </c>
      <c r="AT970">
        <v>-12</v>
      </c>
      <c r="AU970">
        <v>0</v>
      </c>
      <c r="AW970">
        <v>0</v>
      </c>
      <c r="AX970">
        <v>0</v>
      </c>
      <c r="AY970">
        <v>414.4</v>
      </c>
      <c r="BC970" t="str">
        <f t="shared" si="167"/>
        <v>9791166067563</v>
      </c>
      <c r="BE970" t="str">
        <f t="shared" si="168"/>
        <v>판타지 웹소설 &gt; 현대 판타지</v>
      </c>
    </row>
    <row r="971" spans="1:57" x14ac:dyDescent="0.3">
      <c r="A971">
        <v>2313011400</v>
      </c>
      <c r="B971">
        <v>2313011597</v>
      </c>
      <c r="C971" t="str">
        <f>T("최종 보스 10권 8화")</f>
        <v>최종 보스 10권 8화</v>
      </c>
      <c r="D971" t="str">
        <f>T("198")</f>
        <v>198</v>
      </c>
      <c r="E971" t="str">
        <f t="shared" si="165"/>
        <v>무장</v>
      </c>
      <c r="H971" t="str">
        <f t="shared" si="164"/>
        <v>스토리위즈</v>
      </c>
      <c r="I971" t="str">
        <f t="shared" si="166"/>
        <v>최종 보스 : 빛을 향해 달리는 그림자</v>
      </c>
      <c r="J971">
        <v>100</v>
      </c>
      <c r="K971">
        <v>600</v>
      </c>
      <c r="L971">
        <v>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600</v>
      </c>
      <c r="AH971">
        <v>6</v>
      </c>
      <c r="AI971">
        <v>0</v>
      </c>
      <c r="AJ971">
        <v>0</v>
      </c>
      <c r="AK971">
        <v>400</v>
      </c>
      <c r="AL971">
        <v>0</v>
      </c>
      <c r="AM971">
        <v>240</v>
      </c>
      <c r="AN971">
        <v>-48</v>
      </c>
      <c r="AO971">
        <v>0</v>
      </c>
      <c r="AP971">
        <v>120</v>
      </c>
      <c r="AQ971">
        <v>-36</v>
      </c>
      <c r="AR971">
        <v>0</v>
      </c>
      <c r="AS971">
        <v>120</v>
      </c>
      <c r="AT971">
        <v>-12</v>
      </c>
      <c r="AU971">
        <v>0</v>
      </c>
      <c r="AW971">
        <v>0</v>
      </c>
      <c r="AX971">
        <v>0</v>
      </c>
      <c r="AY971">
        <v>414.4</v>
      </c>
      <c r="BC971" t="str">
        <f t="shared" si="167"/>
        <v>9791166067563</v>
      </c>
      <c r="BE971" t="str">
        <f t="shared" si="168"/>
        <v>판타지 웹소설 &gt; 현대 판타지</v>
      </c>
    </row>
    <row r="972" spans="1:57" x14ac:dyDescent="0.3">
      <c r="A972">
        <v>2313011400</v>
      </c>
      <c r="B972">
        <v>2313011598</v>
      </c>
      <c r="C972" t="str">
        <f>T("최종 보스 10권 9화")</f>
        <v>최종 보스 10권 9화</v>
      </c>
      <c r="D972" t="str">
        <f>T("199")</f>
        <v>199</v>
      </c>
      <c r="E972" t="str">
        <f t="shared" si="165"/>
        <v>무장</v>
      </c>
      <c r="H972" t="str">
        <f t="shared" si="164"/>
        <v>스토리위즈</v>
      </c>
      <c r="I972" t="str">
        <f t="shared" si="166"/>
        <v>최종 보스 : 빛을 향해 달리는 그림자</v>
      </c>
      <c r="J972">
        <v>100</v>
      </c>
      <c r="K972">
        <v>600</v>
      </c>
      <c r="L972">
        <v>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600</v>
      </c>
      <c r="AH972">
        <v>6</v>
      </c>
      <c r="AI972">
        <v>0</v>
      </c>
      <c r="AJ972">
        <v>0</v>
      </c>
      <c r="AK972">
        <v>400</v>
      </c>
      <c r="AL972">
        <v>0</v>
      </c>
      <c r="AM972">
        <v>240</v>
      </c>
      <c r="AN972">
        <v>-48</v>
      </c>
      <c r="AO972">
        <v>0</v>
      </c>
      <c r="AP972">
        <v>120</v>
      </c>
      <c r="AQ972">
        <v>-36</v>
      </c>
      <c r="AR972">
        <v>0</v>
      </c>
      <c r="AS972">
        <v>120</v>
      </c>
      <c r="AT972">
        <v>-12</v>
      </c>
      <c r="AU972">
        <v>0</v>
      </c>
      <c r="AW972">
        <v>0</v>
      </c>
      <c r="AX972">
        <v>0</v>
      </c>
      <c r="AY972">
        <v>414.4</v>
      </c>
      <c r="BC972" t="str">
        <f t="shared" si="167"/>
        <v>9791166067563</v>
      </c>
      <c r="BE972" t="str">
        <f t="shared" si="168"/>
        <v>판타지 웹소설 &gt; 현대 판타지</v>
      </c>
    </row>
    <row r="973" spans="1:57" x14ac:dyDescent="0.3">
      <c r="A973">
        <v>2313011400</v>
      </c>
      <c r="B973">
        <v>2313011599</v>
      </c>
      <c r="C973" t="str">
        <f>T("최종 보스 10권 10화")</f>
        <v>최종 보스 10권 10화</v>
      </c>
      <c r="D973" t="str">
        <f>T("200")</f>
        <v>200</v>
      </c>
      <c r="E973" t="str">
        <f t="shared" si="165"/>
        <v>무장</v>
      </c>
      <c r="H973" t="str">
        <f t="shared" si="164"/>
        <v>스토리위즈</v>
      </c>
      <c r="I973" t="str">
        <f t="shared" si="166"/>
        <v>최종 보스 : 빛을 향해 달리는 그림자</v>
      </c>
      <c r="J973">
        <v>100</v>
      </c>
      <c r="K973">
        <v>600</v>
      </c>
      <c r="L973">
        <v>6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600</v>
      </c>
      <c r="AH973">
        <v>6</v>
      </c>
      <c r="AI973">
        <v>0</v>
      </c>
      <c r="AJ973">
        <v>0</v>
      </c>
      <c r="AK973">
        <v>400</v>
      </c>
      <c r="AL973">
        <v>0</v>
      </c>
      <c r="AM973">
        <v>240</v>
      </c>
      <c r="AN973">
        <v>-48</v>
      </c>
      <c r="AO973">
        <v>0</v>
      </c>
      <c r="AP973">
        <v>120</v>
      </c>
      <c r="AQ973">
        <v>-36</v>
      </c>
      <c r="AR973">
        <v>0</v>
      </c>
      <c r="AS973">
        <v>120</v>
      </c>
      <c r="AT973">
        <v>-12</v>
      </c>
      <c r="AU973">
        <v>0</v>
      </c>
      <c r="AW973">
        <v>0</v>
      </c>
      <c r="AX973">
        <v>0</v>
      </c>
      <c r="AY973">
        <v>414.4</v>
      </c>
      <c r="BC973" t="str">
        <f t="shared" si="167"/>
        <v>9791166067563</v>
      </c>
      <c r="BE973" t="str">
        <f t="shared" si="168"/>
        <v>판타지 웹소설 &gt; 현대 판타지</v>
      </c>
    </row>
    <row r="974" spans="1:57" x14ac:dyDescent="0.3">
      <c r="A974">
        <v>2313011400</v>
      </c>
      <c r="B974">
        <v>2313011600</v>
      </c>
      <c r="C974" t="str">
        <f>T("최종 보스 10권 11화")</f>
        <v>최종 보스 10권 11화</v>
      </c>
      <c r="D974" t="str">
        <f>T("201")</f>
        <v>201</v>
      </c>
      <c r="E974" t="str">
        <f t="shared" si="165"/>
        <v>무장</v>
      </c>
      <c r="H974" t="str">
        <f t="shared" si="164"/>
        <v>스토리위즈</v>
      </c>
      <c r="I974" t="str">
        <f t="shared" si="166"/>
        <v>최종 보스 : 빛을 향해 달리는 그림자</v>
      </c>
      <c r="J974">
        <v>100</v>
      </c>
      <c r="K974">
        <v>600</v>
      </c>
      <c r="L974">
        <v>6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600</v>
      </c>
      <c r="AH974">
        <v>6</v>
      </c>
      <c r="AI974">
        <v>0</v>
      </c>
      <c r="AJ974">
        <v>0</v>
      </c>
      <c r="AK974">
        <v>400</v>
      </c>
      <c r="AL974">
        <v>0</v>
      </c>
      <c r="AM974">
        <v>240</v>
      </c>
      <c r="AN974">
        <v>-48</v>
      </c>
      <c r="AO974">
        <v>0</v>
      </c>
      <c r="AP974">
        <v>120</v>
      </c>
      <c r="AQ974">
        <v>-36</v>
      </c>
      <c r="AR974">
        <v>0</v>
      </c>
      <c r="AS974">
        <v>120</v>
      </c>
      <c r="AT974">
        <v>-12</v>
      </c>
      <c r="AU974">
        <v>0</v>
      </c>
      <c r="AW974">
        <v>0</v>
      </c>
      <c r="AX974">
        <v>0</v>
      </c>
      <c r="AY974">
        <v>414.4</v>
      </c>
      <c r="BC974" t="str">
        <f t="shared" si="167"/>
        <v>9791166067563</v>
      </c>
      <c r="BE974" t="str">
        <f t="shared" si="168"/>
        <v>판타지 웹소설 &gt; 현대 판타지</v>
      </c>
    </row>
    <row r="975" spans="1:57" x14ac:dyDescent="0.3">
      <c r="A975">
        <v>2313011400</v>
      </c>
      <c r="B975">
        <v>2313011601</v>
      </c>
      <c r="C975" t="str">
        <f>T("최종 보스 10권 12화")</f>
        <v>최종 보스 10권 12화</v>
      </c>
      <c r="D975" t="str">
        <f>T("202")</f>
        <v>202</v>
      </c>
      <c r="E975" t="str">
        <f t="shared" si="165"/>
        <v>무장</v>
      </c>
      <c r="H975" t="str">
        <f t="shared" si="164"/>
        <v>스토리위즈</v>
      </c>
      <c r="I975" t="str">
        <f t="shared" si="166"/>
        <v>최종 보스 : 빛을 향해 달리는 그림자</v>
      </c>
      <c r="J975">
        <v>100</v>
      </c>
      <c r="K975">
        <v>600</v>
      </c>
      <c r="L975">
        <v>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600</v>
      </c>
      <c r="AH975">
        <v>6</v>
      </c>
      <c r="AI975">
        <v>0</v>
      </c>
      <c r="AJ975">
        <v>0</v>
      </c>
      <c r="AK975">
        <v>400</v>
      </c>
      <c r="AL975">
        <v>0</v>
      </c>
      <c r="AM975">
        <v>240</v>
      </c>
      <c r="AN975">
        <v>-48</v>
      </c>
      <c r="AO975">
        <v>0</v>
      </c>
      <c r="AP975">
        <v>120</v>
      </c>
      <c r="AQ975">
        <v>-36</v>
      </c>
      <c r="AR975">
        <v>0</v>
      </c>
      <c r="AS975">
        <v>120</v>
      </c>
      <c r="AT975">
        <v>-12</v>
      </c>
      <c r="AU975">
        <v>0</v>
      </c>
      <c r="AW975">
        <v>0</v>
      </c>
      <c r="AX975">
        <v>0</v>
      </c>
      <c r="AY975">
        <v>414.4</v>
      </c>
      <c r="BC975" t="str">
        <f t="shared" si="167"/>
        <v>9791166067563</v>
      </c>
      <c r="BE975" t="str">
        <f t="shared" si="168"/>
        <v>판타지 웹소설 &gt; 현대 판타지</v>
      </c>
    </row>
    <row r="976" spans="1:57" x14ac:dyDescent="0.3">
      <c r="A976">
        <v>2313011400</v>
      </c>
      <c r="B976">
        <v>2313011602</v>
      </c>
      <c r="C976" t="str">
        <f>T("최종 보스 10권 13화")</f>
        <v>최종 보스 10권 13화</v>
      </c>
      <c r="D976" t="str">
        <f>T("203")</f>
        <v>203</v>
      </c>
      <c r="E976" t="str">
        <f t="shared" si="165"/>
        <v>무장</v>
      </c>
      <c r="H976" t="str">
        <f t="shared" si="164"/>
        <v>스토리위즈</v>
      </c>
      <c r="I976" t="str">
        <f t="shared" si="166"/>
        <v>최종 보스 : 빛을 향해 달리는 그림자</v>
      </c>
      <c r="J976">
        <v>100</v>
      </c>
      <c r="K976">
        <v>600</v>
      </c>
      <c r="L976">
        <v>6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600</v>
      </c>
      <c r="AH976">
        <v>6</v>
      </c>
      <c r="AI976">
        <v>0</v>
      </c>
      <c r="AJ976">
        <v>0</v>
      </c>
      <c r="AK976">
        <v>400</v>
      </c>
      <c r="AL976">
        <v>0</v>
      </c>
      <c r="AM976">
        <v>240</v>
      </c>
      <c r="AN976">
        <v>-48</v>
      </c>
      <c r="AO976">
        <v>0</v>
      </c>
      <c r="AP976">
        <v>120</v>
      </c>
      <c r="AQ976">
        <v>-36</v>
      </c>
      <c r="AR976">
        <v>0</v>
      </c>
      <c r="AS976">
        <v>120</v>
      </c>
      <c r="AT976">
        <v>-12</v>
      </c>
      <c r="AU976">
        <v>0</v>
      </c>
      <c r="AW976">
        <v>0</v>
      </c>
      <c r="AX976">
        <v>0</v>
      </c>
      <c r="AY976">
        <v>414.4</v>
      </c>
      <c r="BC976" t="str">
        <f t="shared" si="167"/>
        <v>9791166067563</v>
      </c>
      <c r="BE976" t="str">
        <f t="shared" si="168"/>
        <v>판타지 웹소설 &gt; 현대 판타지</v>
      </c>
    </row>
    <row r="977" spans="1:57" x14ac:dyDescent="0.3">
      <c r="A977">
        <v>2313011400</v>
      </c>
      <c r="B977">
        <v>2313011603</v>
      </c>
      <c r="C977" t="str">
        <f>T("최종 보스 10권 14화")</f>
        <v>최종 보스 10권 14화</v>
      </c>
      <c r="D977" t="str">
        <f>T("204")</f>
        <v>204</v>
      </c>
      <c r="E977" t="str">
        <f t="shared" si="165"/>
        <v>무장</v>
      </c>
      <c r="H977" t="str">
        <f t="shared" si="164"/>
        <v>스토리위즈</v>
      </c>
      <c r="I977" t="str">
        <f t="shared" si="166"/>
        <v>최종 보스 : 빛을 향해 달리는 그림자</v>
      </c>
      <c r="J977">
        <v>100</v>
      </c>
      <c r="K977">
        <v>600</v>
      </c>
      <c r="L977">
        <v>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600</v>
      </c>
      <c r="AH977">
        <v>6</v>
      </c>
      <c r="AI977">
        <v>0</v>
      </c>
      <c r="AJ977">
        <v>0</v>
      </c>
      <c r="AK977">
        <v>400</v>
      </c>
      <c r="AL977">
        <v>0</v>
      </c>
      <c r="AM977">
        <v>240</v>
      </c>
      <c r="AN977">
        <v>-48</v>
      </c>
      <c r="AO977">
        <v>0</v>
      </c>
      <c r="AP977">
        <v>120</v>
      </c>
      <c r="AQ977">
        <v>-36</v>
      </c>
      <c r="AR977">
        <v>0</v>
      </c>
      <c r="AS977">
        <v>120</v>
      </c>
      <c r="AT977">
        <v>-12</v>
      </c>
      <c r="AU977">
        <v>0</v>
      </c>
      <c r="AW977">
        <v>0</v>
      </c>
      <c r="AX977">
        <v>0</v>
      </c>
      <c r="AY977">
        <v>414.4</v>
      </c>
      <c r="BC977" t="str">
        <f t="shared" si="167"/>
        <v>9791166067563</v>
      </c>
      <c r="BE977" t="str">
        <f t="shared" si="168"/>
        <v>판타지 웹소설 &gt; 현대 판타지</v>
      </c>
    </row>
    <row r="978" spans="1:57" x14ac:dyDescent="0.3">
      <c r="A978">
        <v>2313011400</v>
      </c>
      <c r="B978">
        <v>2313011605</v>
      </c>
      <c r="C978" t="str">
        <f>T("최종 보스 10권 16화")</f>
        <v>최종 보스 10권 16화</v>
      </c>
      <c r="D978" t="str">
        <f>T("206")</f>
        <v>206</v>
      </c>
      <c r="E978" t="str">
        <f t="shared" si="165"/>
        <v>무장</v>
      </c>
      <c r="H978" t="str">
        <f t="shared" si="164"/>
        <v>스토리위즈</v>
      </c>
      <c r="I978" t="str">
        <f t="shared" si="166"/>
        <v>최종 보스 : 빛을 향해 달리는 그림자</v>
      </c>
      <c r="J978">
        <v>100</v>
      </c>
      <c r="K978">
        <v>600</v>
      </c>
      <c r="L978">
        <v>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600</v>
      </c>
      <c r="AH978">
        <v>6</v>
      </c>
      <c r="AI978">
        <v>0</v>
      </c>
      <c r="AJ978">
        <v>0</v>
      </c>
      <c r="AK978">
        <v>400</v>
      </c>
      <c r="AL978">
        <v>0</v>
      </c>
      <c r="AM978">
        <v>240</v>
      </c>
      <c r="AN978">
        <v>-48</v>
      </c>
      <c r="AO978">
        <v>0</v>
      </c>
      <c r="AP978">
        <v>120</v>
      </c>
      <c r="AQ978">
        <v>-36</v>
      </c>
      <c r="AR978">
        <v>0</v>
      </c>
      <c r="AS978">
        <v>120</v>
      </c>
      <c r="AT978">
        <v>-12</v>
      </c>
      <c r="AU978">
        <v>0</v>
      </c>
      <c r="AW978">
        <v>0</v>
      </c>
      <c r="AX978">
        <v>0</v>
      </c>
      <c r="AY978">
        <v>414.4</v>
      </c>
      <c r="BC978" t="str">
        <f t="shared" si="167"/>
        <v>9791166067563</v>
      </c>
      <c r="BE978" t="str">
        <f t="shared" si="168"/>
        <v>판타지 웹소설 &gt; 현대 판타지</v>
      </c>
    </row>
    <row r="979" spans="1:57" x14ac:dyDescent="0.3">
      <c r="A979">
        <v>2313011400</v>
      </c>
      <c r="B979">
        <v>2313011606</v>
      </c>
      <c r="C979" t="str">
        <f>T("최종 보스 10권 17화")</f>
        <v>최종 보스 10권 17화</v>
      </c>
      <c r="D979" t="str">
        <f>T("207")</f>
        <v>207</v>
      </c>
      <c r="E979" t="str">
        <f t="shared" si="165"/>
        <v>무장</v>
      </c>
      <c r="H979" t="str">
        <f t="shared" si="164"/>
        <v>스토리위즈</v>
      </c>
      <c r="I979" t="str">
        <f t="shared" si="166"/>
        <v>최종 보스 : 빛을 향해 달리는 그림자</v>
      </c>
      <c r="J979">
        <v>100</v>
      </c>
      <c r="K979">
        <v>600</v>
      </c>
      <c r="L979">
        <v>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600</v>
      </c>
      <c r="AH979">
        <v>6</v>
      </c>
      <c r="AI979">
        <v>0</v>
      </c>
      <c r="AJ979">
        <v>0</v>
      </c>
      <c r="AK979">
        <v>400</v>
      </c>
      <c r="AL979">
        <v>0</v>
      </c>
      <c r="AM979">
        <v>240</v>
      </c>
      <c r="AN979">
        <v>-48</v>
      </c>
      <c r="AO979">
        <v>0</v>
      </c>
      <c r="AP979">
        <v>120</v>
      </c>
      <c r="AQ979">
        <v>-36</v>
      </c>
      <c r="AR979">
        <v>0</v>
      </c>
      <c r="AS979">
        <v>120</v>
      </c>
      <c r="AT979">
        <v>-12</v>
      </c>
      <c r="AU979">
        <v>0</v>
      </c>
      <c r="AW979">
        <v>0</v>
      </c>
      <c r="AX979">
        <v>0</v>
      </c>
      <c r="AY979">
        <v>414.4</v>
      </c>
      <c r="BC979" t="str">
        <f t="shared" si="167"/>
        <v>9791166067563</v>
      </c>
      <c r="BE979" t="str">
        <f t="shared" si="168"/>
        <v>판타지 웹소설 &gt; 현대 판타지</v>
      </c>
    </row>
    <row r="980" spans="1:57" x14ac:dyDescent="0.3">
      <c r="A980">
        <v>2313011400</v>
      </c>
      <c r="B980">
        <v>2313011607</v>
      </c>
      <c r="C980" t="str">
        <f>T("최종 보스 10권 18화")</f>
        <v>최종 보스 10권 18화</v>
      </c>
      <c r="D980" t="str">
        <f>T("208")</f>
        <v>208</v>
      </c>
      <c r="E980" t="str">
        <f t="shared" si="165"/>
        <v>무장</v>
      </c>
      <c r="H980" t="str">
        <f t="shared" si="164"/>
        <v>스토리위즈</v>
      </c>
      <c r="I980" t="str">
        <f t="shared" si="166"/>
        <v>최종 보스 : 빛을 향해 달리는 그림자</v>
      </c>
      <c r="J980">
        <v>100</v>
      </c>
      <c r="K980">
        <v>600</v>
      </c>
      <c r="L980">
        <v>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600</v>
      </c>
      <c r="AH980">
        <v>6</v>
      </c>
      <c r="AI980">
        <v>0</v>
      </c>
      <c r="AJ980">
        <v>0</v>
      </c>
      <c r="AK980">
        <v>400</v>
      </c>
      <c r="AL980">
        <v>0</v>
      </c>
      <c r="AM980">
        <v>240</v>
      </c>
      <c r="AN980">
        <v>-48</v>
      </c>
      <c r="AO980">
        <v>0</v>
      </c>
      <c r="AP980">
        <v>120</v>
      </c>
      <c r="AQ980">
        <v>-36</v>
      </c>
      <c r="AR980">
        <v>0</v>
      </c>
      <c r="AS980">
        <v>120</v>
      </c>
      <c r="AT980">
        <v>-12</v>
      </c>
      <c r="AU980">
        <v>0</v>
      </c>
      <c r="AW980">
        <v>0</v>
      </c>
      <c r="AX980">
        <v>0</v>
      </c>
      <c r="AY980">
        <v>414.4</v>
      </c>
      <c r="BC980" t="str">
        <f t="shared" si="167"/>
        <v>9791166067563</v>
      </c>
      <c r="BE980" t="str">
        <f t="shared" si="168"/>
        <v>판타지 웹소설 &gt; 현대 판타지</v>
      </c>
    </row>
    <row r="981" spans="1:57" x14ac:dyDescent="0.3">
      <c r="A981">
        <v>2313011400</v>
      </c>
      <c r="B981">
        <v>2313011608</v>
      </c>
      <c r="C981" t="str">
        <f>T("최종 보스 10권 19화")</f>
        <v>최종 보스 10권 19화</v>
      </c>
      <c r="D981" t="str">
        <f>T("209")</f>
        <v>209</v>
      </c>
      <c r="E981" t="str">
        <f t="shared" si="165"/>
        <v>무장</v>
      </c>
      <c r="H981" t="str">
        <f t="shared" si="164"/>
        <v>스토리위즈</v>
      </c>
      <c r="I981" t="str">
        <f t="shared" si="166"/>
        <v>최종 보스 : 빛을 향해 달리는 그림자</v>
      </c>
      <c r="J981">
        <v>100</v>
      </c>
      <c r="K981">
        <v>600</v>
      </c>
      <c r="L981">
        <v>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600</v>
      </c>
      <c r="AH981">
        <v>6</v>
      </c>
      <c r="AI981">
        <v>0</v>
      </c>
      <c r="AJ981">
        <v>0</v>
      </c>
      <c r="AK981">
        <v>400</v>
      </c>
      <c r="AL981">
        <v>0</v>
      </c>
      <c r="AM981">
        <v>240</v>
      </c>
      <c r="AN981">
        <v>-48</v>
      </c>
      <c r="AO981">
        <v>0</v>
      </c>
      <c r="AP981">
        <v>120</v>
      </c>
      <c r="AQ981">
        <v>-36</v>
      </c>
      <c r="AR981">
        <v>0</v>
      </c>
      <c r="AS981">
        <v>120</v>
      </c>
      <c r="AT981">
        <v>-12</v>
      </c>
      <c r="AU981">
        <v>0</v>
      </c>
      <c r="AW981">
        <v>0</v>
      </c>
      <c r="AX981">
        <v>0</v>
      </c>
      <c r="AY981">
        <v>414.4</v>
      </c>
      <c r="BC981" t="str">
        <f t="shared" si="167"/>
        <v>9791166067563</v>
      </c>
      <c r="BE981" t="str">
        <f t="shared" si="168"/>
        <v>판타지 웹소설 &gt; 현대 판타지</v>
      </c>
    </row>
    <row r="982" spans="1:57" x14ac:dyDescent="0.3">
      <c r="A982">
        <v>2313011400</v>
      </c>
      <c r="B982">
        <v>2313011609</v>
      </c>
      <c r="C982" t="str">
        <f>T("최종 보스 10권 20화")</f>
        <v>최종 보스 10권 20화</v>
      </c>
      <c r="D982" t="str">
        <f>T("210")</f>
        <v>210</v>
      </c>
      <c r="E982" t="str">
        <f t="shared" si="165"/>
        <v>무장</v>
      </c>
      <c r="H982" t="str">
        <f t="shared" si="164"/>
        <v>스토리위즈</v>
      </c>
      <c r="I982" t="str">
        <f t="shared" si="166"/>
        <v>최종 보스 : 빛을 향해 달리는 그림자</v>
      </c>
      <c r="J982">
        <v>100</v>
      </c>
      <c r="K982">
        <v>600</v>
      </c>
      <c r="L982">
        <v>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600</v>
      </c>
      <c r="AH982">
        <v>6</v>
      </c>
      <c r="AI982">
        <v>0</v>
      </c>
      <c r="AJ982">
        <v>0</v>
      </c>
      <c r="AK982">
        <v>400</v>
      </c>
      <c r="AL982">
        <v>0</v>
      </c>
      <c r="AM982">
        <v>240</v>
      </c>
      <c r="AN982">
        <v>-48</v>
      </c>
      <c r="AO982">
        <v>0</v>
      </c>
      <c r="AP982">
        <v>120</v>
      </c>
      <c r="AQ982">
        <v>-36</v>
      </c>
      <c r="AR982">
        <v>0</v>
      </c>
      <c r="AS982">
        <v>120</v>
      </c>
      <c r="AT982">
        <v>-12</v>
      </c>
      <c r="AU982">
        <v>0</v>
      </c>
      <c r="AW982">
        <v>0</v>
      </c>
      <c r="AX982">
        <v>0</v>
      </c>
      <c r="AY982">
        <v>414.4</v>
      </c>
      <c r="BC982" t="str">
        <f t="shared" si="167"/>
        <v>9791166067563</v>
      </c>
      <c r="BE982" t="str">
        <f t="shared" si="168"/>
        <v>판타지 웹소설 &gt; 현대 판타지</v>
      </c>
    </row>
    <row r="983" spans="1:57" x14ac:dyDescent="0.3">
      <c r="A983">
        <v>2313011400</v>
      </c>
      <c r="B983">
        <v>2313011610</v>
      </c>
      <c r="C983" t="str">
        <f>T("최종 보스 10권 21화")</f>
        <v>최종 보스 10권 21화</v>
      </c>
      <c r="D983" t="str">
        <f>T("211")</f>
        <v>211</v>
      </c>
      <c r="E983" t="str">
        <f t="shared" si="165"/>
        <v>무장</v>
      </c>
      <c r="H983" t="str">
        <f t="shared" si="164"/>
        <v>스토리위즈</v>
      </c>
      <c r="I983" t="str">
        <f t="shared" si="166"/>
        <v>최종 보스 : 빛을 향해 달리는 그림자</v>
      </c>
      <c r="J983">
        <v>100</v>
      </c>
      <c r="K983">
        <v>600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600</v>
      </c>
      <c r="AH983">
        <v>6</v>
      </c>
      <c r="AI983">
        <v>0</v>
      </c>
      <c r="AJ983">
        <v>0</v>
      </c>
      <c r="AK983">
        <v>400</v>
      </c>
      <c r="AL983">
        <v>0</v>
      </c>
      <c r="AM983">
        <v>240</v>
      </c>
      <c r="AN983">
        <v>-48</v>
      </c>
      <c r="AO983">
        <v>0</v>
      </c>
      <c r="AP983">
        <v>120</v>
      </c>
      <c r="AQ983">
        <v>-36</v>
      </c>
      <c r="AR983">
        <v>0</v>
      </c>
      <c r="AS983">
        <v>120</v>
      </c>
      <c r="AT983">
        <v>-12</v>
      </c>
      <c r="AU983">
        <v>0</v>
      </c>
      <c r="AW983">
        <v>0</v>
      </c>
      <c r="AX983">
        <v>0</v>
      </c>
      <c r="AY983">
        <v>414.4</v>
      </c>
      <c r="BC983" t="str">
        <f t="shared" si="167"/>
        <v>9791166067563</v>
      </c>
      <c r="BE983" t="str">
        <f t="shared" si="168"/>
        <v>판타지 웹소설 &gt; 현대 판타지</v>
      </c>
    </row>
    <row r="984" spans="1:57" x14ac:dyDescent="0.3">
      <c r="A984">
        <v>2313011400</v>
      </c>
      <c r="B984">
        <v>2313011611</v>
      </c>
      <c r="C984" t="str">
        <f>T("최종 보스 11권 1화")</f>
        <v>최종 보스 11권 1화</v>
      </c>
      <c r="D984" t="str">
        <f>T("212")</f>
        <v>212</v>
      </c>
      <c r="E984" t="str">
        <f t="shared" si="165"/>
        <v>무장</v>
      </c>
      <c r="H984" t="str">
        <f t="shared" si="164"/>
        <v>스토리위즈</v>
      </c>
      <c r="I984" t="str">
        <f t="shared" si="166"/>
        <v>최종 보스 : 빛을 향해 달리는 그림자</v>
      </c>
      <c r="J984">
        <v>100</v>
      </c>
      <c r="K984">
        <v>600</v>
      </c>
      <c r="L984">
        <v>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600</v>
      </c>
      <c r="AH984">
        <v>6</v>
      </c>
      <c r="AI984">
        <v>0</v>
      </c>
      <c r="AJ984">
        <v>0</v>
      </c>
      <c r="AK984">
        <v>400</v>
      </c>
      <c r="AL984">
        <v>0</v>
      </c>
      <c r="AM984">
        <v>240</v>
      </c>
      <c r="AN984">
        <v>-48</v>
      </c>
      <c r="AO984">
        <v>0</v>
      </c>
      <c r="AP984">
        <v>120</v>
      </c>
      <c r="AQ984">
        <v>-36</v>
      </c>
      <c r="AR984">
        <v>0</v>
      </c>
      <c r="AS984">
        <v>120</v>
      </c>
      <c r="AT984">
        <v>-12</v>
      </c>
      <c r="AU984">
        <v>0</v>
      </c>
      <c r="AW984">
        <v>0</v>
      </c>
      <c r="AX984">
        <v>0</v>
      </c>
      <c r="AY984">
        <v>414.4</v>
      </c>
      <c r="BC984" t="str">
        <f t="shared" si="167"/>
        <v>9791166067563</v>
      </c>
      <c r="BE984" t="str">
        <f t="shared" si="168"/>
        <v>판타지 웹소설 &gt; 현대 판타지</v>
      </c>
    </row>
    <row r="985" spans="1:57" x14ac:dyDescent="0.3">
      <c r="A985">
        <v>2313011400</v>
      </c>
      <c r="B985">
        <v>2313011612</v>
      </c>
      <c r="C985" t="str">
        <f>T("최종 보스 11권 2화")</f>
        <v>최종 보스 11권 2화</v>
      </c>
      <c r="D985" t="str">
        <f>T("213")</f>
        <v>213</v>
      </c>
      <c r="E985" t="str">
        <f t="shared" si="165"/>
        <v>무장</v>
      </c>
      <c r="H985" t="str">
        <f t="shared" si="164"/>
        <v>스토리위즈</v>
      </c>
      <c r="I985" t="str">
        <f t="shared" si="166"/>
        <v>최종 보스 : 빛을 향해 달리는 그림자</v>
      </c>
      <c r="J985">
        <v>100</v>
      </c>
      <c r="K985">
        <v>600</v>
      </c>
      <c r="L985">
        <v>6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600</v>
      </c>
      <c r="AH985">
        <v>6</v>
      </c>
      <c r="AI985">
        <v>0</v>
      </c>
      <c r="AJ985">
        <v>0</v>
      </c>
      <c r="AK985">
        <v>400</v>
      </c>
      <c r="AL985">
        <v>0</v>
      </c>
      <c r="AM985">
        <v>240</v>
      </c>
      <c r="AN985">
        <v>-48</v>
      </c>
      <c r="AO985">
        <v>0</v>
      </c>
      <c r="AP985">
        <v>120</v>
      </c>
      <c r="AQ985">
        <v>-36</v>
      </c>
      <c r="AR985">
        <v>0</v>
      </c>
      <c r="AS985">
        <v>120</v>
      </c>
      <c r="AT985">
        <v>-12</v>
      </c>
      <c r="AU985">
        <v>0</v>
      </c>
      <c r="AW985">
        <v>0</v>
      </c>
      <c r="AX985">
        <v>0</v>
      </c>
      <c r="AY985">
        <v>414.4</v>
      </c>
      <c r="BC985" t="str">
        <f t="shared" si="167"/>
        <v>9791166067563</v>
      </c>
      <c r="BE985" t="str">
        <f t="shared" si="168"/>
        <v>판타지 웹소설 &gt; 현대 판타지</v>
      </c>
    </row>
    <row r="986" spans="1:57" x14ac:dyDescent="0.3">
      <c r="A986">
        <v>2313011400</v>
      </c>
      <c r="B986">
        <v>2313011613</v>
      </c>
      <c r="C986" t="str">
        <f>T("최종 보스 11권 3화")</f>
        <v>최종 보스 11권 3화</v>
      </c>
      <c r="D986" t="str">
        <f>T("214")</f>
        <v>214</v>
      </c>
      <c r="E986" t="str">
        <f t="shared" si="165"/>
        <v>무장</v>
      </c>
      <c r="H986" t="str">
        <f t="shared" si="164"/>
        <v>스토리위즈</v>
      </c>
      <c r="I986" t="str">
        <f t="shared" si="166"/>
        <v>최종 보스 : 빛을 향해 달리는 그림자</v>
      </c>
      <c r="J986">
        <v>100</v>
      </c>
      <c r="K986">
        <v>600</v>
      </c>
      <c r="L986">
        <v>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600</v>
      </c>
      <c r="AH986">
        <v>6</v>
      </c>
      <c r="AI986">
        <v>0</v>
      </c>
      <c r="AJ986">
        <v>0</v>
      </c>
      <c r="AK986">
        <v>400</v>
      </c>
      <c r="AL986">
        <v>0</v>
      </c>
      <c r="AM986">
        <v>240</v>
      </c>
      <c r="AN986">
        <v>-48</v>
      </c>
      <c r="AO986">
        <v>0</v>
      </c>
      <c r="AP986">
        <v>120</v>
      </c>
      <c r="AQ986">
        <v>-36</v>
      </c>
      <c r="AR986">
        <v>0</v>
      </c>
      <c r="AS986">
        <v>120</v>
      </c>
      <c r="AT986">
        <v>-12</v>
      </c>
      <c r="AU986">
        <v>0</v>
      </c>
      <c r="AW986">
        <v>0</v>
      </c>
      <c r="AX986">
        <v>0</v>
      </c>
      <c r="AY986">
        <v>414.4</v>
      </c>
      <c r="BC986" t="str">
        <f t="shared" si="167"/>
        <v>9791166067563</v>
      </c>
      <c r="BE986" t="str">
        <f t="shared" si="168"/>
        <v>판타지 웹소설 &gt; 현대 판타지</v>
      </c>
    </row>
    <row r="987" spans="1:57" x14ac:dyDescent="0.3">
      <c r="A987">
        <v>2313011400</v>
      </c>
      <c r="B987">
        <v>2313011614</v>
      </c>
      <c r="C987" t="str">
        <f>T("최종 보스 11권 4화")</f>
        <v>최종 보스 11권 4화</v>
      </c>
      <c r="D987" t="str">
        <f>T("215")</f>
        <v>215</v>
      </c>
      <c r="E987" t="str">
        <f t="shared" si="165"/>
        <v>무장</v>
      </c>
      <c r="H987" t="str">
        <f t="shared" si="164"/>
        <v>스토리위즈</v>
      </c>
      <c r="I987" t="str">
        <f t="shared" si="166"/>
        <v>최종 보스 : 빛을 향해 달리는 그림자</v>
      </c>
      <c r="J987">
        <v>100</v>
      </c>
      <c r="K987">
        <v>600</v>
      </c>
      <c r="L987">
        <v>6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600</v>
      </c>
      <c r="AH987">
        <v>6</v>
      </c>
      <c r="AI987">
        <v>0</v>
      </c>
      <c r="AJ987">
        <v>0</v>
      </c>
      <c r="AK987">
        <v>400</v>
      </c>
      <c r="AL987">
        <v>0</v>
      </c>
      <c r="AM987">
        <v>240</v>
      </c>
      <c r="AN987">
        <v>-48</v>
      </c>
      <c r="AO987">
        <v>0</v>
      </c>
      <c r="AP987">
        <v>120</v>
      </c>
      <c r="AQ987">
        <v>-36</v>
      </c>
      <c r="AR987">
        <v>0</v>
      </c>
      <c r="AS987">
        <v>120</v>
      </c>
      <c r="AT987">
        <v>-12</v>
      </c>
      <c r="AU987">
        <v>0</v>
      </c>
      <c r="AW987">
        <v>0</v>
      </c>
      <c r="AX987">
        <v>0</v>
      </c>
      <c r="AY987">
        <v>414.4</v>
      </c>
      <c r="BC987" t="str">
        <f t="shared" si="167"/>
        <v>9791166067563</v>
      </c>
      <c r="BE987" t="str">
        <f t="shared" si="168"/>
        <v>판타지 웹소설 &gt; 현대 판타지</v>
      </c>
    </row>
    <row r="988" spans="1:57" x14ac:dyDescent="0.3">
      <c r="A988">
        <v>2313011400</v>
      </c>
      <c r="B988">
        <v>2313011615</v>
      </c>
      <c r="C988" t="str">
        <f>T("최종 보스 11권 5화")</f>
        <v>최종 보스 11권 5화</v>
      </c>
      <c r="D988" t="str">
        <f>T("216")</f>
        <v>216</v>
      </c>
      <c r="E988" t="str">
        <f t="shared" si="165"/>
        <v>무장</v>
      </c>
      <c r="H988" t="str">
        <f t="shared" si="164"/>
        <v>스토리위즈</v>
      </c>
      <c r="I988" t="str">
        <f t="shared" si="166"/>
        <v>최종 보스 : 빛을 향해 달리는 그림자</v>
      </c>
      <c r="J988">
        <v>100</v>
      </c>
      <c r="K988">
        <v>600</v>
      </c>
      <c r="L988">
        <v>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600</v>
      </c>
      <c r="AH988">
        <v>6</v>
      </c>
      <c r="AI988">
        <v>0</v>
      </c>
      <c r="AJ988">
        <v>0</v>
      </c>
      <c r="AK988">
        <v>400</v>
      </c>
      <c r="AL988">
        <v>0</v>
      </c>
      <c r="AM988">
        <v>240</v>
      </c>
      <c r="AN988">
        <v>-48</v>
      </c>
      <c r="AO988">
        <v>0</v>
      </c>
      <c r="AP988">
        <v>120</v>
      </c>
      <c r="AQ988">
        <v>-36</v>
      </c>
      <c r="AR988">
        <v>0</v>
      </c>
      <c r="AS988">
        <v>120</v>
      </c>
      <c r="AT988">
        <v>-12</v>
      </c>
      <c r="AU988">
        <v>0</v>
      </c>
      <c r="AW988">
        <v>0</v>
      </c>
      <c r="AX988">
        <v>0</v>
      </c>
      <c r="AY988">
        <v>414.4</v>
      </c>
      <c r="BC988" t="str">
        <f t="shared" si="167"/>
        <v>9791166067563</v>
      </c>
      <c r="BE988" t="str">
        <f t="shared" si="168"/>
        <v>판타지 웹소설 &gt; 현대 판타지</v>
      </c>
    </row>
    <row r="989" spans="1:57" x14ac:dyDescent="0.3">
      <c r="A989">
        <v>2313011400</v>
      </c>
      <c r="B989">
        <v>2313011616</v>
      </c>
      <c r="C989" t="str">
        <f>T("최종 보스 11권 6화")</f>
        <v>최종 보스 11권 6화</v>
      </c>
      <c r="D989" t="str">
        <f>T("217")</f>
        <v>217</v>
      </c>
      <c r="E989" t="str">
        <f t="shared" si="165"/>
        <v>무장</v>
      </c>
      <c r="H989" t="str">
        <f t="shared" si="164"/>
        <v>스토리위즈</v>
      </c>
      <c r="I989" t="str">
        <f t="shared" si="166"/>
        <v>최종 보스 : 빛을 향해 달리는 그림자</v>
      </c>
      <c r="J989">
        <v>100</v>
      </c>
      <c r="K989">
        <v>600</v>
      </c>
      <c r="L989">
        <v>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600</v>
      </c>
      <c r="AH989">
        <v>6</v>
      </c>
      <c r="AI989">
        <v>0</v>
      </c>
      <c r="AJ989">
        <v>0</v>
      </c>
      <c r="AK989">
        <v>400</v>
      </c>
      <c r="AL989">
        <v>0</v>
      </c>
      <c r="AM989">
        <v>240</v>
      </c>
      <c r="AN989">
        <v>-48</v>
      </c>
      <c r="AO989">
        <v>0</v>
      </c>
      <c r="AP989">
        <v>120</v>
      </c>
      <c r="AQ989">
        <v>-36</v>
      </c>
      <c r="AR989">
        <v>0</v>
      </c>
      <c r="AS989">
        <v>120</v>
      </c>
      <c r="AT989">
        <v>-12</v>
      </c>
      <c r="AU989">
        <v>0</v>
      </c>
      <c r="AW989">
        <v>0</v>
      </c>
      <c r="AX989">
        <v>0</v>
      </c>
      <c r="AY989">
        <v>414.4</v>
      </c>
      <c r="BC989" t="str">
        <f t="shared" si="167"/>
        <v>9791166067563</v>
      </c>
      <c r="BE989" t="str">
        <f t="shared" si="168"/>
        <v>판타지 웹소설 &gt; 현대 판타지</v>
      </c>
    </row>
    <row r="990" spans="1:57" x14ac:dyDescent="0.3">
      <c r="A990">
        <v>2313011400</v>
      </c>
      <c r="B990">
        <v>2313011617</v>
      </c>
      <c r="C990" t="str">
        <f>T("최종 보스 11권 7화")</f>
        <v>최종 보스 11권 7화</v>
      </c>
      <c r="D990" t="str">
        <f>T("218")</f>
        <v>218</v>
      </c>
      <c r="E990" t="str">
        <f t="shared" si="165"/>
        <v>무장</v>
      </c>
      <c r="H990" t="str">
        <f t="shared" si="164"/>
        <v>스토리위즈</v>
      </c>
      <c r="I990" t="str">
        <f t="shared" si="166"/>
        <v>최종 보스 : 빛을 향해 달리는 그림자</v>
      </c>
      <c r="J990">
        <v>100</v>
      </c>
      <c r="K990">
        <v>600</v>
      </c>
      <c r="L990">
        <v>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600</v>
      </c>
      <c r="AH990">
        <v>6</v>
      </c>
      <c r="AI990">
        <v>0</v>
      </c>
      <c r="AJ990">
        <v>0</v>
      </c>
      <c r="AK990">
        <v>400</v>
      </c>
      <c r="AL990">
        <v>0</v>
      </c>
      <c r="AM990">
        <v>240</v>
      </c>
      <c r="AN990">
        <v>-48</v>
      </c>
      <c r="AO990">
        <v>0</v>
      </c>
      <c r="AP990">
        <v>120</v>
      </c>
      <c r="AQ990">
        <v>-36</v>
      </c>
      <c r="AR990">
        <v>0</v>
      </c>
      <c r="AS990">
        <v>120</v>
      </c>
      <c r="AT990">
        <v>-12</v>
      </c>
      <c r="AU990">
        <v>0</v>
      </c>
      <c r="AW990">
        <v>0</v>
      </c>
      <c r="AX990">
        <v>0</v>
      </c>
      <c r="AY990">
        <v>414.4</v>
      </c>
      <c r="BC990" t="str">
        <f t="shared" si="167"/>
        <v>9791166067563</v>
      </c>
      <c r="BE990" t="str">
        <f t="shared" si="168"/>
        <v>판타지 웹소설 &gt; 현대 판타지</v>
      </c>
    </row>
    <row r="991" spans="1:57" x14ac:dyDescent="0.3">
      <c r="A991">
        <v>2313011400</v>
      </c>
      <c r="B991">
        <v>2313011618</v>
      </c>
      <c r="C991" t="str">
        <f>T("최종 보스 11권 8화")</f>
        <v>최종 보스 11권 8화</v>
      </c>
      <c r="D991" t="str">
        <f>T("219")</f>
        <v>219</v>
      </c>
      <c r="E991" t="str">
        <f t="shared" si="165"/>
        <v>무장</v>
      </c>
      <c r="H991" t="str">
        <f t="shared" si="164"/>
        <v>스토리위즈</v>
      </c>
      <c r="I991" t="str">
        <f t="shared" si="166"/>
        <v>최종 보스 : 빛을 향해 달리는 그림자</v>
      </c>
      <c r="J991">
        <v>100</v>
      </c>
      <c r="K991">
        <v>600</v>
      </c>
      <c r="L991">
        <v>6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600</v>
      </c>
      <c r="AH991">
        <v>6</v>
      </c>
      <c r="AI991">
        <v>0</v>
      </c>
      <c r="AJ991">
        <v>0</v>
      </c>
      <c r="AK991">
        <v>400</v>
      </c>
      <c r="AL991">
        <v>0</v>
      </c>
      <c r="AM991">
        <v>240</v>
      </c>
      <c r="AN991">
        <v>-48</v>
      </c>
      <c r="AO991">
        <v>0</v>
      </c>
      <c r="AP991">
        <v>120</v>
      </c>
      <c r="AQ991">
        <v>-36</v>
      </c>
      <c r="AR991">
        <v>0</v>
      </c>
      <c r="AS991">
        <v>120</v>
      </c>
      <c r="AT991">
        <v>-12</v>
      </c>
      <c r="AU991">
        <v>0</v>
      </c>
      <c r="AW991">
        <v>0</v>
      </c>
      <c r="AX991">
        <v>0</v>
      </c>
      <c r="AY991">
        <v>414.4</v>
      </c>
      <c r="BC991" t="str">
        <f t="shared" si="167"/>
        <v>9791166067563</v>
      </c>
      <c r="BE991" t="str">
        <f t="shared" si="168"/>
        <v>판타지 웹소설 &gt; 현대 판타지</v>
      </c>
    </row>
    <row r="992" spans="1:57" x14ac:dyDescent="0.3">
      <c r="A992">
        <v>2313011400</v>
      </c>
      <c r="B992">
        <v>2313011619</v>
      </c>
      <c r="C992" t="str">
        <f>T("최종 보스 11권 9화")</f>
        <v>최종 보스 11권 9화</v>
      </c>
      <c r="D992" t="str">
        <f>T("220")</f>
        <v>220</v>
      </c>
      <c r="E992" t="str">
        <f t="shared" si="165"/>
        <v>무장</v>
      </c>
      <c r="H992" t="str">
        <f t="shared" si="164"/>
        <v>스토리위즈</v>
      </c>
      <c r="I992" t="str">
        <f t="shared" si="166"/>
        <v>최종 보스 : 빛을 향해 달리는 그림자</v>
      </c>
      <c r="J992">
        <v>100</v>
      </c>
      <c r="K992">
        <v>600</v>
      </c>
      <c r="L992">
        <v>6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600</v>
      </c>
      <c r="AH992">
        <v>6</v>
      </c>
      <c r="AI992">
        <v>0</v>
      </c>
      <c r="AJ992">
        <v>0</v>
      </c>
      <c r="AK992">
        <v>400</v>
      </c>
      <c r="AL992">
        <v>0</v>
      </c>
      <c r="AM992">
        <v>240</v>
      </c>
      <c r="AN992">
        <v>-48</v>
      </c>
      <c r="AO992">
        <v>0</v>
      </c>
      <c r="AP992">
        <v>120</v>
      </c>
      <c r="AQ992">
        <v>-36</v>
      </c>
      <c r="AR992">
        <v>0</v>
      </c>
      <c r="AS992">
        <v>120</v>
      </c>
      <c r="AT992">
        <v>-12</v>
      </c>
      <c r="AU992">
        <v>0</v>
      </c>
      <c r="AW992">
        <v>0</v>
      </c>
      <c r="AX992">
        <v>0</v>
      </c>
      <c r="AY992">
        <v>414.4</v>
      </c>
      <c r="BC992" t="str">
        <f t="shared" si="167"/>
        <v>9791166067563</v>
      </c>
      <c r="BE992" t="str">
        <f t="shared" si="168"/>
        <v>판타지 웹소설 &gt; 현대 판타지</v>
      </c>
    </row>
    <row r="993" spans="1:57" x14ac:dyDescent="0.3">
      <c r="A993">
        <v>2313011400</v>
      </c>
      <c r="B993">
        <v>2313011620</v>
      </c>
      <c r="C993" t="str">
        <f>T("최종 보스 11권 10화")</f>
        <v>최종 보스 11권 10화</v>
      </c>
      <c r="D993" t="str">
        <f>T("221")</f>
        <v>221</v>
      </c>
      <c r="E993" t="str">
        <f t="shared" si="165"/>
        <v>무장</v>
      </c>
      <c r="H993" t="str">
        <f t="shared" si="164"/>
        <v>스토리위즈</v>
      </c>
      <c r="I993" t="str">
        <f t="shared" si="166"/>
        <v>최종 보스 : 빛을 향해 달리는 그림자</v>
      </c>
      <c r="J993">
        <v>100</v>
      </c>
      <c r="K993">
        <v>600</v>
      </c>
      <c r="L993">
        <v>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600</v>
      </c>
      <c r="AH993">
        <v>6</v>
      </c>
      <c r="AI993">
        <v>0</v>
      </c>
      <c r="AJ993">
        <v>0</v>
      </c>
      <c r="AK993">
        <v>400</v>
      </c>
      <c r="AL993">
        <v>0</v>
      </c>
      <c r="AM993">
        <v>240</v>
      </c>
      <c r="AN993">
        <v>-48</v>
      </c>
      <c r="AO993">
        <v>0</v>
      </c>
      <c r="AP993">
        <v>120</v>
      </c>
      <c r="AQ993">
        <v>-36</v>
      </c>
      <c r="AR993">
        <v>0</v>
      </c>
      <c r="AS993">
        <v>120</v>
      </c>
      <c r="AT993">
        <v>-12</v>
      </c>
      <c r="AU993">
        <v>0</v>
      </c>
      <c r="AW993">
        <v>0</v>
      </c>
      <c r="AX993">
        <v>0</v>
      </c>
      <c r="AY993">
        <v>414.4</v>
      </c>
      <c r="BC993" t="str">
        <f t="shared" si="167"/>
        <v>9791166067563</v>
      </c>
      <c r="BE993" t="str">
        <f t="shared" si="168"/>
        <v>판타지 웹소설 &gt; 현대 판타지</v>
      </c>
    </row>
    <row r="994" spans="1:57" x14ac:dyDescent="0.3">
      <c r="A994">
        <v>2313011400</v>
      </c>
      <c r="B994">
        <v>2313011621</v>
      </c>
      <c r="C994" t="str">
        <f>T("최종 보스 11권 11화")</f>
        <v>최종 보스 11권 11화</v>
      </c>
      <c r="D994" t="str">
        <f>T("222")</f>
        <v>222</v>
      </c>
      <c r="E994" t="str">
        <f t="shared" si="165"/>
        <v>무장</v>
      </c>
      <c r="H994" t="str">
        <f t="shared" si="164"/>
        <v>스토리위즈</v>
      </c>
      <c r="I994" t="str">
        <f t="shared" si="166"/>
        <v>최종 보스 : 빛을 향해 달리는 그림자</v>
      </c>
      <c r="J994">
        <v>100</v>
      </c>
      <c r="K994">
        <v>600</v>
      </c>
      <c r="L994">
        <v>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600</v>
      </c>
      <c r="AH994">
        <v>6</v>
      </c>
      <c r="AI994">
        <v>0</v>
      </c>
      <c r="AJ994">
        <v>0</v>
      </c>
      <c r="AK994">
        <v>400</v>
      </c>
      <c r="AL994">
        <v>0</v>
      </c>
      <c r="AM994">
        <v>240</v>
      </c>
      <c r="AN994">
        <v>-48</v>
      </c>
      <c r="AO994">
        <v>0</v>
      </c>
      <c r="AP994">
        <v>120</v>
      </c>
      <c r="AQ994">
        <v>-36</v>
      </c>
      <c r="AR994">
        <v>0</v>
      </c>
      <c r="AS994">
        <v>120</v>
      </c>
      <c r="AT994">
        <v>-12</v>
      </c>
      <c r="AU994">
        <v>0</v>
      </c>
      <c r="AW994">
        <v>0</v>
      </c>
      <c r="AX994">
        <v>0</v>
      </c>
      <c r="AY994">
        <v>414.4</v>
      </c>
      <c r="BC994" t="str">
        <f t="shared" si="167"/>
        <v>9791166067563</v>
      </c>
      <c r="BE994" t="str">
        <f t="shared" si="168"/>
        <v>판타지 웹소설 &gt; 현대 판타지</v>
      </c>
    </row>
    <row r="995" spans="1:57" x14ac:dyDescent="0.3">
      <c r="A995">
        <v>2313011400</v>
      </c>
      <c r="B995">
        <v>2313011622</v>
      </c>
      <c r="C995" t="str">
        <f>T("최종 보스 11권 12화")</f>
        <v>최종 보스 11권 12화</v>
      </c>
      <c r="D995" t="str">
        <f>T("223")</f>
        <v>223</v>
      </c>
      <c r="E995" t="str">
        <f t="shared" si="165"/>
        <v>무장</v>
      </c>
      <c r="H995" t="str">
        <f t="shared" si="164"/>
        <v>스토리위즈</v>
      </c>
      <c r="I995" t="str">
        <f t="shared" si="166"/>
        <v>최종 보스 : 빛을 향해 달리는 그림자</v>
      </c>
      <c r="J995">
        <v>100</v>
      </c>
      <c r="K995">
        <v>600</v>
      </c>
      <c r="L995">
        <v>6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600</v>
      </c>
      <c r="AH995">
        <v>6</v>
      </c>
      <c r="AI995">
        <v>0</v>
      </c>
      <c r="AJ995">
        <v>0</v>
      </c>
      <c r="AK995">
        <v>400</v>
      </c>
      <c r="AL995">
        <v>0</v>
      </c>
      <c r="AM995">
        <v>240</v>
      </c>
      <c r="AN995">
        <v>-48</v>
      </c>
      <c r="AO995">
        <v>0</v>
      </c>
      <c r="AP995">
        <v>120</v>
      </c>
      <c r="AQ995">
        <v>-36</v>
      </c>
      <c r="AR995">
        <v>0</v>
      </c>
      <c r="AS995">
        <v>120</v>
      </c>
      <c r="AT995">
        <v>-12</v>
      </c>
      <c r="AU995">
        <v>0</v>
      </c>
      <c r="AW995">
        <v>0</v>
      </c>
      <c r="AX995">
        <v>0</v>
      </c>
      <c r="AY995">
        <v>414.4</v>
      </c>
      <c r="BC995" t="str">
        <f t="shared" si="167"/>
        <v>9791166067563</v>
      </c>
      <c r="BE995" t="str">
        <f t="shared" si="168"/>
        <v>판타지 웹소설 &gt; 현대 판타지</v>
      </c>
    </row>
    <row r="996" spans="1:57" x14ac:dyDescent="0.3">
      <c r="A996">
        <v>2313011400</v>
      </c>
      <c r="B996">
        <v>2313011623</v>
      </c>
      <c r="C996" t="str">
        <f>T("최종 보스 11권 13화")</f>
        <v>최종 보스 11권 13화</v>
      </c>
      <c r="D996" t="str">
        <f>T("224")</f>
        <v>224</v>
      </c>
      <c r="E996" t="str">
        <f t="shared" si="165"/>
        <v>무장</v>
      </c>
      <c r="H996" t="str">
        <f t="shared" si="164"/>
        <v>스토리위즈</v>
      </c>
      <c r="I996" t="str">
        <f t="shared" si="166"/>
        <v>최종 보스 : 빛을 향해 달리는 그림자</v>
      </c>
      <c r="J996">
        <v>100</v>
      </c>
      <c r="K996">
        <v>600</v>
      </c>
      <c r="L996">
        <v>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600</v>
      </c>
      <c r="AH996">
        <v>6</v>
      </c>
      <c r="AI996">
        <v>0</v>
      </c>
      <c r="AJ996">
        <v>0</v>
      </c>
      <c r="AK996">
        <v>400</v>
      </c>
      <c r="AL996">
        <v>0</v>
      </c>
      <c r="AM996">
        <v>240</v>
      </c>
      <c r="AN996">
        <v>-48</v>
      </c>
      <c r="AO996">
        <v>0</v>
      </c>
      <c r="AP996">
        <v>120</v>
      </c>
      <c r="AQ996">
        <v>-36</v>
      </c>
      <c r="AR996">
        <v>0</v>
      </c>
      <c r="AS996">
        <v>120</v>
      </c>
      <c r="AT996">
        <v>-12</v>
      </c>
      <c r="AU996">
        <v>0</v>
      </c>
      <c r="AW996">
        <v>0</v>
      </c>
      <c r="AX996">
        <v>0</v>
      </c>
      <c r="AY996">
        <v>414.4</v>
      </c>
      <c r="BC996" t="str">
        <f t="shared" si="167"/>
        <v>9791166067563</v>
      </c>
      <c r="BE996" t="str">
        <f t="shared" si="168"/>
        <v>판타지 웹소설 &gt; 현대 판타지</v>
      </c>
    </row>
    <row r="997" spans="1:57" x14ac:dyDescent="0.3">
      <c r="A997">
        <v>2313011400</v>
      </c>
      <c r="B997">
        <v>2313011624</v>
      </c>
      <c r="C997" t="str">
        <f>T("최종 보스 11권 14화")</f>
        <v>최종 보스 11권 14화</v>
      </c>
      <c r="D997" t="str">
        <f>T("225")</f>
        <v>225</v>
      </c>
      <c r="E997" t="str">
        <f t="shared" si="165"/>
        <v>무장</v>
      </c>
      <c r="H997" t="str">
        <f t="shared" si="164"/>
        <v>스토리위즈</v>
      </c>
      <c r="I997" t="str">
        <f t="shared" si="166"/>
        <v>최종 보스 : 빛을 향해 달리는 그림자</v>
      </c>
      <c r="J997">
        <v>100</v>
      </c>
      <c r="K997">
        <v>600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600</v>
      </c>
      <c r="AH997">
        <v>6</v>
      </c>
      <c r="AI997">
        <v>0</v>
      </c>
      <c r="AJ997">
        <v>0</v>
      </c>
      <c r="AK997">
        <v>400</v>
      </c>
      <c r="AL997">
        <v>0</v>
      </c>
      <c r="AM997">
        <v>240</v>
      </c>
      <c r="AN997">
        <v>-48</v>
      </c>
      <c r="AO997">
        <v>0</v>
      </c>
      <c r="AP997">
        <v>120</v>
      </c>
      <c r="AQ997">
        <v>-36</v>
      </c>
      <c r="AR997">
        <v>0</v>
      </c>
      <c r="AS997">
        <v>120</v>
      </c>
      <c r="AT997">
        <v>-12</v>
      </c>
      <c r="AU997">
        <v>0</v>
      </c>
      <c r="AW997">
        <v>0</v>
      </c>
      <c r="AX997">
        <v>0</v>
      </c>
      <c r="AY997">
        <v>414.4</v>
      </c>
      <c r="BC997" t="str">
        <f t="shared" si="167"/>
        <v>9791166067563</v>
      </c>
      <c r="BE997" t="str">
        <f t="shared" si="168"/>
        <v>판타지 웹소설 &gt; 현대 판타지</v>
      </c>
    </row>
    <row r="998" spans="1:57" x14ac:dyDescent="0.3">
      <c r="A998">
        <v>2313011400</v>
      </c>
      <c r="B998">
        <v>2313011625</v>
      </c>
      <c r="C998" t="str">
        <f>T("최종 보스 11권 15화")</f>
        <v>최종 보스 11권 15화</v>
      </c>
      <c r="D998" t="str">
        <f>T("226")</f>
        <v>226</v>
      </c>
      <c r="E998" t="str">
        <f t="shared" si="165"/>
        <v>무장</v>
      </c>
      <c r="H998" t="str">
        <f t="shared" si="164"/>
        <v>스토리위즈</v>
      </c>
      <c r="I998" t="str">
        <f t="shared" si="166"/>
        <v>최종 보스 : 빛을 향해 달리는 그림자</v>
      </c>
      <c r="J998">
        <v>100</v>
      </c>
      <c r="K998">
        <v>600</v>
      </c>
      <c r="L998">
        <v>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600</v>
      </c>
      <c r="AH998">
        <v>6</v>
      </c>
      <c r="AI998">
        <v>0</v>
      </c>
      <c r="AJ998">
        <v>0</v>
      </c>
      <c r="AK998">
        <v>400</v>
      </c>
      <c r="AL998">
        <v>0</v>
      </c>
      <c r="AM998">
        <v>240</v>
      </c>
      <c r="AN998">
        <v>-48</v>
      </c>
      <c r="AO998">
        <v>0</v>
      </c>
      <c r="AP998">
        <v>120</v>
      </c>
      <c r="AQ998">
        <v>-36</v>
      </c>
      <c r="AR998">
        <v>0</v>
      </c>
      <c r="AS998">
        <v>120</v>
      </c>
      <c r="AT998">
        <v>-12</v>
      </c>
      <c r="AU998">
        <v>0</v>
      </c>
      <c r="AW998">
        <v>0</v>
      </c>
      <c r="AX998">
        <v>0</v>
      </c>
      <c r="AY998">
        <v>414.4</v>
      </c>
      <c r="BC998" t="str">
        <f t="shared" si="167"/>
        <v>9791166067563</v>
      </c>
      <c r="BE998" t="str">
        <f t="shared" si="168"/>
        <v>판타지 웹소설 &gt; 현대 판타지</v>
      </c>
    </row>
    <row r="999" spans="1:57" x14ac:dyDescent="0.3">
      <c r="A999">
        <v>2313011400</v>
      </c>
      <c r="B999">
        <v>2313011626</v>
      </c>
      <c r="C999" t="str">
        <f>T("최종 보스 11권 16화")</f>
        <v>최종 보스 11권 16화</v>
      </c>
      <c r="D999" t="str">
        <f>T("227")</f>
        <v>227</v>
      </c>
      <c r="E999" t="str">
        <f t="shared" si="165"/>
        <v>무장</v>
      </c>
      <c r="H999" t="str">
        <f t="shared" si="164"/>
        <v>스토리위즈</v>
      </c>
      <c r="I999" t="str">
        <f t="shared" si="166"/>
        <v>최종 보스 : 빛을 향해 달리는 그림자</v>
      </c>
      <c r="J999">
        <v>100</v>
      </c>
      <c r="K999">
        <v>600</v>
      </c>
      <c r="L999">
        <v>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600</v>
      </c>
      <c r="AH999">
        <v>6</v>
      </c>
      <c r="AI999">
        <v>0</v>
      </c>
      <c r="AJ999">
        <v>0</v>
      </c>
      <c r="AK999">
        <v>400</v>
      </c>
      <c r="AL999">
        <v>0</v>
      </c>
      <c r="AM999">
        <v>240</v>
      </c>
      <c r="AN999">
        <v>-48</v>
      </c>
      <c r="AO999">
        <v>0</v>
      </c>
      <c r="AP999">
        <v>120</v>
      </c>
      <c r="AQ999">
        <v>-36</v>
      </c>
      <c r="AR999">
        <v>0</v>
      </c>
      <c r="AS999">
        <v>120</v>
      </c>
      <c r="AT999">
        <v>-12</v>
      </c>
      <c r="AU999">
        <v>0</v>
      </c>
      <c r="AW999">
        <v>0</v>
      </c>
      <c r="AX999">
        <v>0</v>
      </c>
      <c r="AY999">
        <v>414.4</v>
      </c>
      <c r="BC999" t="str">
        <f t="shared" si="167"/>
        <v>9791166067563</v>
      </c>
      <c r="BE999" t="str">
        <f t="shared" si="168"/>
        <v>판타지 웹소설 &gt; 현대 판타지</v>
      </c>
    </row>
    <row r="1000" spans="1:57" x14ac:dyDescent="0.3">
      <c r="A1000">
        <v>2313011400</v>
      </c>
      <c r="B1000">
        <v>2313011627</v>
      </c>
      <c r="C1000" t="str">
        <f>T("최종 보스 11권 17화")</f>
        <v>최종 보스 11권 17화</v>
      </c>
      <c r="D1000" t="str">
        <f>T("228")</f>
        <v>228</v>
      </c>
      <c r="E1000" t="str">
        <f t="shared" si="165"/>
        <v>무장</v>
      </c>
      <c r="H1000" t="str">
        <f t="shared" si="164"/>
        <v>스토리위즈</v>
      </c>
      <c r="I1000" t="str">
        <f t="shared" si="166"/>
        <v>최종 보스 : 빛을 향해 달리는 그림자</v>
      </c>
      <c r="J1000">
        <v>100</v>
      </c>
      <c r="K1000">
        <v>600</v>
      </c>
      <c r="L1000">
        <v>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600</v>
      </c>
      <c r="AH1000">
        <v>6</v>
      </c>
      <c r="AI1000">
        <v>0</v>
      </c>
      <c r="AJ1000">
        <v>0</v>
      </c>
      <c r="AK1000">
        <v>400</v>
      </c>
      <c r="AL1000">
        <v>0</v>
      </c>
      <c r="AM1000">
        <v>240</v>
      </c>
      <c r="AN1000">
        <v>-48</v>
      </c>
      <c r="AO1000">
        <v>0</v>
      </c>
      <c r="AP1000">
        <v>120</v>
      </c>
      <c r="AQ1000">
        <v>-36</v>
      </c>
      <c r="AR1000">
        <v>0</v>
      </c>
      <c r="AS1000">
        <v>120</v>
      </c>
      <c r="AT1000">
        <v>-12</v>
      </c>
      <c r="AU1000">
        <v>0</v>
      </c>
      <c r="AW1000">
        <v>0</v>
      </c>
      <c r="AX1000">
        <v>0</v>
      </c>
      <c r="AY1000">
        <v>414.4</v>
      </c>
      <c r="BC1000" t="str">
        <f t="shared" si="167"/>
        <v>9791166067563</v>
      </c>
      <c r="BE1000" t="str">
        <f t="shared" si="168"/>
        <v>판타지 웹소설 &gt; 현대 판타지</v>
      </c>
    </row>
    <row r="1001" spans="1:57" x14ac:dyDescent="0.3">
      <c r="A1001">
        <v>2313011400</v>
      </c>
      <c r="B1001">
        <v>2313011628</v>
      </c>
      <c r="C1001" t="str">
        <f>T("최종 보스 11권 18화")</f>
        <v>최종 보스 11권 18화</v>
      </c>
      <c r="D1001" t="str">
        <f>T("229")</f>
        <v>229</v>
      </c>
      <c r="E1001" t="str">
        <f t="shared" si="165"/>
        <v>무장</v>
      </c>
      <c r="H1001" t="str">
        <f t="shared" si="164"/>
        <v>스토리위즈</v>
      </c>
      <c r="I1001" t="str">
        <f t="shared" si="166"/>
        <v>최종 보스 : 빛을 향해 달리는 그림자</v>
      </c>
      <c r="J1001">
        <v>100</v>
      </c>
      <c r="K1001">
        <v>600</v>
      </c>
      <c r="L1001">
        <v>6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600</v>
      </c>
      <c r="AH1001">
        <v>6</v>
      </c>
      <c r="AI1001">
        <v>0</v>
      </c>
      <c r="AJ1001">
        <v>0</v>
      </c>
      <c r="AK1001">
        <v>400</v>
      </c>
      <c r="AL1001">
        <v>0</v>
      </c>
      <c r="AM1001">
        <v>240</v>
      </c>
      <c r="AN1001">
        <v>-48</v>
      </c>
      <c r="AO1001">
        <v>0</v>
      </c>
      <c r="AP1001">
        <v>120</v>
      </c>
      <c r="AQ1001">
        <v>-36</v>
      </c>
      <c r="AR1001">
        <v>0</v>
      </c>
      <c r="AS1001">
        <v>120</v>
      </c>
      <c r="AT1001">
        <v>-12</v>
      </c>
      <c r="AU1001">
        <v>0</v>
      </c>
      <c r="AW1001">
        <v>0</v>
      </c>
      <c r="AX1001">
        <v>0</v>
      </c>
      <c r="AY1001">
        <v>414.4</v>
      </c>
      <c r="BC1001" t="str">
        <f t="shared" si="167"/>
        <v>9791166067563</v>
      </c>
      <c r="BE1001" t="str">
        <f t="shared" si="168"/>
        <v>판타지 웹소설 &gt; 현대 판타지</v>
      </c>
    </row>
    <row r="1002" spans="1:57" x14ac:dyDescent="0.3">
      <c r="A1002">
        <v>2313011400</v>
      </c>
      <c r="B1002">
        <v>2313011629</v>
      </c>
      <c r="C1002" t="str">
        <f>T("최종 보스 11권 19화")</f>
        <v>최종 보스 11권 19화</v>
      </c>
      <c r="D1002" t="str">
        <f>T("230")</f>
        <v>230</v>
      </c>
      <c r="E1002" t="str">
        <f t="shared" si="165"/>
        <v>무장</v>
      </c>
      <c r="H1002" t="str">
        <f t="shared" si="164"/>
        <v>스토리위즈</v>
      </c>
      <c r="I1002" t="str">
        <f t="shared" si="166"/>
        <v>최종 보스 : 빛을 향해 달리는 그림자</v>
      </c>
      <c r="J1002">
        <v>100</v>
      </c>
      <c r="K1002">
        <v>600</v>
      </c>
      <c r="L1002">
        <v>6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600</v>
      </c>
      <c r="AH1002">
        <v>6</v>
      </c>
      <c r="AI1002">
        <v>0</v>
      </c>
      <c r="AJ1002">
        <v>0</v>
      </c>
      <c r="AK1002">
        <v>400</v>
      </c>
      <c r="AL1002">
        <v>0</v>
      </c>
      <c r="AM1002">
        <v>240</v>
      </c>
      <c r="AN1002">
        <v>-48</v>
      </c>
      <c r="AO1002">
        <v>0</v>
      </c>
      <c r="AP1002">
        <v>120</v>
      </c>
      <c r="AQ1002">
        <v>-36</v>
      </c>
      <c r="AR1002">
        <v>0</v>
      </c>
      <c r="AS1002">
        <v>120</v>
      </c>
      <c r="AT1002">
        <v>-12</v>
      </c>
      <c r="AU1002">
        <v>0</v>
      </c>
      <c r="AW1002">
        <v>0</v>
      </c>
      <c r="AX1002">
        <v>0</v>
      </c>
      <c r="AY1002">
        <v>414.4</v>
      </c>
      <c r="BC1002" t="str">
        <f t="shared" si="167"/>
        <v>9791166067563</v>
      </c>
      <c r="BE1002" t="str">
        <f t="shared" si="168"/>
        <v>판타지 웹소설 &gt; 현대 판타지</v>
      </c>
    </row>
    <row r="1003" spans="1:57" x14ac:dyDescent="0.3">
      <c r="A1003">
        <v>2313011400</v>
      </c>
      <c r="B1003">
        <v>2313011630</v>
      </c>
      <c r="C1003" t="str">
        <f>T("최종 보스 11권 20화")</f>
        <v>최종 보스 11권 20화</v>
      </c>
      <c r="D1003" t="str">
        <f>T("231")</f>
        <v>231</v>
      </c>
      <c r="E1003" t="str">
        <f t="shared" si="165"/>
        <v>무장</v>
      </c>
      <c r="H1003" t="str">
        <f t="shared" si="164"/>
        <v>스토리위즈</v>
      </c>
      <c r="I1003" t="str">
        <f t="shared" si="166"/>
        <v>최종 보스 : 빛을 향해 달리는 그림자</v>
      </c>
      <c r="J1003">
        <v>100</v>
      </c>
      <c r="K1003">
        <v>600</v>
      </c>
      <c r="L1003">
        <v>6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600</v>
      </c>
      <c r="AH1003">
        <v>6</v>
      </c>
      <c r="AI1003">
        <v>0</v>
      </c>
      <c r="AJ1003">
        <v>0</v>
      </c>
      <c r="AK1003">
        <v>400</v>
      </c>
      <c r="AL1003">
        <v>0</v>
      </c>
      <c r="AM1003">
        <v>240</v>
      </c>
      <c r="AN1003">
        <v>-48</v>
      </c>
      <c r="AO1003">
        <v>0</v>
      </c>
      <c r="AP1003">
        <v>120</v>
      </c>
      <c r="AQ1003">
        <v>-36</v>
      </c>
      <c r="AR1003">
        <v>0</v>
      </c>
      <c r="AS1003">
        <v>120</v>
      </c>
      <c r="AT1003">
        <v>-12</v>
      </c>
      <c r="AU1003">
        <v>0</v>
      </c>
      <c r="AW1003">
        <v>0</v>
      </c>
      <c r="AX1003">
        <v>0</v>
      </c>
      <c r="AY1003">
        <v>414.4</v>
      </c>
      <c r="BC1003" t="str">
        <f t="shared" si="167"/>
        <v>9791166067563</v>
      </c>
      <c r="BE1003" t="str">
        <f t="shared" si="168"/>
        <v>판타지 웹소설 &gt; 현대 판타지</v>
      </c>
    </row>
    <row r="1004" spans="1:57" x14ac:dyDescent="0.3">
      <c r="A1004">
        <v>2313011400</v>
      </c>
      <c r="B1004">
        <v>2313011631</v>
      </c>
      <c r="C1004" t="str">
        <f>T("최종 보스 11권 21화")</f>
        <v>최종 보스 11권 21화</v>
      </c>
      <c r="D1004" t="str">
        <f>T("232")</f>
        <v>232</v>
      </c>
      <c r="E1004" t="str">
        <f t="shared" si="165"/>
        <v>무장</v>
      </c>
      <c r="H1004" t="str">
        <f t="shared" si="164"/>
        <v>스토리위즈</v>
      </c>
      <c r="I1004" t="str">
        <f t="shared" si="166"/>
        <v>최종 보스 : 빛을 향해 달리는 그림자</v>
      </c>
      <c r="J1004">
        <v>100</v>
      </c>
      <c r="K1004">
        <v>600</v>
      </c>
      <c r="L1004">
        <v>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600</v>
      </c>
      <c r="AH1004">
        <v>6</v>
      </c>
      <c r="AI1004">
        <v>0</v>
      </c>
      <c r="AJ1004">
        <v>0</v>
      </c>
      <c r="AK1004">
        <v>400</v>
      </c>
      <c r="AL1004">
        <v>0</v>
      </c>
      <c r="AM1004">
        <v>240</v>
      </c>
      <c r="AN1004">
        <v>-48</v>
      </c>
      <c r="AO1004">
        <v>0</v>
      </c>
      <c r="AP1004">
        <v>120</v>
      </c>
      <c r="AQ1004">
        <v>-36</v>
      </c>
      <c r="AR1004">
        <v>0</v>
      </c>
      <c r="AS1004">
        <v>120</v>
      </c>
      <c r="AT1004">
        <v>-12</v>
      </c>
      <c r="AU1004">
        <v>0</v>
      </c>
      <c r="AW1004">
        <v>0</v>
      </c>
      <c r="AX1004">
        <v>0</v>
      </c>
      <c r="AY1004">
        <v>414.4</v>
      </c>
      <c r="BC1004" t="str">
        <f t="shared" si="167"/>
        <v>9791166067563</v>
      </c>
      <c r="BE1004" t="str">
        <f t="shared" si="168"/>
        <v>판타지 웹소설 &gt; 현대 판타지</v>
      </c>
    </row>
    <row r="1005" spans="1:57" x14ac:dyDescent="0.3">
      <c r="A1005">
        <v>2313011400</v>
      </c>
      <c r="B1005">
        <v>2313011632</v>
      </c>
      <c r="C1005" t="str">
        <f>T("최종 보스 12권 1화")</f>
        <v>최종 보스 12권 1화</v>
      </c>
      <c r="D1005" t="str">
        <f>T("233")</f>
        <v>233</v>
      </c>
      <c r="E1005" t="str">
        <f t="shared" si="165"/>
        <v>무장</v>
      </c>
      <c r="H1005" t="str">
        <f t="shared" ref="H1005:H1024" si="169">T("스토리위즈")</f>
        <v>스토리위즈</v>
      </c>
      <c r="I1005" t="str">
        <f t="shared" si="166"/>
        <v>최종 보스 : 빛을 향해 달리는 그림자</v>
      </c>
      <c r="J1005">
        <v>100</v>
      </c>
      <c r="K1005">
        <v>600</v>
      </c>
      <c r="L1005">
        <v>6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600</v>
      </c>
      <c r="AH1005">
        <v>6</v>
      </c>
      <c r="AI1005">
        <v>0</v>
      </c>
      <c r="AJ1005">
        <v>0</v>
      </c>
      <c r="AK1005">
        <v>400</v>
      </c>
      <c r="AL1005">
        <v>0</v>
      </c>
      <c r="AM1005">
        <v>240</v>
      </c>
      <c r="AN1005">
        <v>-48</v>
      </c>
      <c r="AO1005">
        <v>0</v>
      </c>
      <c r="AP1005">
        <v>120</v>
      </c>
      <c r="AQ1005">
        <v>-36</v>
      </c>
      <c r="AR1005">
        <v>0</v>
      </c>
      <c r="AS1005">
        <v>120</v>
      </c>
      <c r="AT1005">
        <v>-12</v>
      </c>
      <c r="AU1005">
        <v>0</v>
      </c>
      <c r="AW1005">
        <v>0</v>
      </c>
      <c r="AX1005">
        <v>0</v>
      </c>
      <c r="AY1005">
        <v>414.4</v>
      </c>
      <c r="BC1005" t="str">
        <f t="shared" si="167"/>
        <v>9791166067563</v>
      </c>
      <c r="BE1005" t="str">
        <f t="shared" si="168"/>
        <v>판타지 웹소설 &gt; 현대 판타지</v>
      </c>
    </row>
    <row r="1006" spans="1:57" x14ac:dyDescent="0.3">
      <c r="A1006">
        <v>2313011400</v>
      </c>
      <c r="B1006">
        <v>2313011633</v>
      </c>
      <c r="C1006" t="str">
        <f>T("최종 보스 12권 2화")</f>
        <v>최종 보스 12권 2화</v>
      </c>
      <c r="D1006" t="str">
        <f>T("234")</f>
        <v>234</v>
      </c>
      <c r="E1006" t="str">
        <f t="shared" si="165"/>
        <v>무장</v>
      </c>
      <c r="H1006" t="str">
        <f t="shared" si="169"/>
        <v>스토리위즈</v>
      </c>
      <c r="I1006" t="str">
        <f t="shared" si="166"/>
        <v>최종 보스 : 빛을 향해 달리는 그림자</v>
      </c>
      <c r="J1006">
        <v>100</v>
      </c>
      <c r="K1006">
        <v>600</v>
      </c>
      <c r="L1006">
        <v>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600</v>
      </c>
      <c r="AH1006">
        <v>6</v>
      </c>
      <c r="AI1006">
        <v>0</v>
      </c>
      <c r="AJ1006">
        <v>0</v>
      </c>
      <c r="AK1006">
        <v>400</v>
      </c>
      <c r="AL1006">
        <v>0</v>
      </c>
      <c r="AM1006">
        <v>240</v>
      </c>
      <c r="AN1006">
        <v>-48</v>
      </c>
      <c r="AO1006">
        <v>0</v>
      </c>
      <c r="AP1006">
        <v>120</v>
      </c>
      <c r="AQ1006">
        <v>-36</v>
      </c>
      <c r="AR1006">
        <v>0</v>
      </c>
      <c r="AS1006">
        <v>120</v>
      </c>
      <c r="AT1006">
        <v>-12</v>
      </c>
      <c r="AU1006">
        <v>0</v>
      </c>
      <c r="AW1006">
        <v>0</v>
      </c>
      <c r="AX1006">
        <v>0</v>
      </c>
      <c r="AY1006">
        <v>414.4</v>
      </c>
      <c r="BC1006" t="str">
        <f t="shared" si="167"/>
        <v>9791166067563</v>
      </c>
      <c r="BE1006" t="str">
        <f t="shared" si="168"/>
        <v>판타지 웹소설 &gt; 현대 판타지</v>
      </c>
    </row>
    <row r="1007" spans="1:57" x14ac:dyDescent="0.3">
      <c r="A1007">
        <v>2313011400</v>
      </c>
      <c r="B1007">
        <v>2313011634</v>
      </c>
      <c r="C1007" t="str">
        <f>T("최종 보스 12권 3화")</f>
        <v>최종 보스 12권 3화</v>
      </c>
      <c r="D1007" t="str">
        <f>T("235")</f>
        <v>235</v>
      </c>
      <c r="E1007" t="str">
        <f t="shared" si="165"/>
        <v>무장</v>
      </c>
      <c r="H1007" t="str">
        <f t="shared" si="169"/>
        <v>스토리위즈</v>
      </c>
      <c r="I1007" t="str">
        <f t="shared" si="166"/>
        <v>최종 보스 : 빛을 향해 달리는 그림자</v>
      </c>
      <c r="J1007">
        <v>100</v>
      </c>
      <c r="K1007">
        <v>600</v>
      </c>
      <c r="L1007">
        <v>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600</v>
      </c>
      <c r="AH1007">
        <v>6</v>
      </c>
      <c r="AI1007">
        <v>0</v>
      </c>
      <c r="AJ1007">
        <v>0</v>
      </c>
      <c r="AK1007">
        <v>400</v>
      </c>
      <c r="AL1007">
        <v>0</v>
      </c>
      <c r="AM1007">
        <v>240</v>
      </c>
      <c r="AN1007">
        <v>-48</v>
      </c>
      <c r="AO1007">
        <v>0</v>
      </c>
      <c r="AP1007">
        <v>120</v>
      </c>
      <c r="AQ1007">
        <v>-36</v>
      </c>
      <c r="AR1007">
        <v>0</v>
      </c>
      <c r="AS1007">
        <v>120</v>
      </c>
      <c r="AT1007">
        <v>-12</v>
      </c>
      <c r="AU1007">
        <v>0</v>
      </c>
      <c r="AW1007">
        <v>0</v>
      </c>
      <c r="AX1007">
        <v>0</v>
      </c>
      <c r="AY1007">
        <v>414.4</v>
      </c>
      <c r="BC1007" t="str">
        <f t="shared" si="167"/>
        <v>9791166067563</v>
      </c>
      <c r="BE1007" t="str">
        <f t="shared" si="168"/>
        <v>판타지 웹소설 &gt; 현대 판타지</v>
      </c>
    </row>
    <row r="1008" spans="1:57" x14ac:dyDescent="0.3">
      <c r="A1008">
        <v>2313011400</v>
      </c>
      <c r="B1008">
        <v>2313011635</v>
      </c>
      <c r="C1008" t="str">
        <f>T("최종 보스 12권 4화")</f>
        <v>최종 보스 12권 4화</v>
      </c>
      <c r="D1008" t="str">
        <f>T("236")</f>
        <v>236</v>
      </c>
      <c r="E1008" t="str">
        <f t="shared" si="165"/>
        <v>무장</v>
      </c>
      <c r="H1008" t="str">
        <f t="shared" si="169"/>
        <v>스토리위즈</v>
      </c>
      <c r="I1008" t="str">
        <f t="shared" si="166"/>
        <v>최종 보스 : 빛을 향해 달리는 그림자</v>
      </c>
      <c r="J1008">
        <v>100</v>
      </c>
      <c r="K1008">
        <v>600</v>
      </c>
      <c r="L1008">
        <v>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600</v>
      </c>
      <c r="AH1008">
        <v>6</v>
      </c>
      <c r="AI1008">
        <v>0</v>
      </c>
      <c r="AJ1008">
        <v>0</v>
      </c>
      <c r="AK1008">
        <v>400</v>
      </c>
      <c r="AL1008">
        <v>0</v>
      </c>
      <c r="AM1008">
        <v>240</v>
      </c>
      <c r="AN1008">
        <v>-48</v>
      </c>
      <c r="AO1008">
        <v>0</v>
      </c>
      <c r="AP1008">
        <v>120</v>
      </c>
      <c r="AQ1008">
        <v>-36</v>
      </c>
      <c r="AR1008">
        <v>0</v>
      </c>
      <c r="AS1008">
        <v>120</v>
      </c>
      <c r="AT1008">
        <v>-12</v>
      </c>
      <c r="AU1008">
        <v>0</v>
      </c>
      <c r="AW1008">
        <v>0</v>
      </c>
      <c r="AX1008">
        <v>0</v>
      </c>
      <c r="AY1008">
        <v>414.4</v>
      </c>
      <c r="BC1008" t="str">
        <f t="shared" si="167"/>
        <v>9791166067563</v>
      </c>
      <c r="BE1008" t="str">
        <f t="shared" si="168"/>
        <v>판타지 웹소설 &gt; 현대 판타지</v>
      </c>
    </row>
    <row r="1009" spans="1:57" x14ac:dyDescent="0.3">
      <c r="A1009">
        <v>2313011400</v>
      </c>
      <c r="B1009">
        <v>2313011636</v>
      </c>
      <c r="C1009" t="str">
        <f>T("최종 보스 12권 5화")</f>
        <v>최종 보스 12권 5화</v>
      </c>
      <c r="D1009" t="str">
        <f>T("237")</f>
        <v>237</v>
      </c>
      <c r="E1009" t="str">
        <f t="shared" si="165"/>
        <v>무장</v>
      </c>
      <c r="H1009" t="str">
        <f t="shared" si="169"/>
        <v>스토리위즈</v>
      </c>
      <c r="I1009" t="str">
        <f t="shared" si="166"/>
        <v>최종 보스 : 빛을 향해 달리는 그림자</v>
      </c>
      <c r="J1009">
        <v>100</v>
      </c>
      <c r="K1009">
        <v>600</v>
      </c>
      <c r="L1009">
        <v>6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600</v>
      </c>
      <c r="AH1009">
        <v>6</v>
      </c>
      <c r="AI1009">
        <v>0</v>
      </c>
      <c r="AJ1009">
        <v>0</v>
      </c>
      <c r="AK1009">
        <v>400</v>
      </c>
      <c r="AL1009">
        <v>0</v>
      </c>
      <c r="AM1009">
        <v>240</v>
      </c>
      <c r="AN1009">
        <v>-48</v>
      </c>
      <c r="AO1009">
        <v>0</v>
      </c>
      <c r="AP1009">
        <v>120</v>
      </c>
      <c r="AQ1009">
        <v>-36</v>
      </c>
      <c r="AR1009">
        <v>0</v>
      </c>
      <c r="AS1009">
        <v>120</v>
      </c>
      <c r="AT1009">
        <v>-12</v>
      </c>
      <c r="AU1009">
        <v>0</v>
      </c>
      <c r="AW1009">
        <v>0</v>
      </c>
      <c r="AX1009">
        <v>0</v>
      </c>
      <c r="AY1009">
        <v>414.4</v>
      </c>
      <c r="BC1009" t="str">
        <f t="shared" si="167"/>
        <v>9791166067563</v>
      </c>
      <c r="BE1009" t="str">
        <f t="shared" si="168"/>
        <v>판타지 웹소설 &gt; 현대 판타지</v>
      </c>
    </row>
    <row r="1010" spans="1:57" x14ac:dyDescent="0.3">
      <c r="A1010">
        <v>2313011400</v>
      </c>
      <c r="B1010">
        <v>2313011637</v>
      </c>
      <c r="C1010" t="str">
        <f>T("최종 보스 12권 6화")</f>
        <v>최종 보스 12권 6화</v>
      </c>
      <c r="D1010" t="str">
        <f>T("238")</f>
        <v>238</v>
      </c>
      <c r="E1010" t="str">
        <f t="shared" si="165"/>
        <v>무장</v>
      </c>
      <c r="H1010" t="str">
        <f t="shared" si="169"/>
        <v>스토리위즈</v>
      </c>
      <c r="I1010" t="str">
        <f t="shared" si="166"/>
        <v>최종 보스 : 빛을 향해 달리는 그림자</v>
      </c>
      <c r="J1010">
        <v>100</v>
      </c>
      <c r="K1010">
        <v>600</v>
      </c>
      <c r="L1010">
        <v>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600</v>
      </c>
      <c r="AH1010">
        <v>6</v>
      </c>
      <c r="AI1010">
        <v>0</v>
      </c>
      <c r="AJ1010">
        <v>0</v>
      </c>
      <c r="AK1010">
        <v>400</v>
      </c>
      <c r="AL1010">
        <v>0</v>
      </c>
      <c r="AM1010">
        <v>240</v>
      </c>
      <c r="AN1010">
        <v>-48</v>
      </c>
      <c r="AO1010">
        <v>0</v>
      </c>
      <c r="AP1010">
        <v>120</v>
      </c>
      <c r="AQ1010">
        <v>-36</v>
      </c>
      <c r="AR1010">
        <v>0</v>
      </c>
      <c r="AS1010">
        <v>120</v>
      </c>
      <c r="AT1010">
        <v>-12</v>
      </c>
      <c r="AU1010">
        <v>0</v>
      </c>
      <c r="AW1010">
        <v>0</v>
      </c>
      <c r="AX1010">
        <v>0</v>
      </c>
      <c r="AY1010">
        <v>414.4</v>
      </c>
      <c r="BC1010" t="str">
        <f t="shared" si="167"/>
        <v>9791166067563</v>
      </c>
      <c r="BE1010" t="str">
        <f t="shared" si="168"/>
        <v>판타지 웹소설 &gt; 현대 판타지</v>
      </c>
    </row>
    <row r="1011" spans="1:57" x14ac:dyDescent="0.3">
      <c r="A1011">
        <v>2313011400</v>
      </c>
      <c r="B1011">
        <v>2313011638</v>
      </c>
      <c r="C1011" t="str">
        <f>T("최종 보스 12권 7화")</f>
        <v>최종 보스 12권 7화</v>
      </c>
      <c r="D1011" t="str">
        <f>T("239")</f>
        <v>239</v>
      </c>
      <c r="E1011" t="str">
        <f t="shared" si="165"/>
        <v>무장</v>
      </c>
      <c r="H1011" t="str">
        <f t="shared" si="169"/>
        <v>스토리위즈</v>
      </c>
      <c r="I1011" t="str">
        <f t="shared" si="166"/>
        <v>최종 보스 : 빛을 향해 달리는 그림자</v>
      </c>
      <c r="J1011">
        <v>100</v>
      </c>
      <c r="K1011">
        <v>600</v>
      </c>
      <c r="L1011">
        <v>6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600</v>
      </c>
      <c r="AH1011">
        <v>6</v>
      </c>
      <c r="AI1011">
        <v>0</v>
      </c>
      <c r="AJ1011">
        <v>0</v>
      </c>
      <c r="AK1011">
        <v>400</v>
      </c>
      <c r="AL1011">
        <v>0</v>
      </c>
      <c r="AM1011">
        <v>240</v>
      </c>
      <c r="AN1011">
        <v>-48</v>
      </c>
      <c r="AO1011">
        <v>0</v>
      </c>
      <c r="AP1011">
        <v>120</v>
      </c>
      <c r="AQ1011">
        <v>-36</v>
      </c>
      <c r="AR1011">
        <v>0</v>
      </c>
      <c r="AS1011">
        <v>120</v>
      </c>
      <c r="AT1011">
        <v>-12</v>
      </c>
      <c r="AU1011">
        <v>0</v>
      </c>
      <c r="AW1011">
        <v>0</v>
      </c>
      <c r="AX1011">
        <v>0</v>
      </c>
      <c r="AY1011">
        <v>414.4</v>
      </c>
      <c r="BC1011" t="str">
        <f t="shared" si="167"/>
        <v>9791166067563</v>
      </c>
      <c r="BE1011" t="str">
        <f t="shared" si="168"/>
        <v>판타지 웹소설 &gt; 현대 판타지</v>
      </c>
    </row>
    <row r="1012" spans="1:57" x14ac:dyDescent="0.3">
      <c r="A1012">
        <v>2313011400</v>
      </c>
      <c r="B1012">
        <v>2313011639</v>
      </c>
      <c r="C1012" t="str">
        <f>T("최종 보스 12권 8화")</f>
        <v>최종 보스 12권 8화</v>
      </c>
      <c r="D1012" t="str">
        <f>T("240")</f>
        <v>240</v>
      </c>
      <c r="E1012" t="str">
        <f t="shared" si="165"/>
        <v>무장</v>
      </c>
      <c r="H1012" t="str">
        <f t="shared" si="169"/>
        <v>스토리위즈</v>
      </c>
      <c r="I1012" t="str">
        <f t="shared" si="166"/>
        <v>최종 보스 : 빛을 향해 달리는 그림자</v>
      </c>
      <c r="J1012">
        <v>100</v>
      </c>
      <c r="K1012">
        <v>600</v>
      </c>
      <c r="L1012">
        <v>6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600</v>
      </c>
      <c r="AH1012">
        <v>6</v>
      </c>
      <c r="AI1012">
        <v>0</v>
      </c>
      <c r="AJ1012">
        <v>0</v>
      </c>
      <c r="AK1012">
        <v>400</v>
      </c>
      <c r="AL1012">
        <v>0</v>
      </c>
      <c r="AM1012">
        <v>240</v>
      </c>
      <c r="AN1012">
        <v>-48</v>
      </c>
      <c r="AO1012">
        <v>0</v>
      </c>
      <c r="AP1012">
        <v>120</v>
      </c>
      <c r="AQ1012">
        <v>-36</v>
      </c>
      <c r="AR1012">
        <v>0</v>
      </c>
      <c r="AS1012">
        <v>120</v>
      </c>
      <c r="AT1012">
        <v>-12</v>
      </c>
      <c r="AU1012">
        <v>0</v>
      </c>
      <c r="AW1012">
        <v>0</v>
      </c>
      <c r="AX1012">
        <v>0</v>
      </c>
      <c r="AY1012">
        <v>414.4</v>
      </c>
      <c r="BC1012" t="str">
        <f t="shared" si="167"/>
        <v>9791166067563</v>
      </c>
      <c r="BE1012" t="str">
        <f t="shared" si="168"/>
        <v>판타지 웹소설 &gt; 현대 판타지</v>
      </c>
    </row>
    <row r="1013" spans="1:57" x14ac:dyDescent="0.3">
      <c r="A1013">
        <v>2313011400</v>
      </c>
      <c r="B1013">
        <v>2313011640</v>
      </c>
      <c r="C1013" t="str">
        <f>T("최종 보스 12권 9화")</f>
        <v>최종 보스 12권 9화</v>
      </c>
      <c r="D1013" t="str">
        <f>T("241")</f>
        <v>241</v>
      </c>
      <c r="E1013" t="str">
        <f t="shared" si="165"/>
        <v>무장</v>
      </c>
      <c r="H1013" t="str">
        <f t="shared" si="169"/>
        <v>스토리위즈</v>
      </c>
      <c r="I1013" t="str">
        <f t="shared" si="166"/>
        <v>최종 보스 : 빛을 향해 달리는 그림자</v>
      </c>
      <c r="J1013">
        <v>100</v>
      </c>
      <c r="K1013">
        <v>600</v>
      </c>
      <c r="L1013">
        <v>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600</v>
      </c>
      <c r="AH1013">
        <v>6</v>
      </c>
      <c r="AI1013">
        <v>0</v>
      </c>
      <c r="AJ1013">
        <v>0</v>
      </c>
      <c r="AK1013">
        <v>400</v>
      </c>
      <c r="AL1013">
        <v>0</v>
      </c>
      <c r="AM1013">
        <v>240</v>
      </c>
      <c r="AN1013">
        <v>-48</v>
      </c>
      <c r="AO1013">
        <v>0</v>
      </c>
      <c r="AP1013">
        <v>120</v>
      </c>
      <c r="AQ1013">
        <v>-36</v>
      </c>
      <c r="AR1013">
        <v>0</v>
      </c>
      <c r="AS1013">
        <v>120</v>
      </c>
      <c r="AT1013">
        <v>-12</v>
      </c>
      <c r="AU1013">
        <v>0</v>
      </c>
      <c r="AW1013">
        <v>0</v>
      </c>
      <c r="AX1013">
        <v>0</v>
      </c>
      <c r="AY1013">
        <v>414.4</v>
      </c>
      <c r="BC1013" t="str">
        <f t="shared" si="167"/>
        <v>9791166067563</v>
      </c>
      <c r="BE1013" t="str">
        <f t="shared" si="168"/>
        <v>판타지 웹소설 &gt; 현대 판타지</v>
      </c>
    </row>
    <row r="1014" spans="1:57" x14ac:dyDescent="0.3">
      <c r="A1014">
        <v>2313011400</v>
      </c>
      <c r="B1014">
        <v>2313011641</v>
      </c>
      <c r="C1014" t="str">
        <f>T("최종 보스 12권 10화")</f>
        <v>최종 보스 12권 10화</v>
      </c>
      <c r="D1014" t="str">
        <f>T("242")</f>
        <v>242</v>
      </c>
      <c r="E1014" t="str">
        <f t="shared" si="165"/>
        <v>무장</v>
      </c>
      <c r="H1014" t="str">
        <f t="shared" si="169"/>
        <v>스토리위즈</v>
      </c>
      <c r="I1014" t="str">
        <f t="shared" si="166"/>
        <v>최종 보스 : 빛을 향해 달리는 그림자</v>
      </c>
      <c r="J1014">
        <v>100</v>
      </c>
      <c r="K1014">
        <v>600</v>
      </c>
      <c r="L1014">
        <v>6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600</v>
      </c>
      <c r="AH1014">
        <v>6</v>
      </c>
      <c r="AI1014">
        <v>0</v>
      </c>
      <c r="AJ1014">
        <v>0</v>
      </c>
      <c r="AK1014">
        <v>400</v>
      </c>
      <c r="AL1014">
        <v>0</v>
      </c>
      <c r="AM1014">
        <v>240</v>
      </c>
      <c r="AN1014">
        <v>-48</v>
      </c>
      <c r="AO1014">
        <v>0</v>
      </c>
      <c r="AP1014">
        <v>120</v>
      </c>
      <c r="AQ1014">
        <v>-36</v>
      </c>
      <c r="AR1014">
        <v>0</v>
      </c>
      <c r="AS1014">
        <v>120</v>
      </c>
      <c r="AT1014">
        <v>-12</v>
      </c>
      <c r="AU1014">
        <v>0</v>
      </c>
      <c r="AW1014">
        <v>0</v>
      </c>
      <c r="AX1014">
        <v>0</v>
      </c>
      <c r="AY1014">
        <v>414.4</v>
      </c>
      <c r="BC1014" t="str">
        <f t="shared" si="167"/>
        <v>9791166067563</v>
      </c>
      <c r="BE1014" t="str">
        <f t="shared" si="168"/>
        <v>판타지 웹소설 &gt; 현대 판타지</v>
      </c>
    </row>
    <row r="1015" spans="1:57" x14ac:dyDescent="0.3">
      <c r="A1015">
        <v>2313011400</v>
      </c>
      <c r="B1015">
        <v>2313011642</v>
      </c>
      <c r="C1015" t="str">
        <f>T("최종 보스 12권 11화")</f>
        <v>최종 보스 12권 11화</v>
      </c>
      <c r="D1015" t="str">
        <f>T("243")</f>
        <v>243</v>
      </c>
      <c r="E1015" t="str">
        <f t="shared" si="165"/>
        <v>무장</v>
      </c>
      <c r="H1015" t="str">
        <f t="shared" si="169"/>
        <v>스토리위즈</v>
      </c>
      <c r="I1015" t="str">
        <f t="shared" si="166"/>
        <v>최종 보스 : 빛을 향해 달리는 그림자</v>
      </c>
      <c r="J1015">
        <v>100</v>
      </c>
      <c r="K1015">
        <v>600</v>
      </c>
      <c r="L1015">
        <v>6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600</v>
      </c>
      <c r="AH1015">
        <v>6</v>
      </c>
      <c r="AI1015">
        <v>0</v>
      </c>
      <c r="AJ1015">
        <v>0</v>
      </c>
      <c r="AK1015">
        <v>400</v>
      </c>
      <c r="AL1015">
        <v>0</v>
      </c>
      <c r="AM1015">
        <v>240</v>
      </c>
      <c r="AN1015">
        <v>-48</v>
      </c>
      <c r="AO1015">
        <v>0</v>
      </c>
      <c r="AP1015">
        <v>120</v>
      </c>
      <c r="AQ1015">
        <v>-36</v>
      </c>
      <c r="AR1015">
        <v>0</v>
      </c>
      <c r="AS1015">
        <v>120</v>
      </c>
      <c r="AT1015">
        <v>-12</v>
      </c>
      <c r="AU1015">
        <v>0</v>
      </c>
      <c r="AW1015">
        <v>0</v>
      </c>
      <c r="AX1015">
        <v>0</v>
      </c>
      <c r="AY1015">
        <v>414.4</v>
      </c>
      <c r="BC1015" t="str">
        <f t="shared" si="167"/>
        <v>9791166067563</v>
      </c>
      <c r="BE1015" t="str">
        <f t="shared" si="168"/>
        <v>판타지 웹소설 &gt; 현대 판타지</v>
      </c>
    </row>
    <row r="1016" spans="1:57" x14ac:dyDescent="0.3">
      <c r="A1016">
        <v>2313011400</v>
      </c>
      <c r="B1016">
        <v>2313011643</v>
      </c>
      <c r="C1016" t="str">
        <f>T("최종 보스 12권 12화")</f>
        <v>최종 보스 12권 12화</v>
      </c>
      <c r="D1016" t="str">
        <f>T("244")</f>
        <v>244</v>
      </c>
      <c r="E1016" t="str">
        <f t="shared" si="165"/>
        <v>무장</v>
      </c>
      <c r="H1016" t="str">
        <f t="shared" si="169"/>
        <v>스토리위즈</v>
      </c>
      <c r="I1016" t="str">
        <f t="shared" si="166"/>
        <v>최종 보스 : 빛을 향해 달리는 그림자</v>
      </c>
      <c r="J1016">
        <v>100</v>
      </c>
      <c r="K1016">
        <v>600</v>
      </c>
      <c r="L1016">
        <v>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600</v>
      </c>
      <c r="AH1016">
        <v>6</v>
      </c>
      <c r="AI1016">
        <v>0</v>
      </c>
      <c r="AJ1016">
        <v>0</v>
      </c>
      <c r="AK1016">
        <v>400</v>
      </c>
      <c r="AL1016">
        <v>0</v>
      </c>
      <c r="AM1016">
        <v>240</v>
      </c>
      <c r="AN1016">
        <v>-48</v>
      </c>
      <c r="AO1016">
        <v>0</v>
      </c>
      <c r="AP1016">
        <v>120</v>
      </c>
      <c r="AQ1016">
        <v>-36</v>
      </c>
      <c r="AR1016">
        <v>0</v>
      </c>
      <c r="AS1016">
        <v>120</v>
      </c>
      <c r="AT1016">
        <v>-12</v>
      </c>
      <c r="AU1016">
        <v>0</v>
      </c>
      <c r="AW1016">
        <v>0</v>
      </c>
      <c r="AX1016">
        <v>0</v>
      </c>
      <c r="AY1016">
        <v>414.4</v>
      </c>
      <c r="BC1016" t="str">
        <f t="shared" si="167"/>
        <v>9791166067563</v>
      </c>
      <c r="BE1016" t="str">
        <f t="shared" si="168"/>
        <v>판타지 웹소설 &gt; 현대 판타지</v>
      </c>
    </row>
    <row r="1017" spans="1:57" x14ac:dyDescent="0.3">
      <c r="A1017">
        <v>2313011400</v>
      </c>
      <c r="B1017">
        <v>2313011644</v>
      </c>
      <c r="C1017" t="str">
        <f>T("최종 보스 12권 13화")</f>
        <v>최종 보스 12권 13화</v>
      </c>
      <c r="D1017" t="str">
        <f>T("245")</f>
        <v>245</v>
      </c>
      <c r="E1017" t="str">
        <f t="shared" si="165"/>
        <v>무장</v>
      </c>
      <c r="H1017" t="str">
        <f t="shared" si="169"/>
        <v>스토리위즈</v>
      </c>
      <c r="I1017" t="str">
        <f t="shared" si="166"/>
        <v>최종 보스 : 빛을 향해 달리는 그림자</v>
      </c>
      <c r="J1017">
        <v>100</v>
      </c>
      <c r="K1017">
        <v>600</v>
      </c>
      <c r="L1017">
        <v>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600</v>
      </c>
      <c r="AH1017">
        <v>6</v>
      </c>
      <c r="AI1017">
        <v>0</v>
      </c>
      <c r="AJ1017">
        <v>0</v>
      </c>
      <c r="AK1017">
        <v>400</v>
      </c>
      <c r="AL1017">
        <v>0</v>
      </c>
      <c r="AM1017">
        <v>240</v>
      </c>
      <c r="AN1017">
        <v>-48</v>
      </c>
      <c r="AO1017">
        <v>0</v>
      </c>
      <c r="AP1017">
        <v>120</v>
      </c>
      <c r="AQ1017">
        <v>-36</v>
      </c>
      <c r="AR1017">
        <v>0</v>
      </c>
      <c r="AS1017">
        <v>120</v>
      </c>
      <c r="AT1017">
        <v>-12</v>
      </c>
      <c r="AU1017">
        <v>0</v>
      </c>
      <c r="AW1017">
        <v>0</v>
      </c>
      <c r="AX1017">
        <v>0</v>
      </c>
      <c r="AY1017">
        <v>414.4</v>
      </c>
      <c r="BC1017" t="str">
        <f t="shared" si="167"/>
        <v>9791166067563</v>
      </c>
      <c r="BE1017" t="str">
        <f t="shared" si="168"/>
        <v>판타지 웹소설 &gt; 현대 판타지</v>
      </c>
    </row>
    <row r="1018" spans="1:57" x14ac:dyDescent="0.3">
      <c r="A1018">
        <v>2313011400</v>
      </c>
      <c r="B1018">
        <v>2313011645</v>
      </c>
      <c r="C1018" t="str">
        <f>T("최종 보스 12권 14화")</f>
        <v>최종 보스 12권 14화</v>
      </c>
      <c r="D1018" t="str">
        <f>T("246")</f>
        <v>246</v>
      </c>
      <c r="E1018" t="str">
        <f t="shared" si="165"/>
        <v>무장</v>
      </c>
      <c r="H1018" t="str">
        <f t="shared" si="169"/>
        <v>스토리위즈</v>
      </c>
      <c r="I1018" t="str">
        <f t="shared" si="166"/>
        <v>최종 보스 : 빛을 향해 달리는 그림자</v>
      </c>
      <c r="J1018">
        <v>100</v>
      </c>
      <c r="K1018">
        <v>600</v>
      </c>
      <c r="L1018">
        <v>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600</v>
      </c>
      <c r="AH1018">
        <v>6</v>
      </c>
      <c r="AI1018">
        <v>0</v>
      </c>
      <c r="AJ1018">
        <v>0</v>
      </c>
      <c r="AK1018">
        <v>400</v>
      </c>
      <c r="AL1018">
        <v>0</v>
      </c>
      <c r="AM1018">
        <v>240</v>
      </c>
      <c r="AN1018">
        <v>-48</v>
      </c>
      <c r="AO1018">
        <v>0</v>
      </c>
      <c r="AP1018">
        <v>120</v>
      </c>
      <c r="AQ1018">
        <v>-36</v>
      </c>
      <c r="AR1018">
        <v>0</v>
      </c>
      <c r="AS1018">
        <v>120</v>
      </c>
      <c r="AT1018">
        <v>-12</v>
      </c>
      <c r="AU1018">
        <v>0</v>
      </c>
      <c r="AW1018">
        <v>0</v>
      </c>
      <c r="AX1018">
        <v>0</v>
      </c>
      <c r="AY1018">
        <v>414.4</v>
      </c>
      <c r="BC1018" t="str">
        <f t="shared" si="167"/>
        <v>9791166067563</v>
      </c>
      <c r="BE1018" t="str">
        <f t="shared" si="168"/>
        <v>판타지 웹소설 &gt; 현대 판타지</v>
      </c>
    </row>
    <row r="1019" spans="1:57" x14ac:dyDescent="0.3">
      <c r="A1019">
        <v>2313011400</v>
      </c>
      <c r="B1019">
        <v>2313011646</v>
      </c>
      <c r="C1019" t="str">
        <f>T("최종 보스 12권 15화")</f>
        <v>최종 보스 12권 15화</v>
      </c>
      <c r="D1019" t="str">
        <f>T("247")</f>
        <v>247</v>
      </c>
      <c r="E1019" t="str">
        <f t="shared" si="165"/>
        <v>무장</v>
      </c>
      <c r="H1019" t="str">
        <f t="shared" si="169"/>
        <v>스토리위즈</v>
      </c>
      <c r="I1019" t="str">
        <f t="shared" si="166"/>
        <v>최종 보스 : 빛을 향해 달리는 그림자</v>
      </c>
      <c r="J1019">
        <v>100</v>
      </c>
      <c r="K1019">
        <v>600</v>
      </c>
      <c r="L1019">
        <v>6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600</v>
      </c>
      <c r="AH1019">
        <v>6</v>
      </c>
      <c r="AI1019">
        <v>0</v>
      </c>
      <c r="AJ1019">
        <v>0</v>
      </c>
      <c r="AK1019">
        <v>400</v>
      </c>
      <c r="AL1019">
        <v>0</v>
      </c>
      <c r="AM1019">
        <v>240</v>
      </c>
      <c r="AN1019">
        <v>-48</v>
      </c>
      <c r="AO1019">
        <v>0</v>
      </c>
      <c r="AP1019">
        <v>120</v>
      </c>
      <c r="AQ1019">
        <v>-36</v>
      </c>
      <c r="AR1019">
        <v>0</v>
      </c>
      <c r="AS1019">
        <v>120</v>
      </c>
      <c r="AT1019">
        <v>-12</v>
      </c>
      <c r="AU1019">
        <v>0</v>
      </c>
      <c r="AW1019">
        <v>0</v>
      </c>
      <c r="AX1019">
        <v>0</v>
      </c>
      <c r="AY1019">
        <v>414.4</v>
      </c>
      <c r="BC1019" t="str">
        <f t="shared" si="167"/>
        <v>9791166067563</v>
      </c>
      <c r="BE1019" t="str">
        <f t="shared" si="168"/>
        <v>판타지 웹소설 &gt; 현대 판타지</v>
      </c>
    </row>
    <row r="1020" spans="1:57" x14ac:dyDescent="0.3">
      <c r="A1020">
        <v>2313011400</v>
      </c>
      <c r="B1020">
        <v>2313011647</v>
      </c>
      <c r="C1020" t="str">
        <f>T("최종 보스 12권 16화")</f>
        <v>최종 보스 12권 16화</v>
      </c>
      <c r="D1020" t="str">
        <f>T("248")</f>
        <v>248</v>
      </c>
      <c r="E1020" t="str">
        <f t="shared" si="165"/>
        <v>무장</v>
      </c>
      <c r="H1020" t="str">
        <f t="shared" si="169"/>
        <v>스토리위즈</v>
      </c>
      <c r="I1020" t="str">
        <f t="shared" si="166"/>
        <v>최종 보스 : 빛을 향해 달리는 그림자</v>
      </c>
      <c r="J1020">
        <v>100</v>
      </c>
      <c r="K1020">
        <v>600</v>
      </c>
      <c r="L1020">
        <v>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600</v>
      </c>
      <c r="AH1020">
        <v>6</v>
      </c>
      <c r="AI1020">
        <v>0</v>
      </c>
      <c r="AJ1020">
        <v>0</v>
      </c>
      <c r="AK1020">
        <v>400</v>
      </c>
      <c r="AL1020">
        <v>0</v>
      </c>
      <c r="AM1020">
        <v>240</v>
      </c>
      <c r="AN1020">
        <v>-48</v>
      </c>
      <c r="AO1020">
        <v>0</v>
      </c>
      <c r="AP1020">
        <v>120</v>
      </c>
      <c r="AQ1020">
        <v>-36</v>
      </c>
      <c r="AR1020">
        <v>0</v>
      </c>
      <c r="AS1020">
        <v>120</v>
      </c>
      <c r="AT1020">
        <v>-12</v>
      </c>
      <c r="AU1020">
        <v>0</v>
      </c>
      <c r="AW1020">
        <v>0</v>
      </c>
      <c r="AX1020">
        <v>0</v>
      </c>
      <c r="AY1020">
        <v>414.4</v>
      </c>
      <c r="BC1020" t="str">
        <f t="shared" si="167"/>
        <v>9791166067563</v>
      </c>
      <c r="BE1020" t="str">
        <f t="shared" si="168"/>
        <v>판타지 웹소설 &gt; 현대 판타지</v>
      </c>
    </row>
    <row r="1021" spans="1:57" x14ac:dyDescent="0.3">
      <c r="A1021">
        <v>2313011400</v>
      </c>
      <c r="B1021">
        <v>2313011648</v>
      </c>
      <c r="C1021" t="str">
        <f>T("최종 보스 12권 17화")</f>
        <v>최종 보스 12권 17화</v>
      </c>
      <c r="D1021" t="str">
        <f>T("249")</f>
        <v>249</v>
      </c>
      <c r="E1021" t="str">
        <f t="shared" si="165"/>
        <v>무장</v>
      </c>
      <c r="H1021" t="str">
        <f t="shared" si="169"/>
        <v>스토리위즈</v>
      </c>
      <c r="I1021" t="str">
        <f t="shared" si="166"/>
        <v>최종 보스 : 빛을 향해 달리는 그림자</v>
      </c>
      <c r="J1021">
        <v>100</v>
      </c>
      <c r="K1021">
        <v>600</v>
      </c>
      <c r="L1021">
        <v>6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600</v>
      </c>
      <c r="AH1021">
        <v>6</v>
      </c>
      <c r="AI1021">
        <v>0</v>
      </c>
      <c r="AJ1021">
        <v>0</v>
      </c>
      <c r="AK1021">
        <v>400</v>
      </c>
      <c r="AL1021">
        <v>0</v>
      </c>
      <c r="AM1021">
        <v>240</v>
      </c>
      <c r="AN1021">
        <v>-48</v>
      </c>
      <c r="AO1021">
        <v>0</v>
      </c>
      <c r="AP1021">
        <v>120</v>
      </c>
      <c r="AQ1021">
        <v>-36</v>
      </c>
      <c r="AR1021">
        <v>0</v>
      </c>
      <c r="AS1021">
        <v>120</v>
      </c>
      <c r="AT1021">
        <v>-12</v>
      </c>
      <c r="AU1021">
        <v>0</v>
      </c>
      <c r="AW1021">
        <v>0</v>
      </c>
      <c r="AX1021">
        <v>0</v>
      </c>
      <c r="AY1021">
        <v>414.4</v>
      </c>
      <c r="BC1021" t="str">
        <f t="shared" si="167"/>
        <v>9791166067563</v>
      </c>
      <c r="BE1021" t="str">
        <f t="shared" si="168"/>
        <v>판타지 웹소설 &gt; 현대 판타지</v>
      </c>
    </row>
    <row r="1022" spans="1:57" x14ac:dyDescent="0.3">
      <c r="A1022">
        <v>2313011400</v>
      </c>
      <c r="B1022">
        <v>2313011671</v>
      </c>
      <c r="C1022" t="str">
        <f>T("최종 보스 13권 20화")</f>
        <v>최종 보스 13권 20화</v>
      </c>
      <c r="D1022" t="str">
        <f>T("272")</f>
        <v>272</v>
      </c>
      <c r="E1022" t="str">
        <f t="shared" si="165"/>
        <v>무장</v>
      </c>
      <c r="H1022" t="str">
        <f t="shared" si="169"/>
        <v>스토리위즈</v>
      </c>
      <c r="I1022" t="str">
        <f t="shared" si="166"/>
        <v>최종 보스 : 빛을 향해 달리는 그림자</v>
      </c>
      <c r="J1022">
        <v>100</v>
      </c>
      <c r="K1022">
        <v>600</v>
      </c>
      <c r="L1022">
        <v>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600</v>
      </c>
      <c r="AH1022">
        <v>6</v>
      </c>
      <c r="AI1022">
        <v>0</v>
      </c>
      <c r="AJ1022">
        <v>0</v>
      </c>
      <c r="AK1022">
        <v>400</v>
      </c>
      <c r="AL1022">
        <v>0</v>
      </c>
      <c r="AM1022">
        <v>240</v>
      </c>
      <c r="AN1022">
        <v>-48</v>
      </c>
      <c r="AO1022">
        <v>0</v>
      </c>
      <c r="AP1022">
        <v>120</v>
      </c>
      <c r="AQ1022">
        <v>-36</v>
      </c>
      <c r="AR1022">
        <v>0</v>
      </c>
      <c r="AS1022">
        <v>120</v>
      </c>
      <c r="AT1022">
        <v>-12</v>
      </c>
      <c r="AU1022">
        <v>0</v>
      </c>
      <c r="AW1022">
        <v>0</v>
      </c>
      <c r="AX1022">
        <v>0</v>
      </c>
      <c r="AY1022">
        <v>414.4</v>
      </c>
      <c r="BC1022" t="str">
        <f t="shared" si="167"/>
        <v>9791166067563</v>
      </c>
      <c r="BE1022" t="str">
        <f t="shared" si="168"/>
        <v>판타지 웹소설 &gt; 현대 판타지</v>
      </c>
    </row>
    <row r="1023" spans="1:57" x14ac:dyDescent="0.3">
      <c r="A1023">
        <v>2313011400</v>
      </c>
      <c r="B1023">
        <v>2313011714</v>
      </c>
      <c r="C1023" t="str">
        <f>T("최종 보스 16권 3화")</f>
        <v>최종 보스 16권 3화</v>
      </c>
      <c r="D1023" t="str">
        <f>T("315")</f>
        <v>315</v>
      </c>
      <c r="E1023" t="str">
        <f t="shared" ref="E1023:E1024" si="170">T("무장")</f>
        <v>무장</v>
      </c>
      <c r="H1023" t="str">
        <f t="shared" si="169"/>
        <v>스토리위즈</v>
      </c>
      <c r="I1023" t="str">
        <f t="shared" ref="I1023:I1024" si="171">T("최종 보스 : 빛을 향해 달리는 그림자")</f>
        <v>최종 보스 : 빛을 향해 달리는 그림자</v>
      </c>
      <c r="J1023">
        <v>100</v>
      </c>
      <c r="K1023">
        <v>600</v>
      </c>
      <c r="L1023">
        <v>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600</v>
      </c>
      <c r="AH1023">
        <v>6</v>
      </c>
      <c r="AI1023">
        <v>0</v>
      </c>
      <c r="AJ1023">
        <v>0</v>
      </c>
      <c r="AK1023">
        <v>400</v>
      </c>
      <c r="AL1023">
        <v>0</v>
      </c>
      <c r="AM1023">
        <v>240</v>
      </c>
      <c r="AN1023">
        <v>-48</v>
      </c>
      <c r="AO1023">
        <v>0</v>
      </c>
      <c r="AP1023">
        <v>120</v>
      </c>
      <c r="AQ1023">
        <v>-36</v>
      </c>
      <c r="AR1023">
        <v>0</v>
      </c>
      <c r="AS1023">
        <v>120</v>
      </c>
      <c r="AT1023">
        <v>-12</v>
      </c>
      <c r="AU1023">
        <v>0</v>
      </c>
      <c r="AW1023">
        <v>0</v>
      </c>
      <c r="AX1023">
        <v>0</v>
      </c>
      <c r="AY1023">
        <v>414.4</v>
      </c>
      <c r="BC1023" t="str">
        <f t="shared" ref="BC1023:BC1024" si="172">T("9791166067563")</f>
        <v>9791166067563</v>
      </c>
      <c r="BE1023" t="str">
        <f t="shared" ref="BE1023:BE1024" si="173">T("판타지 웹소설 &gt; 현대 판타지")</f>
        <v>판타지 웹소설 &gt; 현대 판타지</v>
      </c>
    </row>
    <row r="1024" spans="1:57" x14ac:dyDescent="0.3">
      <c r="A1024">
        <v>2313011400</v>
      </c>
      <c r="B1024">
        <v>2313011730</v>
      </c>
      <c r="C1024" t="str">
        <f>T("최종 보스 16권 19화")</f>
        <v>최종 보스 16권 19화</v>
      </c>
      <c r="D1024" t="str">
        <f>T("331")</f>
        <v>331</v>
      </c>
      <c r="E1024" t="str">
        <f t="shared" si="170"/>
        <v>무장</v>
      </c>
      <c r="H1024" t="str">
        <f t="shared" si="169"/>
        <v>스토리위즈</v>
      </c>
      <c r="I1024" t="str">
        <f t="shared" si="171"/>
        <v>최종 보스 : 빛을 향해 달리는 그림자</v>
      </c>
      <c r="J1024">
        <v>100</v>
      </c>
      <c r="K1024">
        <v>600</v>
      </c>
      <c r="L1024">
        <v>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600</v>
      </c>
      <c r="AH1024">
        <v>6</v>
      </c>
      <c r="AI1024">
        <v>0</v>
      </c>
      <c r="AJ1024">
        <v>0</v>
      </c>
      <c r="AK1024">
        <v>400</v>
      </c>
      <c r="AL1024">
        <v>0</v>
      </c>
      <c r="AM1024">
        <v>240</v>
      </c>
      <c r="AN1024">
        <v>-48</v>
      </c>
      <c r="AO1024">
        <v>0</v>
      </c>
      <c r="AP1024">
        <v>120</v>
      </c>
      <c r="AQ1024">
        <v>-36</v>
      </c>
      <c r="AR1024">
        <v>0</v>
      </c>
      <c r="AS1024">
        <v>120</v>
      </c>
      <c r="AT1024">
        <v>-12</v>
      </c>
      <c r="AU1024">
        <v>0</v>
      </c>
      <c r="AW1024">
        <v>0</v>
      </c>
      <c r="AX1024">
        <v>0</v>
      </c>
      <c r="AY1024">
        <v>414.4</v>
      </c>
      <c r="BC1024" t="str">
        <f t="shared" si="172"/>
        <v>9791166067563</v>
      </c>
      <c r="BE1024" t="str">
        <f t="shared" si="173"/>
        <v>판타지 웹소설 &gt; 현대 판타지</v>
      </c>
    </row>
    <row r="1025" spans="1:58" x14ac:dyDescent="0.3">
      <c r="A1025">
        <v>2313016889</v>
      </c>
      <c r="B1025">
        <v>2313016887</v>
      </c>
      <c r="C1025" t="str">
        <f>T("[e북]얼어 죽어도, 겨울 (외전증보판) (외전)")</f>
        <v>[e북]얼어 죽어도, 겨울 (외전증보판) (외전)</v>
      </c>
      <c r="D1025" t="str">
        <f>T("3")</f>
        <v>3</v>
      </c>
      <c r="E1025" t="str">
        <f>T("진새벽")</f>
        <v>진새벽</v>
      </c>
      <c r="H1025" t="str">
        <f>T("도서출판 태랑")</f>
        <v>도서출판 태랑</v>
      </c>
      <c r="I1025" t="str">
        <f>T("[e북]얼어 죽어도, 겨울 (외전증보판)")</f>
        <v>[e북]얼어 죽어도, 겨울 (외전증보판)</v>
      </c>
      <c r="J1025">
        <v>600</v>
      </c>
      <c r="K1025">
        <v>600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600</v>
      </c>
      <c r="AH1025">
        <v>1</v>
      </c>
      <c r="AI1025">
        <v>0</v>
      </c>
      <c r="AJ1025">
        <v>0</v>
      </c>
      <c r="AK1025">
        <v>600</v>
      </c>
      <c r="AL1025">
        <v>0</v>
      </c>
      <c r="AM1025">
        <v>0</v>
      </c>
      <c r="AN1025">
        <v>0</v>
      </c>
      <c r="AO1025">
        <v>0</v>
      </c>
      <c r="AP1025"/>
      <c r="AQ1025">
        <v>0</v>
      </c>
      <c r="AR1025">
        <v>0</v>
      </c>
      <c r="AT1025">
        <v>0</v>
      </c>
      <c r="AU1025">
        <v>0</v>
      </c>
      <c r="AW1025">
        <v>0</v>
      </c>
      <c r="AX1025">
        <v>0</v>
      </c>
      <c r="AY1025">
        <v>420</v>
      </c>
      <c r="BC1025" t="str">
        <f>T("9791164374021")</f>
        <v>9791164374021</v>
      </c>
      <c r="BE1025" t="str">
        <f>T("로맨스 e북 &gt; 현대물")</f>
        <v>로맨스 e북 &gt; 현대물</v>
      </c>
      <c r="BF1025" t="str">
        <f>T("로맨스 e북 &gt; 19+")</f>
        <v>로맨스 e북 &gt; 19+</v>
      </c>
    </row>
    <row r="1026" spans="1:58" x14ac:dyDescent="0.3">
      <c r="A1026">
        <v>2313017079</v>
      </c>
      <c r="B1026">
        <v>2313017055</v>
      </c>
      <c r="C1026" t="str">
        <f>T("[e북]중독 (외전)")</f>
        <v>[e북]중독 (외전)</v>
      </c>
      <c r="D1026" t="str">
        <f>T("2")</f>
        <v>2</v>
      </c>
      <c r="E1026" t="str">
        <f>T("문스톤")</f>
        <v>문스톤</v>
      </c>
      <c r="H1026" t="str">
        <f>T("도서출판 태랑")</f>
        <v>도서출판 태랑</v>
      </c>
      <c r="I1026" t="str">
        <f>T("[e북]중독")</f>
        <v>[e북]중독</v>
      </c>
      <c r="J1026">
        <v>300</v>
      </c>
      <c r="K1026">
        <v>600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600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720</v>
      </c>
      <c r="AN1026">
        <v>-144</v>
      </c>
      <c r="AO1026">
        <v>0</v>
      </c>
      <c r="AP1026"/>
      <c r="AQ1026">
        <v>0</v>
      </c>
      <c r="AR1026">
        <v>0</v>
      </c>
      <c r="AS1026">
        <v>720</v>
      </c>
      <c r="AT1026">
        <v>-144</v>
      </c>
      <c r="AU1026">
        <v>0</v>
      </c>
      <c r="AW1026">
        <v>0</v>
      </c>
      <c r="AX1026">
        <v>0</v>
      </c>
      <c r="AY1026">
        <v>403.2</v>
      </c>
      <c r="BC1026" t="str">
        <f>T("9791164370788")</f>
        <v>9791164370788</v>
      </c>
      <c r="BE1026" t="str">
        <f>T("로맨스 e북 &gt; 현대물")</f>
        <v>로맨스 e북 &gt; 현대물</v>
      </c>
      <c r="BF1026" t="str">
        <f>T("로맨스 e북 &gt; 19+")</f>
        <v>로맨스 e북 &gt; 19+</v>
      </c>
    </row>
    <row r="1027" spans="1:58" x14ac:dyDescent="0.3">
      <c r="A1027">
        <v>2313017126</v>
      </c>
      <c r="B1027">
        <v>2313017107</v>
      </c>
      <c r="C1027" t="str">
        <f>T("[e북]이 비서 다리 좀 치워 (외전)")</f>
        <v>[e북]이 비서 다리 좀 치워 (외전)</v>
      </c>
      <c r="D1027" t="str">
        <f>T("3")</f>
        <v>3</v>
      </c>
      <c r="E1027" t="str">
        <f>T("모리미")</f>
        <v>모리미</v>
      </c>
      <c r="H1027" t="str">
        <f>T("도서출판 태랑")</f>
        <v>도서출판 태랑</v>
      </c>
      <c r="I1027" t="str">
        <f>T("[e북]이 비서 다리 좀 치워")</f>
        <v>[e북]이 비서 다리 좀 치워</v>
      </c>
      <c r="J1027">
        <v>300</v>
      </c>
      <c r="K1027">
        <v>600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600</v>
      </c>
      <c r="AH1027">
        <v>2</v>
      </c>
      <c r="AI1027">
        <v>0</v>
      </c>
      <c r="AJ1027">
        <v>0</v>
      </c>
      <c r="AK1027">
        <v>600</v>
      </c>
      <c r="AL1027">
        <v>0</v>
      </c>
      <c r="AM1027">
        <v>0</v>
      </c>
      <c r="AN1027">
        <v>0</v>
      </c>
      <c r="AO1027">
        <v>0</v>
      </c>
      <c r="AP1027"/>
      <c r="AQ1027">
        <v>0</v>
      </c>
      <c r="AR1027">
        <v>0</v>
      </c>
      <c r="AT1027">
        <v>0</v>
      </c>
      <c r="AU1027">
        <v>0</v>
      </c>
      <c r="AW1027">
        <v>0</v>
      </c>
      <c r="AX1027">
        <v>0</v>
      </c>
      <c r="AY1027">
        <v>420</v>
      </c>
      <c r="BC1027" t="str">
        <f>T("9791189627379")</f>
        <v>9791189627379</v>
      </c>
      <c r="BE1027" t="str">
        <f>T("BL 소설 e북 &gt; 현대물")</f>
        <v>BL 소설 e북 &gt; 현대물</v>
      </c>
    </row>
    <row r="1028" spans="1:58" x14ac:dyDescent="0.3">
      <c r="A1028">
        <v>2313017163</v>
      </c>
      <c r="B1028">
        <v>2313017244</v>
      </c>
      <c r="C1028" t="str">
        <f>T("친절하기는 얼어 죽을 81화")</f>
        <v>친절하기는 얼어 죽을 81화</v>
      </c>
      <c r="D1028" t="str">
        <f>T("82")</f>
        <v>82</v>
      </c>
      <c r="E1028" t="str">
        <f t="shared" ref="E1028:E1038" si="174">T("솜목화")</f>
        <v>솜목화</v>
      </c>
      <c r="H1028" t="str">
        <f t="shared" ref="H1028:H1038" si="175">T("블레슈(Blesshuu)")</f>
        <v>블레슈(Blesshuu)</v>
      </c>
      <c r="I1028" t="str">
        <f t="shared" ref="I1028:I1038" si="176">T("친절하기는 얼어 죽을")</f>
        <v>친절하기는 얼어 죽을</v>
      </c>
      <c r="J1028">
        <v>100</v>
      </c>
      <c r="K1028">
        <v>600</v>
      </c>
      <c r="L1028">
        <v>6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600</v>
      </c>
      <c r="AH1028">
        <v>6</v>
      </c>
      <c r="AI1028">
        <v>0</v>
      </c>
      <c r="AJ1028">
        <v>0</v>
      </c>
      <c r="AK1028">
        <v>500</v>
      </c>
      <c r="AL1028">
        <v>0</v>
      </c>
      <c r="AM1028">
        <v>120</v>
      </c>
      <c r="AN1028">
        <v>-12</v>
      </c>
      <c r="AO1028">
        <v>0</v>
      </c>
      <c r="AP1028"/>
      <c r="AQ1028">
        <v>0</v>
      </c>
      <c r="AR1028">
        <v>0</v>
      </c>
      <c r="AS1028">
        <v>120</v>
      </c>
      <c r="AT1028">
        <v>-12</v>
      </c>
      <c r="AU1028">
        <v>0</v>
      </c>
      <c r="AW1028">
        <v>0</v>
      </c>
      <c r="AX1028">
        <v>0</v>
      </c>
      <c r="AY1028">
        <v>364.8</v>
      </c>
      <c r="BA1028" t="str">
        <f t="shared" ref="BA1028:BA1038" si="177">T("0000000000000")</f>
        <v>0000000000000</v>
      </c>
      <c r="BC1028" t="str">
        <f t="shared" ref="BC1028:BC1038" si="178">T("9791137604131")</f>
        <v>9791137604131</v>
      </c>
      <c r="BE1028" t="str">
        <f t="shared" ref="BE1028:BE1038" si="179">T("로맨스 웹소설 &gt; 현대물")</f>
        <v>로맨스 웹소설 &gt; 현대물</v>
      </c>
    </row>
    <row r="1029" spans="1:58" x14ac:dyDescent="0.3">
      <c r="A1029">
        <v>2313017163</v>
      </c>
      <c r="B1029">
        <v>2313017246</v>
      </c>
      <c r="C1029" t="str">
        <f>T("친절하기는 얼어 죽을 83화")</f>
        <v>친절하기는 얼어 죽을 83화</v>
      </c>
      <c r="D1029" t="str">
        <f>T("84")</f>
        <v>84</v>
      </c>
      <c r="E1029" t="str">
        <f t="shared" si="174"/>
        <v>솜목화</v>
      </c>
      <c r="H1029" t="str">
        <f t="shared" si="175"/>
        <v>블레슈(Blesshuu)</v>
      </c>
      <c r="I1029" t="str">
        <f t="shared" si="176"/>
        <v>친절하기는 얼어 죽을</v>
      </c>
      <c r="J1029">
        <v>100</v>
      </c>
      <c r="K1029">
        <v>600</v>
      </c>
      <c r="L1029">
        <v>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600</v>
      </c>
      <c r="AH1029">
        <v>6</v>
      </c>
      <c r="AI1029">
        <v>0</v>
      </c>
      <c r="AJ1029">
        <v>0</v>
      </c>
      <c r="AK1029">
        <v>500</v>
      </c>
      <c r="AL1029">
        <v>0</v>
      </c>
      <c r="AM1029">
        <v>120</v>
      </c>
      <c r="AN1029">
        <v>-12</v>
      </c>
      <c r="AO1029">
        <v>0</v>
      </c>
      <c r="AP1029"/>
      <c r="AQ1029">
        <v>0</v>
      </c>
      <c r="AR1029">
        <v>0</v>
      </c>
      <c r="AS1029">
        <v>120</v>
      </c>
      <c r="AT1029">
        <v>-12</v>
      </c>
      <c r="AU1029">
        <v>0</v>
      </c>
      <c r="AW1029">
        <v>0</v>
      </c>
      <c r="AX1029">
        <v>0</v>
      </c>
      <c r="AY1029">
        <v>364.8</v>
      </c>
      <c r="BA1029" t="str">
        <f t="shared" si="177"/>
        <v>0000000000000</v>
      </c>
      <c r="BC1029" t="str">
        <f t="shared" si="178"/>
        <v>9791137604131</v>
      </c>
      <c r="BE1029" t="str">
        <f t="shared" si="179"/>
        <v>로맨스 웹소설 &gt; 현대물</v>
      </c>
    </row>
    <row r="1030" spans="1:58" x14ac:dyDescent="0.3">
      <c r="A1030">
        <v>2313017163</v>
      </c>
      <c r="B1030">
        <v>2313017249</v>
      </c>
      <c r="C1030" t="str">
        <f>T("친절하기는 얼어 죽을 86화")</f>
        <v>친절하기는 얼어 죽을 86화</v>
      </c>
      <c r="D1030" t="str">
        <f>T("87")</f>
        <v>87</v>
      </c>
      <c r="E1030" t="str">
        <f t="shared" si="174"/>
        <v>솜목화</v>
      </c>
      <c r="H1030" t="str">
        <f t="shared" si="175"/>
        <v>블레슈(Blesshuu)</v>
      </c>
      <c r="I1030" t="str">
        <f t="shared" si="176"/>
        <v>친절하기는 얼어 죽을</v>
      </c>
      <c r="J1030">
        <v>100</v>
      </c>
      <c r="K1030">
        <v>600</v>
      </c>
      <c r="L1030">
        <v>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600</v>
      </c>
      <c r="AH1030">
        <v>6</v>
      </c>
      <c r="AI1030">
        <v>0</v>
      </c>
      <c r="AJ1030">
        <v>0</v>
      </c>
      <c r="AK1030">
        <v>500</v>
      </c>
      <c r="AL1030">
        <v>0</v>
      </c>
      <c r="AM1030">
        <v>120</v>
      </c>
      <c r="AN1030">
        <v>-12</v>
      </c>
      <c r="AO1030">
        <v>0</v>
      </c>
      <c r="AP1030"/>
      <c r="AQ1030">
        <v>0</v>
      </c>
      <c r="AR1030">
        <v>0</v>
      </c>
      <c r="AS1030">
        <v>120</v>
      </c>
      <c r="AT1030">
        <v>-12</v>
      </c>
      <c r="AU1030">
        <v>0</v>
      </c>
      <c r="AW1030">
        <v>0</v>
      </c>
      <c r="AX1030">
        <v>0</v>
      </c>
      <c r="AY1030">
        <v>364.8</v>
      </c>
      <c r="BA1030" t="str">
        <f t="shared" si="177"/>
        <v>0000000000000</v>
      </c>
      <c r="BC1030" t="str">
        <f t="shared" si="178"/>
        <v>9791137604131</v>
      </c>
      <c r="BE1030" t="str">
        <f t="shared" si="179"/>
        <v>로맨스 웹소설 &gt; 현대물</v>
      </c>
    </row>
    <row r="1031" spans="1:58" x14ac:dyDescent="0.3">
      <c r="A1031">
        <v>2313017163</v>
      </c>
      <c r="B1031">
        <v>2313017250</v>
      </c>
      <c r="C1031" t="str">
        <f>T("친절하기는 얼어 죽을 87화")</f>
        <v>친절하기는 얼어 죽을 87화</v>
      </c>
      <c r="D1031" t="str">
        <f>T("88")</f>
        <v>88</v>
      </c>
      <c r="E1031" t="str">
        <f t="shared" si="174"/>
        <v>솜목화</v>
      </c>
      <c r="H1031" t="str">
        <f t="shared" si="175"/>
        <v>블레슈(Blesshuu)</v>
      </c>
      <c r="I1031" t="str">
        <f t="shared" si="176"/>
        <v>친절하기는 얼어 죽을</v>
      </c>
      <c r="J1031">
        <v>100</v>
      </c>
      <c r="K1031">
        <v>600</v>
      </c>
      <c r="L1031">
        <v>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600</v>
      </c>
      <c r="AH1031">
        <v>6</v>
      </c>
      <c r="AI1031">
        <v>0</v>
      </c>
      <c r="AJ1031">
        <v>0</v>
      </c>
      <c r="AK1031">
        <v>500</v>
      </c>
      <c r="AL1031">
        <v>0</v>
      </c>
      <c r="AM1031">
        <v>120</v>
      </c>
      <c r="AN1031">
        <v>-12</v>
      </c>
      <c r="AO1031">
        <v>0</v>
      </c>
      <c r="AP1031"/>
      <c r="AQ1031">
        <v>0</v>
      </c>
      <c r="AR1031">
        <v>0</v>
      </c>
      <c r="AS1031">
        <v>120</v>
      </c>
      <c r="AT1031">
        <v>-12</v>
      </c>
      <c r="AU1031">
        <v>0</v>
      </c>
      <c r="AW1031">
        <v>0</v>
      </c>
      <c r="AX1031">
        <v>0</v>
      </c>
      <c r="AY1031">
        <v>364.8</v>
      </c>
      <c r="BA1031" t="str">
        <f t="shared" si="177"/>
        <v>0000000000000</v>
      </c>
      <c r="BC1031" t="str">
        <f t="shared" si="178"/>
        <v>9791137604131</v>
      </c>
      <c r="BE1031" t="str">
        <f t="shared" si="179"/>
        <v>로맨스 웹소설 &gt; 현대물</v>
      </c>
    </row>
    <row r="1032" spans="1:58" x14ac:dyDescent="0.3">
      <c r="A1032">
        <v>2313017163</v>
      </c>
      <c r="B1032">
        <v>2313017251</v>
      </c>
      <c r="C1032" t="str">
        <f>T("친절하기는 얼어 죽을 88화 (완결)")</f>
        <v>친절하기는 얼어 죽을 88화 (완결)</v>
      </c>
      <c r="D1032" t="str">
        <f>T("89")</f>
        <v>89</v>
      </c>
      <c r="E1032" t="str">
        <f t="shared" si="174"/>
        <v>솜목화</v>
      </c>
      <c r="H1032" t="str">
        <f t="shared" si="175"/>
        <v>블레슈(Blesshuu)</v>
      </c>
      <c r="I1032" t="str">
        <f t="shared" si="176"/>
        <v>친절하기는 얼어 죽을</v>
      </c>
      <c r="J1032">
        <v>100</v>
      </c>
      <c r="K1032">
        <v>600</v>
      </c>
      <c r="L1032">
        <v>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600</v>
      </c>
      <c r="AH1032">
        <v>6</v>
      </c>
      <c r="AI1032">
        <v>0</v>
      </c>
      <c r="AJ1032">
        <v>0</v>
      </c>
      <c r="AK1032">
        <v>500</v>
      </c>
      <c r="AL1032">
        <v>0</v>
      </c>
      <c r="AM1032">
        <v>120</v>
      </c>
      <c r="AN1032">
        <v>-12</v>
      </c>
      <c r="AO1032">
        <v>0</v>
      </c>
      <c r="AP1032"/>
      <c r="AQ1032">
        <v>0</v>
      </c>
      <c r="AR1032">
        <v>0</v>
      </c>
      <c r="AS1032">
        <v>120</v>
      </c>
      <c r="AT1032">
        <v>-12</v>
      </c>
      <c r="AU1032">
        <v>0</v>
      </c>
      <c r="AW1032">
        <v>0</v>
      </c>
      <c r="AX1032">
        <v>0</v>
      </c>
      <c r="AY1032">
        <v>364.8</v>
      </c>
      <c r="BA1032" t="str">
        <f t="shared" si="177"/>
        <v>0000000000000</v>
      </c>
      <c r="BC1032" t="str">
        <f t="shared" si="178"/>
        <v>9791137604131</v>
      </c>
      <c r="BE1032" t="str">
        <f t="shared" si="179"/>
        <v>로맨스 웹소설 &gt; 현대물</v>
      </c>
    </row>
    <row r="1033" spans="1:58" x14ac:dyDescent="0.3">
      <c r="A1033">
        <v>2313017163</v>
      </c>
      <c r="B1033">
        <v>2313018074</v>
      </c>
      <c r="C1033" t="str">
        <f>T("친절하기는 얼어 죽을 외전 1화")</f>
        <v>친절하기는 얼어 죽을 외전 1화</v>
      </c>
      <c r="D1033" t="str">
        <f>T("90")</f>
        <v>90</v>
      </c>
      <c r="E1033" t="str">
        <f t="shared" si="174"/>
        <v>솜목화</v>
      </c>
      <c r="H1033" t="str">
        <f t="shared" si="175"/>
        <v>블레슈(Blesshuu)</v>
      </c>
      <c r="I1033" t="str">
        <f t="shared" si="176"/>
        <v>친절하기는 얼어 죽을</v>
      </c>
      <c r="J1033">
        <v>100</v>
      </c>
      <c r="K1033">
        <v>600</v>
      </c>
      <c r="L1033">
        <v>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600</v>
      </c>
      <c r="AH1033">
        <v>6</v>
      </c>
      <c r="AI1033">
        <v>0</v>
      </c>
      <c r="AJ1033">
        <v>0</v>
      </c>
      <c r="AK1033">
        <v>500</v>
      </c>
      <c r="AL1033">
        <v>0</v>
      </c>
      <c r="AM1033">
        <v>120</v>
      </c>
      <c r="AN1033">
        <v>-12</v>
      </c>
      <c r="AO1033">
        <v>0</v>
      </c>
      <c r="AP1033"/>
      <c r="AQ1033">
        <v>0</v>
      </c>
      <c r="AR1033">
        <v>0</v>
      </c>
      <c r="AS1033">
        <v>120</v>
      </c>
      <c r="AT1033">
        <v>-12</v>
      </c>
      <c r="AU1033">
        <v>0</v>
      </c>
      <c r="AW1033">
        <v>0</v>
      </c>
      <c r="AX1033">
        <v>0</v>
      </c>
      <c r="AY1033">
        <v>364.8</v>
      </c>
      <c r="BA1033" t="str">
        <f t="shared" si="177"/>
        <v>0000000000000</v>
      </c>
      <c r="BC1033" t="str">
        <f t="shared" si="178"/>
        <v>9791137604131</v>
      </c>
      <c r="BE1033" t="str">
        <f t="shared" si="179"/>
        <v>로맨스 웹소설 &gt; 현대물</v>
      </c>
    </row>
    <row r="1034" spans="1:58" x14ac:dyDescent="0.3">
      <c r="A1034">
        <v>2313017163</v>
      </c>
      <c r="B1034">
        <v>2313018075</v>
      </c>
      <c r="C1034" t="str">
        <f>T("친절하기는 얼어 죽을 외전 2화")</f>
        <v>친절하기는 얼어 죽을 외전 2화</v>
      </c>
      <c r="D1034" t="str">
        <f>T("91")</f>
        <v>91</v>
      </c>
      <c r="E1034" t="str">
        <f t="shared" si="174"/>
        <v>솜목화</v>
      </c>
      <c r="H1034" t="str">
        <f t="shared" si="175"/>
        <v>블레슈(Blesshuu)</v>
      </c>
      <c r="I1034" t="str">
        <f t="shared" si="176"/>
        <v>친절하기는 얼어 죽을</v>
      </c>
      <c r="J1034">
        <v>100</v>
      </c>
      <c r="K1034">
        <v>600</v>
      </c>
      <c r="L1034">
        <v>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600</v>
      </c>
      <c r="AH1034">
        <v>6</v>
      </c>
      <c r="AI1034">
        <v>0</v>
      </c>
      <c r="AJ1034">
        <v>0</v>
      </c>
      <c r="AK1034">
        <v>500</v>
      </c>
      <c r="AL1034">
        <v>0</v>
      </c>
      <c r="AM1034">
        <v>120</v>
      </c>
      <c r="AN1034">
        <v>-12</v>
      </c>
      <c r="AO1034">
        <v>0</v>
      </c>
      <c r="AP1034"/>
      <c r="AQ1034">
        <v>0</v>
      </c>
      <c r="AR1034">
        <v>0</v>
      </c>
      <c r="AS1034">
        <v>120</v>
      </c>
      <c r="AT1034">
        <v>-12</v>
      </c>
      <c r="AU1034">
        <v>0</v>
      </c>
      <c r="AW1034">
        <v>0</v>
      </c>
      <c r="AX1034">
        <v>0</v>
      </c>
      <c r="AY1034">
        <v>364.8</v>
      </c>
      <c r="BA1034" t="str">
        <f t="shared" si="177"/>
        <v>0000000000000</v>
      </c>
      <c r="BC1034" t="str">
        <f t="shared" si="178"/>
        <v>9791137604131</v>
      </c>
      <c r="BE1034" t="str">
        <f t="shared" si="179"/>
        <v>로맨스 웹소설 &gt; 현대물</v>
      </c>
    </row>
    <row r="1035" spans="1:58" x14ac:dyDescent="0.3">
      <c r="A1035">
        <v>2313017163</v>
      </c>
      <c r="B1035">
        <v>2313018076</v>
      </c>
      <c r="C1035" t="str">
        <f>T("친절하기는 얼어 죽을 외전 3화")</f>
        <v>친절하기는 얼어 죽을 외전 3화</v>
      </c>
      <c r="D1035" t="str">
        <f>T("92")</f>
        <v>92</v>
      </c>
      <c r="E1035" t="str">
        <f t="shared" si="174"/>
        <v>솜목화</v>
      </c>
      <c r="H1035" t="str">
        <f t="shared" si="175"/>
        <v>블레슈(Blesshuu)</v>
      </c>
      <c r="I1035" t="str">
        <f t="shared" si="176"/>
        <v>친절하기는 얼어 죽을</v>
      </c>
      <c r="J1035">
        <v>100</v>
      </c>
      <c r="K1035">
        <v>600</v>
      </c>
      <c r="L1035">
        <v>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600</v>
      </c>
      <c r="AH1035">
        <v>6</v>
      </c>
      <c r="AI1035">
        <v>0</v>
      </c>
      <c r="AJ1035">
        <v>0</v>
      </c>
      <c r="AK1035">
        <v>500</v>
      </c>
      <c r="AL1035">
        <v>0</v>
      </c>
      <c r="AM1035">
        <v>120</v>
      </c>
      <c r="AN1035">
        <v>-12</v>
      </c>
      <c r="AO1035">
        <v>0</v>
      </c>
      <c r="AP1035"/>
      <c r="AQ1035">
        <v>0</v>
      </c>
      <c r="AR1035">
        <v>0</v>
      </c>
      <c r="AS1035">
        <v>120</v>
      </c>
      <c r="AT1035">
        <v>-12</v>
      </c>
      <c r="AU1035">
        <v>0</v>
      </c>
      <c r="AW1035">
        <v>0</v>
      </c>
      <c r="AX1035">
        <v>0</v>
      </c>
      <c r="AY1035">
        <v>364.8</v>
      </c>
      <c r="BA1035" t="str">
        <f t="shared" si="177"/>
        <v>0000000000000</v>
      </c>
      <c r="BC1035" t="str">
        <f t="shared" si="178"/>
        <v>9791137604131</v>
      </c>
      <c r="BE1035" t="str">
        <f t="shared" si="179"/>
        <v>로맨스 웹소설 &gt; 현대물</v>
      </c>
    </row>
    <row r="1036" spans="1:58" x14ac:dyDescent="0.3">
      <c r="A1036">
        <v>2313017163</v>
      </c>
      <c r="B1036">
        <v>2313018077</v>
      </c>
      <c r="C1036" t="str">
        <f>T("친절하기는 얼어 죽을 외전 4화")</f>
        <v>친절하기는 얼어 죽을 외전 4화</v>
      </c>
      <c r="D1036" t="str">
        <f>T("93")</f>
        <v>93</v>
      </c>
      <c r="E1036" t="str">
        <f t="shared" si="174"/>
        <v>솜목화</v>
      </c>
      <c r="H1036" t="str">
        <f t="shared" si="175"/>
        <v>블레슈(Blesshuu)</v>
      </c>
      <c r="I1036" t="str">
        <f t="shared" si="176"/>
        <v>친절하기는 얼어 죽을</v>
      </c>
      <c r="J1036">
        <v>100</v>
      </c>
      <c r="K1036">
        <v>600</v>
      </c>
      <c r="L1036">
        <v>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600</v>
      </c>
      <c r="AH1036">
        <v>6</v>
      </c>
      <c r="AI1036">
        <v>0</v>
      </c>
      <c r="AJ1036">
        <v>0</v>
      </c>
      <c r="AK1036">
        <v>500</v>
      </c>
      <c r="AL1036">
        <v>0</v>
      </c>
      <c r="AM1036">
        <v>120</v>
      </c>
      <c r="AN1036">
        <v>-12</v>
      </c>
      <c r="AO1036">
        <v>0</v>
      </c>
      <c r="AP1036"/>
      <c r="AQ1036">
        <v>0</v>
      </c>
      <c r="AR1036">
        <v>0</v>
      </c>
      <c r="AS1036">
        <v>120</v>
      </c>
      <c r="AT1036">
        <v>-12</v>
      </c>
      <c r="AU1036">
        <v>0</v>
      </c>
      <c r="AW1036">
        <v>0</v>
      </c>
      <c r="AX1036">
        <v>0</v>
      </c>
      <c r="AY1036">
        <v>364.8</v>
      </c>
      <c r="BA1036" t="str">
        <f t="shared" si="177"/>
        <v>0000000000000</v>
      </c>
      <c r="BC1036" t="str">
        <f t="shared" si="178"/>
        <v>9791137604131</v>
      </c>
      <c r="BE1036" t="str">
        <f t="shared" si="179"/>
        <v>로맨스 웹소설 &gt; 현대물</v>
      </c>
    </row>
    <row r="1037" spans="1:58" x14ac:dyDescent="0.3">
      <c r="A1037">
        <v>2313017163</v>
      </c>
      <c r="B1037">
        <v>2313018078</v>
      </c>
      <c r="C1037" t="str">
        <f>T("친절하기는 얼어 죽을 외전 5화")</f>
        <v>친절하기는 얼어 죽을 외전 5화</v>
      </c>
      <c r="D1037" t="str">
        <f>T("94")</f>
        <v>94</v>
      </c>
      <c r="E1037" t="str">
        <f t="shared" si="174"/>
        <v>솜목화</v>
      </c>
      <c r="H1037" t="str">
        <f t="shared" si="175"/>
        <v>블레슈(Blesshuu)</v>
      </c>
      <c r="I1037" t="str">
        <f t="shared" si="176"/>
        <v>친절하기는 얼어 죽을</v>
      </c>
      <c r="J1037">
        <v>100</v>
      </c>
      <c r="K1037">
        <v>600</v>
      </c>
      <c r="L1037">
        <v>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600</v>
      </c>
      <c r="AH1037">
        <v>6</v>
      </c>
      <c r="AI1037">
        <v>0</v>
      </c>
      <c r="AJ1037">
        <v>0</v>
      </c>
      <c r="AK1037">
        <v>500</v>
      </c>
      <c r="AL1037">
        <v>0</v>
      </c>
      <c r="AM1037">
        <v>120</v>
      </c>
      <c r="AN1037">
        <v>-12</v>
      </c>
      <c r="AO1037">
        <v>0</v>
      </c>
      <c r="AP1037"/>
      <c r="AQ1037">
        <v>0</v>
      </c>
      <c r="AR1037">
        <v>0</v>
      </c>
      <c r="AS1037">
        <v>120</v>
      </c>
      <c r="AT1037">
        <v>-12</v>
      </c>
      <c r="AU1037">
        <v>0</v>
      </c>
      <c r="AW1037">
        <v>0</v>
      </c>
      <c r="AX1037">
        <v>0</v>
      </c>
      <c r="AY1037">
        <v>364.8</v>
      </c>
      <c r="BA1037" t="str">
        <f t="shared" si="177"/>
        <v>0000000000000</v>
      </c>
      <c r="BC1037" t="str">
        <f t="shared" si="178"/>
        <v>9791137604131</v>
      </c>
      <c r="BE1037" t="str">
        <f t="shared" si="179"/>
        <v>로맨스 웹소설 &gt; 현대물</v>
      </c>
    </row>
    <row r="1038" spans="1:58" x14ac:dyDescent="0.3">
      <c r="A1038">
        <v>2313017163</v>
      </c>
      <c r="B1038">
        <v>2313018080</v>
      </c>
      <c r="C1038" t="str">
        <f>T("친절하기는 얼어 죽을 외전 7화")</f>
        <v>친절하기는 얼어 죽을 외전 7화</v>
      </c>
      <c r="D1038" t="str">
        <f>T("96")</f>
        <v>96</v>
      </c>
      <c r="E1038" t="str">
        <f t="shared" si="174"/>
        <v>솜목화</v>
      </c>
      <c r="H1038" t="str">
        <f t="shared" si="175"/>
        <v>블레슈(Blesshuu)</v>
      </c>
      <c r="I1038" t="str">
        <f t="shared" si="176"/>
        <v>친절하기는 얼어 죽을</v>
      </c>
      <c r="J1038">
        <v>100</v>
      </c>
      <c r="K1038">
        <v>600</v>
      </c>
      <c r="L1038">
        <v>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600</v>
      </c>
      <c r="AH1038">
        <v>6</v>
      </c>
      <c r="AI1038">
        <v>0</v>
      </c>
      <c r="AJ1038">
        <v>0</v>
      </c>
      <c r="AK1038">
        <v>500</v>
      </c>
      <c r="AL1038">
        <v>0</v>
      </c>
      <c r="AM1038">
        <v>120</v>
      </c>
      <c r="AN1038">
        <v>-12</v>
      </c>
      <c r="AO1038">
        <v>0</v>
      </c>
      <c r="AP1038"/>
      <c r="AQ1038">
        <v>0</v>
      </c>
      <c r="AR1038">
        <v>0</v>
      </c>
      <c r="AS1038">
        <v>120</v>
      </c>
      <c r="AT1038">
        <v>-12</v>
      </c>
      <c r="AU1038">
        <v>0</v>
      </c>
      <c r="AW1038">
        <v>0</v>
      </c>
      <c r="AX1038">
        <v>0</v>
      </c>
      <c r="AY1038">
        <v>364.8</v>
      </c>
      <c r="BA1038" t="str">
        <f t="shared" si="177"/>
        <v>0000000000000</v>
      </c>
      <c r="BC1038" t="str">
        <f t="shared" si="178"/>
        <v>9791137604131</v>
      </c>
      <c r="BE1038" t="str">
        <f t="shared" si="179"/>
        <v>로맨스 웹소설 &gt; 현대물</v>
      </c>
    </row>
    <row r="1039" spans="1:58" x14ac:dyDescent="0.3">
      <c r="A1039">
        <v>2313020594</v>
      </c>
      <c r="B1039">
        <v>2313020665</v>
      </c>
      <c r="C1039" t="str">
        <f>T("아카데미 속 궁술천재 72화")</f>
        <v>아카데미 속 궁술천재 72화</v>
      </c>
      <c r="D1039" t="str">
        <f>T("72")</f>
        <v>72</v>
      </c>
      <c r="E1039" t="str">
        <f>T("깡펀치")</f>
        <v>깡펀치</v>
      </c>
      <c r="H1039" t="str">
        <f t="shared" ref="H1039:H1050" si="180">T("스토리위즈")</f>
        <v>스토리위즈</v>
      </c>
      <c r="I1039" t="str">
        <f>T("아카데미 속 궁술천재")</f>
        <v>아카데미 속 궁술천재</v>
      </c>
      <c r="J1039">
        <v>100</v>
      </c>
      <c r="K1039">
        <v>600</v>
      </c>
      <c r="L1039">
        <v>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600</v>
      </c>
      <c r="AH1039">
        <v>6</v>
      </c>
      <c r="AI1039">
        <v>0</v>
      </c>
      <c r="AJ1039">
        <v>0</v>
      </c>
      <c r="AK1039">
        <v>600</v>
      </c>
      <c r="AL1039">
        <v>0</v>
      </c>
      <c r="AM1039">
        <v>0</v>
      </c>
      <c r="AN1039">
        <v>0</v>
      </c>
      <c r="AO1039">
        <v>0</v>
      </c>
      <c r="AP1039"/>
      <c r="AQ1039">
        <v>0</v>
      </c>
      <c r="AR1039">
        <v>0</v>
      </c>
      <c r="AT1039">
        <v>0</v>
      </c>
      <c r="AU1039">
        <v>0</v>
      </c>
      <c r="AW1039">
        <v>0</v>
      </c>
      <c r="AX1039">
        <v>0</v>
      </c>
      <c r="AY1039">
        <v>420</v>
      </c>
      <c r="BC1039" t="str">
        <f>T("9791137602915")</f>
        <v>9791137602915</v>
      </c>
      <c r="BE1039" t="str">
        <f t="shared" ref="BE1039:BE1050" si="181">T("판타지 웹소설 &gt; 퓨전 판타지")</f>
        <v>판타지 웹소설 &gt; 퓨전 판타지</v>
      </c>
    </row>
    <row r="1040" spans="1:58" x14ac:dyDescent="0.3">
      <c r="A1040">
        <v>2313020594</v>
      </c>
      <c r="B1040">
        <v>2313020666</v>
      </c>
      <c r="C1040" t="str">
        <f>T("아카데미 속 궁술천재 73화")</f>
        <v>아카데미 속 궁술천재 73화</v>
      </c>
      <c r="D1040" t="str">
        <f>T("73")</f>
        <v>73</v>
      </c>
      <c r="E1040" t="str">
        <f>T("깡펀치")</f>
        <v>깡펀치</v>
      </c>
      <c r="H1040" t="str">
        <f t="shared" si="180"/>
        <v>스토리위즈</v>
      </c>
      <c r="I1040" t="str">
        <f>T("아카데미 속 궁술천재")</f>
        <v>아카데미 속 궁술천재</v>
      </c>
      <c r="J1040">
        <v>100</v>
      </c>
      <c r="K1040">
        <v>600</v>
      </c>
      <c r="L1040">
        <v>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600</v>
      </c>
      <c r="AH1040">
        <v>6</v>
      </c>
      <c r="AI1040">
        <v>0</v>
      </c>
      <c r="AJ1040">
        <v>0</v>
      </c>
      <c r="AK1040">
        <v>600</v>
      </c>
      <c r="AL1040">
        <v>0</v>
      </c>
      <c r="AM1040">
        <v>0</v>
      </c>
      <c r="AN1040">
        <v>0</v>
      </c>
      <c r="AO1040">
        <v>0</v>
      </c>
      <c r="AP1040"/>
      <c r="AQ1040">
        <v>0</v>
      </c>
      <c r="AR1040">
        <v>0</v>
      </c>
      <c r="AT1040">
        <v>0</v>
      </c>
      <c r="AU1040">
        <v>0</v>
      </c>
      <c r="AW1040">
        <v>0</v>
      </c>
      <c r="AX1040">
        <v>0</v>
      </c>
      <c r="AY1040">
        <v>420</v>
      </c>
      <c r="BC1040" t="str">
        <f>T("9791137602915")</f>
        <v>9791137602915</v>
      </c>
      <c r="BE1040" t="str">
        <f t="shared" si="181"/>
        <v>판타지 웹소설 &gt; 퓨전 판타지</v>
      </c>
    </row>
    <row r="1041" spans="1:57" x14ac:dyDescent="0.3">
      <c r="A1041">
        <v>2313020594</v>
      </c>
      <c r="B1041">
        <v>2313020667</v>
      </c>
      <c r="C1041" t="str">
        <f>T("아카데미 속 궁술천재 74화")</f>
        <v>아카데미 속 궁술천재 74화</v>
      </c>
      <c r="D1041" t="str">
        <f>T("74")</f>
        <v>74</v>
      </c>
      <c r="E1041" t="str">
        <f>T("깡펀치")</f>
        <v>깡펀치</v>
      </c>
      <c r="H1041" t="str">
        <f t="shared" si="180"/>
        <v>스토리위즈</v>
      </c>
      <c r="I1041" t="str">
        <f>T("아카데미 속 궁술천재")</f>
        <v>아카데미 속 궁술천재</v>
      </c>
      <c r="J1041">
        <v>100</v>
      </c>
      <c r="K1041">
        <v>600</v>
      </c>
      <c r="L1041">
        <v>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600</v>
      </c>
      <c r="AH1041">
        <v>6</v>
      </c>
      <c r="AI1041">
        <v>0</v>
      </c>
      <c r="AJ1041">
        <v>0</v>
      </c>
      <c r="AK1041">
        <v>600</v>
      </c>
      <c r="AL1041">
        <v>0</v>
      </c>
      <c r="AM1041">
        <v>0</v>
      </c>
      <c r="AN1041">
        <v>0</v>
      </c>
      <c r="AO1041">
        <v>0</v>
      </c>
      <c r="AP1041"/>
      <c r="AQ1041">
        <v>0</v>
      </c>
      <c r="AR1041">
        <v>0</v>
      </c>
      <c r="AT1041">
        <v>0</v>
      </c>
      <c r="AU1041">
        <v>0</v>
      </c>
      <c r="AW1041">
        <v>0</v>
      </c>
      <c r="AX1041">
        <v>0</v>
      </c>
      <c r="AY1041">
        <v>420</v>
      </c>
      <c r="BC1041" t="str">
        <f>T("9791137602915")</f>
        <v>9791137602915</v>
      </c>
      <c r="BE1041" t="str">
        <f t="shared" si="181"/>
        <v>판타지 웹소설 &gt; 퓨전 판타지</v>
      </c>
    </row>
    <row r="1042" spans="1:57" x14ac:dyDescent="0.3">
      <c r="A1042">
        <v>2313020594</v>
      </c>
      <c r="B1042">
        <v>2313020674</v>
      </c>
      <c r="C1042" t="str">
        <f>T("아카데미 속 궁술천재 81화")</f>
        <v>아카데미 속 궁술천재 81화</v>
      </c>
      <c r="D1042" t="str">
        <f>T("81")</f>
        <v>81</v>
      </c>
      <c r="E1042" t="str">
        <f>T("깡펀치")</f>
        <v>깡펀치</v>
      </c>
      <c r="H1042" t="str">
        <f t="shared" si="180"/>
        <v>스토리위즈</v>
      </c>
      <c r="I1042" t="str">
        <f>T("아카데미 속 궁술천재")</f>
        <v>아카데미 속 궁술천재</v>
      </c>
      <c r="J1042">
        <v>100</v>
      </c>
      <c r="K1042">
        <v>600</v>
      </c>
      <c r="L1042">
        <v>6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600</v>
      </c>
      <c r="AH1042">
        <v>6</v>
      </c>
      <c r="AI1042">
        <v>0</v>
      </c>
      <c r="AJ1042">
        <v>0</v>
      </c>
      <c r="AK1042">
        <v>600</v>
      </c>
      <c r="AL1042">
        <v>0</v>
      </c>
      <c r="AM1042">
        <v>0</v>
      </c>
      <c r="AN1042">
        <v>0</v>
      </c>
      <c r="AO1042">
        <v>0</v>
      </c>
      <c r="AP1042"/>
      <c r="AQ1042">
        <v>0</v>
      </c>
      <c r="AR1042">
        <v>0</v>
      </c>
      <c r="AT1042">
        <v>0</v>
      </c>
      <c r="AU1042">
        <v>0</v>
      </c>
      <c r="AW1042">
        <v>0</v>
      </c>
      <c r="AX1042">
        <v>0</v>
      </c>
      <c r="AY1042">
        <v>420</v>
      </c>
      <c r="BC1042" t="str">
        <f>T("9791137602915")</f>
        <v>9791137602915</v>
      </c>
      <c r="BE1042" t="str">
        <f t="shared" si="181"/>
        <v>판타지 웹소설 &gt; 퓨전 판타지</v>
      </c>
    </row>
    <row r="1043" spans="1:57" x14ac:dyDescent="0.3">
      <c r="A1043">
        <v>2313020884</v>
      </c>
      <c r="B1043">
        <v>2313020909</v>
      </c>
      <c r="C1043" t="str">
        <f>T("회귀한 헌터가 너무 강함 26화")</f>
        <v>회귀한 헌터가 너무 강함 26화</v>
      </c>
      <c r="D1043" t="str">
        <f>T("26")</f>
        <v>26</v>
      </c>
      <c r="E1043" t="str">
        <f t="shared" ref="E1043:E1050" si="182">T("왕십리글쟁이")</f>
        <v>왕십리글쟁이</v>
      </c>
      <c r="H1043" t="str">
        <f t="shared" si="180"/>
        <v>스토리위즈</v>
      </c>
      <c r="I1043" t="str">
        <f t="shared" ref="I1043:I1050" si="183">T("회귀한 헌터가 너무 강함")</f>
        <v>회귀한 헌터가 너무 강함</v>
      </c>
      <c r="J1043">
        <v>100</v>
      </c>
      <c r="K1043">
        <v>600</v>
      </c>
      <c r="L1043">
        <v>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600</v>
      </c>
      <c r="AH1043">
        <v>6</v>
      </c>
      <c r="AI1043">
        <v>0</v>
      </c>
      <c r="AJ1043">
        <v>0</v>
      </c>
      <c r="AK1043">
        <v>600</v>
      </c>
      <c r="AL1043">
        <v>0</v>
      </c>
      <c r="AM1043">
        <v>0</v>
      </c>
      <c r="AN1043">
        <v>0</v>
      </c>
      <c r="AO1043">
        <v>0</v>
      </c>
      <c r="AP1043"/>
      <c r="AQ1043">
        <v>0</v>
      </c>
      <c r="AR1043">
        <v>0</v>
      </c>
      <c r="AT1043">
        <v>0</v>
      </c>
      <c r="AU1043">
        <v>0</v>
      </c>
      <c r="AW1043">
        <v>0</v>
      </c>
      <c r="AX1043">
        <v>0</v>
      </c>
      <c r="AY1043">
        <v>420</v>
      </c>
      <c r="BC1043" t="str">
        <f t="shared" ref="BC1043:BC1050" si="184">T("9791197332272")</f>
        <v>9791197332272</v>
      </c>
      <c r="BE1043" t="str">
        <f t="shared" si="181"/>
        <v>판타지 웹소설 &gt; 퓨전 판타지</v>
      </c>
    </row>
    <row r="1044" spans="1:57" x14ac:dyDescent="0.3">
      <c r="A1044">
        <v>2313020884</v>
      </c>
      <c r="B1044">
        <v>2313020910</v>
      </c>
      <c r="C1044" t="str">
        <f>T("회귀한 헌터가 너무 강함 27화")</f>
        <v>회귀한 헌터가 너무 강함 27화</v>
      </c>
      <c r="D1044" t="str">
        <f>T("27")</f>
        <v>27</v>
      </c>
      <c r="E1044" t="str">
        <f t="shared" si="182"/>
        <v>왕십리글쟁이</v>
      </c>
      <c r="H1044" t="str">
        <f t="shared" si="180"/>
        <v>스토리위즈</v>
      </c>
      <c r="I1044" t="str">
        <f t="shared" si="183"/>
        <v>회귀한 헌터가 너무 강함</v>
      </c>
      <c r="J1044">
        <v>100</v>
      </c>
      <c r="K1044">
        <v>600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600</v>
      </c>
      <c r="AH1044">
        <v>6</v>
      </c>
      <c r="AI1044">
        <v>0</v>
      </c>
      <c r="AJ1044">
        <v>0</v>
      </c>
      <c r="AK1044">
        <v>600</v>
      </c>
      <c r="AL1044">
        <v>0</v>
      </c>
      <c r="AM1044">
        <v>0</v>
      </c>
      <c r="AN1044">
        <v>0</v>
      </c>
      <c r="AO1044">
        <v>0</v>
      </c>
      <c r="AP1044"/>
      <c r="AQ1044">
        <v>0</v>
      </c>
      <c r="AR1044">
        <v>0</v>
      </c>
      <c r="AT1044">
        <v>0</v>
      </c>
      <c r="AU1044">
        <v>0</v>
      </c>
      <c r="AW1044">
        <v>0</v>
      </c>
      <c r="AX1044">
        <v>0</v>
      </c>
      <c r="AY1044">
        <v>420</v>
      </c>
      <c r="BC1044" t="str">
        <f t="shared" si="184"/>
        <v>9791197332272</v>
      </c>
      <c r="BE1044" t="str">
        <f t="shared" si="181"/>
        <v>판타지 웹소설 &gt; 퓨전 판타지</v>
      </c>
    </row>
    <row r="1045" spans="1:57" x14ac:dyDescent="0.3">
      <c r="A1045">
        <v>2313020884</v>
      </c>
      <c r="B1045">
        <v>2313020911</v>
      </c>
      <c r="C1045" t="str">
        <f>T("회귀한 헌터가 너무 강함 28화")</f>
        <v>회귀한 헌터가 너무 강함 28화</v>
      </c>
      <c r="D1045" t="str">
        <f>T("28")</f>
        <v>28</v>
      </c>
      <c r="E1045" t="str">
        <f t="shared" si="182"/>
        <v>왕십리글쟁이</v>
      </c>
      <c r="H1045" t="str">
        <f t="shared" si="180"/>
        <v>스토리위즈</v>
      </c>
      <c r="I1045" t="str">
        <f t="shared" si="183"/>
        <v>회귀한 헌터가 너무 강함</v>
      </c>
      <c r="J1045">
        <v>100</v>
      </c>
      <c r="K1045">
        <v>600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600</v>
      </c>
      <c r="AH1045">
        <v>6</v>
      </c>
      <c r="AI1045">
        <v>0</v>
      </c>
      <c r="AJ1045">
        <v>0</v>
      </c>
      <c r="AK1045">
        <v>600</v>
      </c>
      <c r="AL1045">
        <v>0</v>
      </c>
      <c r="AM1045">
        <v>0</v>
      </c>
      <c r="AN1045">
        <v>0</v>
      </c>
      <c r="AO1045">
        <v>0</v>
      </c>
      <c r="AP1045"/>
      <c r="AQ1045">
        <v>0</v>
      </c>
      <c r="AR1045">
        <v>0</v>
      </c>
      <c r="AT1045">
        <v>0</v>
      </c>
      <c r="AU1045">
        <v>0</v>
      </c>
      <c r="AW1045">
        <v>0</v>
      </c>
      <c r="AX1045">
        <v>0</v>
      </c>
      <c r="AY1045">
        <v>420</v>
      </c>
      <c r="BC1045" t="str">
        <f t="shared" si="184"/>
        <v>9791197332272</v>
      </c>
      <c r="BE1045" t="str">
        <f t="shared" si="181"/>
        <v>판타지 웹소설 &gt; 퓨전 판타지</v>
      </c>
    </row>
    <row r="1046" spans="1:57" x14ac:dyDescent="0.3">
      <c r="A1046">
        <v>2313020884</v>
      </c>
      <c r="B1046">
        <v>2313020915</v>
      </c>
      <c r="C1046" t="str">
        <f>T("회귀한 헌터가 너무 강함 32화")</f>
        <v>회귀한 헌터가 너무 강함 32화</v>
      </c>
      <c r="D1046" t="str">
        <f>T("32")</f>
        <v>32</v>
      </c>
      <c r="E1046" t="str">
        <f t="shared" si="182"/>
        <v>왕십리글쟁이</v>
      </c>
      <c r="H1046" t="str">
        <f t="shared" si="180"/>
        <v>스토리위즈</v>
      </c>
      <c r="I1046" t="str">
        <f t="shared" si="183"/>
        <v>회귀한 헌터가 너무 강함</v>
      </c>
      <c r="J1046">
        <v>100</v>
      </c>
      <c r="K1046">
        <v>600</v>
      </c>
      <c r="L1046">
        <v>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600</v>
      </c>
      <c r="AH1046">
        <v>6</v>
      </c>
      <c r="AI1046">
        <v>0</v>
      </c>
      <c r="AJ1046">
        <v>0</v>
      </c>
      <c r="AK1046">
        <v>600</v>
      </c>
      <c r="AL1046">
        <v>0</v>
      </c>
      <c r="AM1046">
        <v>0</v>
      </c>
      <c r="AN1046">
        <v>0</v>
      </c>
      <c r="AO1046">
        <v>0</v>
      </c>
      <c r="AP1046"/>
      <c r="AQ1046">
        <v>0</v>
      </c>
      <c r="AR1046">
        <v>0</v>
      </c>
      <c r="AT1046">
        <v>0</v>
      </c>
      <c r="AU1046">
        <v>0</v>
      </c>
      <c r="AW1046">
        <v>0</v>
      </c>
      <c r="AX1046">
        <v>0</v>
      </c>
      <c r="AY1046">
        <v>420</v>
      </c>
      <c r="BC1046" t="str">
        <f t="shared" si="184"/>
        <v>9791197332272</v>
      </c>
      <c r="BE1046" t="str">
        <f t="shared" si="181"/>
        <v>판타지 웹소설 &gt; 퓨전 판타지</v>
      </c>
    </row>
    <row r="1047" spans="1:57" x14ac:dyDescent="0.3">
      <c r="A1047">
        <v>2313020884</v>
      </c>
      <c r="B1047">
        <v>2313020916</v>
      </c>
      <c r="C1047" t="str">
        <f>T("회귀한 헌터가 너무 강함 33화")</f>
        <v>회귀한 헌터가 너무 강함 33화</v>
      </c>
      <c r="D1047" t="str">
        <f>T("33")</f>
        <v>33</v>
      </c>
      <c r="E1047" t="str">
        <f t="shared" si="182"/>
        <v>왕십리글쟁이</v>
      </c>
      <c r="H1047" t="str">
        <f t="shared" si="180"/>
        <v>스토리위즈</v>
      </c>
      <c r="I1047" t="str">
        <f t="shared" si="183"/>
        <v>회귀한 헌터가 너무 강함</v>
      </c>
      <c r="J1047">
        <v>100</v>
      </c>
      <c r="K1047">
        <v>600</v>
      </c>
      <c r="L1047">
        <v>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600</v>
      </c>
      <c r="AH1047">
        <v>6</v>
      </c>
      <c r="AI1047">
        <v>0</v>
      </c>
      <c r="AJ1047">
        <v>0</v>
      </c>
      <c r="AK1047">
        <v>600</v>
      </c>
      <c r="AL1047">
        <v>0</v>
      </c>
      <c r="AM1047">
        <v>0</v>
      </c>
      <c r="AN1047">
        <v>0</v>
      </c>
      <c r="AO1047">
        <v>0</v>
      </c>
      <c r="AP1047"/>
      <c r="AQ1047">
        <v>0</v>
      </c>
      <c r="AR1047">
        <v>0</v>
      </c>
      <c r="AT1047">
        <v>0</v>
      </c>
      <c r="AU1047">
        <v>0</v>
      </c>
      <c r="AW1047">
        <v>0</v>
      </c>
      <c r="AX1047">
        <v>0</v>
      </c>
      <c r="AY1047">
        <v>420</v>
      </c>
      <c r="BC1047" t="str">
        <f t="shared" si="184"/>
        <v>9791197332272</v>
      </c>
      <c r="BE1047" t="str">
        <f t="shared" si="181"/>
        <v>판타지 웹소설 &gt; 퓨전 판타지</v>
      </c>
    </row>
    <row r="1048" spans="1:57" x14ac:dyDescent="0.3">
      <c r="A1048">
        <v>2313020884</v>
      </c>
      <c r="B1048">
        <v>2313020917</v>
      </c>
      <c r="C1048" t="str">
        <f>T("회귀한 헌터가 너무 강함 34화")</f>
        <v>회귀한 헌터가 너무 강함 34화</v>
      </c>
      <c r="D1048" t="str">
        <f>T("34")</f>
        <v>34</v>
      </c>
      <c r="E1048" t="str">
        <f t="shared" si="182"/>
        <v>왕십리글쟁이</v>
      </c>
      <c r="H1048" t="str">
        <f t="shared" si="180"/>
        <v>스토리위즈</v>
      </c>
      <c r="I1048" t="str">
        <f t="shared" si="183"/>
        <v>회귀한 헌터가 너무 강함</v>
      </c>
      <c r="J1048">
        <v>100</v>
      </c>
      <c r="K1048">
        <v>600</v>
      </c>
      <c r="L1048">
        <v>6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600</v>
      </c>
      <c r="AH1048">
        <v>6</v>
      </c>
      <c r="AI1048">
        <v>0</v>
      </c>
      <c r="AJ1048">
        <v>0</v>
      </c>
      <c r="AK1048">
        <v>600</v>
      </c>
      <c r="AL1048">
        <v>0</v>
      </c>
      <c r="AM1048">
        <v>0</v>
      </c>
      <c r="AN1048">
        <v>0</v>
      </c>
      <c r="AO1048">
        <v>0</v>
      </c>
      <c r="AP1048"/>
      <c r="AQ1048">
        <v>0</v>
      </c>
      <c r="AR1048">
        <v>0</v>
      </c>
      <c r="AT1048">
        <v>0</v>
      </c>
      <c r="AU1048">
        <v>0</v>
      </c>
      <c r="AW1048">
        <v>0</v>
      </c>
      <c r="AX1048">
        <v>0</v>
      </c>
      <c r="AY1048">
        <v>420</v>
      </c>
      <c r="BC1048" t="str">
        <f t="shared" si="184"/>
        <v>9791197332272</v>
      </c>
      <c r="BE1048" t="str">
        <f t="shared" si="181"/>
        <v>판타지 웹소설 &gt; 퓨전 판타지</v>
      </c>
    </row>
    <row r="1049" spans="1:57" x14ac:dyDescent="0.3">
      <c r="A1049">
        <v>2313020884</v>
      </c>
      <c r="B1049">
        <v>2313020918</v>
      </c>
      <c r="C1049" t="str">
        <f>T("회귀한 헌터가 너무 강함 35화")</f>
        <v>회귀한 헌터가 너무 강함 35화</v>
      </c>
      <c r="D1049" t="str">
        <f>T("35")</f>
        <v>35</v>
      </c>
      <c r="E1049" t="str">
        <f t="shared" si="182"/>
        <v>왕십리글쟁이</v>
      </c>
      <c r="H1049" t="str">
        <f t="shared" si="180"/>
        <v>스토리위즈</v>
      </c>
      <c r="I1049" t="str">
        <f t="shared" si="183"/>
        <v>회귀한 헌터가 너무 강함</v>
      </c>
      <c r="J1049">
        <v>100</v>
      </c>
      <c r="K1049">
        <v>600</v>
      </c>
      <c r="L1049">
        <v>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600</v>
      </c>
      <c r="AH1049">
        <v>6</v>
      </c>
      <c r="AI1049">
        <v>0</v>
      </c>
      <c r="AJ1049">
        <v>0</v>
      </c>
      <c r="AK1049">
        <v>600</v>
      </c>
      <c r="AL1049">
        <v>0</v>
      </c>
      <c r="AM1049">
        <v>0</v>
      </c>
      <c r="AN1049">
        <v>0</v>
      </c>
      <c r="AO1049">
        <v>0</v>
      </c>
      <c r="AP1049"/>
      <c r="AQ1049">
        <v>0</v>
      </c>
      <c r="AR1049">
        <v>0</v>
      </c>
      <c r="AT1049">
        <v>0</v>
      </c>
      <c r="AU1049">
        <v>0</v>
      </c>
      <c r="AW1049">
        <v>0</v>
      </c>
      <c r="AX1049">
        <v>0</v>
      </c>
      <c r="AY1049">
        <v>420</v>
      </c>
      <c r="BC1049" t="str">
        <f t="shared" si="184"/>
        <v>9791197332272</v>
      </c>
      <c r="BE1049" t="str">
        <f t="shared" si="181"/>
        <v>판타지 웹소설 &gt; 퓨전 판타지</v>
      </c>
    </row>
    <row r="1050" spans="1:57" x14ac:dyDescent="0.3">
      <c r="A1050">
        <v>2313020884</v>
      </c>
      <c r="B1050">
        <v>2313020919</v>
      </c>
      <c r="C1050" t="str">
        <f>T("회귀한 헌터가 너무 강함 36화")</f>
        <v>회귀한 헌터가 너무 강함 36화</v>
      </c>
      <c r="D1050" t="str">
        <f>T("36")</f>
        <v>36</v>
      </c>
      <c r="E1050" t="str">
        <f t="shared" si="182"/>
        <v>왕십리글쟁이</v>
      </c>
      <c r="H1050" t="str">
        <f t="shared" si="180"/>
        <v>스토리위즈</v>
      </c>
      <c r="I1050" t="str">
        <f t="shared" si="183"/>
        <v>회귀한 헌터가 너무 강함</v>
      </c>
      <c r="J1050">
        <v>100</v>
      </c>
      <c r="K1050">
        <v>600</v>
      </c>
      <c r="L1050">
        <v>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600</v>
      </c>
      <c r="AH1050">
        <v>6</v>
      </c>
      <c r="AI1050">
        <v>0</v>
      </c>
      <c r="AJ1050">
        <v>0</v>
      </c>
      <c r="AK1050">
        <v>600</v>
      </c>
      <c r="AL1050">
        <v>0</v>
      </c>
      <c r="AM1050">
        <v>0</v>
      </c>
      <c r="AN1050">
        <v>0</v>
      </c>
      <c r="AO1050">
        <v>0</v>
      </c>
      <c r="AP1050"/>
      <c r="AQ1050">
        <v>0</v>
      </c>
      <c r="AR1050">
        <v>0</v>
      </c>
      <c r="AT1050">
        <v>0</v>
      </c>
      <c r="AU1050">
        <v>0</v>
      </c>
      <c r="AW1050">
        <v>0</v>
      </c>
      <c r="AX1050">
        <v>0</v>
      </c>
      <c r="AY1050">
        <v>420</v>
      </c>
      <c r="BC1050" t="str">
        <f t="shared" si="184"/>
        <v>9791197332272</v>
      </c>
      <c r="BE1050" t="str">
        <f t="shared" si="181"/>
        <v>판타지 웹소설 &gt; 퓨전 판타지</v>
      </c>
    </row>
    <row r="1051" spans="1:57" x14ac:dyDescent="0.3">
      <c r="A1051">
        <v>2313010290</v>
      </c>
      <c r="B1051">
        <v>2313010296</v>
      </c>
      <c r="C1051" t="str">
        <f>T("아저씨, 내 기분 왜 이래요? 7화")</f>
        <v>아저씨, 내 기분 왜 이래요? 7화</v>
      </c>
      <c r="D1051" t="str">
        <f>T("7")</f>
        <v>7</v>
      </c>
      <c r="E1051" t="str">
        <f>T("Livingston")</f>
        <v>Livingston</v>
      </c>
      <c r="H1051" t="str">
        <f>T("블레슈(Blesshuu)")</f>
        <v>블레슈(Blesshuu)</v>
      </c>
      <c r="I1051" t="str">
        <f>T("아저씨, 내 기분 왜 이래요?")</f>
        <v>아저씨, 내 기분 왜 이래요?</v>
      </c>
      <c r="J1051">
        <v>100</v>
      </c>
      <c r="K1051">
        <v>500</v>
      </c>
      <c r="L1051">
        <v>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500</v>
      </c>
      <c r="AH1051">
        <v>5</v>
      </c>
      <c r="AI1051">
        <v>0</v>
      </c>
      <c r="AJ1051">
        <v>0</v>
      </c>
      <c r="AK1051">
        <v>400</v>
      </c>
      <c r="AL1051">
        <v>0</v>
      </c>
      <c r="AM1051">
        <v>120</v>
      </c>
      <c r="AN1051">
        <v>-36</v>
      </c>
      <c r="AO1051">
        <v>0</v>
      </c>
      <c r="AP1051"/>
      <c r="AQ1051">
        <v>0</v>
      </c>
      <c r="AR1051">
        <v>0</v>
      </c>
      <c r="AS1051">
        <v>120</v>
      </c>
      <c r="AT1051">
        <v>-36</v>
      </c>
      <c r="AU1051">
        <v>0</v>
      </c>
      <c r="AW1051">
        <v>0</v>
      </c>
      <c r="AX1051">
        <v>0</v>
      </c>
      <c r="AY1051">
        <v>338.8</v>
      </c>
      <c r="BC1051" t="str">
        <f>T("9791166069482")</f>
        <v>9791166069482</v>
      </c>
      <c r="BE1051" t="str">
        <f>T("로맨스 웹소설 &gt; 현대물")</f>
        <v>로맨스 웹소설 &gt; 현대물</v>
      </c>
    </row>
    <row r="1052" spans="1:57" x14ac:dyDescent="0.3">
      <c r="A1052">
        <v>2313011400</v>
      </c>
      <c r="B1052">
        <v>2313011422</v>
      </c>
      <c r="C1052" t="str">
        <f>T("최종 보스 2권 1화")</f>
        <v>최종 보스 2권 1화</v>
      </c>
      <c r="D1052" t="str">
        <f>T("23")</f>
        <v>23</v>
      </c>
      <c r="E1052" t="str">
        <f t="shared" ref="E1052:E1115" si="185">T("무장")</f>
        <v>무장</v>
      </c>
      <c r="H1052" t="str">
        <f t="shared" ref="H1052:H1115" si="186">T("스토리위즈")</f>
        <v>스토리위즈</v>
      </c>
      <c r="I1052" t="str">
        <f t="shared" ref="I1052:I1115" si="187">T("최종 보스 : 빛을 향해 달리는 그림자")</f>
        <v>최종 보스 : 빛을 향해 달리는 그림자</v>
      </c>
      <c r="J1052">
        <v>100</v>
      </c>
      <c r="K1052">
        <v>500</v>
      </c>
      <c r="L1052">
        <v>5</v>
      </c>
      <c r="M1052">
        <v>0</v>
      </c>
      <c r="N1052">
        <v>100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600</v>
      </c>
      <c r="AH1052">
        <v>6</v>
      </c>
      <c r="AI1052">
        <v>0</v>
      </c>
      <c r="AJ1052">
        <v>0</v>
      </c>
      <c r="AK1052">
        <v>500</v>
      </c>
      <c r="AL1052">
        <v>0</v>
      </c>
      <c r="AM1052">
        <v>120</v>
      </c>
      <c r="AN1052">
        <v>-36</v>
      </c>
      <c r="AO1052">
        <v>0</v>
      </c>
      <c r="AP1052">
        <v>120</v>
      </c>
      <c r="AQ1052">
        <v>-36</v>
      </c>
      <c r="AR1052">
        <v>0</v>
      </c>
      <c r="AT1052">
        <v>0</v>
      </c>
      <c r="AU1052">
        <v>0</v>
      </c>
      <c r="AW1052">
        <v>0</v>
      </c>
      <c r="AX1052">
        <v>0</v>
      </c>
      <c r="AY1052">
        <v>408.8</v>
      </c>
      <c r="BC1052" t="str">
        <f t="shared" ref="BC1052:BC1115" si="188">T("9791166067563")</f>
        <v>9791166067563</v>
      </c>
      <c r="BE1052" t="str">
        <f t="shared" ref="BE1052:BE1115" si="189">T("판타지 웹소설 &gt; 현대 판타지")</f>
        <v>판타지 웹소설 &gt; 현대 판타지</v>
      </c>
    </row>
    <row r="1053" spans="1:57" x14ac:dyDescent="0.3">
      <c r="A1053">
        <v>2313011400</v>
      </c>
      <c r="B1053">
        <v>2313011423</v>
      </c>
      <c r="C1053" t="str">
        <f>T("최종 보스 2권 2화")</f>
        <v>최종 보스 2권 2화</v>
      </c>
      <c r="D1053" t="str">
        <f>T("24")</f>
        <v>24</v>
      </c>
      <c r="E1053" t="str">
        <f t="shared" si="185"/>
        <v>무장</v>
      </c>
      <c r="H1053" t="str">
        <f t="shared" si="186"/>
        <v>스토리위즈</v>
      </c>
      <c r="I1053" t="str">
        <f t="shared" si="187"/>
        <v>최종 보스 : 빛을 향해 달리는 그림자</v>
      </c>
      <c r="J1053">
        <v>100</v>
      </c>
      <c r="K1053">
        <v>500</v>
      </c>
      <c r="L1053">
        <v>5</v>
      </c>
      <c r="M1053">
        <v>0</v>
      </c>
      <c r="N1053">
        <v>100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600</v>
      </c>
      <c r="AH1053">
        <v>6</v>
      </c>
      <c r="AI1053">
        <v>0</v>
      </c>
      <c r="AJ1053">
        <v>0</v>
      </c>
      <c r="AK1053">
        <v>500</v>
      </c>
      <c r="AL1053">
        <v>0</v>
      </c>
      <c r="AM1053">
        <v>120</v>
      </c>
      <c r="AN1053">
        <v>-36</v>
      </c>
      <c r="AO1053">
        <v>0</v>
      </c>
      <c r="AP1053">
        <v>120</v>
      </c>
      <c r="AQ1053">
        <v>-36</v>
      </c>
      <c r="AR1053">
        <v>0</v>
      </c>
      <c r="AT1053">
        <v>0</v>
      </c>
      <c r="AU1053">
        <v>0</v>
      </c>
      <c r="AW1053">
        <v>0</v>
      </c>
      <c r="AX1053">
        <v>0</v>
      </c>
      <c r="AY1053">
        <v>408.8</v>
      </c>
      <c r="BC1053" t="str">
        <f t="shared" si="188"/>
        <v>9791166067563</v>
      </c>
      <c r="BE1053" t="str">
        <f t="shared" si="189"/>
        <v>판타지 웹소설 &gt; 현대 판타지</v>
      </c>
    </row>
    <row r="1054" spans="1:57" x14ac:dyDescent="0.3">
      <c r="A1054">
        <v>2313011400</v>
      </c>
      <c r="B1054">
        <v>2313011498</v>
      </c>
      <c r="C1054" t="str">
        <f>T("최종 보스 5권 12화")</f>
        <v>최종 보스 5권 12화</v>
      </c>
      <c r="D1054" t="str">
        <f>T("99")</f>
        <v>99</v>
      </c>
      <c r="E1054" t="str">
        <f t="shared" si="185"/>
        <v>무장</v>
      </c>
      <c r="H1054" t="str">
        <f t="shared" si="186"/>
        <v>스토리위즈</v>
      </c>
      <c r="I1054" t="str">
        <f t="shared" si="187"/>
        <v>최종 보스 : 빛을 향해 달리는 그림자</v>
      </c>
      <c r="J1054">
        <v>100</v>
      </c>
      <c r="K1054">
        <v>500</v>
      </c>
      <c r="L1054">
        <v>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500</v>
      </c>
      <c r="AH1054">
        <v>5</v>
      </c>
      <c r="AI1054">
        <v>0</v>
      </c>
      <c r="AJ1054">
        <v>0</v>
      </c>
      <c r="AK1054">
        <v>400</v>
      </c>
      <c r="AL1054">
        <v>0</v>
      </c>
      <c r="AM1054">
        <v>120</v>
      </c>
      <c r="AN1054">
        <v>-12</v>
      </c>
      <c r="AO1054">
        <v>0</v>
      </c>
      <c r="AP1054"/>
      <c r="AQ1054">
        <v>0</v>
      </c>
      <c r="AR1054">
        <v>0</v>
      </c>
      <c r="AS1054">
        <v>120</v>
      </c>
      <c r="AT1054">
        <v>-12</v>
      </c>
      <c r="AU1054">
        <v>0</v>
      </c>
      <c r="AW1054">
        <v>0</v>
      </c>
      <c r="AX1054">
        <v>0</v>
      </c>
      <c r="AY1054">
        <v>355.6</v>
      </c>
      <c r="BC1054" t="str">
        <f t="shared" si="188"/>
        <v>9791166067563</v>
      </c>
      <c r="BE1054" t="str">
        <f t="shared" si="189"/>
        <v>판타지 웹소설 &gt; 현대 판타지</v>
      </c>
    </row>
    <row r="1055" spans="1:57" x14ac:dyDescent="0.3">
      <c r="A1055">
        <v>2313011400</v>
      </c>
      <c r="B1055">
        <v>2313011499</v>
      </c>
      <c r="C1055" t="str">
        <f>T("최종 보스 5권 13화")</f>
        <v>최종 보스 5권 13화</v>
      </c>
      <c r="D1055" t="str">
        <f>T("100")</f>
        <v>100</v>
      </c>
      <c r="E1055" t="str">
        <f t="shared" si="185"/>
        <v>무장</v>
      </c>
      <c r="H1055" t="str">
        <f t="shared" si="186"/>
        <v>스토리위즈</v>
      </c>
      <c r="I1055" t="str">
        <f t="shared" si="187"/>
        <v>최종 보스 : 빛을 향해 달리는 그림자</v>
      </c>
      <c r="J1055">
        <v>100</v>
      </c>
      <c r="K1055">
        <v>500</v>
      </c>
      <c r="L1055">
        <v>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500</v>
      </c>
      <c r="AH1055">
        <v>5</v>
      </c>
      <c r="AI1055">
        <v>0</v>
      </c>
      <c r="AJ1055">
        <v>0</v>
      </c>
      <c r="AK1055">
        <v>400</v>
      </c>
      <c r="AL1055">
        <v>0</v>
      </c>
      <c r="AM1055">
        <v>120</v>
      </c>
      <c r="AN1055">
        <v>-12</v>
      </c>
      <c r="AO1055">
        <v>0</v>
      </c>
      <c r="AP1055"/>
      <c r="AQ1055">
        <v>0</v>
      </c>
      <c r="AR1055">
        <v>0</v>
      </c>
      <c r="AS1055">
        <v>120</v>
      </c>
      <c r="AT1055">
        <v>-12</v>
      </c>
      <c r="AU1055">
        <v>0</v>
      </c>
      <c r="AW1055">
        <v>0</v>
      </c>
      <c r="AX1055">
        <v>0</v>
      </c>
      <c r="AY1055">
        <v>355.6</v>
      </c>
      <c r="BC1055" t="str">
        <f t="shared" si="188"/>
        <v>9791166067563</v>
      </c>
      <c r="BE1055" t="str">
        <f t="shared" si="189"/>
        <v>판타지 웹소설 &gt; 현대 판타지</v>
      </c>
    </row>
    <row r="1056" spans="1:57" x14ac:dyDescent="0.3">
      <c r="A1056">
        <v>2313011400</v>
      </c>
      <c r="B1056">
        <v>2313011500</v>
      </c>
      <c r="C1056" t="str">
        <f>T("최종 보스 5권 14화")</f>
        <v>최종 보스 5권 14화</v>
      </c>
      <c r="D1056" t="str">
        <f>T("101")</f>
        <v>101</v>
      </c>
      <c r="E1056" t="str">
        <f t="shared" si="185"/>
        <v>무장</v>
      </c>
      <c r="H1056" t="str">
        <f t="shared" si="186"/>
        <v>스토리위즈</v>
      </c>
      <c r="I1056" t="str">
        <f t="shared" si="187"/>
        <v>최종 보스 : 빛을 향해 달리는 그림자</v>
      </c>
      <c r="J1056">
        <v>100</v>
      </c>
      <c r="K1056">
        <v>500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500</v>
      </c>
      <c r="AH1056">
        <v>5</v>
      </c>
      <c r="AI1056">
        <v>0</v>
      </c>
      <c r="AJ1056">
        <v>0</v>
      </c>
      <c r="AK1056">
        <v>400</v>
      </c>
      <c r="AL1056">
        <v>0</v>
      </c>
      <c r="AM1056">
        <v>120</v>
      </c>
      <c r="AN1056">
        <v>-12</v>
      </c>
      <c r="AO1056">
        <v>0</v>
      </c>
      <c r="AP1056"/>
      <c r="AQ1056">
        <v>0</v>
      </c>
      <c r="AR1056">
        <v>0</v>
      </c>
      <c r="AS1056">
        <v>120</v>
      </c>
      <c r="AT1056">
        <v>-12</v>
      </c>
      <c r="AU1056">
        <v>0</v>
      </c>
      <c r="AW1056">
        <v>0</v>
      </c>
      <c r="AX1056">
        <v>0</v>
      </c>
      <c r="AY1056">
        <v>355.6</v>
      </c>
      <c r="BC1056" t="str">
        <f t="shared" si="188"/>
        <v>9791166067563</v>
      </c>
      <c r="BE1056" t="str">
        <f t="shared" si="189"/>
        <v>판타지 웹소설 &gt; 현대 판타지</v>
      </c>
    </row>
    <row r="1057" spans="1:57" x14ac:dyDescent="0.3">
      <c r="A1057">
        <v>2313011400</v>
      </c>
      <c r="B1057">
        <v>2313011501</v>
      </c>
      <c r="C1057" t="str">
        <f>T("최종 보스 5권 15화")</f>
        <v>최종 보스 5권 15화</v>
      </c>
      <c r="D1057" t="str">
        <f>T("102")</f>
        <v>102</v>
      </c>
      <c r="E1057" t="str">
        <f t="shared" si="185"/>
        <v>무장</v>
      </c>
      <c r="H1057" t="str">
        <f t="shared" si="186"/>
        <v>스토리위즈</v>
      </c>
      <c r="I1057" t="str">
        <f t="shared" si="187"/>
        <v>최종 보스 : 빛을 향해 달리는 그림자</v>
      </c>
      <c r="J1057">
        <v>100</v>
      </c>
      <c r="K1057">
        <v>500</v>
      </c>
      <c r="L1057">
        <v>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500</v>
      </c>
      <c r="AH1057">
        <v>5</v>
      </c>
      <c r="AI1057">
        <v>0</v>
      </c>
      <c r="AJ1057">
        <v>0</v>
      </c>
      <c r="AK1057">
        <v>400</v>
      </c>
      <c r="AL1057">
        <v>0</v>
      </c>
      <c r="AM1057">
        <v>120</v>
      </c>
      <c r="AN1057">
        <v>-12</v>
      </c>
      <c r="AO1057">
        <v>0</v>
      </c>
      <c r="AP1057"/>
      <c r="AQ1057">
        <v>0</v>
      </c>
      <c r="AR1057">
        <v>0</v>
      </c>
      <c r="AS1057">
        <v>120</v>
      </c>
      <c r="AT1057">
        <v>-12</v>
      </c>
      <c r="AU1057">
        <v>0</v>
      </c>
      <c r="AW1057">
        <v>0</v>
      </c>
      <c r="AX1057">
        <v>0</v>
      </c>
      <c r="AY1057">
        <v>355.6</v>
      </c>
      <c r="BC1057" t="str">
        <f t="shared" si="188"/>
        <v>9791166067563</v>
      </c>
      <c r="BE1057" t="str">
        <f t="shared" si="189"/>
        <v>판타지 웹소설 &gt; 현대 판타지</v>
      </c>
    </row>
    <row r="1058" spans="1:57" x14ac:dyDescent="0.3">
      <c r="A1058">
        <v>2313011400</v>
      </c>
      <c r="B1058">
        <v>2313011502</v>
      </c>
      <c r="C1058" t="str">
        <f>T("최종 보스 5권 16화")</f>
        <v>최종 보스 5권 16화</v>
      </c>
      <c r="D1058" t="str">
        <f>T("103")</f>
        <v>103</v>
      </c>
      <c r="E1058" t="str">
        <f t="shared" si="185"/>
        <v>무장</v>
      </c>
      <c r="H1058" t="str">
        <f t="shared" si="186"/>
        <v>스토리위즈</v>
      </c>
      <c r="I1058" t="str">
        <f t="shared" si="187"/>
        <v>최종 보스 : 빛을 향해 달리는 그림자</v>
      </c>
      <c r="J1058">
        <v>100</v>
      </c>
      <c r="K1058">
        <v>500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500</v>
      </c>
      <c r="AH1058">
        <v>5</v>
      </c>
      <c r="AI1058">
        <v>0</v>
      </c>
      <c r="AJ1058">
        <v>0</v>
      </c>
      <c r="AK1058">
        <v>400</v>
      </c>
      <c r="AL1058">
        <v>0</v>
      </c>
      <c r="AM1058">
        <v>120</v>
      </c>
      <c r="AN1058">
        <v>-12</v>
      </c>
      <c r="AO1058">
        <v>0</v>
      </c>
      <c r="AP1058"/>
      <c r="AQ1058">
        <v>0</v>
      </c>
      <c r="AR1058">
        <v>0</v>
      </c>
      <c r="AS1058">
        <v>120</v>
      </c>
      <c r="AT1058">
        <v>-12</v>
      </c>
      <c r="AU1058">
        <v>0</v>
      </c>
      <c r="AW1058">
        <v>0</v>
      </c>
      <c r="AX1058">
        <v>0</v>
      </c>
      <c r="AY1058">
        <v>355.6</v>
      </c>
      <c r="BC1058" t="str">
        <f t="shared" si="188"/>
        <v>9791166067563</v>
      </c>
      <c r="BE1058" t="str">
        <f t="shared" si="189"/>
        <v>판타지 웹소설 &gt; 현대 판타지</v>
      </c>
    </row>
    <row r="1059" spans="1:57" x14ac:dyDescent="0.3">
      <c r="A1059">
        <v>2313011400</v>
      </c>
      <c r="B1059">
        <v>2313011503</v>
      </c>
      <c r="C1059" t="str">
        <f>T("최종 보스 5권 17화")</f>
        <v>최종 보스 5권 17화</v>
      </c>
      <c r="D1059" t="str">
        <f>T("104")</f>
        <v>104</v>
      </c>
      <c r="E1059" t="str">
        <f t="shared" si="185"/>
        <v>무장</v>
      </c>
      <c r="H1059" t="str">
        <f t="shared" si="186"/>
        <v>스토리위즈</v>
      </c>
      <c r="I1059" t="str">
        <f t="shared" si="187"/>
        <v>최종 보스 : 빛을 향해 달리는 그림자</v>
      </c>
      <c r="J1059">
        <v>100</v>
      </c>
      <c r="K1059">
        <v>500</v>
      </c>
      <c r="L1059">
        <v>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500</v>
      </c>
      <c r="AH1059">
        <v>5</v>
      </c>
      <c r="AI1059">
        <v>0</v>
      </c>
      <c r="AJ1059">
        <v>0</v>
      </c>
      <c r="AK1059">
        <v>400</v>
      </c>
      <c r="AL1059">
        <v>0</v>
      </c>
      <c r="AM1059">
        <v>120</v>
      </c>
      <c r="AN1059">
        <v>-12</v>
      </c>
      <c r="AO1059">
        <v>0</v>
      </c>
      <c r="AP1059"/>
      <c r="AQ1059">
        <v>0</v>
      </c>
      <c r="AR1059">
        <v>0</v>
      </c>
      <c r="AS1059">
        <v>120</v>
      </c>
      <c r="AT1059">
        <v>-12</v>
      </c>
      <c r="AU1059">
        <v>0</v>
      </c>
      <c r="AW1059">
        <v>0</v>
      </c>
      <c r="AX1059">
        <v>0</v>
      </c>
      <c r="AY1059">
        <v>355.6</v>
      </c>
      <c r="BC1059" t="str">
        <f t="shared" si="188"/>
        <v>9791166067563</v>
      </c>
      <c r="BE1059" t="str">
        <f t="shared" si="189"/>
        <v>판타지 웹소설 &gt; 현대 판타지</v>
      </c>
    </row>
    <row r="1060" spans="1:57" x14ac:dyDescent="0.3">
      <c r="A1060">
        <v>2313011400</v>
      </c>
      <c r="B1060">
        <v>2313011504</v>
      </c>
      <c r="C1060" t="str">
        <f>T("최종 보스 5권 18화")</f>
        <v>최종 보스 5권 18화</v>
      </c>
      <c r="D1060" t="str">
        <f>T("105")</f>
        <v>105</v>
      </c>
      <c r="E1060" t="str">
        <f t="shared" si="185"/>
        <v>무장</v>
      </c>
      <c r="H1060" t="str">
        <f t="shared" si="186"/>
        <v>스토리위즈</v>
      </c>
      <c r="I1060" t="str">
        <f t="shared" si="187"/>
        <v>최종 보스 : 빛을 향해 달리는 그림자</v>
      </c>
      <c r="J1060">
        <v>100</v>
      </c>
      <c r="K1060">
        <v>500</v>
      </c>
      <c r="L1060">
        <v>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500</v>
      </c>
      <c r="AH1060">
        <v>5</v>
      </c>
      <c r="AI1060">
        <v>0</v>
      </c>
      <c r="AJ1060">
        <v>0</v>
      </c>
      <c r="AK1060">
        <v>400</v>
      </c>
      <c r="AL1060">
        <v>0</v>
      </c>
      <c r="AM1060">
        <v>120</v>
      </c>
      <c r="AN1060">
        <v>-12</v>
      </c>
      <c r="AO1060">
        <v>0</v>
      </c>
      <c r="AP1060"/>
      <c r="AQ1060">
        <v>0</v>
      </c>
      <c r="AR1060">
        <v>0</v>
      </c>
      <c r="AS1060">
        <v>120</v>
      </c>
      <c r="AT1060">
        <v>-12</v>
      </c>
      <c r="AU1060">
        <v>0</v>
      </c>
      <c r="AW1060">
        <v>0</v>
      </c>
      <c r="AX1060">
        <v>0</v>
      </c>
      <c r="AY1060">
        <v>355.6</v>
      </c>
      <c r="BC1060" t="str">
        <f t="shared" si="188"/>
        <v>9791166067563</v>
      </c>
      <c r="BE1060" t="str">
        <f t="shared" si="189"/>
        <v>판타지 웹소설 &gt; 현대 판타지</v>
      </c>
    </row>
    <row r="1061" spans="1:57" x14ac:dyDescent="0.3">
      <c r="A1061">
        <v>2313011400</v>
      </c>
      <c r="B1061">
        <v>2313011505</v>
      </c>
      <c r="C1061" t="str">
        <f>T("최종 보스 5권 19화")</f>
        <v>최종 보스 5권 19화</v>
      </c>
      <c r="D1061" t="str">
        <f>T("106")</f>
        <v>106</v>
      </c>
      <c r="E1061" t="str">
        <f t="shared" si="185"/>
        <v>무장</v>
      </c>
      <c r="H1061" t="str">
        <f t="shared" si="186"/>
        <v>스토리위즈</v>
      </c>
      <c r="I1061" t="str">
        <f t="shared" si="187"/>
        <v>최종 보스 : 빛을 향해 달리는 그림자</v>
      </c>
      <c r="J1061">
        <v>100</v>
      </c>
      <c r="K1061">
        <v>500</v>
      </c>
      <c r="L1061">
        <v>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500</v>
      </c>
      <c r="AH1061">
        <v>5</v>
      </c>
      <c r="AI1061">
        <v>0</v>
      </c>
      <c r="AJ1061">
        <v>0</v>
      </c>
      <c r="AK1061">
        <v>400</v>
      </c>
      <c r="AL1061">
        <v>0</v>
      </c>
      <c r="AM1061">
        <v>120</v>
      </c>
      <c r="AN1061">
        <v>-12</v>
      </c>
      <c r="AO1061">
        <v>0</v>
      </c>
      <c r="AP1061"/>
      <c r="AQ1061">
        <v>0</v>
      </c>
      <c r="AR1061">
        <v>0</v>
      </c>
      <c r="AS1061">
        <v>120</v>
      </c>
      <c r="AT1061">
        <v>-12</v>
      </c>
      <c r="AU1061">
        <v>0</v>
      </c>
      <c r="AW1061">
        <v>0</v>
      </c>
      <c r="AX1061">
        <v>0</v>
      </c>
      <c r="AY1061">
        <v>355.6</v>
      </c>
      <c r="BC1061" t="str">
        <f t="shared" si="188"/>
        <v>9791166067563</v>
      </c>
      <c r="BE1061" t="str">
        <f t="shared" si="189"/>
        <v>판타지 웹소설 &gt; 현대 판타지</v>
      </c>
    </row>
    <row r="1062" spans="1:57" x14ac:dyDescent="0.3">
      <c r="A1062">
        <v>2313011400</v>
      </c>
      <c r="B1062">
        <v>2313011506</v>
      </c>
      <c r="C1062" t="str">
        <f>T("최종 보스 5권 20화")</f>
        <v>최종 보스 5권 20화</v>
      </c>
      <c r="D1062" t="str">
        <f>T("107")</f>
        <v>107</v>
      </c>
      <c r="E1062" t="str">
        <f t="shared" si="185"/>
        <v>무장</v>
      </c>
      <c r="H1062" t="str">
        <f t="shared" si="186"/>
        <v>스토리위즈</v>
      </c>
      <c r="I1062" t="str">
        <f t="shared" si="187"/>
        <v>최종 보스 : 빛을 향해 달리는 그림자</v>
      </c>
      <c r="J1062">
        <v>100</v>
      </c>
      <c r="K1062">
        <v>500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500</v>
      </c>
      <c r="AH1062">
        <v>5</v>
      </c>
      <c r="AI1062">
        <v>0</v>
      </c>
      <c r="AJ1062">
        <v>0</v>
      </c>
      <c r="AK1062">
        <v>400</v>
      </c>
      <c r="AL1062">
        <v>0</v>
      </c>
      <c r="AM1062">
        <v>120</v>
      </c>
      <c r="AN1062">
        <v>-12</v>
      </c>
      <c r="AO1062">
        <v>0</v>
      </c>
      <c r="AP1062"/>
      <c r="AQ1062">
        <v>0</v>
      </c>
      <c r="AR1062">
        <v>0</v>
      </c>
      <c r="AS1062">
        <v>120</v>
      </c>
      <c r="AT1062">
        <v>-12</v>
      </c>
      <c r="AU1062">
        <v>0</v>
      </c>
      <c r="AW1062">
        <v>0</v>
      </c>
      <c r="AX1062">
        <v>0</v>
      </c>
      <c r="AY1062">
        <v>355.6</v>
      </c>
      <c r="BC1062" t="str">
        <f t="shared" si="188"/>
        <v>9791166067563</v>
      </c>
      <c r="BE1062" t="str">
        <f t="shared" si="189"/>
        <v>판타지 웹소설 &gt; 현대 판타지</v>
      </c>
    </row>
    <row r="1063" spans="1:57" x14ac:dyDescent="0.3">
      <c r="A1063">
        <v>2313011400</v>
      </c>
      <c r="B1063">
        <v>2313011507</v>
      </c>
      <c r="C1063" t="str">
        <f>T("최종 보스 5권 21화")</f>
        <v>최종 보스 5권 21화</v>
      </c>
      <c r="D1063" t="str">
        <f>T("108")</f>
        <v>108</v>
      </c>
      <c r="E1063" t="str">
        <f t="shared" si="185"/>
        <v>무장</v>
      </c>
      <c r="H1063" t="str">
        <f t="shared" si="186"/>
        <v>스토리위즈</v>
      </c>
      <c r="I1063" t="str">
        <f t="shared" si="187"/>
        <v>최종 보스 : 빛을 향해 달리는 그림자</v>
      </c>
      <c r="J1063">
        <v>100</v>
      </c>
      <c r="K1063">
        <v>500</v>
      </c>
      <c r="L1063">
        <v>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500</v>
      </c>
      <c r="AH1063">
        <v>5</v>
      </c>
      <c r="AI1063">
        <v>0</v>
      </c>
      <c r="AJ1063">
        <v>0</v>
      </c>
      <c r="AK1063">
        <v>400</v>
      </c>
      <c r="AL1063">
        <v>0</v>
      </c>
      <c r="AM1063">
        <v>120</v>
      </c>
      <c r="AN1063">
        <v>-12</v>
      </c>
      <c r="AO1063">
        <v>0</v>
      </c>
      <c r="AP1063"/>
      <c r="AQ1063">
        <v>0</v>
      </c>
      <c r="AR1063">
        <v>0</v>
      </c>
      <c r="AS1063">
        <v>120</v>
      </c>
      <c r="AT1063">
        <v>-12</v>
      </c>
      <c r="AU1063">
        <v>0</v>
      </c>
      <c r="AW1063">
        <v>0</v>
      </c>
      <c r="AX1063">
        <v>0</v>
      </c>
      <c r="AY1063">
        <v>355.6</v>
      </c>
      <c r="BC1063" t="str">
        <f t="shared" si="188"/>
        <v>9791166067563</v>
      </c>
      <c r="BE1063" t="str">
        <f t="shared" si="189"/>
        <v>판타지 웹소설 &gt; 현대 판타지</v>
      </c>
    </row>
    <row r="1064" spans="1:57" x14ac:dyDescent="0.3">
      <c r="A1064">
        <v>2313011400</v>
      </c>
      <c r="B1064">
        <v>2313011508</v>
      </c>
      <c r="C1064" t="str">
        <f>T("최종 보스 6권 1화")</f>
        <v>최종 보스 6권 1화</v>
      </c>
      <c r="D1064" t="str">
        <f>T("109")</f>
        <v>109</v>
      </c>
      <c r="E1064" t="str">
        <f t="shared" si="185"/>
        <v>무장</v>
      </c>
      <c r="H1064" t="str">
        <f t="shared" si="186"/>
        <v>스토리위즈</v>
      </c>
      <c r="I1064" t="str">
        <f t="shared" si="187"/>
        <v>최종 보스 : 빛을 향해 달리는 그림자</v>
      </c>
      <c r="J1064">
        <v>100</v>
      </c>
      <c r="K1064">
        <v>500</v>
      </c>
      <c r="L1064">
        <v>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500</v>
      </c>
      <c r="AH1064">
        <v>5</v>
      </c>
      <c r="AI1064">
        <v>0</v>
      </c>
      <c r="AJ1064">
        <v>0</v>
      </c>
      <c r="AK1064">
        <v>400</v>
      </c>
      <c r="AL1064">
        <v>0</v>
      </c>
      <c r="AM1064">
        <v>120</v>
      </c>
      <c r="AN1064">
        <v>-12</v>
      </c>
      <c r="AO1064">
        <v>0</v>
      </c>
      <c r="AP1064"/>
      <c r="AQ1064">
        <v>0</v>
      </c>
      <c r="AR1064">
        <v>0</v>
      </c>
      <c r="AS1064">
        <v>120</v>
      </c>
      <c r="AT1064">
        <v>-12</v>
      </c>
      <c r="AU1064">
        <v>0</v>
      </c>
      <c r="AW1064">
        <v>0</v>
      </c>
      <c r="AX1064">
        <v>0</v>
      </c>
      <c r="AY1064">
        <v>355.6</v>
      </c>
      <c r="BC1064" t="str">
        <f t="shared" si="188"/>
        <v>9791166067563</v>
      </c>
      <c r="BE1064" t="str">
        <f t="shared" si="189"/>
        <v>판타지 웹소설 &gt; 현대 판타지</v>
      </c>
    </row>
    <row r="1065" spans="1:57" x14ac:dyDescent="0.3">
      <c r="A1065">
        <v>2313011400</v>
      </c>
      <c r="B1065">
        <v>2313011509</v>
      </c>
      <c r="C1065" t="str">
        <f>T("최종 보스 6권 2화")</f>
        <v>최종 보스 6권 2화</v>
      </c>
      <c r="D1065" t="str">
        <f>T("110")</f>
        <v>110</v>
      </c>
      <c r="E1065" t="str">
        <f t="shared" si="185"/>
        <v>무장</v>
      </c>
      <c r="H1065" t="str">
        <f t="shared" si="186"/>
        <v>스토리위즈</v>
      </c>
      <c r="I1065" t="str">
        <f t="shared" si="187"/>
        <v>최종 보스 : 빛을 향해 달리는 그림자</v>
      </c>
      <c r="J1065">
        <v>100</v>
      </c>
      <c r="K1065">
        <v>500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500</v>
      </c>
      <c r="AH1065">
        <v>5</v>
      </c>
      <c r="AI1065">
        <v>0</v>
      </c>
      <c r="AJ1065">
        <v>0</v>
      </c>
      <c r="AK1065">
        <v>400</v>
      </c>
      <c r="AL1065">
        <v>0</v>
      </c>
      <c r="AM1065">
        <v>120</v>
      </c>
      <c r="AN1065">
        <v>-12</v>
      </c>
      <c r="AO1065">
        <v>0</v>
      </c>
      <c r="AP1065"/>
      <c r="AQ1065">
        <v>0</v>
      </c>
      <c r="AR1065">
        <v>0</v>
      </c>
      <c r="AS1065">
        <v>120</v>
      </c>
      <c r="AT1065">
        <v>-12</v>
      </c>
      <c r="AU1065">
        <v>0</v>
      </c>
      <c r="AW1065">
        <v>0</v>
      </c>
      <c r="AX1065">
        <v>0</v>
      </c>
      <c r="AY1065">
        <v>355.6</v>
      </c>
      <c r="BC1065" t="str">
        <f t="shared" si="188"/>
        <v>9791166067563</v>
      </c>
      <c r="BE1065" t="str">
        <f t="shared" si="189"/>
        <v>판타지 웹소설 &gt; 현대 판타지</v>
      </c>
    </row>
    <row r="1066" spans="1:57" x14ac:dyDescent="0.3">
      <c r="A1066">
        <v>2313011400</v>
      </c>
      <c r="B1066">
        <v>2313011510</v>
      </c>
      <c r="C1066" t="str">
        <f>T("최종 보스 6권 3화")</f>
        <v>최종 보스 6권 3화</v>
      </c>
      <c r="D1066" t="str">
        <f>T("111")</f>
        <v>111</v>
      </c>
      <c r="E1066" t="str">
        <f t="shared" si="185"/>
        <v>무장</v>
      </c>
      <c r="H1066" t="str">
        <f t="shared" si="186"/>
        <v>스토리위즈</v>
      </c>
      <c r="I1066" t="str">
        <f t="shared" si="187"/>
        <v>최종 보스 : 빛을 향해 달리는 그림자</v>
      </c>
      <c r="J1066">
        <v>100</v>
      </c>
      <c r="K1066">
        <v>500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500</v>
      </c>
      <c r="AH1066">
        <v>5</v>
      </c>
      <c r="AI1066">
        <v>0</v>
      </c>
      <c r="AJ1066">
        <v>0</v>
      </c>
      <c r="AK1066">
        <v>400</v>
      </c>
      <c r="AL1066">
        <v>0</v>
      </c>
      <c r="AM1066">
        <v>120</v>
      </c>
      <c r="AN1066">
        <v>-12</v>
      </c>
      <c r="AO1066">
        <v>0</v>
      </c>
      <c r="AP1066"/>
      <c r="AQ1066">
        <v>0</v>
      </c>
      <c r="AR1066">
        <v>0</v>
      </c>
      <c r="AS1066">
        <v>120</v>
      </c>
      <c r="AT1066">
        <v>-12</v>
      </c>
      <c r="AU1066">
        <v>0</v>
      </c>
      <c r="AW1066">
        <v>0</v>
      </c>
      <c r="AX1066">
        <v>0</v>
      </c>
      <c r="AY1066">
        <v>355.6</v>
      </c>
      <c r="BC1066" t="str">
        <f t="shared" si="188"/>
        <v>9791166067563</v>
      </c>
      <c r="BE1066" t="str">
        <f t="shared" si="189"/>
        <v>판타지 웹소설 &gt; 현대 판타지</v>
      </c>
    </row>
    <row r="1067" spans="1:57" x14ac:dyDescent="0.3">
      <c r="A1067">
        <v>2313011400</v>
      </c>
      <c r="B1067">
        <v>2313011511</v>
      </c>
      <c r="C1067" t="str">
        <f>T("최종 보스 6권 4화")</f>
        <v>최종 보스 6권 4화</v>
      </c>
      <c r="D1067" t="str">
        <f>T("112")</f>
        <v>112</v>
      </c>
      <c r="E1067" t="str">
        <f t="shared" si="185"/>
        <v>무장</v>
      </c>
      <c r="H1067" t="str">
        <f t="shared" si="186"/>
        <v>스토리위즈</v>
      </c>
      <c r="I1067" t="str">
        <f t="shared" si="187"/>
        <v>최종 보스 : 빛을 향해 달리는 그림자</v>
      </c>
      <c r="J1067">
        <v>100</v>
      </c>
      <c r="K1067">
        <v>500</v>
      </c>
      <c r="L1067">
        <v>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500</v>
      </c>
      <c r="AH1067">
        <v>5</v>
      </c>
      <c r="AI1067">
        <v>0</v>
      </c>
      <c r="AJ1067">
        <v>0</v>
      </c>
      <c r="AK1067">
        <v>400</v>
      </c>
      <c r="AL1067">
        <v>0</v>
      </c>
      <c r="AM1067">
        <v>120</v>
      </c>
      <c r="AN1067">
        <v>-12</v>
      </c>
      <c r="AO1067">
        <v>0</v>
      </c>
      <c r="AP1067"/>
      <c r="AQ1067">
        <v>0</v>
      </c>
      <c r="AR1067">
        <v>0</v>
      </c>
      <c r="AS1067">
        <v>120</v>
      </c>
      <c r="AT1067">
        <v>-12</v>
      </c>
      <c r="AU1067">
        <v>0</v>
      </c>
      <c r="AW1067">
        <v>0</v>
      </c>
      <c r="AX1067">
        <v>0</v>
      </c>
      <c r="AY1067">
        <v>355.6</v>
      </c>
      <c r="BC1067" t="str">
        <f t="shared" si="188"/>
        <v>9791166067563</v>
      </c>
      <c r="BE1067" t="str">
        <f t="shared" si="189"/>
        <v>판타지 웹소설 &gt; 현대 판타지</v>
      </c>
    </row>
    <row r="1068" spans="1:57" x14ac:dyDescent="0.3">
      <c r="A1068">
        <v>2313011400</v>
      </c>
      <c r="B1068">
        <v>2313011512</v>
      </c>
      <c r="C1068" t="str">
        <f>T("최종 보스 6권 5화")</f>
        <v>최종 보스 6권 5화</v>
      </c>
      <c r="D1068" t="str">
        <f>T("113")</f>
        <v>113</v>
      </c>
      <c r="E1068" t="str">
        <f t="shared" si="185"/>
        <v>무장</v>
      </c>
      <c r="H1068" t="str">
        <f t="shared" si="186"/>
        <v>스토리위즈</v>
      </c>
      <c r="I1068" t="str">
        <f t="shared" si="187"/>
        <v>최종 보스 : 빛을 향해 달리는 그림자</v>
      </c>
      <c r="J1068">
        <v>100</v>
      </c>
      <c r="K1068">
        <v>500</v>
      </c>
      <c r="L1068">
        <v>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500</v>
      </c>
      <c r="AH1068">
        <v>5</v>
      </c>
      <c r="AI1068">
        <v>0</v>
      </c>
      <c r="AJ1068">
        <v>0</v>
      </c>
      <c r="AK1068">
        <v>400</v>
      </c>
      <c r="AL1068">
        <v>0</v>
      </c>
      <c r="AM1068">
        <v>120</v>
      </c>
      <c r="AN1068">
        <v>-12</v>
      </c>
      <c r="AO1068">
        <v>0</v>
      </c>
      <c r="AP1068"/>
      <c r="AQ1068">
        <v>0</v>
      </c>
      <c r="AR1068">
        <v>0</v>
      </c>
      <c r="AS1068">
        <v>120</v>
      </c>
      <c r="AT1068">
        <v>-12</v>
      </c>
      <c r="AU1068">
        <v>0</v>
      </c>
      <c r="AW1068">
        <v>0</v>
      </c>
      <c r="AX1068">
        <v>0</v>
      </c>
      <c r="AY1068">
        <v>355.6</v>
      </c>
      <c r="BC1068" t="str">
        <f t="shared" si="188"/>
        <v>9791166067563</v>
      </c>
      <c r="BE1068" t="str">
        <f t="shared" si="189"/>
        <v>판타지 웹소설 &gt; 현대 판타지</v>
      </c>
    </row>
    <row r="1069" spans="1:57" x14ac:dyDescent="0.3">
      <c r="A1069">
        <v>2313011400</v>
      </c>
      <c r="B1069">
        <v>2313011513</v>
      </c>
      <c r="C1069" t="str">
        <f>T("최종 보스 6권 6화")</f>
        <v>최종 보스 6권 6화</v>
      </c>
      <c r="D1069" t="str">
        <f>T("114")</f>
        <v>114</v>
      </c>
      <c r="E1069" t="str">
        <f t="shared" si="185"/>
        <v>무장</v>
      </c>
      <c r="H1069" t="str">
        <f t="shared" si="186"/>
        <v>스토리위즈</v>
      </c>
      <c r="I1069" t="str">
        <f t="shared" si="187"/>
        <v>최종 보스 : 빛을 향해 달리는 그림자</v>
      </c>
      <c r="J1069">
        <v>100</v>
      </c>
      <c r="K1069">
        <v>500</v>
      </c>
      <c r="L1069">
        <v>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500</v>
      </c>
      <c r="AH1069">
        <v>5</v>
      </c>
      <c r="AI1069">
        <v>0</v>
      </c>
      <c r="AJ1069">
        <v>0</v>
      </c>
      <c r="AK1069">
        <v>400</v>
      </c>
      <c r="AL1069">
        <v>0</v>
      </c>
      <c r="AM1069">
        <v>120</v>
      </c>
      <c r="AN1069">
        <v>-12</v>
      </c>
      <c r="AO1069">
        <v>0</v>
      </c>
      <c r="AP1069"/>
      <c r="AQ1069">
        <v>0</v>
      </c>
      <c r="AR1069">
        <v>0</v>
      </c>
      <c r="AS1069">
        <v>120</v>
      </c>
      <c r="AT1069">
        <v>-12</v>
      </c>
      <c r="AU1069">
        <v>0</v>
      </c>
      <c r="AW1069">
        <v>0</v>
      </c>
      <c r="AX1069">
        <v>0</v>
      </c>
      <c r="AY1069">
        <v>355.6</v>
      </c>
      <c r="BC1069" t="str">
        <f t="shared" si="188"/>
        <v>9791166067563</v>
      </c>
      <c r="BE1069" t="str">
        <f t="shared" si="189"/>
        <v>판타지 웹소설 &gt; 현대 판타지</v>
      </c>
    </row>
    <row r="1070" spans="1:57" x14ac:dyDescent="0.3">
      <c r="A1070">
        <v>2313011400</v>
      </c>
      <c r="B1070">
        <v>2313011514</v>
      </c>
      <c r="C1070" t="str">
        <f>T("최종 보스 6권 7화")</f>
        <v>최종 보스 6권 7화</v>
      </c>
      <c r="D1070" t="str">
        <f>T("115")</f>
        <v>115</v>
      </c>
      <c r="E1070" t="str">
        <f t="shared" si="185"/>
        <v>무장</v>
      </c>
      <c r="H1070" t="str">
        <f t="shared" si="186"/>
        <v>스토리위즈</v>
      </c>
      <c r="I1070" t="str">
        <f t="shared" si="187"/>
        <v>최종 보스 : 빛을 향해 달리는 그림자</v>
      </c>
      <c r="J1070">
        <v>100</v>
      </c>
      <c r="K1070">
        <v>500</v>
      </c>
      <c r="L1070">
        <v>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500</v>
      </c>
      <c r="AH1070">
        <v>5</v>
      </c>
      <c r="AI1070">
        <v>0</v>
      </c>
      <c r="AJ1070">
        <v>0</v>
      </c>
      <c r="AK1070">
        <v>400</v>
      </c>
      <c r="AL1070">
        <v>0</v>
      </c>
      <c r="AM1070">
        <v>120</v>
      </c>
      <c r="AN1070">
        <v>-12</v>
      </c>
      <c r="AO1070">
        <v>0</v>
      </c>
      <c r="AP1070"/>
      <c r="AQ1070">
        <v>0</v>
      </c>
      <c r="AR1070">
        <v>0</v>
      </c>
      <c r="AS1070">
        <v>120</v>
      </c>
      <c r="AT1070">
        <v>-12</v>
      </c>
      <c r="AU1070">
        <v>0</v>
      </c>
      <c r="AW1070">
        <v>0</v>
      </c>
      <c r="AX1070">
        <v>0</v>
      </c>
      <c r="AY1070">
        <v>355.6</v>
      </c>
      <c r="BC1070" t="str">
        <f t="shared" si="188"/>
        <v>9791166067563</v>
      </c>
      <c r="BE1070" t="str">
        <f t="shared" si="189"/>
        <v>판타지 웹소설 &gt; 현대 판타지</v>
      </c>
    </row>
    <row r="1071" spans="1:57" x14ac:dyDescent="0.3">
      <c r="A1071">
        <v>2313011400</v>
      </c>
      <c r="B1071">
        <v>2313011515</v>
      </c>
      <c r="C1071" t="str">
        <f>T("최종 보스 6권 8화")</f>
        <v>최종 보스 6권 8화</v>
      </c>
      <c r="D1071" t="str">
        <f>T("116")</f>
        <v>116</v>
      </c>
      <c r="E1071" t="str">
        <f t="shared" si="185"/>
        <v>무장</v>
      </c>
      <c r="H1071" t="str">
        <f t="shared" si="186"/>
        <v>스토리위즈</v>
      </c>
      <c r="I1071" t="str">
        <f t="shared" si="187"/>
        <v>최종 보스 : 빛을 향해 달리는 그림자</v>
      </c>
      <c r="J1071">
        <v>100</v>
      </c>
      <c r="K1071">
        <v>500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500</v>
      </c>
      <c r="AH1071">
        <v>5</v>
      </c>
      <c r="AI1071">
        <v>0</v>
      </c>
      <c r="AJ1071">
        <v>0</v>
      </c>
      <c r="AK1071">
        <v>400</v>
      </c>
      <c r="AL1071">
        <v>0</v>
      </c>
      <c r="AM1071">
        <v>120</v>
      </c>
      <c r="AN1071">
        <v>-12</v>
      </c>
      <c r="AO1071">
        <v>0</v>
      </c>
      <c r="AP1071"/>
      <c r="AQ1071">
        <v>0</v>
      </c>
      <c r="AR1071">
        <v>0</v>
      </c>
      <c r="AS1071">
        <v>120</v>
      </c>
      <c r="AT1071">
        <v>-12</v>
      </c>
      <c r="AU1071">
        <v>0</v>
      </c>
      <c r="AW1071">
        <v>0</v>
      </c>
      <c r="AX1071">
        <v>0</v>
      </c>
      <c r="AY1071">
        <v>355.6</v>
      </c>
      <c r="BC1071" t="str">
        <f t="shared" si="188"/>
        <v>9791166067563</v>
      </c>
      <c r="BE1071" t="str">
        <f t="shared" si="189"/>
        <v>판타지 웹소설 &gt; 현대 판타지</v>
      </c>
    </row>
    <row r="1072" spans="1:57" x14ac:dyDescent="0.3">
      <c r="A1072">
        <v>2313011400</v>
      </c>
      <c r="B1072">
        <v>2313011516</v>
      </c>
      <c r="C1072" t="str">
        <f>T("최종 보스 6권 9화")</f>
        <v>최종 보스 6권 9화</v>
      </c>
      <c r="D1072" t="str">
        <f>T("117")</f>
        <v>117</v>
      </c>
      <c r="E1072" t="str">
        <f t="shared" si="185"/>
        <v>무장</v>
      </c>
      <c r="H1072" t="str">
        <f t="shared" si="186"/>
        <v>스토리위즈</v>
      </c>
      <c r="I1072" t="str">
        <f t="shared" si="187"/>
        <v>최종 보스 : 빛을 향해 달리는 그림자</v>
      </c>
      <c r="J1072">
        <v>100</v>
      </c>
      <c r="K1072">
        <v>500</v>
      </c>
      <c r="L1072">
        <v>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500</v>
      </c>
      <c r="AH1072">
        <v>5</v>
      </c>
      <c r="AI1072">
        <v>0</v>
      </c>
      <c r="AJ1072">
        <v>0</v>
      </c>
      <c r="AK1072">
        <v>400</v>
      </c>
      <c r="AL1072">
        <v>0</v>
      </c>
      <c r="AM1072">
        <v>120</v>
      </c>
      <c r="AN1072">
        <v>-12</v>
      </c>
      <c r="AO1072">
        <v>0</v>
      </c>
      <c r="AP1072"/>
      <c r="AQ1072">
        <v>0</v>
      </c>
      <c r="AR1072">
        <v>0</v>
      </c>
      <c r="AS1072">
        <v>120</v>
      </c>
      <c r="AT1072">
        <v>-12</v>
      </c>
      <c r="AU1072">
        <v>0</v>
      </c>
      <c r="AW1072">
        <v>0</v>
      </c>
      <c r="AX1072">
        <v>0</v>
      </c>
      <c r="AY1072">
        <v>355.6</v>
      </c>
      <c r="BC1072" t="str">
        <f t="shared" si="188"/>
        <v>9791166067563</v>
      </c>
      <c r="BE1072" t="str">
        <f t="shared" si="189"/>
        <v>판타지 웹소설 &gt; 현대 판타지</v>
      </c>
    </row>
    <row r="1073" spans="1:57" x14ac:dyDescent="0.3">
      <c r="A1073">
        <v>2313011400</v>
      </c>
      <c r="B1073">
        <v>2313011517</v>
      </c>
      <c r="C1073" t="str">
        <f>T("최종 보스 6권 10화")</f>
        <v>최종 보스 6권 10화</v>
      </c>
      <c r="D1073" t="str">
        <f>T("118")</f>
        <v>118</v>
      </c>
      <c r="E1073" t="str">
        <f t="shared" si="185"/>
        <v>무장</v>
      </c>
      <c r="H1073" t="str">
        <f t="shared" si="186"/>
        <v>스토리위즈</v>
      </c>
      <c r="I1073" t="str">
        <f t="shared" si="187"/>
        <v>최종 보스 : 빛을 향해 달리는 그림자</v>
      </c>
      <c r="J1073">
        <v>100</v>
      </c>
      <c r="K1073">
        <v>500</v>
      </c>
      <c r="L1073">
        <v>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500</v>
      </c>
      <c r="AH1073">
        <v>5</v>
      </c>
      <c r="AI1073">
        <v>0</v>
      </c>
      <c r="AJ1073">
        <v>0</v>
      </c>
      <c r="AK1073">
        <v>400</v>
      </c>
      <c r="AL1073">
        <v>0</v>
      </c>
      <c r="AM1073">
        <v>120</v>
      </c>
      <c r="AN1073">
        <v>-12</v>
      </c>
      <c r="AO1073">
        <v>0</v>
      </c>
      <c r="AP1073"/>
      <c r="AQ1073">
        <v>0</v>
      </c>
      <c r="AR1073">
        <v>0</v>
      </c>
      <c r="AS1073">
        <v>120</v>
      </c>
      <c r="AT1073">
        <v>-12</v>
      </c>
      <c r="AU1073">
        <v>0</v>
      </c>
      <c r="AW1073">
        <v>0</v>
      </c>
      <c r="AX1073">
        <v>0</v>
      </c>
      <c r="AY1073">
        <v>355.6</v>
      </c>
      <c r="BC1073" t="str">
        <f t="shared" si="188"/>
        <v>9791166067563</v>
      </c>
      <c r="BE1073" t="str">
        <f t="shared" si="189"/>
        <v>판타지 웹소설 &gt; 현대 판타지</v>
      </c>
    </row>
    <row r="1074" spans="1:57" x14ac:dyDescent="0.3">
      <c r="A1074">
        <v>2313011400</v>
      </c>
      <c r="B1074">
        <v>2313011518</v>
      </c>
      <c r="C1074" t="str">
        <f>T("최종 보스 6권 11화")</f>
        <v>최종 보스 6권 11화</v>
      </c>
      <c r="D1074" t="str">
        <f>T("119")</f>
        <v>119</v>
      </c>
      <c r="E1074" t="str">
        <f t="shared" si="185"/>
        <v>무장</v>
      </c>
      <c r="H1074" t="str">
        <f t="shared" si="186"/>
        <v>스토리위즈</v>
      </c>
      <c r="I1074" t="str">
        <f t="shared" si="187"/>
        <v>최종 보스 : 빛을 향해 달리는 그림자</v>
      </c>
      <c r="J1074">
        <v>100</v>
      </c>
      <c r="K1074">
        <v>500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500</v>
      </c>
      <c r="AH1074">
        <v>5</v>
      </c>
      <c r="AI1074">
        <v>0</v>
      </c>
      <c r="AJ1074">
        <v>0</v>
      </c>
      <c r="AK1074">
        <v>400</v>
      </c>
      <c r="AL1074">
        <v>0</v>
      </c>
      <c r="AM1074">
        <v>120</v>
      </c>
      <c r="AN1074">
        <v>-12</v>
      </c>
      <c r="AO1074">
        <v>0</v>
      </c>
      <c r="AP1074"/>
      <c r="AQ1074">
        <v>0</v>
      </c>
      <c r="AR1074">
        <v>0</v>
      </c>
      <c r="AS1074">
        <v>120</v>
      </c>
      <c r="AT1074">
        <v>-12</v>
      </c>
      <c r="AU1074">
        <v>0</v>
      </c>
      <c r="AW1074">
        <v>0</v>
      </c>
      <c r="AX1074">
        <v>0</v>
      </c>
      <c r="AY1074">
        <v>355.6</v>
      </c>
      <c r="BC1074" t="str">
        <f t="shared" si="188"/>
        <v>9791166067563</v>
      </c>
      <c r="BE1074" t="str">
        <f t="shared" si="189"/>
        <v>판타지 웹소설 &gt; 현대 판타지</v>
      </c>
    </row>
    <row r="1075" spans="1:57" x14ac:dyDescent="0.3">
      <c r="A1075">
        <v>2313011400</v>
      </c>
      <c r="B1075">
        <v>2313011519</v>
      </c>
      <c r="C1075" t="str">
        <f>T("최종 보스 6권 12화")</f>
        <v>최종 보스 6권 12화</v>
      </c>
      <c r="D1075" t="str">
        <f>T("120")</f>
        <v>120</v>
      </c>
      <c r="E1075" t="str">
        <f t="shared" si="185"/>
        <v>무장</v>
      </c>
      <c r="H1075" t="str">
        <f t="shared" si="186"/>
        <v>스토리위즈</v>
      </c>
      <c r="I1075" t="str">
        <f t="shared" si="187"/>
        <v>최종 보스 : 빛을 향해 달리는 그림자</v>
      </c>
      <c r="J1075">
        <v>100</v>
      </c>
      <c r="K1075">
        <v>500</v>
      </c>
      <c r="L1075">
        <v>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500</v>
      </c>
      <c r="AH1075">
        <v>5</v>
      </c>
      <c r="AI1075">
        <v>0</v>
      </c>
      <c r="AJ1075">
        <v>0</v>
      </c>
      <c r="AK1075">
        <v>400</v>
      </c>
      <c r="AL1075">
        <v>0</v>
      </c>
      <c r="AM1075">
        <v>120</v>
      </c>
      <c r="AN1075">
        <v>-12</v>
      </c>
      <c r="AO1075">
        <v>0</v>
      </c>
      <c r="AP1075"/>
      <c r="AQ1075">
        <v>0</v>
      </c>
      <c r="AR1075">
        <v>0</v>
      </c>
      <c r="AS1075">
        <v>120</v>
      </c>
      <c r="AT1075">
        <v>-12</v>
      </c>
      <c r="AU1075">
        <v>0</v>
      </c>
      <c r="AW1075">
        <v>0</v>
      </c>
      <c r="AX1075">
        <v>0</v>
      </c>
      <c r="AY1075">
        <v>355.6</v>
      </c>
      <c r="BC1075" t="str">
        <f t="shared" si="188"/>
        <v>9791166067563</v>
      </c>
      <c r="BE1075" t="str">
        <f t="shared" si="189"/>
        <v>판타지 웹소설 &gt; 현대 판타지</v>
      </c>
    </row>
    <row r="1076" spans="1:57" x14ac:dyDescent="0.3">
      <c r="A1076">
        <v>2313011400</v>
      </c>
      <c r="B1076">
        <v>2313011520</v>
      </c>
      <c r="C1076" t="str">
        <f>T("최종 보스 6권 13화")</f>
        <v>최종 보스 6권 13화</v>
      </c>
      <c r="D1076" t="str">
        <f>T("121")</f>
        <v>121</v>
      </c>
      <c r="E1076" t="str">
        <f t="shared" si="185"/>
        <v>무장</v>
      </c>
      <c r="H1076" t="str">
        <f t="shared" si="186"/>
        <v>스토리위즈</v>
      </c>
      <c r="I1076" t="str">
        <f t="shared" si="187"/>
        <v>최종 보스 : 빛을 향해 달리는 그림자</v>
      </c>
      <c r="J1076">
        <v>100</v>
      </c>
      <c r="K1076">
        <v>500</v>
      </c>
      <c r="L1076">
        <v>5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500</v>
      </c>
      <c r="AH1076">
        <v>5</v>
      </c>
      <c r="AI1076">
        <v>0</v>
      </c>
      <c r="AJ1076">
        <v>0</v>
      </c>
      <c r="AK1076">
        <v>400</v>
      </c>
      <c r="AL1076">
        <v>0</v>
      </c>
      <c r="AM1076">
        <v>120</v>
      </c>
      <c r="AN1076">
        <v>-12</v>
      </c>
      <c r="AO1076">
        <v>0</v>
      </c>
      <c r="AP1076"/>
      <c r="AQ1076">
        <v>0</v>
      </c>
      <c r="AR1076">
        <v>0</v>
      </c>
      <c r="AS1076">
        <v>120</v>
      </c>
      <c r="AT1076">
        <v>-12</v>
      </c>
      <c r="AU1076">
        <v>0</v>
      </c>
      <c r="AW1076">
        <v>0</v>
      </c>
      <c r="AX1076">
        <v>0</v>
      </c>
      <c r="AY1076">
        <v>355.6</v>
      </c>
      <c r="BC1076" t="str">
        <f t="shared" si="188"/>
        <v>9791166067563</v>
      </c>
      <c r="BE1076" t="str">
        <f t="shared" si="189"/>
        <v>판타지 웹소설 &gt; 현대 판타지</v>
      </c>
    </row>
    <row r="1077" spans="1:57" x14ac:dyDescent="0.3">
      <c r="A1077">
        <v>2313011400</v>
      </c>
      <c r="B1077">
        <v>2313011521</v>
      </c>
      <c r="C1077" t="str">
        <f>T("최종 보스 6권 14화")</f>
        <v>최종 보스 6권 14화</v>
      </c>
      <c r="D1077" t="str">
        <f>T("122")</f>
        <v>122</v>
      </c>
      <c r="E1077" t="str">
        <f t="shared" si="185"/>
        <v>무장</v>
      </c>
      <c r="H1077" t="str">
        <f t="shared" si="186"/>
        <v>스토리위즈</v>
      </c>
      <c r="I1077" t="str">
        <f t="shared" si="187"/>
        <v>최종 보스 : 빛을 향해 달리는 그림자</v>
      </c>
      <c r="J1077">
        <v>100</v>
      </c>
      <c r="K1077">
        <v>500</v>
      </c>
      <c r="L1077">
        <v>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500</v>
      </c>
      <c r="AH1077">
        <v>5</v>
      </c>
      <c r="AI1077">
        <v>0</v>
      </c>
      <c r="AJ1077">
        <v>0</v>
      </c>
      <c r="AK1077">
        <v>400</v>
      </c>
      <c r="AL1077">
        <v>0</v>
      </c>
      <c r="AM1077">
        <v>120</v>
      </c>
      <c r="AN1077">
        <v>-12</v>
      </c>
      <c r="AO1077">
        <v>0</v>
      </c>
      <c r="AP1077"/>
      <c r="AQ1077">
        <v>0</v>
      </c>
      <c r="AR1077">
        <v>0</v>
      </c>
      <c r="AS1077">
        <v>120</v>
      </c>
      <c r="AT1077">
        <v>-12</v>
      </c>
      <c r="AU1077">
        <v>0</v>
      </c>
      <c r="AW1077">
        <v>0</v>
      </c>
      <c r="AX1077">
        <v>0</v>
      </c>
      <c r="AY1077">
        <v>355.6</v>
      </c>
      <c r="BC1077" t="str">
        <f t="shared" si="188"/>
        <v>9791166067563</v>
      </c>
      <c r="BE1077" t="str">
        <f t="shared" si="189"/>
        <v>판타지 웹소설 &gt; 현대 판타지</v>
      </c>
    </row>
    <row r="1078" spans="1:57" x14ac:dyDescent="0.3">
      <c r="A1078">
        <v>2313011400</v>
      </c>
      <c r="B1078">
        <v>2313011522</v>
      </c>
      <c r="C1078" t="str">
        <f>T("최종 보스 6권 15화")</f>
        <v>최종 보스 6권 15화</v>
      </c>
      <c r="D1078" t="str">
        <f>T("123")</f>
        <v>123</v>
      </c>
      <c r="E1078" t="str">
        <f t="shared" si="185"/>
        <v>무장</v>
      </c>
      <c r="H1078" t="str">
        <f t="shared" si="186"/>
        <v>스토리위즈</v>
      </c>
      <c r="I1078" t="str">
        <f t="shared" si="187"/>
        <v>최종 보스 : 빛을 향해 달리는 그림자</v>
      </c>
      <c r="J1078">
        <v>100</v>
      </c>
      <c r="K1078">
        <v>500</v>
      </c>
      <c r="L1078">
        <v>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500</v>
      </c>
      <c r="AH1078">
        <v>5</v>
      </c>
      <c r="AI1078">
        <v>0</v>
      </c>
      <c r="AJ1078">
        <v>0</v>
      </c>
      <c r="AK1078">
        <v>400</v>
      </c>
      <c r="AL1078">
        <v>0</v>
      </c>
      <c r="AM1078">
        <v>120</v>
      </c>
      <c r="AN1078">
        <v>-12</v>
      </c>
      <c r="AO1078">
        <v>0</v>
      </c>
      <c r="AP1078"/>
      <c r="AQ1078">
        <v>0</v>
      </c>
      <c r="AR1078">
        <v>0</v>
      </c>
      <c r="AS1078">
        <v>120</v>
      </c>
      <c r="AT1078">
        <v>-12</v>
      </c>
      <c r="AU1078">
        <v>0</v>
      </c>
      <c r="AW1078">
        <v>0</v>
      </c>
      <c r="AX1078">
        <v>0</v>
      </c>
      <c r="AY1078">
        <v>355.6</v>
      </c>
      <c r="BC1078" t="str">
        <f t="shared" si="188"/>
        <v>9791166067563</v>
      </c>
      <c r="BE1078" t="str">
        <f t="shared" si="189"/>
        <v>판타지 웹소설 &gt; 현대 판타지</v>
      </c>
    </row>
    <row r="1079" spans="1:57" x14ac:dyDescent="0.3">
      <c r="A1079">
        <v>2313011400</v>
      </c>
      <c r="B1079">
        <v>2313011523</v>
      </c>
      <c r="C1079" t="str">
        <f>T("최종 보스 6권 16화")</f>
        <v>최종 보스 6권 16화</v>
      </c>
      <c r="D1079" t="str">
        <f>T("124")</f>
        <v>124</v>
      </c>
      <c r="E1079" t="str">
        <f t="shared" si="185"/>
        <v>무장</v>
      </c>
      <c r="H1079" t="str">
        <f t="shared" si="186"/>
        <v>스토리위즈</v>
      </c>
      <c r="I1079" t="str">
        <f t="shared" si="187"/>
        <v>최종 보스 : 빛을 향해 달리는 그림자</v>
      </c>
      <c r="J1079">
        <v>100</v>
      </c>
      <c r="K1079">
        <v>500</v>
      </c>
      <c r="L1079">
        <v>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500</v>
      </c>
      <c r="AH1079">
        <v>5</v>
      </c>
      <c r="AI1079">
        <v>0</v>
      </c>
      <c r="AJ1079">
        <v>0</v>
      </c>
      <c r="AK1079">
        <v>400</v>
      </c>
      <c r="AL1079">
        <v>0</v>
      </c>
      <c r="AM1079">
        <v>120</v>
      </c>
      <c r="AN1079">
        <v>-12</v>
      </c>
      <c r="AO1079">
        <v>0</v>
      </c>
      <c r="AP1079"/>
      <c r="AQ1079">
        <v>0</v>
      </c>
      <c r="AR1079">
        <v>0</v>
      </c>
      <c r="AS1079">
        <v>120</v>
      </c>
      <c r="AT1079">
        <v>-12</v>
      </c>
      <c r="AU1079">
        <v>0</v>
      </c>
      <c r="AW1079">
        <v>0</v>
      </c>
      <c r="AX1079">
        <v>0</v>
      </c>
      <c r="AY1079">
        <v>355.6</v>
      </c>
      <c r="BC1079" t="str">
        <f t="shared" si="188"/>
        <v>9791166067563</v>
      </c>
      <c r="BE1079" t="str">
        <f t="shared" si="189"/>
        <v>판타지 웹소설 &gt; 현대 판타지</v>
      </c>
    </row>
    <row r="1080" spans="1:57" x14ac:dyDescent="0.3">
      <c r="A1080">
        <v>2313011400</v>
      </c>
      <c r="B1080">
        <v>2313011524</v>
      </c>
      <c r="C1080" t="str">
        <f>T("최종 보스 6권 17화")</f>
        <v>최종 보스 6권 17화</v>
      </c>
      <c r="D1080" t="str">
        <f>T("125")</f>
        <v>125</v>
      </c>
      <c r="E1080" t="str">
        <f t="shared" si="185"/>
        <v>무장</v>
      </c>
      <c r="H1080" t="str">
        <f t="shared" si="186"/>
        <v>스토리위즈</v>
      </c>
      <c r="I1080" t="str">
        <f t="shared" si="187"/>
        <v>최종 보스 : 빛을 향해 달리는 그림자</v>
      </c>
      <c r="J1080">
        <v>100</v>
      </c>
      <c r="K1080">
        <v>500</v>
      </c>
      <c r="L1080">
        <v>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500</v>
      </c>
      <c r="AH1080">
        <v>5</v>
      </c>
      <c r="AI1080">
        <v>0</v>
      </c>
      <c r="AJ1080">
        <v>0</v>
      </c>
      <c r="AK1080">
        <v>400</v>
      </c>
      <c r="AL1080">
        <v>0</v>
      </c>
      <c r="AM1080">
        <v>120</v>
      </c>
      <c r="AN1080">
        <v>-12</v>
      </c>
      <c r="AO1080">
        <v>0</v>
      </c>
      <c r="AP1080"/>
      <c r="AQ1080">
        <v>0</v>
      </c>
      <c r="AR1080">
        <v>0</v>
      </c>
      <c r="AS1080">
        <v>120</v>
      </c>
      <c r="AT1080">
        <v>-12</v>
      </c>
      <c r="AU1080">
        <v>0</v>
      </c>
      <c r="AW1080">
        <v>0</v>
      </c>
      <c r="AX1080">
        <v>0</v>
      </c>
      <c r="AY1080">
        <v>355.6</v>
      </c>
      <c r="BC1080" t="str">
        <f t="shared" si="188"/>
        <v>9791166067563</v>
      </c>
      <c r="BE1080" t="str">
        <f t="shared" si="189"/>
        <v>판타지 웹소설 &gt; 현대 판타지</v>
      </c>
    </row>
    <row r="1081" spans="1:57" x14ac:dyDescent="0.3">
      <c r="A1081">
        <v>2313011400</v>
      </c>
      <c r="B1081">
        <v>2313011525</v>
      </c>
      <c r="C1081" t="str">
        <f>T("최종 보스 6권 18화")</f>
        <v>최종 보스 6권 18화</v>
      </c>
      <c r="D1081" t="str">
        <f>T("126")</f>
        <v>126</v>
      </c>
      <c r="E1081" t="str">
        <f t="shared" si="185"/>
        <v>무장</v>
      </c>
      <c r="H1081" t="str">
        <f t="shared" si="186"/>
        <v>스토리위즈</v>
      </c>
      <c r="I1081" t="str">
        <f t="shared" si="187"/>
        <v>최종 보스 : 빛을 향해 달리는 그림자</v>
      </c>
      <c r="J1081">
        <v>100</v>
      </c>
      <c r="K1081">
        <v>500</v>
      </c>
      <c r="L1081">
        <v>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500</v>
      </c>
      <c r="AH1081">
        <v>5</v>
      </c>
      <c r="AI1081">
        <v>0</v>
      </c>
      <c r="AJ1081">
        <v>0</v>
      </c>
      <c r="AK1081">
        <v>400</v>
      </c>
      <c r="AL1081">
        <v>0</v>
      </c>
      <c r="AM1081">
        <v>120</v>
      </c>
      <c r="AN1081">
        <v>-12</v>
      </c>
      <c r="AO1081">
        <v>0</v>
      </c>
      <c r="AP1081"/>
      <c r="AQ1081">
        <v>0</v>
      </c>
      <c r="AR1081">
        <v>0</v>
      </c>
      <c r="AS1081">
        <v>120</v>
      </c>
      <c r="AT1081">
        <v>-12</v>
      </c>
      <c r="AU1081">
        <v>0</v>
      </c>
      <c r="AW1081">
        <v>0</v>
      </c>
      <c r="AX1081">
        <v>0</v>
      </c>
      <c r="AY1081">
        <v>355.6</v>
      </c>
      <c r="BC1081" t="str">
        <f t="shared" si="188"/>
        <v>9791166067563</v>
      </c>
      <c r="BE1081" t="str">
        <f t="shared" si="189"/>
        <v>판타지 웹소설 &gt; 현대 판타지</v>
      </c>
    </row>
    <row r="1082" spans="1:57" x14ac:dyDescent="0.3">
      <c r="A1082">
        <v>2313011400</v>
      </c>
      <c r="B1082">
        <v>2313011526</v>
      </c>
      <c r="C1082" t="str">
        <f>T("최종 보스 6권 19화")</f>
        <v>최종 보스 6권 19화</v>
      </c>
      <c r="D1082" t="str">
        <f>T("127")</f>
        <v>127</v>
      </c>
      <c r="E1082" t="str">
        <f t="shared" si="185"/>
        <v>무장</v>
      </c>
      <c r="H1082" t="str">
        <f t="shared" si="186"/>
        <v>스토리위즈</v>
      </c>
      <c r="I1082" t="str">
        <f t="shared" si="187"/>
        <v>최종 보스 : 빛을 향해 달리는 그림자</v>
      </c>
      <c r="J1082">
        <v>100</v>
      </c>
      <c r="K1082">
        <v>500</v>
      </c>
      <c r="L1082">
        <v>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500</v>
      </c>
      <c r="AH1082">
        <v>5</v>
      </c>
      <c r="AI1082">
        <v>0</v>
      </c>
      <c r="AJ1082">
        <v>0</v>
      </c>
      <c r="AK1082">
        <v>400</v>
      </c>
      <c r="AL1082">
        <v>0</v>
      </c>
      <c r="AM1082">
        <v>120</v>
      </c>
      <c r="AN1082">
        <v>-12</v>
      </c>
      <c r="AO1082">
        <v>0</v>
      </c>
      <c r="AP1082"/>
      <c r="AQ1082">
        <v>0</v>
      </c>
      <c r="AR1082">
        <v>0</v>
      </c>
      <c r="AS1082">
        <v>120</v>
      </c>
      <c r="AT1082">
        <v>-12</v>
      </c>
      <c r="AU1082">
        <v>0</v>
      </c>
      <c r="AW1082">
        <v>0</v>
      </c>
      <c r="AX1082">
        <v>0</v>
      </c>
      <c r="AY1082">
        <v>355.6</v>
      </c>
      <c r="BC1082" t="str">
        <f t="shared" si="188"/>
        <v>9791166067563</v>
      </c>
      <c r="BE1082" t="str">
        <f t="shared" si="189"/>
        <v>판타지 웹소설 &gt; 현대 판타지</v>
      </c>
    </row>
    <row r="1083" spans="1:57" x14ac:dyDescent="0.3">
      <c r="A1083">
        <v>2313011400</v>
      </c>
      <c r="B1083">
        <v>2313011527</v>
      </c>
      <c r="C1083" t="str">
        <f>T("최종 보스 6권 20화")</f>
        <v>최종 보스 6권 20화</v>
      </c>
      <c r="D1083" t="str">
        <f>T("128")</f>
        <v>128</v>
      </c>
      <c r="E1083" t="str">
        <f t="shared" si="185"/>
        <v>무장</v>
      </c>
      <c r="H1083" t="str">
        <f t="shared" si="186"/>
        <v>스토리위즈</v>
      </c>
      <c r="I1083" t="str">
        <f t="shared" si="187"/>
        <v>최종 보스 : 빛을 향해 달리는 그림자</v>
      </c>
      <c r="J1083">
        <v>100</v>
      </c>
      <c r="K1083">
        <v>500</v>
      </c>
      <c r="L1083">
        <v>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500</v>
      </c>
      <c r="AH1083">
        <v>5</v>
      </c>
      <c r="AI1083">
        <v>0</v>
      </c>
      <c r="AJ1083">
        <v>0</v>
      </c>
      <c r="AK1083">
        <v>400</v>
      </c>
      <c r="AL1083">
        <v>0</v>
      </c>
      <c r="AM1083">
        <v>120</v>
      </c>
      <c r="AN1083">
        <v>-12</v>
      </c>
      <c r="AO1083">
        <v>0</v>
      </c>
      <c r="AP1083"/>
      <c r="AQ1083">
        <v>0</v>
      </c>
      <c r="AR1083">
        <v>0</v>
      </c>
      <c r="AS1083">
        <v>120</v>
      </c>
      <c r="AT1083">
        <v>-12</v>
      </c>
      <c r="AU1083">
        <v>0</v>
      </c>
      <c r="AW1083">
        <v>0</v>
      </c>
      <c r="AX1083">
        <v>0</v>
      </c>
      <c r="AY1083">
        <v>355.6</v>
      </c>
      <c r="BC1083" t="str">
        <f t="shared" si="188"/>
        <v>9791166067563</v>
      </c>
      <c r="BE1083" t="str">
        <f t="shared" si="189"/>
        <v>판타지 웹소설 &gt; 현대 판타지</v>
      </c>
    </row>
    <row r="1084" spans="1:57" x14ac:dyDescent="0.3">
      <c r="A1084">
        <v>2313011400</v>
      </c>
      <c r="B1084">
        <v>2313011528</v>
      </c>
      <c r="C1084" t="str">
        <f>T("최종 보스 6권 21화")</f>
        <v>최종 보스 6권 21화</v>
      </c>
      <c r="D1084" t="str">
        <f>T("129")</f>
        <v>129</v>
      </c>
      <c r="E1084" t="str">
        <f t="shared" si="185"/>
        <v>무장</v>
      </c>
      <c r="H1084" t="str">
        <f t="shared" si="186"/>
        <v>스토리위즈</v>
      </c>
      <c r="I1084" t="str">
        <f t="shared" si="187"/>
        <v>최종 보스 : 빛을 향해 달리는 그림자</v>
      </c>
      <c r="J1084">
        <v>100</v>
      </c>
      <c r="K1084">
        <v>500</v>
      </c>
      <c r="L1084">
        <v>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500</v>
      </c>
      <c r="AH1084">
        <v>5</v>
      </c>
      <c r="AI1084">
        <v>0</v>
      </c>
      <c r="AJ1084">
        <v>0</v>
      </c>
      <c r="AK1084">
        <v>400</v>
      </c>
      <c r="AL1084">
        <v>0</v>
      </c>
      <c r="AM1084">
        <v>120</v>
      </c>
      <c r="AN1084">
        <v>-12</v>
      </c>
      <c r="AO1084">
        <v>0</v>
      </c>
      <c r="AP1084"/>
      <c r="AQ1084">
        <v>0</v>
      </c>
      <c r="AR1084">
        <v>0</v>
      </c>
      <c r="AS1084">
        <v>120</v>
      </c>
      <c r="AT1084">
        <v>-12</v>
      </c>
      <c r="AU1084">
        <v>0</v>
      </c>
      <c r="AW1084">
        <v>0</v>
      </c>
      <c r="AX1084">
        <v>0</v>
      </c>
      <c r="AY1084">
        <v>355.6</v>
      </c>
      <c r="BC1084" t="str">
        <f t="shared" si="188"/>
        <v>9791166067563</v>
      </c>
      <c r="BE1084" t="str">
        <f t="shared" si="189"/>
        <v>판타지 웹소설 &gt; 현대 판타지</v>
      </c>
    </row>
    <row r="1085" spans="1:57" x14ac:dyDescent="0.3">
      <c r="A1085">
        <v>2313011400</v>
      </c>
      <c r="B1085">
        <v>2313011529</v>
      </c>
      <c r="C1085" t="str">
        <f>T("최종 보스 7권 1화")</f>
        <v>최종 보스 7권 1화</v>
      </c>
      <c r="D1085" t="str">
        <f>T("130")</f>
        <v>130</v>
      </c>
      <c r="E1085" t="str">
        <f t="shared" si="185"/>
        <v>무장</v>
      </c>
      <c r="H1085" t="str">
        <f t="shared" si="186"/>
        <v>스토리위즈</v>
      </c>
      <c r="I1085" t="str">
        <f t="shared" si="187"/>
        <v>최종 보스 : 빛을 향해 달리는 그림자</v>
      </c>
      <c r="J1085">
        <v>100</v>
      </c>
      <c r="K1085">
        <v>500</v>
      </c>
      <c r="L1085">
        <v>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500</v>
      </c>
      <c r="AH1085">
        <v>5</v>
      </c>
      <c r="AI1085">
        <v>0</v>
      </c>
      <c r="AJ1085">
        <v>0</v>
      </c>
      <c r="AK1085">
        <v>400</v>
      </c>
      <c r="AL1085">
        <v>0</v>
      </c>
      <c r="AM1085">
        <v>120</v>
      </c>
      <c r="AN1085">
        <v>-12</v>
      </c>
      <c r="AO1085">
        <v>0</v>
      </c>
      <c r="AP1085"/>
      <c r="AQ1085">
        <v>0</v>
      </c>
      <c r="AR1085">
        <v>0</v>
      </c>
      <c r="AS1085">
        <v>120</v>
      </c>
      <c r="AT1085">
        <v>-12</v>
      </c>
      <c r="AU1085">
        <v>0</v>
      </c>
      <c r="AW1085">
        <v>0</v>
      </c>
      <c r="AX1085">
        <v>0</v>
      </c>
      <c r="AY1085">
        <v>355.6</v>
      </c>
      <c r="BC1085" t="str">
        <f t="shared" si="188"/>
        <v>9791166067563</v>
      </c>
      <c r="BE1085" t="str">
        <f t="shared" si="189"/>
        <v>판타지 웹소설 &gt; 현대 판타지</v>
      </c>
    </row>
    <row r="1086" spans="1:57" x14ac:dyDescent="0.3">
      <c r="A1086">
        <v>2313011400</v>
      </c>
      <c r="B1086">
        <v>2313011530</v>
      </c>
      <c r="C1086" t="str">
        <f>T("최종 보스 7권 2화")</f>
        <v>최종 보스 7권 2화</v>
      </c>
      <c r="D1086" t="str">
        <f>T("131")</f>
        <v>131</v>
      </c>
      <c r="E1086" t="str">
        <f t="shared" si="185"/>
        <v>무장</v>
      </c>
      <c r="H1086" t="str">
        <f t="shared" si="186"/>
        <v>스토리위즈</v>
      </c>
      <c r="I1086" t="str">
        <f t="shared" si="187"/>
        <v>최종 보스 : 빛을 향해 달리는 그림자</v>
      </c>
      <c r="J1086">
        <v>100</v>
      </c>
      <c r="K1086">
        <v>500</v>
      </c>
      <c r="L1086">
        <v>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500</v>
      </c>
      <c r="AH1086">
        <v>5</v>
      </c>
      <c r="AI1086">
        <v>0</v>
      </c>
      <c r="AJ1086">
        <v>0</v>
      </c>
      <c r="AK1086">
        <v>400</v>
      </c>
      <c r="AL1086">
        <v>0</v>
      </c>
      <c r="AM1086">
        <v>120</v>
      </c>
      <c r="AN1086">
        <v>-12</v>
      </c>
      <c r="AO1086">
        <v>0</v>
      </c>
      <c r="AP1086"/>
      <c r="AQ1086">
        <v>0</v>
      </c>
      <c r="AR1086">
        <v>0</v>
      </c>
      <c r="AS1086">
        <v>120</v>
      </c>
      <c r="AT1086">
        <v>-12</v>
      </c>
      <c r="AU1086">
        <v>0</v>
      </c>
      <c r="AW1086">
        <v>0</v>
      </c>
      <c r="AX1086">
        <v>0</v>
      </c>
      <c r="AY1086">
        <v>355.6</v>
      </c>
      <c r="BC1086" t="str">
        <f t="shared" si="188"/>
        <v>9791166067563</v>
      </c>
      <c r="BE1086" t="str">
        <f t="shared" si="189"/>
        <v>판타지 웹소설 &gt; 현대 판타지</v>
      </c>
    </row>
    <row r="1087" spans="1:57" x14ac:dyDescent="0.3">
      <c r="A1087">
        <v>2313011400</v>
      </c>
      <c r="B1087">
        <v>2313011531</v>
      </c>
      <c r="C1087" t="str">
        <f>T("최종 보스 7권 3화")</f>
        <v>최종 보스 7권 3화</v>
      </c>
      <c r="D1087" t="str">
        <f>T("132")</f>
        <v>132</v>
      </c>
      <c r="E1087" t="str">
        <f t="shared" si="185"/>
        <v>무장</v>
      </c>
      <c r="H1087" t="str">
        <f t="shared" si="186"/>
        <v>스토리위즈</v>
      </c>
      <c r="I1087" t="str">
        <f t="shared" si="187"/>
        <v>최종 보스 : 빛을 향해 달리는 그림자</v>
      </c>
      <c r="J1087">
        <v>100</v>
      </c>
      <c r="K1087">
        <v>500</v>
      </c>
      <c r="L1087">
        <v>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500</v>
      </c>
      <c r="AH1087">
        <v>5</v>
      </c>
      <c r="AI1087">
        <v>0</v>
      </c>
      <c r="AJ1087">
        <v>0</v>
      </c>
      <c r="AK1087">
        <v>400</v>
      </c>
      <c r="AL1087">
        <v>0</v>
      </c>
      <c r="AM1087">
        <v>120</v>
      </c>
      <c r="AN1087">
        <v>-12</v>
      </c>
      <c r="AO1087">
        <v>0</v>
      </c>
      <c r="AP1087"/>
      <c r="AQ1087">
        <v>0</v>
      </c>
      <c r="AR1087">
        <v>0</v>
      </c>
      <c r="AS1087">
        <v>120</v>
      </c>
      <c r="AT1087">
        <v>-12</v>
      </c>
      <c r="AU1087">
        <v>0</v>
      </c>
      <c r="AW1087">
        <v>0</v>
      </c>
      <c r="AX1087">
        <v>0</v>
      </c>
      <c r="AY1087">
        <v>355.6</v>
      </c>
      <c r="BC1087" t="str">
        <f t="shared" si="188"/>
        <v>9791166067563</v>
      </c>
      <c r="BE1087" t="str">
        <f t="shared" si="189"/>
        <v>판타지 웹소설 &gt; 현대 판타지</v>
      </c>
    </row>
    <row r="1088" spans="1:57" x14ac:dyDescent="0.3">
      <c r="A1088">
        <v>2313011400</v>
      </c>
      <c r="B1088">
        <v>2313011532</v>
      </c>
      <c r="C1088" t="str">
        <f>T("최종 보스 7권 4화")</f>
        <v>최종 보스 7권 4화</v>
      </c>
      <c r="D1088" t="str">
        <f>T("133")</f>
        <v>133</v>
      </c>
      <c r="E1088" t="str">
        <f t="shared" si="185"/>
        <v>무장</v>
      </c>
      <c r="H1088" t="str">
        <f t="shared" si="186"/>
        <v>스토리위즈</v>
      </c>
      <c r="I1088" t="str">
        <f t="shared" si="187"/>
        <v>최종 보스 : 빛을 향해 달리는 그림자</v>
      </c>
      <c r="J1088">
        <v>100</v>
      </c>
      <c r="K1088">
        <v>500</v>
      </c>
      <c r="L1088">
        <v>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500</v>
      </c>
      <c r="AH1088">
        <v>5</v>
      </c>
      <c r="AI1088">
        <v>0</v>
      </c>
      <c r="AJ1088">
        <v>0</v>
      </c>
      <c r="AK1088">
        <v>400</v>
      </c>
      <c r="AL1088">
        <v>0</v>
      </c>
      <c r="AM1088">
        <v>120</v>
      </c>
      <c r="AN1088">
        <v>-12</v>
      </c>
      <c r="AO1088">
        <v>0</v>
      </c>
      <c r="AP1088"/>
      <c r="AQ1088">
        <v>0</v>
      </c>
      <c r="AR1088">
        <v>0</v>
      </c>
      <c r="AS1088">
        <v>120</v>
      </c>
      <c r="AT1088">
        <v>-12</v>
      </c>
      <c r="AU1088">
        <v>0</v>
      </c>
      <c r="AW1088">
        <v>0</v>
      </c>
      <c r="AX1088">
        <v>0</v>
      </c>
      <c r="AY1088">
        <v>355.6</v>
      </c>
      <c r="BC1088" t="str">
        <f t="shared" si="188"/>
        <v>9791166067563</v>
      </c>
      <c r="BE1088" t="str">
        <f t="shared" si="189"/>
        <v>판타지 웹소설 &gt; 현대 판타지</v>
      </c>
    </row>
    <row r="1089" spans="1:57" x14ac:dyDescent="0.3">
      <c r="A1089">
        <v>2313011400</v>
      </c>
      <c r="B1089">
        <v>2313011533</v>
      </c>
      <c r="C1089" t="str">
        <f>T("최종 보스 7권 5화")</f>
        <v>최종 보스 7권 5화</v>
      </c>
      <c r="D1089" t="str">
        <f>T("134")</f>
        <v>134</v>
      </c>
      <c r="E1089" t="str">
        <f t="shared" si="185"/>
        <v>무장</v>
      </c>
      <c r="H1089" t="str">
        <f t="shared" si="186"/>
        <v>스토리위즈</v>
      </c>
      <c r="I1089" t="str">
        <f t="shared" si="187"/>
        <v>최종 보스 : 빛을 향해 달리는 그림자</v>
      </c>
      <c r="J1089">
        <v>100</v>
      </c>
      <c r="K1089">
        <v>500</v>
      </c>
      <c r="L1089">
        <v>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500</v>
      </c>
      <c r="AH1089">
        <v>5</v>
      </c>
      <c r="AI1089">
        <v>0</v>
      </c>
      <c r="AJ1089">
        <v>0</v>
      </c>
      <c r="AK1089">
        <v>400</v>
      </c>
      <c r="AL1089">
        <v>0</v>
      </c>
      <c r="AM1089">
        <v>120</v>
      </c>
      <c r="AN1089">
        <v>-12</v>
      </c>
      <c r="AO1089">
        <v>0</v>
      </c>
      <c r="AP1089"/>
      <c r="AQ1089">
        <v>0</v>
      </c>
      <c r="AR1089">
        <v>0</v>
      </c>
      <c r="AS1089">
        <v>120</v>
      </c>
      <c r="AT1089">
        <v>-12</v>
      </c>
      <c r="AU1089">
        <v>0</v>
      </c>
      <c r="AW1089">
        <v>0</v>
      </c>
      <c r="AX1089">
        <v>0</v>
      </c>
      <c r="AY1089">
        <v>355.6</v>
      </c>
      <c r="BC1089" t="str">
        <f t="shared" si="188"/>
        <v>9791166067563</v>
      </c>
      <c r="BE1089" t="str">
        <f t="shared" si="189"/>
        <v>판타지 웹소설 &gt; 현대 판타지</v>
      </c>
    </row>
    <row r="1090" spans="1:57" x14ac:dyDescent="0.3">
      <c r="A1090">
        <v>2313011400</v>
      </c>
      <c r="B1090">
        <v>2313011534</v>
      </c>
      <c r="C1090" t="str">
        <f>T("최종 보스 7권 6화")</f>
        <v>최종 보스 7권 6화</v>
      </c>
      <c r="D1090" t="str">
        <f>T("135")</f>
        <v>135</v>
      </c>
      <c r="E1090" t="str">
        <f t="shared" si="185"/>
        <v>무장</v>
      </c>
      <c r="H1090" t="str">
        <f t="shared" si="186"/>
        <v>스토리위즈</v>
      </c>
      <c r="I1090" t="str">
        <f t="shared" si="187"/>
        <v>최종 보스 : 빛을 향해 달리는 그림자</v>
      </c>
      <c r="J1090">
        <v>100</v>
      </c>
      <c r="K1090">
        <v>500</v>
      </c>
      <c r="L1090">
        <v>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500</v>
      </c>
      <c r="AH1090">
        <v>5</v>
      </c>
      <c r="AI1090">
        <v>0</v>
      </c>
      <c r="AJ1090">
        <v>0</v>
      </c>
      <c r="AK1090">
        <v>400</v>
      </c>
      <c r="AL1090">
        <v>0</v>
      </c>
      <c r="AM1090">
        <v>120</v>
      </c>
      <c r="AN1090">
        <v>-12</v>
      </c>
      <c r="AO1090">
        <v>0</v>
      </c>
      <c r="AP1090"/>
      <c r="AQ1090">
        <v>0</v>
      </c>
      <c r="AR1090">
        <v>0</v>
      </c>
      <c r="AS1090">
        <v>120</v>
      </c>
      <c r="AT1090">
        <v>-12</v>
      </c>
      <c r="AU1090">
        <v>0</v>
      </c>
      <c r="AW1090">
        <v>0</v>
      </c>
      <c r="AX1090">
        <v>0</v>
      </c>
      <c r="AY1090">
        <v>355.6</v>
      </c>
      <c r="BC1090" t="str">
        <f t="shared" si="188"/>
        <v>9791166067563</v>
      </c>
      <c r="BE1090" t="str">
        <f t="shared" si="189"/>
        <v>판타지 웹소설 &gt; 현대 판타지</v>
      </c>
    </row>
    <row r="1091" spans="1:57" x14ac:dyDescent="0.3">
      <c r="A1091">
        <v>2313011400</v>
      </c>
      <c r="B1091">
        <v>2313011535</v>
      </c>
      <c r="C1091" t="str">
        <f>T("최종 보스 7권 7화")</f>
        <v>최종 보스 7권 7화</v>
      </c>
      <c r="D1091" t="str">
        <f>T("136")</f>
        <v>136</v>
      </c>
      <c r="E1091" t="str">
        <f t="shared" si="185"/>
        <v>무장</v>
      </c>
      <c r="H1091" t="str">
        <f t="shared" si="186"/>
        <v>스토리위즈</v>
      </c>
      <c r="I1091" t="str">
        <f t="shared" si="187"/>
        <v>최종 보스 : 빛을 향해 달리는 그림자</v>
      </c>
      <c r="J1091">
        <v>100</v>
      </c>
      <c r="K1091">
        <v>500</v>
      </c>
      <c r="L1091">
        <v>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500</v>
      </c>
      <c r="AH1091">
        <v>5</v>
      </c>
      <c r="AI1091">
        <v>0</v>
      </c>
      <c r="AJ1091">
        <v>0</v>
      </c>
      <c r="AK1091">
        <v>400</v>
      </c>
      <c r="AL1091">
        <v>0</v>
      </c>
      <c r="AM1091">
        <v>120</v>
      </c>
      <c r="AN1091">
        <v>-12</v>
      </c>
      <c r="AO1091">
        <v>0</v>
      </c>
      <c r="AP1091"/>
      <c r="AQ1091">
        <v>0</v>
      </c>
      <c r="AR1091">
        <v>0</v>
      </c>
      <c r="AS1091">
        <v>120</v>
      </c>
      <c r="AT1091">
        <v>-12</v>
      </c>
      <c r="AU1091">
        <v>0</v>
      </c>
      <c r="AW1091">
        <v>0</v>
      </c>
      <c r="AX1091">
        <v>0</v>
      </c>
      <c r="AY1091">
        <v>355.6</v>
      </c>
      <c r="BC1091" t="str">
        <f t="shared" si="188"/>
        <v>9791166067563</v>
      </c>
      <c r="BE1091" t="str">
        <f t="shared" si="189"/>
        <v>판타지 웹소설 &gt; 현대 판타지</v>
      </c>
    </row>
    <row r="1092" spans="1:57" x14ac:dyDescent="0.3">
      <c r="A1092">
        <v>2313011400</v>
      </c>
      <c r="B1092">
        <v>2313011536</v>
      </c>
      <c r="C1092" t="str">
        <f>T("최종 보스 7권 8화")</f>
        <v>최종 보스 7권 8화</v>
      </c>
      <c r="D1092" t="str">
        <f>T("137")</f>
        <v>137</v>
      </c>
      <c r="E1092" t="str">
        <f t="shared" si="185"/>
        <v>무장</v>
      </c>
      <c r="H1092" t="str">
        <f t="shared" si="186"/>
        <v>스토리위즈</v>
      </c>
      <c r="I1092" t="str">
        <f t="shared" si="187"/>
        <v>최종 보스 : 빛을 향해 달리는 그림자</v>
      </c>
      <c r="J1092">
        <v>100</v>
      </c>
      <c r="K1092">
        <v>500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500</v>
      </c>
      <c r="AH1092">
        <v>5</v>
      </c>
      <c r="AI1092">
        <v>0</v>
      </c>
      <c r="AJ1092">
        <v>0</v>
      </c>
      <c r="AK1092">
        <v>400</v>
      </c>
      <c r="AL1092">
        <v>0</v>
      </c>
      <c r="AM1092">
        <v>120</v>
      </c>
      <c r="AN1092">
        <v>-12</v>
      </c>
      <c r="AO1092">
        <v>0</v>
      </c>
      <c r="AP1092"/>
      <c r="AQ1092">
        <v>0</v>
      </c>
      <c r="AR1092">
        <v>0</v>
      </c>
      <c r="AS1092">
        <v>120</v>
      </c>
      <c r="AT1092">
        <v>-12</v>
      </c>
      <c r="AU1092">
        <v>0</v>
      </c>
      <c r="AW1092">
        <v>0</v>
      </c>
      <c r="AX1092">
        <v>0</v>
      </c>
      <c r="AY1092">
        <v>355.6</v>
      </c>
      <c r="BC1092" t="str">
        <f t="shared" si="188"/>
        <v>9791166067563</v>
      </c>
      <c r="BE1092" t="str">
        <f t="shared" si="189"/>
        <v>판타지 웹소설 &gt; 현대 판타지</v>
      </c>
    </row>
    <row r="1093" spans="1:57" x14ac:dyDescent="0.3">
      <c r="A1093">
        <v>2313011400</v>
      </c>
      <c r="B1093">
        <v>2313011537</v>
      </c>
      <c r="C1093" t="str">
        <f>T("최종 보스 7권 9화")</f>
        <v>최종 보스 7권 9화</v>
      </c>
      <c r="D1093" t="str">
        <f>T("138")</f>
        <v>138</v>
      </c>
      <c r="E1093" t="str">
        <f t="shared" si="185"/>
        <v>무장</v>
      </c>
      <c r="H1093" t="str">
        <f t="shared" si="186"/>
        <v>스토리위즈</v>
      </c>
      <c r="I1093" t="str">
        <f t="shared" si="187"/>
        <v>최종 보스 : 빛을 향해 달리는 그림자</v>
      </c>
      <c r="J1093">
        <v>100</v>
      </c>
      <c r="K1093">
        <v>500</v>
      </c>
      <c r="L1093">
        <v>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500</v>
      </c>
      <c r="AH1093">
        <v>5</v>
      </c>
      <c r="AI1093">
        <v>0</v>
      </c>
      <c r="AJ1093">
        <v>0</v>
      </c>
      <c r="AK1093">
        <v>400</v>
      </c>
      <c r="AL1093">
        <v>0</v>
      </c>
      <c r="AM1093">
        <v>120</v>
      </c>
      <c r="AN1093">
        <v>-12</v>
      </c>
      <c r="AO1093">
        <v>0</v>
      </c>
      <c r="AP1093"/>
      <c r="AQ1093">
        <v>0</v>
      </c>
      <c r="AR1093">
        <v>0</v>
      </c>
      <c r="AS1093">
        <v>120</v>
      </c>
      <c r="AT1093">
        <v>-12</v>
      </c>
      <c r="AU1093">
        <v>0</v>
      </c>
      <c r="AW1093">
        <v>0</v>
      </c>
      <c r="AX1093">
        <v>0</v>
      </c>
      <c r="AY1093">
        <v>355.6</v>
      </c>
      <c r="BC1093" t="str">
        <f t="shared" si="188"/>
        <v>9791166067563</v>
      </c>
      <c r="BE1093" t="str">
        <f t="shared" si="189"/>
        <v>판타지 웹소설 &gt; 현대 판타지</v>
      </c>
    </row>
    <row r="1094" spans="1:57" x14ac:dyDescent="0.3">
      <c r="A1094">
        <v>2313011400</v>
      </c>
      <c r="B1094">
        <v>2313011538</v>
      </c>
      <c r="C1094" t="str">
        <f>T("최종 보스 7권 10화")</f>
        <v>최종 보스 7권 10화</v>
      </c>
      <c r="D1094" t="str">
        <f>T("139")</f>
        <v>139</v>
      </c>
      <c r="E1094" t="str">
        <f t="shared" si="185"/>
        <v>무장</v>
      </c>
      <c r="H1094" t="str">
        <f t="shared" si="186"/>
        <v>스토리위즈</v>
      </c>
      <c r="I1094" t="str">
        <f t="shared" si="187"/>
        <v>최종 보스 : 빛을 향해 달리는 그림자</v>
      </c>
      <c r="J1094">
        <v>100</v>
      </c>
      <c r="K1094">
        <v>500</v>
      </c>
      <c r="L1094">
        <v>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500</v>
      </c>
      <c r="AH1094">
        <v>5</v>
      </c>
      <c r="AI1094">
        <v>0</v>
      </c>
      <c r="AJ1094">
        <v>0</v>
      </c>
      <c r="AK1094">
        <v>400</v>
      </c>
      <c r="AL1094">
        <v>0</v>
      </c>
      <c r="AM1094">
        <v>120</v>
      </c>
      <c r="AN1094">
        <v>-12</v>
      </c>
      <c r="AO1094">
        <v>0</v>
      </c>
      <c r="AP1094"/>
      <c r="AQ1094">
        <v>0</v>
      </c>
      <c r="AR1094">
        <v>0</v>
      </c>
      <c r="AS1094">
        <v>120</v>
      </c>
      <c r="AT1094">
        <v>-12</v>
      </c>
      <c r="AU1094">
        <v>0</v>
      </c>
      <c r="AW1094">
        <v>0</v>
      </c>
      <c r="AX1094">
        <v>0</v>
      </c>
      <c r="AY1094">
        <v>355.6</v>
      </c>
      <c r="BC1094" t="str">
        <f t="shared" si="188"/>
        <v>9791166067563</v>
      </c>
      <c r="BE1094" t="str">
        <f t="shared" si="189"/>
        <v>판타지 웹소설 &gt; 현대 판타지</v>
      </c>
    </row>
    <row r="1095" spans="1:57" x14ac:dyDescent="0.3">
      <c r="A1095">
        <v>2313011400</v>
      </c>
      <c r="B1095">
        <v>2313011539</v>
      </c>
      <c r="C1095" t="str">
        <f>T("최종 보스 7권 11화")</f>
        <v>최종 보스 7권 11화</v>
      </c>
      <c r="D1095" t="str">
        <f>T("140")</f>
        <v>140</v>
      </c>
      <c r="E1095" t="str">
        <f t="shared" si="185"/>
        <v>무장</v>
      </c>
      <c r="H1095" t="str">
        <f t="shared" si="186"/>
        <v>스토리위즈</v>
      </c>
      <c r="I1095" t="str">
        <f t="shared" si="187"/>
        <v>최종 보스 : 빛을 향해 달리는 그림자</v>
      </c>
      <c r="J1095">
        <v>100</v>
      </c>
      <c r="K1095">
        <v>500</v>
      </c>
      <c r="L1095">
        <v>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500</v>
      </c>
      <c r="AH1095">
        <v>5</v>
      </c>
      <c r="AI1095">
        <v>0</v>
      </c>
      <c r="AJ1095">
        <v>0</v>
      </c>
      <c r="AK1095">
        <v>400</v>
      </c>
      <c r="AL1095">
        <v>0</v>
      </c>
      <c r="AM1095">
        <v>120</v>
      </c>
      <c r="AN1095">
        <v>-12</v>
      </c>
      <c r="AO1095">
        <v>0</v>
      </c>
      <c r="AP1095"/>
      <c r="AQ1095">
        <v>0</v>
      </c>
      <c r="AR1095">
        <v>0</v>
      </c>
      <c r="AS1095">
        <v>120</v>
      </c>
      <c r="AT1095">
        <v>-12</v>
      </c>
      <c r="AU1095">
        <v>0</v>
      </c>
      <c r="AW1095">
        <v>0</v>
      </c>
      <c r="AX1095">
        <v>0</v>
      </c>
      <c r="AY1095">
        <v>355.6</v>
      </c>
      <c r="BC1095" t="str">
        <f t="shared" si="188"/>
        <v>9791166067563</v>
      </c>
      <c r="BE1095" t="str">
        <f t="shared" si="189"/>
        <v>판타지 웹소설 &gt; 현대 판타지</v>
      </c>
    </row>
    <row r="1096" spans="1:57" x14ac:dyDescent="0.3">
      <c r="A1096">
        <v>2313011400</v>
      </c>
      <c r="B1096">
        <v>2313011540</v>
      </c>
      <c r="C1096" t="str">
        <f>T("최종 보스 7권 12화")</f>
        <v>최종 보스 7권 12화</v>
      </c>
      <c r="D1096" t="str">
        <f>T("141")</f>
        <v>141</v>
      </c>
      <c r="E1096" t="str">
        <f t="shared" si="185"/>
        <v>무장</v>
      </c>
      <c r="H1096" t="str">
        <f t="shared" si="186"/>
        <v>스토리위즈</v>
      </c>
      <c r="I1096" t="str">
        <f t="shared" si="187"/>
        <v>최종 보스 : 빛을 향해 달리는 그림자</v>
      </c>
      <c r="J1096">
        <v>100</v>
      </c>
      <c r="K1096">
        <v>500</v>
      </c>
      <c r="L1096">
        <v>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500</v>
      </c>
      <c r="AH1096">
        <v>5</v>
      </c>
      <c r="AI1096">
        <v>0</v>
      </c>
      <c r="AJ1096">
        <v>0</v>
      </c>
      <c r="AK1096">
        <v>400</v>
      </c>
      <c r="AL1096">
        <v>0</v>
      </c>
      <c r="AM1096">
        <v>120</v>
      </c>
      <c r="AN1096">
        <v>-12</v>
      </c>
      <c r="AO1096">
        <v>0</v>
      </c>
      <c r="AP1096"/>
      <c r="AQ1096">
        <v>0</v>
      </c>
      <c r="AR1096">
        <v>0</v>
      </c>
      <c r="AS1096">
        <v>120</v>
      </c>
      <c r="AT1096">
        <v>-12</v>
      </c>
      <c r="AU1096">
        <v>0</v>
      </c>
      <c r="AW1096">
        <v>0</v>
      </c>
      <c r="AX1096">
        <v>0</v>
      </c>
      <c r="AY1096">
        <v>355.6</v>
      </c>
      <c r="BC1096" t="str">
        <f t="shared" si="188"/>
        <v>9791166067563</v>
      </c>
      <c r="BE1096" t="str">
        <f t="shared" si="189"/>
        <v>판타지 웹소설 &gt; 현대 판타지</v>
      </c>
    </row>
    <row r="1097" spans="1:57" x14ac:dyDescent="0.3">
      <c r="A1097">
        <v>2313011400</v>
      </c>
      <c r="B1097">
        <v>2313011541</v>
      </c>
      <c r="C1097" t="str">
        <f>T("최종 보스 7권 13화")</f>
        <v>최종 보스 7권 13화</v>
      </c>
      <c r="D1097" t="str">
        <f>T("142")</f>
        <v>142</v>
      </c>
      <c r="E1097" t="str">
        <f t="shared" si="185"/>
        <v>무장</v>
      </c>
      <c r="H1097" t="str">
        <f t="shared" si="186"/>
        <v>스토리위즈</v>
      </c>
      <c r="I1097" t="str">
        <f t="shared" si="187"/>
        <v>최종 보스 : 빛을 향해 달리는 그림자</v>
      </c>
      <c r="J1097">
        <v>100</v>
      </c>
      <c r="K1097">
        <v>500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500</v>
      </c>
      <c r="AH1097">
        <v>5</v>
      </c>
      <c r="AI1097">
        <v>0</v>
      </c>
      <c r="AJ1097">
        <v>0</v>
      </c>
      <c r="AK1097">
        <v>400</v>
      </c>
      <c r="AL1097">
        <v>0</v>
      </c>
      <c r="AM1097">
        <v>120</v>
      </c>
      <c r="AN1097">
        <v>-12</v>
      </c>
      <c r="AO1097">
        <v>0</v>
      </c>
      <c r="AP1097"/>
      <c r="AQ1097">
        <v>0</v>
      </c>
      <c r="AR1097">
        <v>0</v>
      </c>
      <c r="AS1097">
        <v>120</v>
      </c>
      <c r="AT1097">
        <v>-12</v>
      </c>
      <c r="AU1097">
        <v>0</v>
      </c>
      <c r="AW1097">
        <v>0</v>
      </c>
      <c r="AX1097">
        <v>0</v>
      </c>
      <c r="AY1097">
        <v>355.6</v>
      </c>
      <c r="BC1097" t="str">
        <f t="shared" si="188"/>
        <v>9791166067563</v>
      </c>
      <c r="BE1097" t="str">
        <f t="shared" si="189"/>
        <v>판타지 웹소설 &gt; 현대 판타지</v>
      </c>
    </row>
    <row r="1098" spans="1:57" x14ac:dyDescent="0.3">
      <c r="A1098">
        <v>2313011400</v>
      </c>
      <c r="B1098">
        <v>2313011542</v>
      </c>
      <c r="C1098" t="str">
        <f>T("최종 보스 7권 14화")</f>
        <v>최종 보스 7권 14화</v>
      </c>
      <c r="D1098" t="str">
        <f>T("143")</f>
        <v>143</v>
      </c>
      <c r="E1098" t="str">
        <f t="shared" si="185"/>
        <v>무장</v>
      </c>
      <c r="H1098" t="str">
        <f t="shared" si="186"/>
        <v>스토리위즈</v>
      </c>
      <c r="I1098" t="str">
        <f t="shared" si="187"/>
        <v>최종 보스 : 빛을 향해 달리는 그림자</v>
      </c>
      <c r="J1098">
        <v>100</v>
      </c>
      <c r="K1098">
        <v>500</v>
      </c>
      <c r="L1098">
        <v>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500</v>
      </c>
      <c r="AH1098">
        <v>5</v>
      </c>
      <c r="AI1098">
        <v>0</v>
      </c>
      <c r="AJ1098">
        <v>0</v>
      </c>
      <c r="AK1098">
        <v>400</v>
      </c>
      <c r="AL1098">
        <v>0</v>
      </c>
      <c r="AM1098">
        <v>120</v>
      </c>
      <c r="AN1098">
        <v>-12</v>
      </c>
      <c r="AO1098">
        <v>0</v>
      </c>
      <c r="AP1098"/>
      <c r="AQ1098">
        <v>0</v>
      </c>
      <c r="AR1098">
        <v>0</v>
      </c>
      <c r="AS1098">
        <v>120</v>
      </c>
      <c r="AT1098">
        <v>-12</v>
      </c>
      <c r="AU1098">
        <v>0</v>
      </c>
      <c r="AW1098">
        <v>0</v>
      </c>
      <c r="AX1098">
        <v>0</v>
      </c>
      <c r="AY1098">
        <v>355.6</v>
      </c>
      <c r="BC1098" t="str">
        <f t="shared" si="188"/>
        <v>9791166067563</v>
      </c>
      <c r="BE1098" t="str">
        <f t="shared" si="189"/>
        <v>판타지 웹소설 &gt; 현대 판타지</v>
      </c>
    </row>
    <row r="1099" spans="1:57" x14ac:dyDescent="0.3">
      <c r="A1099">
        <v>2313011400</v>
      </c>
      <c r="B1099">
        <v>2313011543</v>
      </c>
      <c r="C1099" t="str">
        <f>T("최종 보스 7권 15화")</f>
        <v>최종 보스 7권 15화</v>
      </c>
      <c r="D1099" t="str">
        <f>T("144")</f>
        <v>144</v>
      </c>
      <c r="E1099" t="str">
        <f t="shared" si="185"/>
        <v>무장</v>
      </c>
      <c r="H1099" t="str">
        <f t="shared" si="186"/>
        <v>스토리위즈</v>
      </c>
      <c r="I1099" t="str">
        <f t="shared" si="187"/>
        <v>최종 보스 : 빛을 향해 달리는 그림자</v>
      </c>
      <c r="J1099">
        <v>100</v>
      </c>
      <c r="K1099">
        <v>500</v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500</v>
      </c>
      <c r="AH1099">
        <v>5</v>
      </c>
      <c r="AI1099">
        <v>0</v>
      </c>
      <c r="AJ1099">
        <v>0</v>
      </c>
      <c r="AK1099">
        <v>400</v>
      </c>
      <c r="AL1099">
        <v>0</v>
      </c>
      <c r="AM1099">
        <v>120</v>
      </c>
      <c r="AN1099">
        <v>-12</v>
      </c>
      <c r="AO1099">
        <v>0</v>
      </c>
      <c r="AP1099"/>
      <c r="AQ1099">
        <v>0</v>
      </c>
      <c r="AR1099">
        <v>0</v>
      </c>
      <c r="AS1099">
        <v>120</v>
      </c>
      <c r="AT1099">
        <v>-12</v>
      </c>
      <c r="AU1099">
        <v>0</v>
      </c>
      <c r="AW1099">
        <v>0</v>
      </c>
      <c r="AX1099">
        <v>0</v>
      </c>
      <c r="AY1099">
        <v>355.6</v>
      </c>
      <c r="BC1099" t="str">
        <f t="shared" si="188"/>
        <v>9791166067563</v>
      </c>
      <c r="BE1099" t="str">
        <f t="shared" si="189"/>
        <v>판타지 웹소설 &gt; 현대 판타지</v>
      </c>
    </row>
    <row r="1100" spans="1:57" x14ac:dyDescent="0.3">
      <c r="A1100">
        <v>2313011400</v>
      </c>
      <c r="B1100">
        <v>2313011544</v>
      </c>
      <c r="C1100" t="str">
        <f>T("최종 보스 7권 16화")</f>
        <v>최종 보스 7권 16화</v>
      </c>
      <c r="D1100" t="str">
        <f>T("145")</f>
        <v>145</v>
      </c>
      <c r="E1100" t="str">
        <f t="shared" si="185"/>
        <v>무장</v>
      </c>
      <c r="H1100" t="str">
        <f t="shared" si="186"/>
        <v>스토리위즈</v>
      </c>
      <c r="I1100" t="str">
        <f t="shared" si="187"/>
        <v>최종 보스 : 빛을 향해 달리는 그림자</v>
      </c>
      <c r="J1100">
        <v>100</v>
      </c>
      <c r="K1100">
        <v>500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500</v>
      </c>
      <c r="AH1100">
        <v>5</v>
      </c>
      <c r="AI1100">
        <v>0</v>
      </c>
      <c r="AJ1100">
        <v>0</v>
      </c>
      <c r="AK1100">
        <v>400</v>
      </c>
      <c r="AL1100">
        <v>0</v>
      </c>
      <c r="AM1100">
        <v>120</v>
      </c>
      <c r="AN1100">
        <v>-12</v>
      </c>
      <c r="AO1100">
        <v>0</v>
      </c>
      <c r="AP1100"/>
      <c r="AQ1100">
        <v>0</v>
      </c>
      <c r="AR1100">
        <v>0</v>
      </c>
      <c r="AS1100">
        <v>120</v>
      </c>
      <c r="AT1100">
        <v>-12</v>
      </c>
      <c r="AU1100">
        <v>0</v>
      </c>
      <c r="AW1100">
        <v>0</v>
      </c>
      <c r="AX1100">
        <v>0</v>
      </c>
      <c r="AY1100">
        <v>355.6</v>
      </c>
      <c r="BC1100" t="str">
        <f t="shared" si="188"/>
        <v>9791166067563</v>
      </c>
      <c r="BE1100" t="str">
        <f t="shared" si="189"/>
        <v>판타지 웹소설 &gt; 현대 판타지</v>
      </c>
    </row>
    <row r="1101" spans="1:57" x14ac:dyDescent="0.3">
      <c r="A1101">
        <v>2313011400</v>
      </c>
      <c r="B1101">
        <v>2313011545</v>
      </c>
      <c r="C1101" t="str">
        <f>T("최종 보스 7권 17화")</f>
        <v>최종 보스 7권 17화</v>
      </c>
      <c r="D1101" t="str">
        <f>T("146")</f>
        <v>146</v>
      </c>
      <c r="E1101" t="str">
        <f t="shared" si="185"/>
        <v>무장</v>
      </c>
      <c r="H1101" t="str">
        <f t="shared" si="186"/>
        <v>스토리위즈</v>
      </c>
      <c r="I1101" t="str">
        <f t="shared" si="187"/>
        <v>최종 보스 : 빛을 향해 달리는 그림자</v>
      </c>
      <c r="J1101">
        <v>100</v>
      </c>
      <c r="K1101">
        <v>500</v>
      </c>
      <c r="L1101">
        <v>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500</v>
      </c>
      <c r="AH1101">
        <v>5</v>
      </c>
      <c r="AI1101">
        <v>0</v>
      </c>
      <c r="AJ1101">
        <v>0</v>
      </c>
      <c r="AK1101">
        <v>400</v>
      </c>
      <c r="AL1101">
        <v>0</v>
      </c>
      <c r="AM1101">
        <v>120</v>
      </c>
      <c r="AN1101">
        <v>-12</v>
      </c>
      <c r="AO1101">
        <v>0</v>
      </c>
      <c r="AP1101"/>
      <c r="AQ1101">
        <v>0</v>
      </c>
      <c r="AR1101">
        <v>0</v>
      </c>
      <c r="AS1101">
        <v>120</v>
      </c>
      <c r="AT1101">
        <v>-12</v>
      </c>
      <c r="AU1101">
        <v>0</v>
      </c>
      <c r="AW1101">
        <v>0</v>
      </c>
      <c r="AX1101">
        <v>0</v>
      </c>
      <c r="AY1101">
        <v>355.6</v>
      </c>
      <c r="BC1101" t="str">
        <f t="shared" si="188"/>
        <v>9791166067563</v>
      </c>
      <c r="BE1101" t="str">
        <f t="shared" si="189"/>
        <v>판타지 웹소설 &gt; 현대 판타지</v>
      </c>
    </row>
    <row r="1102" spans="1:57" x14ac:dyDescent="0.3">
      <c r="A1102">
        <v>2313011400</v>
      </c>
      <c r="B1102">
        <v>2313011672</v>
      </c>
      <c r="C1102" t="str">
        <f>T("최종 보스 14권 1화")</f>
        <v>최종 보스 14권 1화</v>
      </c>
      <c r="D1102" t="str">
        <f>T("273")</f>
        <v>273</v>
      </c>
      <c r="E1102" t="str">
        <f t="shared" si="185"/>
        <v>무장</v>
      </c>
      <c r="H1102" t="str">
        <f t="shared" si="186"/>
        <v>스토리위즈</v>
      </c>
      <c r="I1102" t="str">
        <f t="shared" si="187"/>
        <v>최종 보스 : 빛을 향해 달리는 그림자</v>
      </c>
      <c r="J1102">
        <v>100</v>
      </c>
      <c r="K1102">
        <v>500</v>
      </c>
      <c r="L1102">
        <v>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500</v>
      </c>
      <c r="AH1102">
        <v>5</v>
      </c>
      <c r="AI1102">
        <v>0</v>
      </c>
      <c r="AJ1102">
        <v>0</v>
      </c>
      <c r="AK1102">
        <v>300</v>
      </c>
      <c r="AL1102">
        <v>0</v>
      </c>
      <c r="AM1102">
        <v>240</v>
      </c>
      <c r="AN1102">
        <v>-48</v>
      </c>
      <c r="AO1102">
        <v>0</v>
      </c>
      <c r="AP1102">
        <v>120</v>
      </c>
      <c r="AQ1102">
        <v>-36</v>
      </c>
      <c r="AR1102">
        <v>0</v>
      </c>
      <c r="AS1102">
        <v>120</v>
      </c>
      <c r="AT1102">
        <v>-12</v>
      </c>
      <c r="AU1102">
        <v>0</v>
      </c>
      <c r="AW1102">
        <v>0</v>
      </c>
      <c r="AX1102">
        <v>0</v>
      </c>
      <c r="AY1102">
        <v>344.4</v>
      </c>
      <c r="BC1102" t="str">
        <f t="shared" si="188"/>
        <v>9791166067563</v>
      </c>
      <c r="BE1102" t="str">
        <f t="shared" si="189"/>
        <v>판타지 웹소설 &gt; 현대 판타지</v>
      </c>
    </row>
    <row r="1103" spans="1:57" x14ac:dyDescent="0.3">
      <c r="A1103">
        <v>2313011400</v>
      </c>
      <c r="B1103">
        <v>2313011673</v>
      </c>
      <c r="C1103" t="str">
        <f>T("최종 보스 14권 2화")</f>
        <v>최종 보스 14권 2화</v>
      </c>
      <c r="D1103" t="str">
        <f>T("274")</f>
        <v>274</v>
      </c>
      <c r="E1103" t="str">
        <f t="shared" si="185"/>
        <v>무장</v>
      </c>
      <c r="H1103" t="str">
        <f t="shared" si="186"/>
        <v>스토리위즈</v>
      </c>
      <c r="I1103" t="str">
        <f t="shared" si="187"/>
        <v>최종 보스 : 빛을 향해 달리는 그림자</v>
      </c>
      <c r="J1103">
        <v>100</v>
      </c>
      <c r="K1103">
        <v>500</v>
      </c>
      <c r="L1103">
        <v>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500</v>
      </c>
      <c r="AH1103">
        <v>5</v>
      </c>
      <c r="AI1103">
        <v>0</v>
      </c>
      <c r="AJ1103">
        <v>0</v>
      </c>
      <c r="AK1103">
        <v>300</v>
      </c>
      <c r="AL1103">
        <v>0</v>
      </c>
      <c r="AM1103">
        <v>240</v>
      </c>
      <c r="AN1103">
        <v>-48</v>
      </c>
      <c r="AO1103">
        <v>0</v>
      </c>
      <c r="AP1103">
        <v>120</v>
      </c>
      <c r="AQ1103">
        <v>-36</v>
      </c>
      <c r="AR1103">
        <v>0</v>
      </c>
      <c r="AS1103">
        <v>120</v>
      </c>
      <c r="AT1103">
        <v>-12</v>
      </c>
      <c r="AU1103">
        <v>0</v>
      </c>
      <c r="AW1103">
        <v>0</v>
      </c>
      <c r="AX1103">
        <v>0</v>
      </c>
      <c r="AY1103">
        <v>344.4</v>
      </c>
      <c r="BC1103" t="str">
        <f t="shared" si="188"/>
        <v>9791166067563</v>
      </c>
      <c r="BE1103" t="str">
        <f t="shared" si="189"/>
        <v>판타지 웹소설 &gt; 현대 판타지</v>
      </c>
    </row>
    <row r="1104" spans="1:57" x14ac:dyDescent="0.3">
      <c r="A1104">
        <v>2313011400</v>
      </c>
      <c r="B1104">
        <v>2313011674</v>
      </c>
      <c r="C1104" t="str">
        <f>T("최종 보스 14권 3화")</f>
        <v>최종 보스 14권 3화</v>
      </c>
      <c r="D1104" t="str">
        <f>T("275")</f>
        <v>275</v>
      </c>
      <c r="E1104" t="str">
        <f t="shared" si="185"/>
        <v>무장</v>
      </c>
      <c r="H1104" t="str">
        <f t="shared" si="186"/>
        <v>스토리위즈</v>
      </c>
      <c r="I1104" t="str">
        <f t="shared" si="187"/>
        <v>최종 보스 : 빛을 향해 달리는 그림자</v>
      </c>
      <c r="J1104">
        <v>100</v>
      </c>
      <c r="K1104">
        <v>500</v>
      </c>
      <c r="L1104">
        <v>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500</v>
      </c>
      <c r="AH1104">
        <v>5</v>
      </c>
      <c r="AI1104">
        <v>0</v>
      </c>
      <c r="AJ1104">
        <v>0</v>
      </c>
      <c r="AK1104">
        <v>300</v>
      </c>
      <c r="AL1104">
        <v>0</v>
      </c>
      <c r="AM1104">
        <v>240</v>
      </c>
      <c r="AN1104">
        <v>-48</v>
      </c>
      <c r="AO1104">
        <v>0</v>
      </c>
      <c r="AP1104">
        <v>120</v>
      </c>
      <c r="AQ1104">
        <v>-36</v>
      </c>
      <c r="AR1104">
        <v>0</v>
      </c>
      <c r="AS1104">
        <v>120</v>
      </c>
      <c r="AT1104">
        <v>-12</v>
      </c>
      <c r="AU1104">
        <v>0</v>
      </c>
      <c r="AW1104">
        <v>0</v>
      </c>
      <c r="AX1104">
        <v>0</v>
      </c>
      <c r="AY1104">
        <v>344.4</v>
      </c>
      <c r="BC1104" t="str">
        <f t="shared" si="188"/>
        <v>9791166067563</v>
      </c>
      <c r="BE1104" t="str">
        <f t="shared" si="189"/>
        <v>판타지 웹소설 &gt; 현대 판타지</v>
      </c>
    </row>
    <row r="1105" spans="1:57" x14ac:dyDescent="0.3">
      <c r="A1105">
        <v>2313011400</v>
      </c>
      <c r="B1105">
        <v>2313011675</v>
      </c>
      <c r="C1105" t="str">
        <f>T("최종 보스 14권 4화")</f>
        <v>최종 보스 14권 4화</v>
      </c>
      <c r="D1105" t="str">
        <f>T("276")</f>
        <v>276</v>
      </c>
      <c r="E1105" t="str">
        <f t="shared" si="185"/>
        <v>무장</v>
      </c>
      <c r="H1105" t="str">
        <f t="shared" si="186"/>
        <v>스토리위즈</v>
      </c>
      <c r="I1105" t="str">
        <f t="shared" si="187"/>
        <v>최종 보스 : 빛을 향해 달리는 그림자</v>
      </c>
      <c r="J1105">
        <v>100</v>
      </c>
      <c r="K1105">
        <v>500</v>
      </c>
      <c r="L1105">
        <v>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500</v>
      </c>
      <c r="AH1105">
        <v>5</v>
      </c>
      <c r="AI1105">
        <v>0</v>
      </c>
      <c r="AJ1105">
        <v>0</v>
      </c>
      <c r="AK1105">
        <v>300</v>
      </c>
      <c r="AL1105">
        <v>0</v>
      </c>
      <c r="AM1105">
        <v>240</v>
      </c>
      <c r="AN1105">
        <v>-48</v>
      </c>
      <c r="AO1105">
        <v>0</v>
      </c>
      <c r="AP1105">
        <v>120</v>
      </c>
      <c r="AQ1105">
        <v>-36</v>
      </c>
      <c r="AR1105">
        <v>0</v>
      </c>
      <c r="AS1105">
        <v>120</v>
      </c>
      <c r="AT1105">
        <v>-12</v>
      </c>
      <c r="AU1105">
        <v>0</v>
      </c>
      <c r="AW1105">
        <v>0</v>
      </c>
      <c r="AX1105">
        <v>0</v>
      </c>
      <c r="AY1105">
        <v>344.4</v>
      </c>
      <c r="BC1105" t="str">
        <f t="shared" si="188"/>
        <v>9791166067563</v>
      </c>
      <c r="BE1105" t="str">
        <f t="shared" si="189"/>
        <v>판타지 웹소설 &gt; 현대 판타지</v>
      </c>
    </row>
    <row r="1106" spans="1:57" x14ac:dyDescent="0.3">
      <c r="A1106">
        <v>2313011400</v>
      </c>
      <c r="B1106">
        <v>2313011676</v>
      </c>
      <c r="C1106" t="str">
        <f>T("최종 보스 14권 5화")</f>
        <v>최종 보스 14권 5화</v>
      </c>
      <c r="D1106" t="str">
        <f>T("277")</f>
        <v>277</v>
      </c>
      <c r="E1106" t="str">
        <f t="shared" si="185"/>
        <v>무장</v>
      </c>
      <c r="H1106" t="str">
        <f t="shared" si="186"/>
        <v>스토리위즈</v>
      </c>
      <c r="I1106" t="str">
        <f t="shared" si="187"/>
        <v>최종 보스 : 빛을 향해 달리는 그림자</v>
      </c>
      <c r="J1106">
        <v>100</v>
      </c>
      <c r="K1106">
        <v>500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500</v>
      </c>
      <c r="AH1106">
        <v>5</v>
      </c>
      <c r="AI1106">
        <v>0</v>
      </c>
      <c r="AJ1106">
        <v>0</v>
      </c>
      <c r="AK1106">
        <v>300</v>
      </c>
      <c r="AL1106">
        <v>0</v>
      </c>
      <c r="AM1106">
        <v>240</v>
      </c>
      <c r="AN1106">
        <v>-48</v>
      </c>
      <c r="AO1106">
        <v>0</v>
      </c>
      <c r="AP1106">
        <v>120</v>
      </c>
      <c r="AQ1106">
        <v>-36</v>
      </c>
      <c r="AR1106">
        <v>0</v>
      </c>
      <c r="AS1106">
        <v>120</v>
      </c>
      <c r="AT1106">
        <v>-12</v>
      </c>
      <c r="AU1106">
        <v>0</v>
      </c>
      <c r="AW1106">
        <v>0</v>
      </c>
      <c r="AX1106">
        <v>0</v>
      </c>
      <c r="AY1106">
        <v>344.4</v>
      </c>
      <c r="BC1106" t="str">
        <f t="shared" si="188"/>
        <v>9791166067563</v>
      </c>
      <c r="BE1106" t="str">
        <f t="shared" si="189"/>
        <v>판타지 웹소설 &gt; 현대 판타지</v>
      </c>
    </row>
    <row r="1107" spans="1:57" x14ac:dyDescent="0.3">
      <c r="A1107">
        <v>2313011400</v>
      </c>
      <c r="B1107">
        <v>2313011677</v>
      </c>
      <c r="C1107" t="str">
        <f>T("최종 보스 14권 6화")</f>
        <v>최종 보스 14권 6화</v>
      </c>
      <c r="D1107" t="str">
        <f>T("278")</f>
        <v>278</v>
      </c>
      <c r="E1107" t="str">
        <f t="shared" si="185"/>
        <v>무장</v>
      </c>
      <c r="H1107" t="str">
        <f t="shared" si="186"/>
        <v>스토리위즈</v>
      </c>
      <c r="I1107" t="str">
        <f t="shared" si="187"/>
        <v>최종 보스 : 빛을 향해 달리는 그림자</v>
      </c>
      <c r="J1107">
        <v>100</v>
      </c>
      <c r="K1107">
        <v>500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500</v>
      </c>
      <c r="AH1107">
        <v>5</v>
      </c>
      <c r="AI1107">
        <v>0</v>
      </c>
      <c r="AJ1107">
        <v>0</v>
      </c>
      <c r="AK1107">
        <v>300</v>
      </c>
      <c r="AL1107">
        <v>0</v>
      </c>
      <c r="AM1107">
        <v>240</v>
      </c>
      <c r="AN1107">
        <v>-48</v>
      </c>
      <c r="AO1107">
        <v>0</v>
      </c>
      <c r="AP1107">
        <v>120</v>
      </c>
      <c r="AQ1107">
        <v>-36</v>
      </c>
      <c r="AR1107">
        <v>0</v>
      </c>
      <c r="AS1107">
        <v>120</v>
      </c>
      <c r="AT1107">
        <v>-12</v>
      </c>
      <c r="AU1107">
        <v>0</v>
      </c>
      <c r="AW1107">
        <v>0</v>
      </c>
      <c r="AX1107">
        <v>0</v>
      </c>
      <c r="AY1107">
        <v>344.4</v>
      </c>
      <c r="BC1107" t="str">
        <f t="shared" si="188"/>
        <v>9791166067563</v>
      </c>
      <c r="BE1107" t="str">
        <f t="shared" si="189"/>
        <v>판타지 웹소설 &gt; 현대 판타지</v>
      </c>
    </row>
    <row r="1108" spans="1:57" x14ac:dyDescent="0.3">
      <c r="A1108">
        <v>2313011400</v>
      </c>
      <c r="B1108">
        <v>2313011678</v>
      </c>
      <c r="C1108" t="str">
        <f>T("최종 보스 14권 7화")</f>
        <v>최종 보스 14권 7화</v>
      </c>
      <c r="D1108" t="str">
        <f>T("279")</f>
        <v>279</v>
      </c>
      <c r="E1108" t="str">
        <f t="shared" si="185"/>
        <v>무장</v>
      </c>
      <c r="H1108" t="str">
        <f t="shared" si="186"/>
        <v>스토리위즈</v>
      </c>
      <c r="I1108" t="str">
        <f t="shared" si="187"/>
        <v>최종 보스 : 빛을 향해 달리는 그림자</v>
      </c>
      <c r="J1108">
        <v>100</v>
      </c>
      <c r="K1108">
        <v>500</v>
      </c>
      <c r="L1108">
        <v>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500</v>
      </c>
      <c r="AH1108">
        <v>5</v>
      </c>
      <c r="AI1108">
        <v>0</v>
      </c>
      <c r="AJ1108">
        <v>0</v>
      </c>
      <c r="AK1108">
        <v>300</v>
      </c>
      <c r="AL1108">
        <v>0</v>
      </c>
      <c r="AM1108">
        <v>240</v>
      </c>
      <c r="AN1108">
        <v>-48</v>
      </c>
      <c r="AO1108">
        <v>0</v>
      </c>
      <c r="AP1108">
        <v>120</v>
      </c>
      <c r="AQ1108">
        <v>-36</v>
      </c>
      <c r="AR1108">
        <v>0</v>
      </c>
      <c r="AS1108">
        <v>120</v>
      </c>
      <c r="AT1108">
        <v>-12</v>
      </c>
      <c r="AU1108">
        <v>0</v>
      </c>
      <c r="AW1108">
        <v>0</v>
      </c>
      <c r="AX1108">
        <v>0</v>
      </c>
      <c r="AY1108">
        <v>344.4</v>
      </c>
      <c r="BC1108" t="str">
        <f t="shared" si="188"/>
        <v>9791166067563</v>
      </c>
      <c r="BE1108" t="str">
        <f t="shared" si="189"/>
        <v>판타지 웹소설 &gt; 현대 판타지</v>
      </c>
    </row>
    <row r="1109" spans="1:57" x14ac:dyDescent="0.3">
      <c r="A1109">
        <v>2313011400</v>
      </c>
      <c r="B1109">
        <v>2313011679</v>
      </c>
      <c r="C1109" t="str">
        <f>T("최종 보스 14권 8화")</f>
        <v>최종 보스 14권 8화</v>
      </c>
      <c r="D1109" t="str">
        <f>T("280")</f>
        <v>280</v>
      </c>
      <c r="E1109" t="str">
        <f t="shared" si="185"/>
        <v>무장</v>
      </c>
      <c r="H1109" t="str">
        <f t="shared" si="186"/>
        <v>스토리위즈</v>
      </c>
      <c r="I1109" t="str">
        <f t="shared" si="187"/>
        <v>최종 보스 : 빛을 향해 달리는 그림자</v>
      </c>
      <c r="J1109">
        <v>100</v>
      </c>
      <c r="K1109">
        <v>500</v>
      </c>
      <c r="L1109">
        <v>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500</v>
      </c>
      <c r="AH1109">
        <v>5</v>
      </c>
      <c r="AI1109">
        <v>0</v>
      </c>
      <c r="AJ1109">
        <v>0</v>
      </c>
      <c r="AK1109">
        <v>300</v>
      </c>
      <c r="AL1109">
        <v>0</v>
      </c>
      <c r="AM1109">
        <v>240</v>
      </c>
      <c r="AN1109">
        <v>-48</v>
      </c>
      <c r="AO1109">
        <v>0</v>
      </c>
      <c r="AP1109">
        <v>120</v>
      </c>
      <c r="AQ1109">
        <v>-36</v>
      </c>
      <c r="AR1109">
        <v>0</v>
      </c>
      <c r="AS1109">
        <v>120</v>
      </c>
      <c r="AT1109">
        <v>-12</v>
      </c>
      <c r="AU1109">
        <v>0</v>
      </c>
      <c r="AW1109">
        <v>0</v>
      </c>
      <c r="AX1109">
        <v>0</v>
      </c>
      <c r="AY1109">
        <v>344.4</v>
      </c>
      <c r="BC1109" t="str">
        <f t="shared" si="188"/>
        <v>9791166067563</v>
      </c>
      <c r="BE1109" t="str">
        <f t="shared" si="189"/>
        <v>판타지 웹소설 &gt; 현대 판타지</v>
      </c>
    </row>
    <row r="1110" spans="1:57" x14ac:dyDescent="0.3">
      <c r="A1110">
        <v>2313011400</v>
      </c>
      <c r="B1110">
        <v>2313011680</v>
      </c>
      <c r="C1110" t="str">
        <f>T("최종 보스 14권 9화")</f>
        <v>최종 보스 14권 9화</v>
      </c>
      <c r="D1110" t="str">
        <f>T("281")</f>
        <v>281</v>
      </c>
      <c r="E1110" t="str">
        <f t="shared" si="185"/>
        <v>무장</v>
      </c>
      <c r="H1110" t="str">
        <f t="shared" si="186"/>
        <v>스토리위즈</v>
      </c>
      <c r="I1110" t="str">
        <f t="shared" si="187"/>
        <v>최종 보스 : 빛을 향해 달리는 그림자</v>
      </c>
      <c r="J1110">
        <v>100</v>
      </c>
      <c r="K1110">
        <v>500</v>
      </c>
      <c r="L1110">
        <v>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500</v>
      </c>
      <c r="AH1110">
        <v>5</v>
      </c>
      <c r="AI1110">
        <v>0</v>
      </c>
      <c r="AJ1110">
        <v>0</v>
      </c>
      <c r="AK1110">
        <v>300</v>
      </c>
      <c r="AL1110">
        <v>0</v>
      </c>
      <c r="AM1110">
        <v>240</v>
      </c>
      <c r="AN1110">
        <v>-48</v>
      </c>
      <c r="AO1110">
        <v>0</v>
      </c>
      <c r="AP1110">
        <v>120</v>
      </c>
      <c r="AQ1110">
        <v>-36</v>
      </c>
      <c r="AR1110">
        <v>0</v>
      </c>
      <c r="AS1110">
        <v>120</v>
      </c>
      <c r="AT1110">
        <v>-12</v>
      </c>
      <c r="AU1110">
        <v>0</v>
      </c>
      <c r="AW1110">
        <v>0</v>
      </c>
      <c r="AX1110">
        <v>0</v>
      </c>
      <c r="AY1110">
        <v>344.4</v>
      </c>
      <c r="BC1110" t="str">
        <f t="shared" si="188"/>
        <v>9791166067563</v>
      </c>
      <c r="BE1110" t="str">
        <f t="shared" si="189"/>
        <v>판타지 웹소설 &gt; 현대 판타지</v>
      </c>
    </row>
    <row r="1111" spans="1:57" x14ac:dyDescent="0.3">
      <c r="A1111">
        <v>2313011400</v>
      </c>
      <c r="B1111">
        <v>2313011681</v>
      </c>
      <c r="C1111" t="str">
        <f>T("최종 보스 14권 10화")</f>
        <v>최종 보스 14권 10화</v>
      </c>
      <c r="D1111" t="str">
        <f>T("282")</f>
        <v>282</v>
      </c>
      <c r="E1111" t="str">
        <f t="shared" si="185"/>
        <v>무장</v>
      </c>
      <c r="H1111" t="str">
        <f t="shared" si="186"/>
        <v>스토리위즈</v>
      </c>
      <c r="I1111" t="str">
        <f t="shared" si="187"/>
        <v>최종 보스 : 빛을 향해 달리는 그림자</v>
      </c>
      <c r="J1111">
        <v>100</v>
      </c>
      <c r="K1111">
        <v>500</v>
      </c>
      <c r="L1111">
        <v>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500</v>
      </c>
      <c r="AH1111">
        <v>5</v>
      </c>
      <c r="AI1111">
        <v>0</v>
      </c>
      <c r="AJ1111">
        <v>0</v>
      </c>
      <c r="AK1111">
        <v>300</v>
      </c>
      <c r="AL1111">
        <v>0</v>
      </c>
      <c r="AM1111">
        <v>240</v>
      </c>
      <c r="AN1111">
        <v>-48</v>
      </c>
      <c r="AO1111">
        <v>0</v>
      </c>
      <c r="AP1111">
        <v>120</v>
      </c>
      <c r="AQ1111">
        <v>-36</v>
      </c>
      <c r="AR1111">
        <v>0</v>
      </c>
      <c r="AS1111">
        <v>120</v>
      </c>
      <c r="AT1111">
        <v>-12</v>
      </c>
      <c r="AU1111">
        <v>0</v>
      </c>
      <c r="AW1111">
        <v>0</v>
      </c>
      <c r="AX1111">
        <v>0</v>
      </c>
      <c r="AY1111">
        <v>344.4</v>
      </c>
      <c r="BC1111" t="str">
        <f t="shared" si="188"/>
        <v>9791166067563</v>
      </c>
      <c r="BE1111" t="str">
        <f t="shared" si="189"/>
        <v>판타지 웹소설 &gt; 현대 판타지</v>
      </c>
    </row>
    <row r="1112" spans="1:57" x14ac:dyDescent="0.3">
      <c r="A1112">
        <v>2313011400</v>
      </c>
      <c r="B1112">
        <v>2313011682</v>
      </c>
      <c r="C1112" t="str">
        <f>T("최종 보스 14권 11화")</f>
        <v>최종 보스 14권 11화</v>
      </c>
      <c r="D1112" t="str">
        <f>T("283")</f>
        <v>283</v>
      </c>
      <c r="E1112" t="str">
        <f t="shared" si="185"/>
        <v>무장</v>
      </c>
      <c r="H1112" t="str">
        <f t="shared" si="186"/>
        <v>스토리위즈</v>
      </c>
      <c r="I1112" t="str">
        <f t="shared" si="187"/>
        <v>최종 보스 : 빛을 향해 달리는 그림자</v>
      </c>
      <c r="J1112">
        <v>100</v>
      </c>
      <c r="K1112">
        <v>500</v>
      </c>
      <c r="L1112">
        <v>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500</v>
      </c>
      <c r="AH1112">
        <v>5</v>
      </c>
      <c r="AI1112">
        <v>0</v>
      </c>
      <c r="AJ1112">
        <v>0</v>
      </c>
      <c r="AK1112">
        <v>300</v>
      </c>
      <c r="AL1112">
        <v>0</v>
      </c>
      <c r="AM1112">
        <v>240</v>
      </c>
      <c r="AN1112">
        <v>-48</v>
      </c>
      <c r="AO1112">
        <v>0</v>
      </c>
      <c r="AP1112">
        <v>120</v>
      </c>
      <c r="AQ1112">
        <v>-36</v>
      </c>
      <c r="AR1112">
        <v>0</v>
      </c>
      <c r="AS1112">
        <v>120</v>
      </c>
      <c r="AT1112">
        <v>-12</v>
      </c>
      <c r="AU1112">
        <v>0</v>
      </c>
      <c r="AW1112">
        <v>0</v>
      </c>
      <c r="AX1112">
        <v>0</v>
      </c>
      <c r="AY1112">
        <v>344.4</v>
      </c>
      <c r="BC1112" t="str">
        <f t="shared" si="188"/>
        <v>9791166067563</v>
      </c>
      <c r="BE1112" t="str">
        <f t="shared" si="189"/>
        <v>판타지 웹소설 &gt; 현대 판타지</v>
      </c>
    </row>
    <row r="1113" spans="1:57" x14ac:dyDescent="0.3">
      <c r="A1113">
        <v>2313011400</v>
      </c>
      <c r="B1113">
        <v>2313011683</v>
      </c>
      <c r="C1113" t="str">
        <f>T("최종 보스 14권 12화")</f>
        <v>최종 보스 14권 12화</v>
      </c>
      <c r="D1113" t="str">
        <f>T("284")</f>
        <v>284</v>
      </c>
      <c r="E1113" t="str">
        <f t="shared" si="185"/>
        <v>무장</v>
      </c>
      <c r="H1113" t="str">
        <f t="shared" si="186"/>
        <v>스토리위즈</v>
      </c>
      <c r="I1113" t="str">
        <f t="shared" si="187"/>
        <v>최종 보스 : 빛을 향해 달리는 그림자</v>
      </c>
      <c r="J1113">
        <v>100</v>
      </c>
      <c r="K1113">
        <v>500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500</v>
      </c>
      <c r="AH1113">
        <v>5</v>
      </c>
      <c r="AI1113">
        <v>0</v>
      </c>
      <c r="AJ1113">
        <v>0</v>
      </c>
      <c r="AK1113">
        <v>300</v>
      </c>
      <c r="AL1113">
        <v>0</v>
      </c>
      <c r="AM1113">
        <v>240</v>
      </c>
      <c r="AN1113">
        <v>-48</v>
      </c>
      <c r="AO1113">
        <v>0</v>
      </c>
      <c r="AP1113">
        <v>120</v>
      </c>
      <c r="AQ1113">
        <v>-36</v>
      </c>
      <c r="AR1113">
        <v>0</v>
      </c>
      <c r="AS1113">
        <v>120</v>
      </c>
      <c r="AT1113">
        <v>-12</v>
      </c>
      <c r="AU1113">
        <v>0</v>
      </c>
      <c r="AW1113">
        <v>0</v>
      </c>
      <c r="AX1113">
        <v>0</v>
      </c>
      <c r="AY1113">
        <v>344.4</v>
      </c>
      <c r="BC1113" t="str">
        <f t="shared" si="188"/>
        <v>9791166067563</v>
      </c>
      <c r="BE1113" t="str">
        <f t="shared" si="189"/>
        <v>판타지 웹소설 &gt; 현대 판타지</v>
      </c>
    </row>
    <row r="1114" spans="1:57" x14ac:dyDescent="0.3">
      <c r="A1114">
        <v>2313011400</v>
      </c>
      <c r="B1114">
        <v>2313011684</v>
      </c>
      <c r="C1114" t="str">
        <f>T("최종 보스 14권 13화")</f>
        <v>최종 보스 14권 13화</v>
      </c>
      <c r="D1114" t="str">
        <f>T("285")</f>
        <v>285</v>
      </c>
      <c r="E1114" t="str">
        <f t="shared" si="185"/>
        <v>무장</v>
      </c>
      <c r="H1114" t="str">
        <f t="shared" si="186"/>
        <v>스토리위즈</v>
      </c>
      <c r="I1114" t="str">
        <f t="shared" si="187"/>
        <v>최종 보스 : 빛을 향해 달리는 그림자</v>
      </c>
      <c r="J1114">
        <v>100</v>
      </c>
      <c r="K1114">
        <v>500</v>
      </c>
      <c r="L1114">
        <v>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500</v>
      </c>
      <c r="AH1114">
        <v>5</v>
      </c>
      <c r="AI1114">
        <v>0</v>
      </c>
      <c r="AJ1114">
        <v>0</v>
      </c>
      <c r="AK1114">
        <v>300</v>
      </c>
      <c r="AL1114">
        <v>0</v>
      </c>
      <c r="AM1114">
        <v>240</v>
      </c>
      <c r="AN1114">
        <v>-48</v>
      </c>
      <c r="AO1114">
        <v>0</v>
      </c>
      <c r="AP1114">
        <v>120</v>
      </c>
      <c r="AQ1114">
        <v>-36</v>
      </c>
      <c r="AR1114">
        <v>0</v>
      </c>
      <c r="AS1114">
        <v>120</v>
      </c>
      <c r="AT1114">
        <v>-12</v>
      </c>
      <c r="AU1114">
        <v>0</v>
      </c>
      <c r="AW1114">
        <v>0</v>
      </c>
      <c r="AX1114">
        <v>0</v>
      </c>
      <c r="AY1114">
        <v>344.4</v>
      </c>
      <c r="BC1114" t="str">
        <f t="shared" si="188"/>
        <v>9791166067563</v>
      </c>
      <c r="BE1114" t="str">
        <f t="shared" si="189"/>
        <v>판타지 웹소설 &gt; 현대 판타지</v>
      </c>
    </row>
    <row r="1115" spans="1:57" x14ac:dyDescent="0.3">
      <c r="A1115">
        <v>2313011400</v>
      </c>
      <c r="B1115">
        <v>2313011685</v>
      </c>
      <c r="C1115" t="str">
        <f>T("최종 보스 14권 14화")</f>
        <v>최종 보스 14권 14화</v>
      </c>
      <c r="D1115" t="str">
        <f>T("286")</f>
        <v>286</v>
      </c>
      <c r="E1115" t="str">
        <f t="shared" si="185"/>
        <v>무장</v>
      </c>
      <c r="H1115" t="str">
        <f t="shared" si="186"/>
        <v>스토리위즈</v>
      </c>
      <c r="I1115" t="str">
        <f t="shared" si="187"/>
        <v>최종 보스 : 빛을 향해 달리는 그림자</v>
      </c>
      <c r="J1115">
        <v>100</v>
      </c>
      <c r="K1115">
        <v>500</v>
      </c>
      <c r="L1115">
        <v>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500</v>
      </c>
      <c r="AH1115">
        <v>5</v>
      </c>
      <c r="AI1115">
        <v>0</v>
      </c>
      <c r="AJ1115">
        <v>0</v>
      </c>
      <c r="AK1115">
        <v>300</v>
      </c>
      <c r="AL1115">
        <v>0</v>
      </c>
      <c r="AM1115">
        <v>240</v>
      </c>
      <c r="AN1115">
        <v>-48</v>
      </c>
      <c r="AO1115">
        <v>0</v>
      </c>
      <c r="AP1115">
        <v>120</v>
      </c>
      <c r="AQ1115">
        <v>-36</v>
      </c>
      <c r="AR1115">
        <v>0</v>
      </c>
      <c r="AS1115">
        <v>120</v>
      </c>
      <c r="AT1115">
        <v>-12</v>
      </c>
      <c r="AU1115">
        <v>0</v>
      </c>
      <c r="AW1115">
        <v>0</v>
      </c>
      <c r="AX1115">
        <v>0</v>
      </c>
      <c r="AY1115">
        <v>344.4</v>
      </c>
      <c r="BC1115" t="str">
        <f t="shared" si="188"/>
        <v>9791166067563</v>
      </c>
      <c r="BE1115" t="str">
        <f t="shared" si="189"/>
        <v>판타지 웹소설 &gt; 현대 판타지</v>
      </c>
    </row>
    <row r="1116" spans="1:57" x14ac:dyDescent="0.3">
      <c r="A1116">
        <v>2313011400</v>
      </c>
      <c r="B1116">
        <v>2313011686</v>
      </c>
      <c r="C1116" t="str">
        <f>T("최종 보스 14권 15화")</f>
        <v>최종 보스 14권 15화</v>
      </c>
      <c r="D1116" t="str">
        <f>T("287")</f>
        <v>287</v>
      </c>
      <c r="E1116" t="str">
        <f t="shared" ref="E1116:E1179" si="190">T("무장")</f>
        <v>무장</v>
      </c>
      <c r="H1116" t="str">
        <f t="shared" ref="H1116:H1179" si="191">T("스토리위즈")</f>
        <v>스토리위즈</v>
      </c>
      <c r="I1116" t="str">
        <f t="shared" ref="I1116:I1179" si="192">T("최종 보스 : 빛을 향해 달리는 그림자")</f>
        <v>최종 보스 : 빛을 향해 달리는 그림자</v>
      </c>
      <c r="J1116">
        <v>100</v>
      </c>
      <c r="K1116">
        <v>500</v>
      </c>
      <c r="L1116">
        <v>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500</v>
      </c>
      <c r="AH1116">
        <v>5</v>
      </c>
      <c r="AI1116">
        <v>0</v>
      </c>
      <c r="AJ1116">
        <v>0</v>
      </c>
      <c r="AK1116">
        <v>300</v>
      </c>
      <c r="AL1116">
        <v>0</v>
      </c>
      <c r="AM1116">
        <v>240</v>
      </c>
      <c r="AN1116">
        <v>-48</v>
      </c>
      <c r="AO1116">
        <v>0</v>
      </c>
      <c r="AP1116">
        <v>120</v>
      </c>
      <c r="AQ1116">
        <v>-36</v>
      </c>
      <c r="AR1116">
        <v>0</v>
      </c>
      <c r="AS1116">
        <v>120</v>
      </c>
      <c r="AT1116">
        <v>-12</v>
      </c>
      <c r="AU1116">
        <v>0</v>
      </c>
      <c r="AW1116">
        <v>0</v>
      </c>
      <c r="AX1116">
        <v>0</v>
      </c>
      <c r="AY1116">
        <v>344.4</v>
      </c>
      <c r="BC1116" t="str">
        <f t="shared" ref="BC1116:BC1179" si="193">T("9791166067563")</f>
        <v>9791166067563</v>
      </c>
      <c r="BE1116" t="str">
        <f t="shared" ref="BE1116:BE1179" si="194">T("판타지 웹소설 &gt; 현대 판타지")</f>
        <v>판타지 웹소설 &gt; 현대 판타지</v>
      </c>
    </row>
    <row r="1117" spans="1:57" x14ac:dyDescent="0.3">
      <c r="A1117">
        <v>2313011400</v>
      </c>
      <c r="B1117">
        <v>2313011687</v>
      </c>
      <c r="C1117" t="str">
        <f>T("최종 보스 14권 16화")</f>
        <v>최종 보스 14권 16화</v>
      </c>
      <c r="D1117" t="str">
        <f>T("288")</f>
        <v>288</v>
      </c>
      <c r="E1117" t="str">
        <f t="shared" si="190"/>
        <v>무장</v>
      </c>
      <c r="H1117" t="str">
        <f t="shared" si="191"/>
        <v>스토리위즈</v>
      </c>
      <c r="I1117" t="str">
        <f t="shared" si="192"/>
        <v>최종 보스 : 빛을 향해 달리는 그림자</v>
      </c>
      <c r="J1117">
        <v>100</v>
      </c>
      <c r="K1117">
        <v>500</v>
      </c>
      <c r="L1117">
        <v>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500</v>
      </c>
      <c r="AH1117">
        <v>5</v>
      </c>
      <c r="AI1117">
        <v>0</v>
      </c>
      <c r="AJ1117">
        <v>0</v>
      </c>
      <c r="AK1117">
        <v>300</v>
      </c>
      <c r="AL1117">
        <v>0</v>
      </c>
      <c r="AM1117">
        <v>240</v>
      </c>
      <c r="AN1117">
        <v>-48</v>
      </c>
      <c r="AO1117">
        <v>0</v>
      </c>
      <c r="AP1117">
        <v>120</v>
      </c>
      <c r="AQ1117">
        <v>-36</v>
      </c>
      <c r="AR1117">
        <v>0</v>
      </c>
      <c r="AS1117">
        <v>120</v>
      </c>
      <c r="AT1117">
        <v>-12</v>
      </c>
      <c r="AU1117">
        <v>0</v>
      </c>
      <c r="AW1117">
        <v>0</v>
      </c>
      <c r="AX1117">
        <v>0</v>
      </c>
      <c r="AY1117">
        <v>344.4</v>
      </c>
      <c r="BC1117" t="str">
        <f t="shared" si="193"/>
        <v>9791166067563</v>
      </c>
      <c r="BE1117" t="str">
        <f t="shared" si="194"/>
        <v>판타지 웹소설 &gt; 현대 판타지</v>
      </c>
    </row>
    <row r="1118" spans="1:57" x14ac:dyDescent="0.3">
      <c r="A1118">
        <v>2313011400</v>
      </c>
      <c r="B1118">
        <v>2313011688</v>
      </c>
      <c r="C1118" t="str">
        <f>T("최종 보스 14권 17화")</f>
        <v>최종 보스 14권 17화</v>
      </c>
      <c r="D1118" t="str">
        <f>T("289")</f>
        <v>289</v>
      </c>
      <c r="E1118" t="str">
        <f t="shared" si="190"/>
        <v>무장</v>
      </c>
      <c r="H1118" t="str">
        <f t="shared" si="191"/>
        <v>스토리위즈</v>
      </c>
      <c r="I1118" t="str">
        <f t="shared" si="192"/>
        <v>최종 보스 : 빛을 향해 달리는 그림자</v>
      </c>
      <c r="J1118">
        <v>100</v>
      </c>
      <c r="K1118">
        <v>500</v>
      </c>
      <c r="L1118">
        <v>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500</v>
      </c>
      <c r="AH1118">
        <v>5</v>
      </c>
      <c r="AI1118">
        <v>0</v>
      </c>
      <c r="AJ1118">
        <v>0</v>
      </c>
      <c r="AK1118">
        <v>300</v>
      </c>
      <c r="AL1118">
        <v>0</v>
      </c>
      <c r="AM1118">
        <v>240</v>
      </c>
      <c r="AN1118">
        <v>-48</v>
      </c>
      <c r="AO1118">
        <v>0</v>
      </c>
      <c r="AP1118">
        <v>120</v>
      </c>
      <c r="AQ1118">
        <v>-36</v>
      </c>
      <c r="AR1118">
        <v>0</v>
      </c>
      <c r="AS1118">
        <v>120</v>
      </c>
      <c r="AT1118">
        <v>-12</v>
      </c>
      <c r="AU1118">
        <v>0</v>
      </c>
      <c r="AW1118">
        <v>0</v>
      </c>
      <c r="AX1118">
        <v>0</v>
      </c>
      <c r="AY1118">
        <v>344.4</v>
      </c>
      <c r="BC1118" t="str">
        <f t="shared" si="193"/>
        <v>9791166067563</v>
      </c>
      <c r="BE1118" t="str">
        <f t="shared" si="194"/>
        <v>판타지 웹소설 &gt; 현대 판타지</v>
      </c>
    </row>
    <row r="1119" spans="1:57" x14ac:dyDescent="0.3">
      <c r="A1119">
        <v>2313011400</v>
      </c>
      <c r="B1119">
        <v>2313011689</v>
      </c>
      <c r="C1119" t="str">
        <f>T("최종 보스 14권 18화")</f>
        <v>최종 보스 14권 18화</v>
      </c>
      <c r="D1119" t="str">
        <f>T("290")</f>
        <v>290</v>
      </c>
      <c r="E1119" t="str">
        <f t="shared" si="190"/>
        <v>무장</v>
      </c>
      <c r="H1119" t="str">
        <f t="shared" si="191"/>
        <v>스토리위즈</v>
      </c>
      <c r="I1119" t="str">
        <f t="shared" si="192"/>
        <v>최종 보스 : 빛을 향해 달리는 그림자</v>
      </c>
      <c r="J1119">
        <v>100</v>
      </c>
      <c r="K1119">
        <v>500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500</v>
      </c>
      <c r="AH1119">
        <v>5</v>
      </c>
      <c r="AI1119">
        <v>0</v>
      </c>
      <c r="AJ1119">
        <v>0</v>
      </c>
      <c r="AK1119">
        <v>300</v>
      </c>
      <c r="AL1119">
        <v>0</v>
      </c>
      <c r="AM1119">
        <v>240</v>
      </c>
      <c r="AN1119">
        <v>-48</v>
      </c>
      <c r="AO1119">
        <v>0</v>
      </c>
      <c r="AP1119">
        <v>120</v>
      </c>
      <c r="AQ1119">
        <v>-36</v>
      </c>
      <c r="AR1119">
        <v>0</v>
      </c>
      <c r="AS1119">
        <v>120</v>
      </c>
      <c r="AT1119">
        <v>-12</v>
      </c>
      <c r="AU1119">
        <v>0</v>
      </c>
      <c r="AW1119">
        <v>0</v>
      </c>
      <c r="AX1119">
        <v>0</v>
      </c>
      <c r="AY1119">
        <v>344.4</v>
      </c>
      <c r="BC1119" t="str">
        <f t="shared" si="193"/>
        <v>9791166067563</v>
      </c>
      <c r="BE1119" t="str">
        <f t="shared" si="194"/>
        <v>판타지 웹소설 &gt; 현대 판타지</v>
      </c>
    </row>
    <row r="1120" spans="1:57" x14ac:dyDescent="0.3">
      <c r="A1120">
        <v>2313011400</v>
      </c>
      <c r="B1120">
        <v>2313011690</v>
      </c>
      <c r="C1120" t="str">
        <f>T("최종 보스 14권 19화")</f>
        <v>최종 보스 14권 19화</v>
      </c>
      <c r="D1120" t="str">
        <f>T("291")</f>
        <v>291</v>
      </c>
      <c r="E1120" t="str">
        <f t="shared" si="190"/>
        <v>무장</v>
      </c>
      <c r="H1120" t="str">
        <f t="shared" si="191"/>
        <v>스토리위즈</v>
      </c>
      <c r="I1120" t="str">
        <f t="shared" si="192"/>
        <v>최종 보스 : 빛을 향해 달리는 그림자</v>
      </c>
      <c r="J1120">
        <v>100</v>
      </c>
      <c r="K1120">
        <v>500</v>
      </c>
      <c r="L1120">
        <v>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500</v>
      </c>
      <c r="AH1120">
        <v>5</v>
      </c>
      <c r="AI1120">
        <v>0</v>
      </c>
      <c r="AJ1120">
        <v>0</v>
      </c>
      <c r="AK1120">
        <v>300</v>
      </c>
      <c r="AL1120">
        <v>0</v>
      </c>
      <c r="AM1120">
        <v>240</v>
      </c>
      <c r="AN1120">
        <v>-48</v>
      </c>
      <c r="AO1120">
        <v>0</v>
      </c>
      <c r="AP1120">
        <v>120</v>
      </c>
      <c r="AQ1120">
        <v>-36</v>
      </c>
      <c r="AR1120">
        <v>0</v>
      </c>
      <c r="AS1120">
        <v>120</v>
      </c>
      <c r="AT1120">
        <v>-12</v>
      </c>
      <c r="AU1120">
        <v>0</v>
      </c>
      <c r="AW1120">
        <v>0</v>
      </c>
      <c r="AX1120">
        <v>0</v>
      </c>
      <c r="AY1120">
        <v>344.4</v>
      </c>
      <c r="BC1120" t="str">
        <f t="shared" si="193"/>
        <v>9791166067563</v>
      </c>
      <c r="BE1120" t="str">
        <f t="shared" si="194"/>
        <v>판타지 웹소설 &gt; 현대 판타지</v>
      </c>
    </row>
    <row r="1121" spans="1:57" x14ac:dyDescent="0.3">
      <c r="A1121">
        <v>2313011400</v>
      </c>
      <c r="B1121">
        <v>2313011691</v>
      </c>
      <c r="C1121" t="str">
        <f>T("최종 보스 14권 20화")</f>
        <v>최종 보스 14권 20화</v>
      </c>
      <c r="D1121" t="str">
        <f>T("292")</f>
        <v>292</v>
      </c>
      <c r="E1121" t="str">
        <f t="shared" si="190"/>
        <v>무장</v>
      </c>
      <c r="H1121" t="str">
        <f t="shared" si="191"/>
        <v>스토리위즈</v>
      </c>
      <c r="I1121" t="str">
        <f t="shared" si="192"/>
        <v>최종 보스 : 빛을 향해 달리는 그림자</v>
      </c>
      <c r="J1121">
        <v>100</v>
      </c>
      <c r="K1121">
        <v>500</v>
      </c>
      <c r="L1121">
        <v>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500</v>
      </c>
      <c r="AH1121">
        <v>5</v>
      </c>
      <c r="AI1121">
        <v>0</v>
      </c>
      <c r="AJ1121">
        <v>0</v>
      </c>
      <c r="AK1121">
        <v>300</v>
      </c>
      <c r="AL1121">
        <v>0</v>
      </c>
      <c r="AM1121">
        <v>240</v>
      </c>
      <c r="AN1121">
        <v>-48</v>
      </c>
      <c r="AO1121">
        <v>0</v>
      </c>
      <c r="AP1121">
        <v>120</v>
      </c>
      <c r="AQ1121">
        <v>-36</v>
      </c>
      <c r="AR1121">
        <v>0</v>
      </c>
      <c r="AS1121">
        <v>120</v>
      </c>
      <c r="AT1121">
        <v>-12</v>
      </c>
      <c r="AU1121">
        <v>0</v>
      </c>
      <c r="AW1121">
        <v>0</v>
      </c>
      <c r="AX1121">
        <v>0</v>
      </c>
      <c r="AY1121">
        <v>344.4</v>
      </c>
      <c r="BC1121" t="str">
        <f t="shared" si="193"/>
        <v>9791166067563</v>
      </c>
      <c r="BE1121" t="str">
        <f t="shared" si="194"/>
        <v>판타지 웹소설 &gt; 현대 판타지</v>
      </c>
    </row>
    <row r="1122" spans="1:57" x14ac:dyDescent="0.3">
      <c r="A1122">
        <v>2313011400</v>
      </c>
      <c r="B1122">
        <v>2313011692</v>
      </c>
      <c r="C1122" t="str">
        <f>T("최종 보스 15권 1화")</f>
        <v>최종 보스 15권 1화</v>
      </c>
      <c r="D1122" t="str">
        <f>T("293")</f>
        <v>293</v>
      </c>
      <c r="E1122" t="str">
        <f t="shared" si="190"/>
        <v>무장</v>
      </c>
      <c r="H1122" t="str">
        <f t="shared" si="191"/>
        <v>스토리위즈</v>
      </c>
      <c r="I1122" t="str">
        <f t="shared" si="192"/>
        <v>최종 보스 : 빛을 향해 달리는 그림자</v>
      </c>
      <c r="J1122">
        <v>100</v>
      </c>
      <c r="K1122">
        <v>500</v>
      </c>
      <c r="L1122">
        <v>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500</v>
      </c>
      <c r="AH1122">
        <v>5</v>
      </c>
      <c r="AI1122">
        <v>0</v>
      </c>
      <c r="AJ1122">
        <v>0</v>
      </c>
      <c r="AK1122">
        <v>300</v>
      </c>
      <c r="AL1122">
        <v>0</v>
      </c>
      <c r="AM1122">
        <v>240</v>
      </c>
      <c r="AN1122">
        <v>-48</v>
      </c>
      <c r="AO1122">
        <v>0</v>
      </c>
      <c r="AP1122">
        <v>120</v>
      </c>
      <c r="AQ1122">
        <v>-36</v>
      </c>
      <c r="AR1122">
        <v>0</v>
      </c>
      <c r="AS1122">
        <v>120</v>
      </c>
      <c r="AT1122">
        <v>-12</v>
      </c>
      <c r="AU1122">
        <v>0</v>
      </c>
      <c r="AW1122">
        <v>0</v>
      </c>
      <c r="AX1122">
        <v>0</v>
      </c>
      <c r="AY1122">
        <v>344.4</v>
      </c>
      <c r="BC1122" t="str">
        <f t="shared" si="193"/>
        <v>9791166067563</v>
      </c>
      <c r="BE1122" t="str">
        <f t="shared" si="194"/>
        <v>판타지 웹소설 &gt; 현대 판타지</v>
      </c>
    </row>
    <row r="1123" spans="1:57" x14ac:dyDescent="0.3">
      <c r="A1123">
        <v>2313011400</v>
      </c>
      <c r="B1123">
        <v>2313011693</v>
      </c>
      <c r="C1123" t="str">
        <f>T("최종 보스 15권 2화")</f>
        <v>최종 보스 15권 2화</v>
      </c>
      <c r="D1123" t="str">
        <f>T("294")</f>
        <v>294</v>
      </c>
      <c r="E1123" t="str">
        <f t="shared" si="190"/>
        <v>무장</v>
      </c>
      <c r="H1123" t="str">
        <f t="shared" si="191"/>
        <v>스토리위즈</v>
      </c>
      <c r="I1123" t="str">
        <f t="shared" si="192"/>
        <v>최종 보스 : 빛을 향해 달리는 그림자</v>
      </c>
      <c r="J1123">
        <v>100</v>
      </c>
      <c r="K1123">
        <v>500</v>
      </c>
      <c r="L1123">
        <v>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500</v>
      </c>
      <c r="AH1123">
        <v>5</v>
      </c>
      <c r="AI1123">
        <v>0</v>
      </c>
      <c r="AJ1123">
        <v>0</v>
      </c>
      <c r="AK1123">
        <v>300</v>
      </c>
      <c r="AL1123">
        <v>0</v>
      </c>
      <c r="AM1123">
        <v>240</v>
      </c>
      <c r="AN1123">
        <v>-48</v>
      </c>
      <c r="AO1123">
        <v>0</v>
      </c>
      <c r="AP1123">
        <v>120</v>
      </c>
      <c r="AQ1123">
        <v>-36</v>
      </c>
      <c r="AR1123">
        <v>0</v>
      </c>
      <c r="AS1123">
        <v>120</v>
      </c>
      <c r="AT1123">
        <v>-12</v>
      </c>
      <c r="AU1123">
        <v>0</v>
      </c>
      <c r="AW1123">
        <v>0</v>
      </c>
      <c r="AX1123">
        <v>0</v>
      </c>
      <c r="AY1123">
        <v>344.4</v>
      </c>
      <c r="BC1123" t="str">
        <f t="shared" si="193"/>
        <v>9791166067563</v>
      </c>
      <c r="BE1123" t="str">
        <f t="shared" si="194"/>
        <v>판타지 웹소설 &gt; 현대 판타지</v>
      </c>
    </row>
    <row r="1124" spans="1:57" x14ac:dyDescent="0.3">
      <c r="A1124">
        <v>2313011400</v>
      </c>
      <c r="B1124">
        <v>2313011694</v>
      </c>
      <c r="C1124" t="str">
        <f>T("최종 보스 15권 3화")</f>
        <v>최종 보스 15권 3화</v>
      </c>
      <c r="D1124" t="str">
        <f>T("295")</f>
        <v>295</v>
      </c>
      <c r="E1124" t="str">
        <f t="shared" si="190"/>
        <v>무장</v>
      </c>
      <c r="H1124" t="str">
        <f t="shared" si="191"/>
        <v>스토리위즈</v>
      </c>
      <c r="I1124" t="str">
        <f t="shared" si="192"/>
        <v>최종 보스 : 빛을 향해 달리는 그림자</v>
      </c>
      <c r="J1124">
        <v>100</v>
      </c>
      <c r="K1124">
        <v>500</v>
      </c>
      <c r="L1124">
        <v>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500</v>
      </c>
      <c r="AH1124">
        <v>5</v>
      </c>
      <c r="AI1124">
        <v>0</v>
      </c>
      <c r="AJ1124">
        <v>0</v>
      </c>
      <c r="AK1124">
        <v>300</v>
      </c>
      <c r="AL1124">
        <v>0</v>
      </c>
      <c r="AM1124">
        <v>240</v>
      </c>
      <c r="AN1124">
        <v>-48</v>
      </c>
      <c r="AO1124">
        <v>0</v>
      </c>
      <c r="AP1124">
        <v>120</v>
      </c>
      <c r="AQ1124">
        <v>-36</v>
      </c>
      <c r="AR1124">
        <v>0</v>
      </c>
      <c r="AS1124">
        <v>120</v>
      </c>
      <c r="AT1124">
        <v>-12</v>
      </c>
      <c r="AU1124">
        <v>0</v>
      </c>
      <c r="AW1124">
        <v>0</v>
      </c>
      <c r="AX1124">
        <v>0</v>
      </c>
      <c r="AY1124">
        <v>344.4</v>
      </c>
      <c r="BC1124" t="str">
        <f t="shared" si="193"/>
        <v>9791166067563</v>
      </c>
      <c r="BE1124" t="str">
        <f t="shared" si="194"/>
        <v>판타지 웹소설 &gt; 현대 판타지</v>
      </c>
    </row>
    <row r="1125" spans="1:57" x14ac:dyDescent="0.3">
      <c r="A1125">
        <v>2313011400</v>
      </c>
      <c r="B1125">
        <v>2313011695</v>
      </c>
      <c r="C1125" t="str">
        <f>T("최종 보스 15권 4화")</f>
        <v>최종 보스 15권 4화</v>
      </c>
      <c r="D1125" t="str">
        <f>T("296")</f>
        <v>296</v>
      </c>
      <c r="E1125" t="str">
        <f t="shared" si="190"/>
        <v>무장</v>
      </c>
      <c r="H1125" t="str">
        <f t="shared" si="191"/>
        <v>스토리위즈</v>
      </c>
      <c r="I1125" t="str">
        <f t="shared" si="192"/>
        <v>최종 보스 : 빛을 향해 달리는 그림자</v>
      </c>
      <c r="J1125">
        <v>100</v>
      </c>
      <c r="K1125">
        <v>500</v>
      </c>
      <c r="L1125">
        <v>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500</v>
      </c>
      <c r="AH1125">
        <v>5</v>
      </c>
      <c r="AI1125">
        <v>0</v>
      </c>
      <c r="AJ1125">
        <v>0</v>
      </c>
      <c r="AK1125">
        <v>300</v>
      </c>
      <c r="AL1125">
        <v>0</v>
      </c>
      <c r="AM1125">
        <v>240</v>
      </c>
      <c r="AN1125">
        <v>-48</v>
      </c>
      <c r="AO1125">
        <v>0</v>
      </c>
      <c r="AP1125">
        <v>120</v>
      </c>
      <c r="AQ1125">
        <v>-36</v>
      </c>
      <c r="AR1125">
        <v>0</v>
      </c>
      <c r="AS1125">
        <v>120</v>
      </c>
      <c r="AT1125">
        <v>-12</v>
      </c>
      <c r="AU1125">
        <v>0</v>
      </c>
      <c r="AW1125">
        <v>0</v>
      </c>
      <c r="AX1125">
        <v>0</v>
      </c>
      <c r="AY1125">
        <v>344.4</v>
      </c>
      <c r="BC1125" t="str">
        <f t="shared" si="193"/>
        <v>9791166067563</v>
      </c>
      <c r="BE1125" t="str">
        <f t="shared" si="194"/>
        <v>판타지 웹소설 &gt; 현대 판타지</v>
      </c>
    </row>
    <row r="1126" spans="1:57" x14ac:dyDescent="0.3">
      <c r="A1126">
        <v>2313011400</v>
      </c>
      <c r="B1126">
        <v>2313011696</v>
      </c>
      <c r="C1126" t="str">
        <f>T("최종 보스 15권 5화")</f>
        <v>최종 보스 15권 5화</v>
      </c>
      <c r="D1126" t="str">
        <f>T("297")</f>
        <v>297</v>
      </c>
      <c r="E1126" t="str">
        <f t="shared" si="190"/>
        <v>무장</v>
      </c>
      <c r="H1126" t="str">
        <f t="shared" si="191"/>
        <v>스토리위즈</v>
      </c>
      <c r="I1126" t="str">
        <f t="shared" si="192"/>
        <v>최종 보스 : 빛을 향해 달리는 그림자</v>
      </c>
      <c r="J1126">
        <v>100</v>
      </c>
      <c r="K1126">
        <v>500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500</v>
      </c>
      <c r="AH1126">
        <v>5</v>
      </c>
      <c r="AI1126">
        <v>0</v>
      </c>
      <c r="AJ1126">
        <v>0</v>
      </c>
      <c r="AK1126">
        <v>300</v>
      </c>
      <c r="AL1126">
        <v>0</v>
      </c>
      <c r="AM1126">
        <v>240</v>
      </c>
      <c r="AN1126">
        <v>-48</v>
      </c>
      <c r="AO1126">
        <v>0</v>
      </c>
      <c r="AP1126">
        <v>120</v>
      </c>
      <c r="AQ1126">
        <v>-36</v>
      </c>
      <c r="AR1126">
        <v>0</v>
      </c>
      <c r="AS1126">
        <v>120</v>
      </c>
      <c r="AT1126">
        <v>-12</v>
      </c>
      <c r="AU1126">
        <v>0</v>
      </c>
      <c r="AW1126">
        <v>0</v>
      </c>
      <c r="AX1126">
        <v>0</v>
      </c>
      <c r="AY1126">
        <v>344.4</v>
      </c>
      <c r="BC1126" t="str">
        <f t="shared" si="193"/>
        <v>9791166067563</v>
      </c>
      <c r="BE1126" t="str">
        <f t="shared" si="194"/>
        <v>판타지 웹소설 &gt; 현대 판타지</v>
      </c>
    </row>
    <row r="1127" spans="1:57" x14ac:dyDescent="0.3">
      <c r="A1127">
        <v>2313011400</v>
      </c>
      <c r="B1127">
        <v>2313011697</v>
      </c>
      <c r="C1127" t="str">
        <f>T("최종 보스 15권 6화")</f>
        <v>최종 보스 15권 6화</v>
      </c>
      <c r="D1127" t="str">
        <f>T("298")</f>
        <v>298</v>
      </c>
      <c r="E1127" t="str">
        <f t="shared" si="190"/>
        <v>무장</v>
      </c>
      <c r="H1127" t="str">
        <f t="shared" si="191"/>
        <v>스토리위즈</v>
      </c>
      <c r="I1127" t="str">
        <f t="shared" si="192"/>
        <v>최종 보스 : 빛을 향해 달리는 그림자</v>
      </c>
      <c r="J1127">
        <v>100</v>
      </c>
      <c r="K1127">
        <v>500</v>
      </c>
      <c r="L1127">
        <v>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500</v>
      </c>
      <c r="AH1127">
        <v>5</v>
      </c>
      <c r="AI1127">
        <v>0</v>
      </c>
      <c r="AJ1127">
        <v>0</v>
      </c>
      <c r="AK1127">
        <v>300</v>
      </c>
      <c r="AL1127">
        <v>0</v>
      </c>
      <c r="AM1127">
        <v>240</v>
      </c>
      <c r="AN1127">
        <v>-48</v>
      </c>
      <c r="AO1127">
        <v>0</v>
      </c>
      <c r="AP1127">
        <v>120</v>
      </c>
      <c r="AQ1127">
        <v>-36</v>
      </c>
      <c r="AR1127">
        <v>0</v>
      </c>
      <c r="AS1127">
        <v>120</v>
      </c>
      <c r="AT1127">
        <v>-12</v>
      </c>
      <c r="AU1127">
        <v>0</v>
      </c>
      <c r="AW1127">
        <v>0</v>
      </c>
      <c r="AX1127">
        <v>0</v>
      </c>
      <c r="AY1127">
        <v>344.4</v>
      </c>
      <c r="BC1127" t="str">
        <f t="shared" si="193"/>
        <v>9791166067563</v>
      </c>
      <c r="BE1127" t="str">
        <f t="shared" si="194"/>
        <v>판타지 웹소설 &gt; 현대 판타지</v>
      </c>
    </row>
    <row r="1128" spans="1:57" x14ac:dyDescent="0.3">
      <c r="A1128">
        <v>2313011400</v>
      </c>
      <c r="B1128">
        <v>2313011698</v>
      </c>
      <c r="C1128" t="str">
        <f>T("최종 보스 15권 7화")</f>
        <v>최종 보스 15권 7화</v>
      </c>
      <c r="D1128" t="str">
        <f>T("299")</f>
        <v>299</v>
      </c>
      <c r="E1128" t="str">
        <f t="shared" si="190"/>
        <v>무장</v>
      </c>
      <c r="H1128" t="str">
        <f t="shared" si="191"/>
        <v>스토리위즈</v>
      </c>
      <c r="I1128" t="str">
        <f t="shared" si="192"/>
        <v>최종 보스 : 빛을 향해 달리는 그림자</v>
      </c>
      <c r="J1128">
        <v>100</v>
      </c>
      <c r="K1128">
        <v>500</v>
      </c>
      <c r="L1128">
        <v>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500</v>
      </c>
      <c r="AH1128">
        <v>5</v>
      </c>
      <c r="AI1128">
        <v>0</v>
      </c>
      <c r="AJ1128">
        <v>0</v>
      </c>
      <c r="AK1128">
        <v>300</v>
      </c>
      <c r="AL1128">
        <v>0</v>
      </c>
      <c r="AM1128">
        <v>240</v>
      </c>
      <c r="AN1128">
        <v>-48</v>
      </c>
      <c r="AO1128">
        <v>0</v>
      </c>
      <c r="AP1128">
        <v>120</v>
      </c>
      <c r="AQ1128">
        <v>-36</v>
      </c>
      <c r="AR1128">
        <v>0</v>
      </c>
      <c r="AS1128">
        <v>120</v>
      </c>
      <c r="AT1128">
        <v>-12</v>
      </c>
      <c r="AU1128">
        <v>0</v>
      </c>
      <c r="AW1128">
        <v>0</v>
      </c>
      <c r="AX1128">
        <v>0</v>
      </c>
      <c r="AY1128">
        <v>344.4</v>
      </c>
      <c r="BC1128" t="str">
        <f t="shared" si="193"/>
        <v>9791166067563</v>
      </c>
      <c r="BE1128" t="str">
        <f t="shared" si="194"/>
        <v>판타지 웹소설 &gt; 현대 판타지</v>
      </c>
    </row>
    <row r="1129" spans="1:57" x14ac:dyDescent="0.3">
      <c r="A1129">
        <v>2313011400</v>
      </c>
      <c r="B1129">
        <v>2313011699</v>
      </c>
      <c r="C1129" t="str">
        <f>T("최종 보스 15권 8화")</f>
        <v>최종 보스 15권 8화</v>
      </c>
      <c r="D1129" t="str">
        <f>T("300")</f>
        <v>300</v>
      </c>
      <c r="E1129" t="str">
        <f t="shared" si="190"/>
        <v>무장</v>
      </c>
      <c r="H1129" t="str">
        <f t="shared" si="191"/>
        <v>스토리위즈</v>
      </c>
      <c r="I1129" t="str">
        <f t="shared" si="192"/>
        <v>최종 보스 : 빛을 향해 달리는 그림자</v>
      </c>
      <c r="J1129">
        <v>100</v>
      </c>
      <c r="K1129">
        <v>500</v>
      </c>
      <c r="L1129">
        <v>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500</v>
      </c>
      <c r="AH1129">
        <v>5</v>
      </c>
      <c r="AI1129">
        <v>0</v>
      </c>
      <c r="AJ1129">
        <v>0</v>
      </c>
      <c r="AK1129">
        <v>300</v>
      </c>
      <c r="AL1129">
        <v>0</v>
      </c>
      <c r="AM1129">
        <v>240</v>
      </c>
      <c r="AN1129">
        <v>-48</v>
      </c>
      <c r="AO1129">
        <v>0</v>
      </c>
      <c r="AP1129">
        <v>120</v>
      </c>
      <c r="AQ1129">
        <v>-36</v>
      </c>
      <c r="AR1129">
        <v>0</v>
      </c>
      <c r="AS1129">
        <v>120</v>
      </c>
      <c r="AT1129">
        <v>-12</v>
      </c>
      <c r="AU1129">
        <v>0</v>
      </c>
      <c r="AW1129">
        <v>0</v>
      </c>
      <c r="AX1129">
        <v>0</v>
      </c>
      <c r="AY1129">
        <v>344.4</v>
      </c>
      <c r="BC1129" t="str">
        <f t="shared" si="193"/>
        <v>9791166067563</v>
      </c>
      <c r="BE1129" t="str">
        <f t="shared" si="194"/>
        <v>판타지 웹소설 &gt; 현대 판타지</v>
      </c>
    </row>
    <row r="1130" spans="1:57" x14ac:dyDescent="0.3">
      <c r="A1130">
        <v>2313011400</v>
      </c>
      <c r="B1130">
        <v>2313011700</v>
      </c>
      <c r="C1130" t="str">
        <f>T("최종 보스 15권 9화")</f>
        <v>최종 보스 15권 9화</v>
      </c>
      <c r="D1130" t="str">
        <f>T("301")</f>
        <v>301</v>
      </c>
      <c r="E1130" t="str">
        <f t="shared" si="190"/>
        <v>무장</v>
      </c>
      <c r="H1130" t="str">
        <f t="shared" si="191"/>
        <v>스토리위즈</v>
      </c>
      <c r="I1130" t="str">
        <f t="shared" si="192"/>
        <v>최종 보스 : 빛을 향해 달리는 그림자</v>
      </c>
      <c r="J1130">
        <v>100</v>
      </c>
      <c r="K1130">
        <v>500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500</v>
      </c>
      <c r="AH1130">
        <v>5</v>
      </c>
      <c r="AI1130">
        <v>0</v>
      </c>
      <c r="AJ1130">
        <v>0</v>
      </c>
      <c r="AK1130">
        <v>300</v>
      </c>
      <c r="AL1130">
        <v>0</v>
      </c>
      <c r="AM1130">
        <v>240</v>
      </c>
      <c r="AN1130">
        <v>-48</v>
      </c>
      <c r="AO1130">
        <v>0</v>
      </c>
      <c r="AP1130">
        <v>120</v>
      </c>
      <c r="AQ1130">
        <v>-36</v>
      </c>
      <c r="AR1130">
        <v>0</v>
      </c>
      <c r="AS1130">
        <v>120</v>
      </c>
      <c r="AT1130">
        <v>-12</v>
      </c>
      <c r="AU1130">
        <v>0</v>
      </c>
      <c r="AW1130">
        <v>0</v>
      </c>
      <c r="AX1130">
        <v>0</v>
      </c>
      <c r="AY1130">
        <v>344.4</v>
      </c>
      <c r="BC1130" t="str">
        <f t="shared" si="193"/>
        <v>9791166067563</v>
      </c>
      <c r="BE1130" t="str">
        <f t="shared" si="194"/>
        <v>판타지 웹소설 &gt; 현대 판타지</v>
      </c>
    </row>
    <row r="1131" spans="1:57" x14ac:dyDescent="0.3">
      <c r="A1131">
        <v>2313011400</v>
      </c>
      <c r="B1131">
        <v>2313011701</v>
      </c>
      <c r="C1131" t="str">
        <f>T("최종 보스 15권 10화")</f>
        <v>최종 보스 15권 10화</v>
      </c>
      <c r="D1131" t="str">
        <f>T("302")</f>
        <v>302</v>
      </c>
      <c r="E1131" t="str">
        <f t="shared" si="190"/>
        <v>무장</v>
      </c>
      <c r="H1131" t="str">
        <f t="shared" si="191"/>
        <v>스토리위즈</v>
      </c>
      <c r="I1131" t="str">
        <f t="shared" si="192"/>
        <v>최종 보스 : 빛을 향해 달리는 그림자</v>
      </c>
      <c r="J1131">
        <v>100</v>
      </c>
      <c r="K1131">
        <v>500</v>
      </c>
      <c r="L1131">
        <v>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500</v>
      </c>
      <c r="AH1131">
        <v>5</v>
      </c>
      <c r="AI1131">
        <v>0</v>
      </c>
      <c r="AJ1131">
        <v>0</v>
      </c>
      <c r="AK1131">
        <v>300</v>
      </c>
      <c r="AL1131">
        <v>0</v>
      </c>
      <c r="AM1131">
        <v>240</v>
      </c>
      <c r="AN1131">
        <v>-48</v>
      </c>
      <c r="AO1131">
        <v>0</v>
      </c>
      <c r="AP1131">
        <v>120</v>
      </c>
      <c r="AQ1131">
        <v>-36</v>
      </c>
      <c r="AR1131">
        <v>0</v>
      </c>
      <c r="AS1131">
        <v>120</v>
      </c>
      <c r="AT1131">
        <v>-12</v>
      </c>
      <c r="AU1131">
        <v>0</v>
      </c>
      <c r="AW1131">
        <v>0</v>
      </c>
      <c r="AX1131">
        <v>0</v>
      </c>
      <c r="AY1131">
        <v>344.4</v>
      </c>
      <c r="BC1131" t="str">
        <f t="shared" si="193"/>
        <v>9791166067563</v>
      </c>
      <c r="BE1131" t="str">
        <f t="shared" si="194"/>
        <v>판타지 웹소설 &gt; 현대 판타지</v>
      </c>
    </row>
    <row r="1132" spans="1:57" x14ac:dyDescent="0.3">
      <c r="A1132">
        <v>2313011400</v>
      </c>
      <c r="B1132">
        <v>2313011702</v>
      </c>
      <c r="C1132" t="str">
        <f>T("최종 보스 15권 11화")</f>
        <v>최종 보스 15권 11화</v>
      </c>
      <c r="D1132" t="str">
        <f>T("303")</f>
        <v>303</v>
      </c>
      <c r="E1132" t="str">
        <f t="shared" si="190"/>
        <v>무장</v>
      </c>
      <c r="H1132" t="str">
        <f t="shared" si="191"/>
        <v>스토리위즈</v>
      </c>
      <c r="I1132" t="str">
        <f t="shared" si="192"/>
        <v>최종 보스 : 빛을 향해 달리는 그림자</v>
      </c>
      <c r="J1132">
        <v>100</v>
      </c>
      <c r="K1132">
        <v>500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500</v>
      </c>
      <c r="AH1132">
        <v>5</v>
      </c>
      <c r="AI1132">
        <v>0</v>
      </c>
      <c r="AJ1132">
        <v>0</v>
      </c>
      <c r="AK1132">
        <v>300</v>
      </c>
      <c r="AL1132">
        <v>0</v>
      </c>
      <c r="AM1132">
        <v>240</v>
      </c>
      <c r="AN1132">
        <v>-48</v>
      </c>
      <c r="AO1132">
        <v>0</v>
      </c>
      <c r="AP1132">
        <v>120</v>
      </c>
      <c r="AQ1132">
        <v>-36</v>
      </c>
      <c r="AR1132">
        <v>0</v>
      </c>
      <c r="AS1132">
        <v>120</v>
      </c>
      <c r="AT1132">
        <v>-12</v>
      </c>
      <c r="AU1132">
        <v>0</v>
      </c>
      <c r="AW1132">
        <v>0</v>
      </c>
      <c r="AX1132">
        <v>0</v>
      </c>
      <c r="AY1132">
        <v>344.4</v>
      </c>
      <c r="BC1132" t="str">
        <f t="shared" si="193"/>
        <v>9791166067563</v>
      </c>
      <c r="BE1132" t="str">
        <f t="shared" si="194"/>
        <v>판타지 웹소설 &gt; 현대 판타지</v>
      </c>
    </row>
    <row r="1133" spans="1:57" x14ac:dyDescent="0.3">
      <c r="A1133">
        <v>2313011400</v>
      </c>
      <c r="B1133">
        <v>2313011703</v>
      </c>
      <c r="C1133" t="str">
        <f>T("최종 보스 15권 12화")</f>
        <v>최종 보스 15권 12화</v>
      </c>
      <c r="D1133" t="str">
        <f>T("304")</f>
        <v>304</v>
      </c>
      <c r="E1133" t="str">
        <f t="shared" si="190"/>
        <v>무장</v>
      </c>
      <c r="H1133" t="str">
        <f t="shared" si="191"/>
        <v>스토리위즈</v>
      </c>
      <c r="I1133" t="str">
        <f t="shared" si="192"/>
        <v>최종 보스 : 빛을 향해 달리는 그림자</v>
      </c>
      <c r="J1133">
        <v>100</v>
      </c>
      <c r="K1133">
        <v>500</v>
      </c>
      <c r="L1133">
        <v>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500</v>
      </c>
      <c r="AH1133">
        <v>5</v>
      </c>
      <c r="AI1133">
        <v>0</v>
      </c>
      <c r="AJ1133">
        <v>0</v>
      </c>
      <c r="AK1133">
        <v>300</v>
      </c>
      <c r="AL1133">
        <v>0</v>
      </c>
      <c r="AM1133">
        <v>240</v>
      </c>
      <c r="AN1133">
        <v>-48</v>
      </c>
      <c r="AO1133">
        <v>0</v>
      </c>
      <c r="AP1133">
        <v>120</v>
      </c>
      <c r="AQ1133">
        <v>-36</v>
      </c>
      <c r="AR1133">
        <v>0</v>
      </c>
      <c r="AS1133">
        <v>120</v>
      </c>
      <c r="AT1133">
        <v>-12</v>
      </c>
      <c r="AU1133">
        <v>0</v>
      </c>
      <c r="AW1133">
        <v>0</v>
      </c>
      <c r="AX1133">
        <v>0</v>
      </c>
      <c r="AY1133">
        <v>344.4</v>
      </c>
      <c r="BC1133" t="str">
        <f t="shared" si="193"/>
        <v>9791166067563</v>
      </c>
      <c r="BE1133" t="str">
        <f t="shared" si="194"/>
        <v>판타지 웹소설 &gt; 현대 판타지</v>
      </c>
    </row>
    <row r="1134" spans="1:57" x14ac:dyDescent="0.3">
      <c r="A1134">
        <v>2313011400</v>
      </c>
      <c r="B1134">
        <v>2313011704</v>
      </c>
      <c r="C1134" t="str">
        <f>T("최종 보스 15권 13화")</f>
        <v>최종 보스 15권 13화</v>
      </c>
      <c r="D1134" t="str">
        <f>T("305")</f>
        <v>305</v>
      </c>
      <c r="E1134" t="str">
        <f t="shared" si="190"/>
        <v>무장</v>
      </c>
      <c r="H1134" t="str">
        <f t="shared" si="191"/>
        <v>스토리위즈</v>
      </c>
      <c r="I1134" t="str">
        <f t="shared" si="192"/>
        <v>최종 보스 : 빛을 향해 달리는 그림자</v>
      </c>
      <c r="J1134">
        <v>100</v>
      </c>
      <c r="K1134">
        <v>500</v>
      </c>
      <c r="L1134">
        <v>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500</v>
      </c>
      <c r="AH1134">
        <v>5</v>
      </c>
      <c r="AI1134">
        <v>0</v>
      </c>
      <c r="AJ1134">
        <v>0</v>
      </c>
      <c r="AK1134">
        <v>300</v>
      </c>
      <c r="AL1134">
        <v>0</v>
      </c>
      <c r="AM1134">
        <v>240</v>
      </c>
      <c r="AN1134">
        <v>-48</v>
      </c>
      <c r="AO1134">
        <v>0</v>
      </c>
      <c r="AP1134">
        <v>120</v>
      </c>
      <c r="AQ1134">
        <v>-36</v>
      </c>
      <c r="AR1134">
        <v>0</v>
      </c>
      <c r="AS1134">
        <v>120</v>
      </c>
      <c r="AT1134">
        <v>-12</v>
      </c>
      <c r="AU1134">
        <v>0</v>
      </c>
      <c r="AW1134">
        <v>0</v>
      </c>
      <c r="AX1134">
        <v>0</v>
      </c>
      <c r="AY1134">
        <v>344.4</v>
      </c>
      <c r="BC1134" t="str">
        <f t="shared" si="193"/>
        <v>9791166067563</v>
      </c>
      <c r="BE1134" t="str">
        <f t="shared" si="194"/>
        <v>판타지 웹소설 &gt; 현대 판타지</v>
      </c>
    </row>
    <row r="1135" spans="1:57" x14ac:dyDescent="0.3">
      <c r="A1135">
        <v>2313011400</v>
      </c>
      <c r="B1135">
        <v>2313011705</v>
      </c>
      <c r="C1135" t="str">
        <f>T("최종 보스 15권 14화")</f>
        <v>최종 보스 15권 14화</v>
      </c>
      <c r="D1135" t="str">
        <f>T("306")</f>
        <v>306</v>
      </c>
      <c r="E1135" t="str">
        <f t="shared" si="190"/>
        <v>무장</v>
      </c>
      <c r="H1135" t="str">
        <f t="shared" si="191"/>
        <v>스토리위즈</v>
      </c>
      <c r="I1135" t="str">
        <f t="shared" si="192"/>
        <v>최종 보스 : 빛을 향해 달리는 그림자</v>
      </c>
      <c r="J1135">
        <v>100</v>
      </c>
      <c r="K1135">
        <v>500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500</v>
      </c>
      <c r="AH1135">
        <v>5</v>
      </c>
      <c r="AI1135">
        <v>0</v>
      </c>
      <c r="AJ1135">
        <v>0</v>
      </c>
      <c r="AK1135">
        <v>300</v>
      </c>
      <c r="AL1135">
        <v>0</v>
      </c>
      <c r="AM1135">
        <v>240</v>
      </c>
      <c r="AN1135">
        <v>-48</v>
      </c>
      <c r="AO1135">
        <v>0</v>
      </c>
      <c r="AP1135">
        <v>120</v>
      </c>
      <c r="AQ1135">
        <v>-36</v>
      </c>
      <c r="AR1135">
        <v>0</v>
      </c>
      <c r="AS1135">
        <v>120</v>
      </c>
      <c r="AT1135">
        <v>-12</v>
      </c>
      <c r="AU1135">
        <v>0</v>
      </c>
      <c r="AW1135">
        <v>0</v>
      </c>
      <c r="AX1135">
        <v>0</v>
      </c>
      <c r="AY1135">
        <v>344.4</v>
      </c>
      <c r="BC1135" t="str">
        <f t="shared" si="193"/>
        <v>9791166067563</v>
      </c>
      <c r="BE1135" t="str">
        <f t="shared" si="194"/>
        <v>판타지 웹소설 &gt; 현대 판타지</v>
      </c>
    </row>
    <row r="1136" spans="1:57" x14ac:dyDescent="0.3">
      <c r="A1136">
        <v>2313011400</v>
      </c>
      <c r="B1136">
        <v>2313011706</v>
      </c>
      <c r="C1136" t="str">
        <f>T("최종 보스 15권 15화")</f>
        <v>최종 보스 15권 15화</v>
      </c>
      <c r="D1136" t="str">
        <f>T("307")</f>
        <v>307</v>
      </c>
      <c r="E1136" t="str">
        <f t="shared" si="190"/>
        <v>무장</v>
      </c>
      <c r="H1136" t="str">
        <f t="shared" si="191"/>
        <v>스토리위즈</v>
      </c>
      <c r="I1136" t="str">
        <f t="shared" si="192"/>
        <v>최종 보스 : 빛을 향해 달리는 그림자</v>
      </c>
      <c r="J1136">
        <v>100</v>
      </c>
      <c r="K1136">
        <v>500</v>
      </c>
      <c r="L1136">
        <v>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500</v>
      </c>
      <c r="AH1136">
        <v>5</v>
      </c>
      <c r="AI1136">
        <v>0</v>
      </c>
      <c r="AJ1136">
        <v>0</v>
      </c>
      <c r="AK1136">
        <v>300</v>
      </c>
      <c r="AL1136">
        <v>0</v>
      </c>
      <c r="AM1136">
        <v>240</v>
      </c>
      <c r="AN1136">
        <v>-48</v>
      </c>
      <c r="AO1136">
        <v>0</v>
      </c>
      <c r="AP1136">
        <v>120</v>
      </c>
      <c r="AQ1136">
        <v>-36</v>
      </c>
      <c r="AR1136">
        <v>0</v>
      </c>
      <c r="AS1136">
        <v>120</v>
      </c>
      <c r="AT1136">
        <v>-12</v>
      </c>
      <c r="AU1136">
        <v>0</v>
      </c>
      <c r="AW1136">
        <v>0</v>
      </c>
      <c r="AX1136">
        <v>0</v>
      </c>
      <c r="AY1136">
        <v>344.4</v>
      </c>
      <c r="BC1136" t="str">
        <f t="shared" si="193"/>
        <v>9791166067563</v>
      </c>
      <c r="BE1136" t="str">
        <f t="shared" si="194"/>
        <v>판타지 웹소설 &gt; 현대 판타지</v>
      </c>
    </row>
    <row r="1137" spans="1:57" x14ac:dyDescent="0.3">
      <c r="A1137">
        <v>2313011400</v>
      </c>
      <c r="B1137">
        <v>2313011707</v>
      </c>
      <c r="C1137" t="str">
        <f>T("최종 보스 15권 16화")</f>
        <v>최종 보스 15권 16화</v>
      </c>
      <c r="D1137" t="str">
        <f>T("308")</f>
        <v>308</v>
      </c>
      <c r="E1137" t="str">
        <f t="shared" si="190"/>
        <v>무장</v>
      </c>
      <c r="H1137" t="str">
        <f t="shared" si="191"/>
        <v>스토리위즈</v>
      </c>
      <c r="I1137" t="str">
        <f t="shared" si="192"/>
        <v>최종 보스 : 빛을 향해 달리는 그림자</v>
      </c>
      <c r="J1137">
        <v>100</v>
      </c>
      <c r="K1137">
        <v>500</v>
      </c>
      <c r="L1137">
        <v>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500</v>
      </c>
      <c r="AH1137">
        <v>5</v>
      </c>
      <c r="AI1137">
        <v>0</v>
      </c>
      <c r="AJ1137">
        <v>0</v>
      </c>
      <c r="AK1137">
        <v>300</v>
      </c>
      <c r="AL1137">
        <v>0</v>
      </c>
      <c r="AM1137">
        <v>240</v>
      </c>
      <c r="AN1137">
        <v>-48</v>
      </c>
      <c r="AO1137">
        <v>0</v>
      </c>
      <c r="AP1137">
        <v>120</v>
      </c>
      <c r="AQ1137">
        <v>-36</v>
      </c>
      <c r="AR1137">
        <v>0</v>
      </c>
      <c r="AS1137">
        <v>120</v>
      </c>
      <c r="AT1137">
        <v>-12</v>
      </c>
      <c r="AU1137">
        <v>0</v>
      </c>
      <c r="AW1137">
        <v>0</v>
      </c>
      <c r="AX1137">
        <v>0</v>
      </c>
      <c r="AY1137">
        <v>344.4</v>
      </c>
      <c r="BC1137" t="str">
        <f t="shared" si="193"/>
        <v>9791166067563</v>
      </c>
      <c r="BE1137" t="str">
        <f t="shared" si="194"/>
        <v>판타지 웹소설 &gt; 현대 판타지</v>
      </c>
    </row>
    <row r="1138" spans="1:57" x14ac:dyDescent="0.3">
      <c r="A1138">
        <v>2313011400</v>
      </c>
      <c r="B1138">
        <v>2313011708</v>
      </c>
      <c r="C1138" t="str">
        <f>T("최종 보스 15권 17화")</f>
        <v>최종 보스 15권 17화</v>
      </c>
      <c r="D1138" t="str">
        <f>T("309")</f>
        <v>309</v>
      </c>
      <c r="E1138" t="str">
        <f t="shared" si="190"/>
        <v>무장</v>
      </c>
      <c r="H1138" t="str">
        <f t="shared" si="191"/>
        <v>스토리위즈</v>
      </c>
      <c r="I1138" t="str">
        <f t="shared" si="192"/>
        <v>최종 보스 : 빛을 향해 달리는 그림자</v>
      </c>
      <c r="J1138">
        <v>100</v>
      </c>
      <c r="K1138">
        <v>500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500</v>
      </c>
      <c r="AH1138">
        <v>5</v>
      </c>
      <c r="AI1138">
        <v>0</v>
      </c>
      <c r="AJ1138">
        <v>0</v>
      </c>
      <c r="AK1138">
        <v>300</v>
      </c>
      <c r="AL1138">
        <v>0</v>
      </c>
      <c r="AM1138">
        <v>240</v>
      </c>
      <c r="AN1138">
        <v>-48</v>
      </c>
      <c r="AO1138">
        <v>0</v>
      </c>
      <c r="AP1138">
        <v>120</v>
      </c>
      <c r="AQ1138">
        <v>-36</v>
      </c>
      <c r="AR1138">
        <v>0</v>
      </c>
      <c r="AS1138">
        <v>120</v>
      </c>
      <c r="AT1138">
        <v>-12</v>
      </c>
      <c r="AU1138">
        <v>0</v>
      </c>
      <c r="AW1138">
        <v>0</v>
      </c>
      <c r="AX1138">
        <v>0</v>
      </c>
      <c r="AY1138">
        <v>344.4</v>
      </c>
      <c r="BC1138" t="str">
        <f t="shared" si="193"/>
        <v>9791166067563</v>
      </c>
      <c r="BE1138" t="str">
        <f t="shared" si="194"/>
        <v>판타지 웹소설 &gt; 현대 판타지</v>
      </c>
    </row>
    <row r="1139" spans="1:57" x14ac:dyDescent="0.3">
      <c r="A1139">
        <v>2313011400</v>
      </c>
      <c r="B1139">
        <v>2313011709</v>
      </c>
      <c r="C1139" t="str">
        <f>T("최종 보스 15권 18화")</f>
        <v>최종 보스 15권 18화</v>
      </c>
      <c r="D1139" t="str">
        <f>T("310")</f>
        <v>310</v>
      </c>
      <c r="E1139" t="str">
        <f t="shared" si="190"/>
        <v>무장</v>
      </c>
      <c r="H1139" t="str">
        <f t="shared" si="191"/>
        <v>스토리위즈</v>
      </c>
      <c r="I1139" t="str">
        <f t="shared" si="192"/>
        <v>최종 보스 : 빛을 향해 달리는 그림자</v>
      </c>
      <c r="J1139">
        <v>100</v>
      </c>
      <c r="K1139">
        <v>500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500</v>
      </c>
      <c r="AH1139">
        <v>5</v>
      </c>
      <c r="AI1139">
        <v>0</v>
      </c>
      <c r="AJ1139">
        <v>0</v>
      </c>
      <c r="AK1139">
        <v>300</v>
      </c>
      <c r="AL1139">
        <v>0</v>
      </c>
      <c r="AM1139">
        <v>240</v>
      </c>
      <c r="AN1139">
        <v>-48</v>
      </c>
      <c r="AO1139">
        <v>0</v>
      </c>
      <c r="AP1139">
        <v>120</v>
      </c>
      <c r="AQ1139">
        <v>-36</v>
      </c>
      <c r="AR1139">
        <v>0</v>
      </c>
      <c r="AS1139">
        <v>120</v>
      </c>
      <c r="AT1139">
        <v>-12</v>
      </c>
      <c r="AU1139">
        <v>0</v>
      </c>
      <c r="AW1139">
        <v>0</v>
      </c>
      <c r="AX1139">
        <v>0</v>
      </c>
      <c r="AY1139">
        <v>344.4</v>
      </c>
      <c r="BC1139" t="str">
        <f t="shared" si="193"/>
        <v>9791166067563</v>
      </c>
      <c r="BE1139" t="str">
        <f t="shared" si="194"/>
        <v>판타지 웹소설 &gt; 현대 판타지</v>
      </c>
    </row>
    <row r="1140" spans="1:57" x14ac:dyDescent="0.3">
      <c r="A1140">
        <v>2313011400</v>
      </c>
      <c r="B1140">
        <v>2313011710</v>
      </c>
      <c r="C1140" t="str">
        <f>T("최종 보스 15권 19화")</f>
        <v>최종 보스 15권 19화</v>
      </c>
      <c r="D1140" t="str">
        <f>T("311")</f>
        <v>311</v>
      </c>
      <c r="E1140" t="str">
        <f t="shared" si="190"/>
        <v>무장</v>
      </c>
      <c r="H1140" t="str">
        <f t="shared" si="191"/>
        <v>스토리위즈</v>
      </c>
      <c r="I1140" t="str">
        <f t="shared" si="192"/>
        <v>최종 보스 : 빛을 향해 달리는 그림자</v>
      </c>
      <c r="J1140">
        <v>100</v>
      </c>
      <c r="K1140">
        <v>500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500</v>
      </c>
      <c r="AH1140">
        <v>5</v>
      </c>
      <c r="AI1140">
        <v>0</v>
      </c>
      <c r="AJ1140">
        <v>0</v>
      </c>
      <c r="AK1140">
        <v>300</v>
      </c>
      <c r="AL1140">
        <v>0</v>
      </c>
      <c r="AM1140">
        <v>240</v>
      </c>
      <c r="AN1140">
        <v>-48</v>
      </c>
      <c r="AO1140">
        <v>0</v>
      </c>
      <c r="AP1140">
        <v>120</v>
      </c>
      <c r="AQ1140">
        <v>-36</v>
      </c>
      <c r="AR1140">
        <v>0</v>
      </c>
      <c r="AS1140">
        <v>120</v>
      </c>
      <c r="AT1140">
        <v>-12</v>
      </c>
      <c r="AU1140">
        <v>0</v>
      </c>
      <c r="AW1140">
        <v>0</v>
      </c>
      <c r="AX1140">
        <v>0</v>
      </c>
      <c r="AY1140">
        <v>344.4</v>
      </c>
      <c r="BC1140" t="str">
        <f t="shared" si="193"/>
        <v>9791166067563</v>
      </c>
      <c r="BE1140" t="str">
        <f t="shared" si="194"/>
        <v>판타지 웹소설 &gt; 현대 판타지</v>
      </c>
    </row>
    <row r="1141" spans="1:57" x14ac:dyDescent="0.3">
      <c r="A1141">
        <v>2313011400</v>
      </c>
      <c r="B1141">
        <v>2313011711</v>
      </c>
      <c r="C1141" t="str">
        <f>T("최종 보스 15권 20화")</f>
        <v>최종 보스 15권 20화</v>
      </c>
      <c r="D1141" t="str">
        <f>T("312")</f>
        <v>312</v>
      </c>
      <c r="E1141" t="str">
        <f t="shared" si="190"/>
        <v>무장</v>
      </c>
      <c r="H1141" t="str">
        <f t="shared" si="191"/>
        <v>스토리위즈</v>
      </c>
      <c r="I1141" t="str">
        <f t="shared" si="192"/>
        <v>최종 보스 : 빛을 향해 달리는 그림자</v>
      </c>
      <c r="J1141">
        <v>100</v>
      </c>
      <c r="K1141">
        <v>500</v>
      </c>
      <c r="L1141">
        <v>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500</v>
      </c>
      <c r="AH1141">
        <v>5</v>
      </c>
      <c r="AI1141">
        <v>0</v>
      </c>
      <c r="AJ1141">
        <v>0</v>
      </c>
      <c r="AK1141">
        <v>300</v>
      </c>
      <c r="AL1141">
        <v>0</v>
      </c>
      <c r="AM1141">
        <v>240</v>
      </c>
      <c r="AN1141">
        <v>-48</v>
      </c>
      <c r="AO1141">
        <v>0</v>
      </c>
      <c r="AP1141">
        <v>120</v>
      </c>
      <c r="AQ1141">
        <v>-36</v>
      </c>
      <c r="AR1141">
        <v>0</v>
      </c>
      <c r="AS1141">
        <v>120</v>
      </c>
      <c r="AT1141">
        <v>-12</v>
      </c>
      <c r="AU1141">
        <v>0</v>
      </c>
      <c r="AW1141">
        <v>0</v>
      </c>
      <c r="AX1141">
        <v>0</v>
      </c>
      <c r="AY1141">
        <v>344.4</v>
      </c>
      <c r="BC1141" t="str">
        <f t="shared" si="193"/>
        <v>9791166067563</v>
      </c>
      <c r="BE1141" t="str">
        <f t="shared" si="194"/>
        <v>판타지 웹소설 &gt; 현대 판타지</v>
      </c>
    </row>
    <row r="1142" spans="1:57" x14ac:dyDescent="0.3">
      <c r="A1142">
        <v>2313011400</v>
      </c>
      <c r="B1142">
        <v>2313011712</v>
      </c>
      <c r="C1142" t="str">
        <f>T("최종 보스 16권 1화")</f>
        <v>최종 보스 16권 1화</v>
      </c>
      <c r="D1142" t="str">
        <f>T("313")</f>
        <v>313</v>
      </c>
      <c r="E1142" t="str">
        <f t="shared" si="190"/>
        <v>무장</v>
      </c>
      <c r="H1142" t="str">
        <f t="shared" si="191"/>
        <v>스토리위즈</v>
      </c>
      <c r="I1142" t="str">
        <f t="shared" si="192"/>
        <v>최종 보스 : 빛을 향해 달리는 그림자</v>
      </c>
      <c r="J1142">
        <v>100</v>
      </c>
      <c r="K1142">
        <v>500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500</v>
      </c>
      <c r="AH1142">
        <v>5</v>
      </c>
      <c r="AI1142">
        <v>0</v>
      </c>
      <c r="AJ1142">
        <v>0</v>
      </c>
      <c r="AK1142">
        <v>300</v>
      </c>
      <c r="AL1142">
        <v>0</v>
      </c>
      <c r="AM1142">
        <v>240</v>
      </c>
      <c r="AN1142">
        <v>-48</v>
      </c>
      <c r="AO1142">
        <v>0</v>
      </c>
      <c r="AP1142">
        <v>120</v>
      </c>
      <c r="AQ1142">
        <v>-36</v>
      </c>
      <c r="AR1142">
        <v>0</v>
      </c>
      <c r="AS1142">
        <v>120</v>
      </c>
      <c r="AT1142">
        <v>-12</v>
      </c>
      <c r="AU1142">
        <v>0</v>
      </c>
      <c r="AW1142">
        <v>0</v>
      </c>
      <c r="AX1142">
        <v>0</v>
      </c>
      <c r="AY1142">
        <v>344.4</v>
      </c>
      <c r="BC1142" t="str">
        <f t="shared" si="193"/>
        <v>9791166067563</v>
      </c>
      <c r="BE1142" t="str">
        <f t="shared" si="194"/>
        <v>판타지 웹소설 &gt; 현대 판타지</v>
      </c>
    </row>
    <row r="1143" spans="1:57" x14ac:dyDescent="0.3">
      <c r="A1143">
        <v>2313011400</v>
      </c>
      <c r="B1143">
        <v>2313011713</v>
      </c>
      <c r="C1143" t="str">
        <f>T("최종 보스 16권 2화")</f>
        <v>최종 보스 16권 2화</v>
      </c>
      <c r="D1143" t="str">
        <f>T("314")</f>
        <v>314</v>
      </c>
      <c r="E1143" t="str">
        <f t="shared" si="190"/>
        <v>무장</v>
      </c>
      <c r="H1143" t="str">
        <f t="shared" si="191"/>
        <v>스토리위즈</v>
      </c>
      <c r="I1143" t="str">
        <f t="shared" si="192"/>
        <v>최종 보스 : 빛을 향해 달리는 그림자</v>
      </c>
      <c r="J1143">
        <v>100</v>
      </c>
      <c r="K1143">
        <v>500</v>
      </c>
      <c r="L1143">
        <v>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500</v>
      </c>
      <c r="AH1143">
        <v>5</v>
      </c>
      <c r="AI1143">
        <v>0</v>
      </c>
      <c r="AJ1143">
        <v>0</v>
      </c>
      <c r="AK1143">
        <v>300</v>
      </c>
      <c r="AL1143">
        <v>0</v>
      </c>
      <c r="AM1143">
        <v>240</v>
      </c>
      <c r="AN1143">
        <v>-48</v>
      </c>
      <c r="AO1143">
        <v>0</v>
      </c>
      <c r="AP1143">
        <v>120</v>
      </c>
      <c r="AQ1143">
        <v>-36</v>
      </c>
      <c r="AR1143">
        <v>0</v>
      </c>
      <c r="AS1143">
        <v>120</v>
      </c>
      <c r="AT1143">
        <v>-12</v>
      </c>
      <c r="AU1143">
        <v>0</v>
      </c>
      <c r="AW1143">
        <v>0</v>
      </c>
      <c r="AX1143">
        <v>0</v>
      </c>
      <c r="AY1143">
        <v>344.4</v>
      </c>
      <c r="BC1143" t="str">
        <f t="shared" si="193"/>
        <v>9791166067563</v>
      </c>
      <c r="BE1143" t="str">
        <f t="shared" si="194"/>
        <v>판타지 웹소설 &gt; 현대 판타지</v>
      </c>
    </row>
    <row r="1144" spans="1:57" x14ac:dyDescent="0.3">
      <c r="A1144">
        <v>2313011400</v>
      </c>
      <c r="B1144">
        <v>2313011715</v>
      </c>
      <c r="C1144" t="str">
        <f>T("최종 보스 16권 4화")</f>
        <v>최종 보스 16권 4화</v>
      </c>
      <c r="D1144" t="str">
        <f>T("316")</f>
        <v>316</v>
      </c>
      <c r="E1144" t="str">
        <f t="shared" si="190"/>
        <v>무장</v>
      </c>
      <c r="H1144" t="str">
        <f t="shared" si="191"/>
        <v>스토리위즈</v>
      </c>
      <c r="I1144" t="str">
        <f t="shared" si="192"/>
        <v>최종 보스 : 빛을 향해 달리는 그림자</v>
      </c>
      <c r="J1144">
        <v>100</v>
      </c>
      <c r="K1144">
        <v>500</v>
      </c>
      <c r="L1144">
        <v>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500</v>
      </c>
      <c r="AH1144">
        <v>5</v>
      </c>
      <c r="AI1144">
        <v>0</v>
      </c>
      <c r="AJ1144">
        <v>0</v>
      </c>
      <c r="AK1144">
        <v>300</v>
      </c>
      <c r="AL1144">
        <v>0</v>
      </c>
      <c r="AM1144">
        <v>240</v>
      </c>
      <c r="AN1144">
        <v>-48</v>
      </c>
      <c r="AO1144">
        <v>0</v>
      </c>
      <c r="AP1144">
        <v>120</v>
      </c>
      <c r="AQ1144">
        <v>-36</v>
      </c>
      <c r="AR1144">
        <v>0</v>
      </c>
      <c r="AS1144">
        <v>120</v>
      </c>
      <c r="AT1144">
        <v>-12</v>
      </c>
      <c r="AU1144">
        <v>0</v>
      </c>
      <c r="AW1144">
        <v>0</v>
      </c>
      <c r="AX1144">
        <v>0</v>
      </c>
      <c r="AY1144">
        <v>344.4</v>
      </c>
      <c r="BC1144" t="str">
        <f t="shared" si="193"/>
        <v>9791166067563</v>
      </c>
      <c r="BE1144" t="str">
        <f t="shared" si="194"/>
        <v>판타지 웹소설 &gt; 현대 판타지</v>
      </c>
    </row>
    <row r="1145" spans="1:57" x14ac:dyDescent="0.3">
      <c r="A1145">
        <v>2313011400</v>
      </c>
      <c r="B1145">
        <v>2313011716</v>
      </c>
      <c r="C1145" t="str">
        <f>T("최종 보스 16권 5화")</f>
        <v>최종 보스 16권 5화</v>
      </c>
      <c r="D1145" t="str">
        <f>T("317")</f>
        <v>317</v>
      </c>
      <c r="E1145" t="str">
        <f t="shared" si="190"/>
        <v>무장</v>
      </c>
      <c r="H1145" t="str">
        <f t="shared" si="191"/>
        <v>스토리위즈</v>
      </c>
      <c r="I1145" t="str">
        <f t="shared" si="192"/>
        <v>최종 보스 : 빛을 향해 달리는 그림자</v>
      </c>
      <c r="J1145">
        <v>100</v>
      </c>
      <c r="K1145">
        <v>500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500</v>
      </c>
      <c r="AH1145">
        <v>5</v>
      </c>
      <c r="AI1145">
        <v>0</v>
      </c>
      <c r="AJ1145">
        <v>0</v>
      </c>
      <c r="AK1145">
        <v>300</v>
      </c>
      <c r="AL1145">
        <v>0</v>
      </c>
      <c r="AM1145">
        <v>240</v>
      </c>
      <c r="AN1145">
        <v>-48</v>
      </c>
      <c r="AO1145">
        <v>0</v>
      </c>
      <c r="AP1145">
        <v>120</v>
      </c>
      <c r="AQ1145">
        <v>-36</v>
      </c>
      <c r="AR1145">
        <v>0</v>
      </c>
      <c r="AS1145">
        <v>120</v>
      </c>
      <c r="AT1145">
        <v>-12</v>
      </c>
      <c r="AU1145">
        <v>0</v>
      </c>
      <c r="AW1145">
        <v>0</v>
      </c>
      <c r="AX1145">
        <v>0</v>
      </c>
      <c r="AY1145">
        <v>344.4</v>
      </c>
      <c r="BC1145" t="str">
        <f t="shared" si="193"/>
        <v>9791166067563</v>
      </c>
      <c r="BE1145" t="str">
        <f t="shared" si="194"/>
        <v>판타지 웹소설 &gt; 현대 판타지</v>
      </c>
    </row>
    <row r="1146" spans="1:57" x14ac:dyDescent="0.3">
      <c r="A1146">
        <v>2313011400</v>
      </c>
      <c r="B1146">
        <v>2313011717</v>
      </c>
      <c r="C1146" t="str">
        <f>T("최종 보스 16권 6화")</f>
        <v>최종 보스 16권 6화</v>
      </c>
      <c r="D1146" t="str">
        <f>T("318")</f>
        <v>318</v>
      </c>
      <c r="E1146" t="str">
        <f t="shared" si="190"/>
        <v>무장</v>
      </c>
      <c r="H1146" t="str">
        <f t="shared" si="191"/>
        <v>스토리위즈</v>
      </c>
      <c r="I1146" t="str">
        <f t="shared" si="192"/>
        <v>최종 보스 : 빛을 향해 달리는 그림자</v>
      </c>
      <c r="J1146">
        <v>100</v>
      </c>
      <c r="K1146">
        <v>500</v>
      </c>
      <c r="L1146">
        <v>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500</v>
      </c>
      <c r="AH1146">
        <v>5</v>
      </c>
      <c r="AI1146">
        <v>0</v>
      </c>
      <c r="AJ1146">
        <v>0</v>
      </c>
      <c r="AK1146">
        <v>300</v>
      </c>
      <c r="AL1146">
        <v>0</v>
      </c>
      <c r="AM1146">
        <v>240</v>
      </c>
      <c r="AN1146">
        <v>-48</v>
      </c>
      <c r="AO1146">
        <v>0</v>
      </c>
      <c r="AP1146">
        <v>120</v>
      </c>
      <c r="AQ1146">
        <v>-36</v>
      </c>
      <c r="AR1146">
        <v>0</v>
      </c>
      <c r="AS1146">
        <v>120</v>
      </c>
      <c r="AT1146">
        <v>-12</v>
      </c>
      <c r="AU1146">
        <v>0</v>
      </c>
      <c r="AW1146">
        <v>0</v>
      </c>
      <c r="AX1146">
        <v>0</v>
      </c>
      <c r="AY1146">
        <v>344.4</v>
      </c>
      <c r="BC1146" t="str">
        <f t="shared" si="193"/>
        <v>9791166067563</v>
      </c>
      <c r="BE1146" t="str">
        <f t="shared" si="194"/>
        <v>판타지 웹소설 &gt; 현대 판타지</v>
      </c>
    </row>
    <row r="1147" spans="1:57" x14ac:dyDescent="0.3">
      <c r="A1147">
        <v>2313011400</v>
      </c>
      <c r="B1147">
        <v>2313011718</v>
      </c>
      <c r="C1147" t="str">
        <f>T("최종 보스 16권 7화")</f>
        <v>최종 보스 16권 7화</v>
      </c>
      <c r="D1147" t="str">
        <f>T("319")</f>
        <v>319</v>
      </c>
      <c r="E1147" t="str">
        <f t="shared" si="190"/>
        <v>무장</v>
      </c>
      <c r="H1147" t="str">
        <f t="shared" si="191"/>
        <v>스토리위즈</v>
      </c>
      <c r="I1147" t="str">
        <f t="shared" si="192"/>
        <v>최종 보스 : 빛을 향해 달리는 그림자</v>
      </c>
      <c r="J1147">
        <v>100</v>
      </c>
      <c r="K1147">
        <v>500</v>
      </c>
      <c r="L1147">
        <v>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500</v>
      </c>
      <c r="AH1147">
        <v>5</v>
      </c>
      <c r="AI1147">
        <v>0</v>
      </c>
      <c r="AJ1147">
        <v>0</v>
      </c>
      <c r="AK1147">
        <v>300</v>
      </c>
      <c r="AL1147">
        <v>0</v>
      </c>
      <c r="AM1147">
        <v>240</v>
      </c>
      <c r="AN1147">
        <v>-48</v>
      </c>
      <c r="AO1147">
        <v>0</v>
      </c>
      <c r="AP1147">
        <v>120</v>
      </c>
      <c r="AQ1147">
        <v>-36</v>
      </c>
      <c r="AR1147">
        <v>0</v>
      </c>
      <c r="AS1147">
        <v>120</v>
      </c>
      <c r="AT1147">
        <v>-12</v>
      </c>
      <c r="AU1147">
        <v>0</v>
      </c>
      <c r="AW1147">
        <v>0</v>
      </c>
      <c r="AX1147">
        <v>0</v>
      </c>
      <c r="AY1147">
        <v>344.4</v>
      </c>
      <c r="BC1147" t="str">
        <f t="shared" si="193"/>
        <v>9791166067563</v>
      </c>
      <c r="BE1147" t="str">
        <f t="shared" si="194"/>
        <v>판타지 웹소설 &gt; 현대 판타지</v>
      </c>
    </row>
    <row r="1148" spans="1:57" x14ac:dyDescent="0.3">
      <c r="A1148">
        <v>2313011400</v>
      </c>
      <c r="B1148">
        <v>2313011719</v>
      </c>
      <c r="C1148" t="str">
        <f>T("최종 보스 16권 8화")</f>
        <v>최종 보스 16권 8화</v>
      </c>
      <c r="D1148" t="str">
        <f>T("320")</f>
        <v>320</v>
      </c>
      <c r="E1148" t="str">
        <f t="shared" si="190"/>
        <v>무장</v>
      </c>
      <c r="H1148" t="str">
        <f t="shared" si="191"/>
        <v>스토리위즈</v>
      </c>
      <c r="I1148" t="str">
        <f t="shared" si="192"/>
        <v>최종 보스 : 빛을 향해 달리는 그림자</v>
      </c>
      <c r="J1148">
        <v>100</v>
      </c>
      <c r="K1148">
        <v>500</v>
      </c>
      <c r="L1148">
        <v>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500</v>
      </c>
      <c r="AH1148">
        <v>5</v>
      </c>
      <c r="AI1148">
        <v>0</v>
      </c>
      <c r="AJ1148">
        <v>0</v>
      </c>
      <c r="AK1148">
        <v>300</v>
      </c>
      <c r="AL1148">
        <v>0</v>
      </c>
      <c r="AM1148">
        <v>240</v>
      </c>
      <c r="AN1148">
        <v>-48</v>
      </c>
      <c r="AO1148">
        <v>0</v>
      </c>
      <c r="AP1148">
        <v>120</v>
      </c>
      <c r="AQ1148">
        <v>-36</v>
      </c>
      <c r="AR1148">
        <v>0</v>
      </c>
      <c r="AS1148">
        <v>120</v>
      </c>
      <c r="AT1148">
        <v>-12</v>
      </c>
      <c r="AU1148">
        <v>0</v>
      </c>
      <c r="AW1148">
        <v>0</v>
      </c>
      <c r="AX1148">
        <v>0</v>
      </c>
      <c r="AY1148">
        <v>344.4</v>
      </c>
      <c r="BC1148" t="str">
        <f t="shared" si="193"/>
        <v>9791166067563</v>
      </c>
      <c r="BE1148" t="str">
        <f t="shared" si="194"/>
        <v>판타지 웹소설 &gt; 현대 판타지</v>
      </c>
    </row>
    <row r="1149" spans="1:57" x14ac:dyDescent="0.3">
      <c r="A1149">
        <v>2313011400</v>
      </c>
      <c r="B1149">
        <v>2313011720</v>
      </c>
      <c r="C1149" t="str">
        <f>T("최종 보스 16권 9화")</f>
        <v>최종 보스 16권 9화</v>
      </c>
      <c r="D1149" t="str">
        <f>T("321")</f>
        <v>321</v>
      </c>
      <c r="E1149" t="str">
        <f t="shared" si="190"/>
        <v>무장</v>
      </c>
      <c r="H1149" t="str">
        <f t="shared" si="191"/>
        <v>스토리위즈</v>
      </c>
      <c r="I1149" t="str">
        <f t="shared" si="192"/>
        <v>최종 보스 : 빛을 향해 달리는 그림자</v>
      </c>
      <c r="J1149">
        <v>100</v>
      </c>
      <c r="K1149">
        <v>500</v>
      </c>
      <c r="L1149">
        <v>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500</v>
      </c>
      <c r="AH1149">
        <v>5</v>
      </c>
      <c r="AI1149">
        <v>0</v>
      </c>
      <c r="AJ1149">
        <v>0</v>
      </c>
      <c r="AK1149">
        <v>300</v>
      </c>
      <c r="AL1149">
        <v>0</v>
      </c>
      <c r="AM1149">
        <v>240</v>
      </c>
      <c r="AN1149">
        <v>-48</v>
      </c>
      <c r="AO1149">
        <v>0</v>
      </c>
      <c r="AP1149">
        <v>120</v>
      </c>
      <c r="AQ1149">
        <v>-36</v>
      </c>
      <c r="AR1149">
        <v>0</v>
      </c>
      <c r="AS1149">
        <v>120</v>
      </c>
      <c r="AT1149">
        <v>-12</v>
      </c>
      <c r="AU1149">
        <v>0</v>
      </c>
      <c r="AW1149">
        <v>0</v>
      </c>
      <c r="AX1149">
        <v>0</v>
      </c>
      <c r="AY1149">
        <v>344.4</v>
      </c>
      <c r="BC1149" t="str">
        <f t="shared" si="193"/>
        <v>9791166067563</v>
      </c>
      <c r="BE1149" t="str">
        <f t="shared" si="194"/>
        <v>판타지 웹소설 &gt; 현대 판타지</v>
      </c>
    </row>
    <row r="1150" spans="1:57" x14ac:dyDescent="0.3">
      <c r="A1150">
        <v>2313011400</v>
      </c>
      <c r="B1150">
        <v>2313011721</v>
      </c>
      <c r="C1150" t="str">
        <f>T("최종 보스 16권 10화")</f>
        <v>최종 보스 16권 10화</v>
      </c>
      <c r="D1150" t="str">
        <f>T("322")</f>
        <v>322</v>
      </c>
      <c r="E1150" t="str">
        <f t="shared" si="190"/>
        <v>무장</v>
      </c>
      <c r="H1150" t="str">
        <f t="shared" si="191"/>
        <v>스토리위즈</v>
      </c>
      <c r="I1150" t="str">
        <f t="shared" si="192"/>
        <v>최종 보스 : 빛을 향해 달리는 그림자</v>
      </c>
      <c r="J1150">
        <v>100</v>
      </c>
      <c r="K1150">
        <v>500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500</v>
      </c>
      <c r="AH1150">
        <v>5</v>
      </c>
      <c r="AI1150">
        <v>0</v>
      </c>
      <c r="AJ1150">
        <v>0</v>
      </c>
      <c r="AK1150">
        <v>300</v>
      </c>
      <c r="AL1150">
        <v>0</v>
      </c>
      <c r="AM1150">
        <v>240</v>
      </c>
      <c r="AN1150">
        <v>-48</v>
      </c>
      <c r="AO1150">
        <v>0</v>
      </c>
      <c r="AP1150">
        <v>120</v>
      </c>
      <c r="AQ1150">
        <v>-36</v>
      </c>
      <c r="AR1150">
        <v>0</v>
      </c>
      <c r="AS1150">
        <v>120</v>
      </c>
      <c r="AT1150">
        <v>-12</v>
      </c>
      <c r="AU1150">
        <v>0</v>
      </c>
      <c r="AW1150">
        <v>0</v>
      </c>
      <c r="AX1150">
        <v>0</v>
      </c>
      <c r="AY1150">
        <v>344.4</v>
      </c>
      <c r="BC1150" t="str">
        <f t="shared" si="193"/>
        <v>9791166067563</v>
      </c>
      <c r="BE1150" t="str">
        <f t="shared" si="194"/>
        <v>판타지 웹소설 &gt; 현대 판타지</v>
      </c>
    </row>
    <row r="1151" spans="1:57" x14ac:dyDescent="0.3">
      <c r="A1151">
        <v>2313011400</v>
      </c>
      <c r="B1151">
        <v>2313011722</v>
      </c>
      <c r="C1151" t="str">
        <f>T("최종 보스 16권 11화")</f>
        <v>최종 보스 16권 11화</v>
      </c>
      <c r="D1151" t="str">
        <f>T("323")</f>
        <v>323</v>
      </c>
      <c r="E1151" t="str">
        <f t="shared" si="190"/>
        <v>무장</v>
      </c>
      <c r="H1151" t="str">
        <f t="shared" si="191"/>
        <v>스토리위즈</v>
      </c>
      <c r="I1151" t="str">
        <f t="shared" si="192"/>
        <v>최종 보스 : 빛을 향해 달리는 그림자</v>
      </c>
      <c r="J1151">
        <v>100</v>
      </c>
      <c r="K1151">
        <v>500</v>
      </c>
      <c r="L1151">
        <v>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500</v>
      </c>
      <c r="AH1151">
        <v>5</v>
      </c>
      <c r="AI1151">
        <v>0</v>
      </c>
      <c r="AJ1151">
        <v>0</v>
      </c>
      <c r="AK1151">
        <v>300</v>
      </c>
      <c r="AL1151">
        <v>0</v>
      </c>
      <c r="AM1151">
        <v>240</v>
      </c>
      <c r="AN1151">
        <v>-48</v>
      </c>
      <c r="AO1151">
        <v>0</v>
      </c>
      <c r="AP1151">
        <v>120</v>
      </c>
      <c r="AQ1151">
        <v>-36</v>
      </c>
      <c r="AR1151">
        <v>0</v>
      </c>
      <c r="AS1151">
        <v>120</v>
      </c>
      <c r="AT1151">
        <v>-12</v>
      </c>
      <c r="AU1151">
        <v>0</v>
      </c>
      <c r="AW1151">
        <v>0</v>
      </c>
      <c r="AX1151">
        <v>0</v>
      </c>
      <c r="AY1151">
        <v>344.4</v>
      </c>
      <c r="BC1151" t="str">
        <f t="shared" si="193"/>
        <v>9791166067563</v>
      </c>
      <c r="BE1151" t="str">
        <f t="shared" si="194"/>
        <v>판타지 웹소설 &gt; 현대 판타지</v>
      </c>
    </row>
    <row r="1152" spans="1:57" x14ac:dyDescent="0.3">
      <c r="A1152">
        <v>2313011400</v>
      </c>
      <c r="B1152">
        <v>2313011723</v>
      </c>
      <c r="C1152" t="str">
        <f>T("최종 보스 16권 12화")</f>
        <v>최종 보스 16권 12화</v>
      </c>
      <c r="D1152" t="str">
        <f>T("324")</f>
        <v>324</v>
      </c>
      <c r="E1152" t="str">
        <f t="shared" si="190"/>
        <v>무장</v>
      </c>
      <c r="H1152" t="str">
        <f t="shared" si="191"/>
        <v>스토리위즈</v>
      </c>
      <c r="I1152" t="str">
        <f t="shared" si="192"/>
        <v>최종 보스 : 빛을 향해 달리는 그림자</v>
      </c>
      <c r="J1152">
        <v>100</v>
      </c>
      <c r="K1152">
        <v>500</v>
      </c>
      <c r="L1152">
        <v>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500</v>
      </c>
      <c r="AH1152">
        <v>5</v>
      </c>
      <c r="AI1152">
        <v>0</v>
      </c>
      <c r="AJ1152">
        <v>0</v>
      </c>
      <c r="AK1152">
        <v>300</v>
      </c>
      <c r="AL1152">
        <v>0</v>
      </c>
      <c r="AM1152">
        <v>240</v>
      </c>
      <c r="AN1152">
        <v>-48</v>
      </c>
      <c r="AO1152">
        <v>0</v>
      </c>
      <c r="AP1152">
        <v>120</v>
      </c>
      <c r="AQ1152">
        <v>-36</v>
      </c>
      <c r="AR1152">
        <v>0</v>
      </c>
      <c r="AS1152">
        <v>120</v>
      </c>
      <c r="AT1152">
        <v>-12</v>
      </c>
      <c r="AU1152">
        <v>0</v>
      </c>
      <c r="AW1152">
        <v>0</v>
      </c>
      <c r="AX1152">
        <v>0</v>
      </c>
      <c r="AY1152">
        <v>344.4</v>
      </c>
      <c r="BC1152" t="str">
        <f t="shared" si="193"/>
        <v>9791166067563</v>
      </c>
      <c r="BE1152" t="str">
        <f t="shared" si="194"/>
        <v>판타지 웹소설 &gt; 현대 판타지</v>
      </c>
    </row>
    <row r="1153" spans="1:57" x14ac:dyDescent="0.3">
      <c r="A1153">
        <v>2313011400</v>
      </c>
      <c r="B1153">
        <v>2313011724</v>
      </c>
      <c r="C1153" t="str">
        <f>T("최종 보스 16권 13화")</f>
        <v>최종 보스 16권 13화</v>
      </c>
      <c r="D1153" t="str">
        <f>T("325")</f>
        <v>325</v>
      </c>
      <c r="E1153" t="str">
        <f t="shared" si="190"/>
        <v>무장</v>
      </c>
      <c r="H1153" t="str">
        <f t="shared" si="191"/>
        <v>스토리위즈</v>
      </c>
      <c r="I1153" t="str">
        <f t="shared" si="192"/>
        <v>최종 보스 : 빛을 향해 달리는 그림자</v>
      </c>
      <c r="J1153">
        <v>100</v>
      </c>
      <c r="K1153">
        <v>500</v>
      </c>
      <c r="L1153">
        <v>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500</v>
      </c>
      <c r="AH1153">
        <v>5</v>
      </c>
      <c r="AI1153">
        <v>0</v>
      </c>
      <c r="AJ1153">
        <v>0</v>
      </c>
      <c r="AK1153">
        <v>300</v>
      </c>
      <c r="AL1153">
        <v>0</v>
      </c>
      <c r="AM1153">
        <v>240</v>
      </c>
      <c r="AN1153">
        <v>-48</v>
      </c>
      <c r="AO1153">
        <v>0</v>
      </c>
      <c r="AP1153">
        <v>120</v>
      </c>
      <c r="AQ1153">
        <v>-36</v>
      </c>
      <c r="AR1153">
        <v>0</v>
      </c>
      <c r="AS1153">
        <v>120</v>
      </c>
      <c r="AT1153">
        <v>-12</v>
      </c>
      <c r="AU1153">
        <v>0</v>
      </c>
      <c r="AW1153">
        <v>0</v>
      </c>
      <c r="AX1153">
        <v>0</v>
      </c>
      <c r="AY1153">
        <v>344.4</v>
      </c>
      <c r="BC1153" t="str">
        <f t="shared" si="193"/>
        <v>9791166067563</v>
      </c>
      <c r="BE1153" t="str">
        <f t="shared" si="194"/>
        <v>판타지 웹소설 &gt; 현대 판타지</v>
      </c>
    </row>
    <row r="1154" spans="1:57" x14ac:dyDescent="0.3">
      <c r="A1154">
        <v>2313011400</v>
      </c>
      <c r="B1154">
        <v>2313011725</v>
      </c>
      <c r="C1154" t="str">
        <f>T("최종 보스 16권 14화")</f>
        <v>최종 보스 16권 14화</v>
      </c>
      <c r="D1154" t="str">
        <f>T("326")</f>
        <v>326</v>
      </c>
      <c r="E1154" t="str">
        <f t="shared" si="190"/>
        <v>무장</v>
      </c>
      <c r="H1154" t="str">
        <f t="shared" si="191"/>
        <v>스토리위즈</v>
      </c>
      <c r="I1154" t="str">
        <f t="shared" si="192"/>
        <v>최종 보스 : 빛을 향해 달리는 그림자</v>
      </c>
      <c r="J1154">
        <v>100</v>
      </c>
      <c r="K1154">
        <v>500</v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500</v>
      </c>
      <c r="AH1154">
        <v>5</v>
      </c>
      <c r="AI1154">
        <v>0</v>
      </c>
      <c r="AJ1154">
        <v>0</v>
      </c>
      <c r="AK1154">
        <v>300</v>
      </c>
      <c r="AL1154">
        <v>0</v>
      </c>
      <c r="AM1154">
        <v>240</v>
      </c>
      <c r="AN1154">
        <v>-48</v>
      </c>
      <c r="AO1154">
        <v>0</v>
      </c>
      <c r="AP1154">
        <v>120</v>
      </c>
      <c r="AQ1154">
        <v>-36</v>
      </c>
      <c r="AR1154">
        <v>0</v>
      </c>
      <c r="AS1154">
        <v>120</v>
      </c>
      <c r="AT1154">
        <v>-12</v>
      </c>
      <c r="AU1154">
        <v>0</v>
      </c>
      <c r="AW1154">
        <v>0</v>
      </c>
      <c r="AX1154">
        <v>0</v>
      </c>
      <c r="AY1154">
        <v>344.4</v>
      </c>
      <c r="BC1154" t="str">
        <f t="shared" si="193"/>
        <v>9791166067563</v>
      </c>
      <c r="BE1154" t="str">
        <f t="shared" si="194"/>
        <v>판타지 웹소설 &gt; 현대 판타지</v>
      </c>
    </row>
    <row r="1155" spans="1:57" x14ac:dyDescent="0.3">
      <c r="A1155">
        <v>2313011400</v>
      </c>
      <c r="B1155">
        <v>2313011726</v>
      </c>
      <c r="C1155" t="str">
        <f>T("최종 보스 16권 15화")</f>
        <v>최종 보스 16권 15화</v>
      </c>
      <c r="D1155" t="str">
        <f>T("327")</f>
        <v>327</v>
      </c>
      <c r="E1155" t="str">
        <f t="shared" si="190"/>
        <v>무장</v>
      </c>
      <c r="H1155" t="str">
        <f t="shared" si="191"/>
        <v>스토리위즈</v>
      </c>
      <c r="I1155" t="str">
        <f t="shared" si="192"/>
        <v>최종 보스 : 빛을 향해 달리는 그림자</v>
      </c>
      <c r="J1155">
        <v>100</v>
      </c>
      <c r="K1155">
        <v>500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500</v>
      </c>
      <c r="AH1155">
        <v>5</v>
      </c>
      <c r="AI1155">
        <v>0</v>
      </c>
      <c r="AJ1155">
        <v>0</v>
      </c>
      <c r="AK1155">
        <v>300</v>
      </c>
      <c r="AL1155">
        <v>0</v>
      </c>
      <c r="AM1155">
        <v>240</v>
      </c>
      <c r="AN1155">
        <v>-48</v>
      </c>
      <c r="AO1155">
        <v>0</v>
      </c>
      <c r="AP1155">
        <v>120</v>
      </c>
      <c r="AQ1155">
        <v>-36</v>
      </c>
      <c r="AR1155">
        <v>0</v>
      </c>
      <c r="AS1155">
        <v>120</v>
      </c>
      <c r="AT1155">
        <v>-12</v>
      </c>
      <c r="AU1155">
        <v>0</v>
      </c>
      <c r="AW1155">
        <v>0</v>
      </c>
      <c r="AX1155">
        <v>0</v>
      </c>
      <c r="AY1155">
        <v>344.4</v>
      </c>
      <c r="BC1155" t="str">
        <f t="shared" si="193"/>
        <v>9791166067563</v>
      </c>
      <c r="BE1155" t="str">
        <f t="shared" si="194"/>
        <v>판타지 웹소설 &gt; 현대 판타지</v>
      </c>
    </row>
    <row r="1156" spans="1:57" x14ac:dyDescent="0.3">
      <c r="A1156">
        <v>2313011400</v>
      </c>
      <c r="B1156">
        <v>2313011727</v>
      </c>
      <c r="C1156" t="str">
        <f>T("최종 보스 16권 16화")</f>
        <v>최종 보스 16권 16화</v>
      </c>
      <c r="D1156" t="str">
        <f>T("328")</f>
        <v>328</v>
      </c>
      <c r="E1156" t="str">
        <f t="shared" si="190"/>
        <v>무장</v>
      </c>
      <c r="H1156" t="str">
        <f t="shared" si="191"/>
        <v>스토리위즈</v>
      </c>
      <c r="I1156" t="str">
        <f t="shared" si="192"/>
        <v>최종 보스 : 빛을 향해 달리는 그림자</v>
      </c>
      <c r="J1156">
        <v>100</v>
      </c>
      <c r="K1156">
        <v>500</v>
      </c>
      <c r="L1156">
        <v>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500</v>
      </c>
      <c r="AH1156">
        <v>5</v>
      </c>
      <c r="AI1156">
        <v>0</v>
      </c>
      <c r="AJ1156">
        <v>0</v>
      </c>
      <c r="AK1156">
        <v>300</v>
      </c>
      <c r="AL1156">
        <v>0</v>
      </c>
      <c r="AM1156">
        <v>240</v>
      </c>
      <c r="AN1156">
        <v>-48</v>
      </c>
      <c r="AO1156">
        <v>0</v>
      </c>
      <c r="AP1156">
        <v>120</v>
      </c>
      <c r="AQ1156">
        <v>-36</v>
      </c>
      <c r="AR1156">
        <v>0</v>
      </c>
      <c r="AS1156">
        <v>120</v>
      </c>
      <c r="AT1156">
        <v>-12</v>
      </c>
      <c r="AU1156">
        <v>0</v>
      </c>
      <c r="AW1156">
        <v>0</v>
      </c>
      <c r="AX1156">
        <v>0</v>
      </c>
      <c r="AY1156">
        <v>344.4</v>
      </c>
      <c r="BC1156" t="str">
        <f t="shared" si="193"/>
        <v>9791166067563</v>
      </c>
      <c r="BE1156" t="str">
        <f t="shared" si="194"/>
        <v>판타지 웹소설 &gt; 현대 판타지</v>
      </c>
    </row>
    <row r="1157" spans="1:57" x14ac:dyDescent="0.3">
      <c r="A1157">
        <v>2313011400</v>
      </c>
      <c r="B1157">
        <v>2313011728</v>
      </c>
      <c r="C1157" t="str">
        <f>T("최종 보스 16권 17화")</f>
        <v>최종 보스 16권 17화</v>
      </c>
      <c r="D1157" t="str">
        <f>T("329")</f>
        <v>329</v>
      </c>
      <c r="E1157" t="str">
        <f t="shared" si="190"/>
        <v>무장</v>
      </c>
      <c r="H1157" t="str">
        <f t="shared" si="191"/>
        <v>스토리위즈</v>
      </c>
      <c r="I1157" t="str">
        <f t="shared" si="192"/>
        <v>최종 보스 : 빛을 향해 달리는 그림자</v>
      </c>
      <c r="J1157">
        <v>100</v>
      </c>
      <c r="K1157">
        <v>500</v>
      </c>
      <c r="L1157">
        <v>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500</v>
      </c>
      <c r="AH1157">
        <v>5</v>
      </c>
      <c r="AI1157">
        <v>0</v>
      </c>
      <c r="AJ1157">
        <v>0</v>
      </c>
      <c r="AK1157">
        <v>300</v>
      </c>
      <c r="AL1157">
        <v>0</v>
      </c>
      <c r="AM1157">
        <v>240</v>
      </c>
      <c r="AN1157">
        <v>-48</v>
      </c>
      <c r="AO1157">
        <v>0</v>
      </c>
      <c r="AP1157">
        <v>120</v>
      </c>
      <c r="AQ1157">
        <v>-36</v>
      </c>
      <c r="AR1157">
        <v>0</v>
      </c>
      <c r="AS1157">
        <v>120</v>
      </c>
      <c r="AT1157">
        <v>-12</v>
      </c>
      <c r="AU1157">
        <v>0</v>
      </c>
      <c r="AW1157">
        <v>0</v>
      </c>
      <c r="AX1157">
        <v>0</v>
      </c>
      <c r="AY1157">
        <v>344.4</v>
      </c>
      <c r="BC1157" t="str">
        <f t="shared" si="193"/>
        <v>9791166067563</v>
      </c>
      <c r="BE1157" t="str">
        <f t="shared" si="194"/>
        <v>판타지 웹소설 &gt; 현대 판타지</v>
      </c>
    </row>
    <row r="1158" spans="1:57" x14ac:dyDescent="0.3">
      <c r="A1158">
        <v>2313011400</v>
      </c>
      <c r="B1158">
        <v>2313011729</v>
      </c>
      <c r="C1158" t="str">
        <f>T("최종 보스 16권 18화")</f>
        <v>최종 보스 16권 18화</v>
      </c>
      <c r="D1158" t="str">
        <f>T("330")</f>
        <v>330</v>
      </c>
      <c r="E1158" t="str">
        <f t="shared" si="190"/>
        <v>무장</v>
      </c>
      <c r="H1158" t="str">
        <f t="shared" si="191"/>
        <v>스토리위즈</v>
      </c>
      <c r="I1158" t="str">
        <f t="shared" si="192"/>
        <v>최종 보스 : 빛을 향해 달리는 그림자</v>
      </c>
      <c r="J1158">
        <v>100</v>
      </c>
      <c r="K1158">
        <v>500</v>
      </c>
      <c r="L1158">
        <v>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500</v>
      </c>
      <c r="AH1158">
        <v>5</v>
      </c>
      <c r="AI1158">
        <v>0</v>
      </c>
      <c r="AJ1158">
        <v>0</v>
      </c>
      <c r="AK1158">
        <v>300</v>
      </c>
      <c r="AL1158">
        <v>0</v>
      </c>
      <c r="AM1158">
        <v>240</v>
      </c>
      <c r="AN1158">
        <v>-48</v>
      </c>
      <c r="AO1158">
        <v>0</v>
      </c>
      <c r="AP1158">
        <v>120</v>
      </c>
      <c r="AQ1158">
        <v>-36</v>
      </c>
      <c r="AR1158">
        <v>0</v>
      </c>
      <c r="AS1158">
        <v>120</v>
      </c>
      <c r="AT1158">
        <v>-12</v>
      </c>
      <c r="AU1158">
        <v>0</v>
      </c>
      <c r="AW1158">
        <v>0</v>
      </c>
      <c r="AX1158">
        <v>0</v>
      </c>
      <c r="AY1158">
        <v>344.4</v>
      </c>
      <c r="BC1158" t="str">
        <f t="shared" si="193"/>
        <v>9791166067563</v>
      </c>
      <c r="BE1158" t="str">
        <f t="shared" si="194"/>
        <v>판타지 웹소설 &gt; 현대 판타지</v>
      </c>
    </row>
    <row r="1159" spans="1:57" x14ac:dyDescent="0.3">
      <c r="A1159">
        <v>2313011400</v>
      </c>
      <c r="B1159">
        <v>2313011731</v>
      </c>
      <c r="C1159" t="str">
        <f>T("최종 보스 16권 20화")</f>
        <v>최종 보스 16권 20화</v>
      </c>
      <c r="D1159" t="str">
        <f>T("332")</f>
        <v>332</v>
      </c>
      <c r="E1159" t="str">
        <f t="shared" si="190"/>
        <v>무장</v>
      </c>
      <c r="H1159" t="str">
        <f t="shared" si="191"/>
        <v>스토리위즈</v>
      </c>
      <c r="I1159" t="str">
        <f t="shared" si="192"/>
        <v>최종 보스 : 빛을 향해 달리는 그림자</v>
      </c>
      <c r="J1159">
        <v>100</v>
      </c>
      <c r="K1159">
        <v>500</v>
      </c>
      <c r="L1159">
        <v>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500</v>
      </c>
      <c r="AH1159">
        <v>5</v>
      </c>
      <c r="AI1159">
        <v>0</v>
      </c>
      <c r="AJ1159">
        <v>0</v>
      </c>
      <c r="AK1159">
        <v>300</v>
      </c>
      <c r="AL1159">
        <v>0</v>
      </c>
      <c r="AM1159">
        <v>240</v>
      </c>
      <c r="AN1159">
        <v>-48</v>
      </c>
      <c r="AO1159">
        <v>0</v>
      </c>
      <c r="AP1159">
        <v>120</v>
      </c>
      <c r="AQ1159">
        <v>-36</v>
      </c>
      <c r="AR1159">
        <v>0</v>
      </c>
      <c r="AS1159">
        <v>120</v>
      </c>
      <c r="AT1159">
        <v>-12</v>
      </c>
      <c r="AU1159">
        <v>0</v>
      </c>
      <c r="AW1159">
        <v>0</v>
      </c>
      <c r="AX1159">
        <v>0</v>
      </c>
      <c r="AY1159">
        <v>344.4</v>
      </c>
      <c r="BC1159" t="str">
        <f t="shared" si="193"/>
        <v>9791166067563</v>
      </c>
      <c r="BE1159" t="str">
        <f t="shared" si="194"/>
        <v>판타지 웹소설 &gt; 현대 판타지</v>
      </c>
    </row>
    <row r="1160" spans="1:57" x14ac:dyDescent="0.3">
      <c r="A1160">
        <v>2313011400</v>
      </c>
      <c r="B1160">
        <v>2313011732</v>
      </c>
      <c r="C1160" t="str">
        <f>T("최종 보스 17권 1화")</f>
        <v>최종 보스 17권 1화</v>
      </c>
      <c r="D1160" t="str">
        <f>T("333")</f>
        <v>333</v>
      </c>
      <c r="E1160" t="str">
        <f t="shared" si="190"/>
        <v>무장</v>
      </c>
      <c r="H1160" t="str">
        <f t="shared" si="191"/>
        <v>스토리위즈</v>
      </c>
      <c r="I1160" t="str">
        <f t="shared" si="192"/>
        <v>최종 보스 : 빛을 향해 달리는 그림자</v>
      </c>
      <c r="J1160">
        <v>100</v>
      </c>
      <c r="K1160">
        <v>500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500</v>
      </c>
      <c r="AH1160">
        <v>5</v>
      </c>
      <c r="AI1160">
        <v>0</v>
      </c>
      <c r="AJ1160">
        <v>0</v>
      </c>
      <c r="AK1160">
        <v>300</v>
      </c>
      <c r="AL1160">
        <v>0</v>
      </c>
      <c r="AM1160">
        <v>240</v>
      </c>
      <c r="AN1160">
        <v>-48</v>
      </c>
      <c r="AO1160">
        <v>0</v>
      </c>
      <c r="AP1160">
        <v>120</v>
      </c>
      <c r="AQ1160">
        <v>-36</v>
      </c>
      <c r="AR1160">
        <v>0</v>
      </c>
      <c r="AS1160">
        <v>120</v>
      </c>
      <c r="AT1160">
        <v>-12</v>
      </c>
      <c r="AU1160">
        <v>0</v>
      </c>
      <c r="AW1160">
        <v>0</v>
      </c>
      <c r="AX1160">
        <v>0</v>
      </c>
      <c r="AY1160">
        <v>344.4</v>
      </c>
      <c r="BC1160" t="str">
        <f t="shared" si="193"/>
        <v>9791166067563</v>
      </c>
      <c r="BE1160" t="str">
        <f t="shared" si="194"/>
        <v>판타지 웹소설 &gt; 현대 판타지</v>
      </c>
    </row>
    <row r="1161" spans="1:57" x14ac:dyDescent="0.3">
      <c r="A1161">
        <v>2313011400</v>
      </c>
      <c r="B1161">
        <v>2313011733</v>
      </c>
      <c r="C1161" t="str">
        <f>T("최종 보스 17권 2화")</f>
        <v>최종 보스 17권 2화</v>
      </c>
      <c r="D1161" t="str">
        <f>T("334")</f>
        <v>334</v>
      </c>
      <c r="E1161" t="str">
        <f t="shared" si="190"/>
        <v>무장</v>
      </c>
      <c r="H1161" t="str">
        <f t="shared" si="191"/>
        <v>스토리위즈</v>
      </c>
      <c r="I1161" t="str">
        <f t="shared" si="192"/>
        <v>최종 보스 : 빛을 향해 달리는 그림자</v>
      </c>
      <c r="J1161">
        <v>100</v>
      </c>
      <c r="K1161">
        <v>500</v>
      </c>
      <c r="L1161">
        <v>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500</v>
      </c>
      <c r="AH1161">
        <v>5</v>
      </c>
      <c r="AI1161">
        <v>0</v>
      </c>
      <c r="AJ1161">
        <v>0</v>
      </c>
      <c r="AK1161">
        <v>300</v>
      </c>
      <c r="AL1161">
        <v>0</v>
      </c>
      <c r="AM1161">
        <v>240</v>
      </c>
      <c r="AN1161">
        <v>-48</v>
      </c>
      <c r="AO1161">
        <v>0</v>
      </c>
      <c r="AP1161">
        <v>120</v>
      </c>
      <c r="AQ1161">
        <v>-36</v>
      </c>
      <c r="AR1161">
        <v>0</v>
      </c>
      <c r="AS1161">
        <v>120</v>
      </c>
      <c r="AT1161">
        <v>-12</v>
      </c>
      <c r="AU1161">
        <v>0</v>
      </c>
      <c r="AW1161">
        <v>0</v>
      </c>
      <c r="AX1161">
        <v>0</v>
      </c>
      <c r="AY1161">
        <v>344.4</v>
      </c>
      <c r="BC1161" t="str">
        <f t="shared" si="193"/>
        <v>9791166067563</v>
      </c>
      <c r="BE1161" t="str">
        <f t="shared" si="194"/>
        <v>판타지 웹소설 &gt; 현대 판타지</v>
      </c>
    </row>
    <row r="1162" spans="1:57" x14ac:dyDescent="0.3">
      <c r="A1162">
        <v>2313011400</v>
      </c>
      <c r="B1162">
        <v>2313011734</v>
      </c>
      <c r="C1162" t="str">
        <f>T("최종 보스 17권 3화")</f>
        <v>최종 보스 17권 3화</v>
      </c>
      <c r="D1162" t="str">
        <f>T("335")</f>
        <v>335</v>
      </c>
      <c r="E1162" t="str">
        <f t="shared" si="190"/>
        <v>무장</v>
      </c>
      <c r="H1162" t="str">
        <f t="shared" si="191"/>
        <v>스토리위즈</v>
      </c>
      <c r="I1162" t="str">
        <f t="shared" si="192"/>
        <v>최종 보스 : 빛을 향해 달리는 그림자</v>
      </c>
      <c r="J1162">
        <v>100</v>
      </c>
      <c r="K1162">
        <v>500</v>
      </c>
      <c r="L1162">
        <v>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500</v>
      </c>
      <c r="AH1162">
        <v>5</v>
      </c>
      <c r="AI1162">
        <v>0</v>
      </c>
      <c r="AJ1162">
        <v>0</v>
      </c>
      <c r="AK1162">
        <v>300</v>
      </c>
      <c r="AL1162">
        <v>0</v>
      </c>
      <c r="AM1162">
        <v>240</v>
      </c>
      <c r="AN1162">
        <v>-48</v>
      </c>
      <c r="AO1162">
        <v>0</v>
      </c>
      <c r="AP1162">
        <v>120</v>
      </c>
      <c r="AQ1162">
        <v>-36</v>
      </c>
      <c r="AR1162">
        <v>0</v>
      </c>
      <c r="AS1162">
        <v>120</v>
      </c>
      <c r="AT1162">
        <v>-12</v>
      </c>
      <c r="AU1162">
        <v>0</v>
      </c>
      <c r="AW1162">
        <v>0</v>
      </c>
      <c r="AX1162">
        <v>0</v>
      </c>
      <c r="AY1162">
        <v>344.4</v>
      </c>
      <c r="BC1162" t="str">
        <f t="shared" si="193"/>
        <v>9791166067563</v>
      </c>
      <c r="BE1162" t="str">
        <f t="shared" si="194"/>
        <v>판타지 웹소설 &gt; 현대 판타지</v>
      </c>
    </row>
    <row r="1163" spans="1:57" x14ac:dyDescent="0.3">
      <c r="A1163">
        <v>2313011400</v>
      </c>
      <c r="B1163">
        <v>2313011735</v>
      </c>
      <c r="C1163" t="str">
        <f>T("최종 보스 17권 4화")</f>
        <v>최종 보스 17권 4화</v>
      </c>
      <c r="D1163" t="str">
        <f>T("336")</f>
        <v>336</v>
      </c>
      <c r="E1163" t="str">
        <f t="shared" si="190"/>
        <v>무장</v>
      </c>
      <c r="H1163" t="str">
        <f t="shared" si="191"/>
        <v>스토리위즈</v>
      </c>
      <c r="I1163" t="str">
        <f t="shared" si="192"/>
        <v>최종 보스 : 빛을 향해 달리는 그림자</v>
      </c>
      <c r="J1163">
        <v>100</v>
      </c>
      <c r="K1163">
        <v>500</v>
      </c>
      <c r="L1163">
        <v>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500</v>
      </c>
      <c r="AH1163">
        <v>5</v>
      </c>
      <c r="AI1163">
        <v>0</v>
      </c>
      <c r="AJ1163">
        <v>0</v>
      </c>
      <c r="AK1163">
        <v>300</v>
      </c>
      <c r="AL1163">
        <v>0</v>
      </c>
      <c r="AM1163">
        <v>240</v>
      </c>
      <c r="AN1163">
        <v>-48</v>
      </c>
      <c r="AO1163">
        <v>0</v>
      </c>
      <c r="AP1163">
        <v>120</v>
      </c>
      <c r="AQ1163">
        <v>-36</v>
      </c>
      <c r="AR1163">
        <v>0</v>
      </c>
      <c r="AS1163">
        <v>120</v>
      </c>
      <c r="AT1163">
        <v>-12</v>
      </c>
      <c r="AU1163">
        <v>0</v>
      </c>
      <c r="AW1163">
        <v>0</v>
      </c>
      <c r="AX1163">
        <v>0</v>
      </c>
      <c r="AY1163">
        <v>344.4</v>
      </c>
      <c r="BC1163" t="str">
        <f t="shared" si="193"/>
        <v>9791166067563</v>
      </c>
      <c r="BE1163" t="str">
        <f t="shared" si="194"/>
        <v>판타지 웹소설 &gt; 현대 판타지</v>
      </c>
    </row>
    <row r="1164" spans="1:57" x14ac:dyDescent="0.3">
      <c r="A1164">
        <v>2313011400</v>
      </c>
      <c r="B1164">
        <v>2313011736</v>
      </c>
      <c r="C1164" t="str">
        <f>T("최종 보스 17권 5화")</f>
        <v>최종 보스 17권 5화</v>
      </c>
      <c r="D1164" t="str">
        <f>T("337")</f>
        <v>337</v>
      </c>
      <c r="E1164" t="str">
        <f t="shared" si="190"/>
        <v>무장</v>
      </c>
      <c r="H1164" t="str">
        <f t="shared" si="191"/>
        <v>스토리위즈</v>
      </c>
      <c r="I1164" t="str">
        <f t="shared" si="192"/>
        <v>최종 보스 : 빛을 향해 달리는 그림자</v>
      </c>
      <c r="J1164">
        <v>100</v>
      </c>
      <c r="K1164">
        <v>500</v>
      </c>
      <c r="L1164">
        <v>5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500</v>
      </c>
      <c r="AH1164">
        <v>5</v>
      </c>
      <c r="AI1164">
        <v>0</v>
      </c>
      <c r="AJ1164">
        <v>0</v>
      </c>
      <c r="AK1164">
        <v>300</v>
      </c>
      <c r="AL1164">
        <v>0</v>
      </c>
      <c r="AM1164">
        <v>240</v>
      </c>
      <c r="AN1164">
        <v>-48</v>
      </c>
      <c r="AO1164">
        <v>0</v>
      </c>
      <c r="AP1164">
        <v>120</v>
      </c>
      <c r="AQ1164">
        <v>-36</v>
      </c>
      <c r="AR1164">
        <v>0</v>
      </c>
      <c r="AS1164">
        <v>120</v>
      </c>
      <c r="AT1164">
        <v>-12</v>
      </c>
      <c r="AU1164">
        <v>0</v>
      </c>
      <c r="AW1164">
        <v>0</v>
      </c>
      <c r="AX1164">
        <v>0</v>
      </c>
      <c r="AY1164">
        <v>344.4</v>
      </c>
      <c r="BC1164" t="str">
        <f t="shared" si="193"/>
        <v>9791166067563</v>
      </c>
      <c r="BE1164" t="str">
        <f t="shared" si="194"/>
        <v>판타지 웹소설 &gt; 현대 판타지</v>
      </c>
    </row>
    <row r="1165" spans="1:57" x14ac:dyDescent="0.3">
      <c r="A1165">
        <v>2313011400</v>
      </c>
      <c r="B1165">
        <v>2313011737</v>
      </c>
      <c r="C1165" t="str">
        <f>T("최종 보스 17권 6화")</f>
        <v>최종 보스 17권 6화</v>
      </c>
      <c r="D1165" t="str">
        <f>T("338")</f>
        <v>338</v>
      </c>
      <c r="E1165" t="str">
        <f t="shared" si="190"/>
        <v>무장</v>
      </c>
      <c r="H1165" t="str">
        <f t="shared" si="191"/>
        <v>스토리위즈</v>
      </c>
      <c r="I1165" t="str">
        <f t="shared" si="192"/>
        <v>최종 보스 : 빛을 향해 달리는 그림자</v>
      </c>
      <c r="J1165">
        <v>100</v>
      </c>
      <c r="K1165">
        <v>500</v>
      </c>
      <c r="L1165">
        <v>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500</v>
      </c>
      <c r="AH1165">
        <v>5</v>
      </c>
      <c r="AI1165">
        <v>0</v>
      </c>
      <c r="AJ1165">
        <v>0</v>
      </c>
      <c r="AK1165">
        <v>300</v>
      </c>
      <c r="AL1165">
        <v>0</v>
      </c>
      <c r="AM1165">
        <v>240</v>
      </c>
      <c r="AN1165">
        <v>-48</v>
      </c>
      <c r="AO1165">
        <v>0</v>
      </c>
      <c r="AP1165">
        <v>120</v>
      </c>
      <c r="AQ1165">
        <v>-36</v>
      </c>
      <c r="AR1165">
        <v>0</v>
      </c>
      <c r="AS1165">
        <v>120</v>
      </c>
      <c r="AT1165">
        <v>-12</v>
      </c>
      <c r="AU1165">
        <v>0</v>
      </c>
      <c r="AW1165">
        <v>0</v>
      </c>
      <c r="AX1165">
        <v>0</v>
      </c>
      <c r="AY1165">
        <v>344.4</v>
      </c>
      <c r="BC1165" t="str">
        <f t="shared" si="193"/>
        <v>9791166067563</v>
      </c>
      <c r="BE1165" t="str">
        <f t="shared" si="194"/>
        <v>판타지 웹소설 &gt; 현대 판타지</v>
      </c>
    </row>
    <row r="1166" spans="1:57" x14ac:dyDescent="0.3">
      <c r="A1166">
        <v>2313011400</v>
      </c>
      <c r="B1166">
        <v>2313011738</v>
      </c>
      <c r="C1166" t="str">
        <f>T("최종 보스 17권 7화")</f>
        <v>최종 보스 17권 7화</v>
      </c>
      <c r="D1166" t="str">
        <f>T("339")</f>
        <v>339</v>
      </c>
      <c r="E1166" t="str">
        <f t="shared" si="190"/>
        <v>무장</v>
      </c>
      <c r="H1166" t="str">
        <f t="shared" si="191"/>
        <v>스토리위즈</v>
      </c>
      <c r="I1166" t="str">
        <f t="shared" si="192"/>
        <v>최종 보스 : 빛을 향해 달리는 그림자</v>
      </c>
      <c r="J1166">
        <v>100</v>
      </c>
      <c r="K1166">
        <v>500</v>
      </c>
      <c r="L1166">
        <v>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500</v>
      </c>
      <c r="AH1166">
        <v>5</v>
      </c>
      <c r="AI1166">
        <v>0</v>
      </c>
      <c r="AJ1166">
        <v>0</v>
      </c>
      <c r="AK1166">
        <v>300</v>
      </c>
      <c r="AL1166">
        <v>0</v>
      </c>
      <c r="AM1166">
        <v>240</v>
      </c>
      <c r="AN1166">
        <v>-48</v>
      </c>
      <c r="AO1166">
        <v>0</v>
      </c>
      <c r="AP1166">
        <v>120</v>
      </c>
      <c r="AQ1166">
        <v>-36</v>
      </c>
      <c r="AR1166">
        <v>0</v>
      </c>
      <c r="AS1166">
        <v>120</v>
      </c>
      <c r="AT1166">
        <v>-12</v>
      </c>
      <c r="AU1166">
        <v>0</v>
      </c>
      <c r="AW1166">
        <v>0</v>
      </c>
      <c r="AX1166">
        <v>0</v>
      </c>
      <c r="AY1166">
        <v>344.4</v>
      </c>
      <c r="BC1166" t="str">
        <f t="shared" si="193"/>
        <v>9791166067563</v>
      </c>
      <c r="BE1166" t="str">
        <f t="shared" si="194"/>
        <v>판타지 웹소설 &gt; 현대 판타지</v>
      </c>
    </row>
    <row r="1167" spans="1:57" x14ac:dyDescent="0.3">
      <c r="A1167">
        <v>2313011400</v>
      </c>
      <c r="B1167">
        <v>2313011739</v>
      </c>
      <c r="C1167" t="str">
        <f>T("최종 보스 17권 8화")</f>
        <v>최종 보스 17권 8화</v>
      </c>
      <c r="D1167" t="str">
        <f>T("340")</f>
        <v>340</v>
      </c>
      <c r="E1167" t="str">
        <f t="shared" si="190"/>
        <v>무장</v>
      </c>
      <c r="H1167" t="str">
        <f t="shared" si="191"/>
        <v>스토리위즈</v>
      </c>
      <c r="I1167" t="str">
        <f t="shared" si="192"/>
        <v>최종 보스 : 빛을 향해 달리는 그림자</v>
      </c>
      <c r="J1167">
        <v>100</v>
      </c>
      <c r="K1167">
        <v>500</v>
      </c>
      <c r="L1167">
        <v>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500</v>
      </c>
      <c r="AH1167">
        <v>5</v>
      </c>
      <c r="AI1167">
        <v>0</v>
      </c>
      <c r="AJ1167">
        <v>0</v>
      </c>
      <c r="AK1167">
        <v>300</v>
      </c>
      <c r="AL1167">
        <v>0</v>
      </c>
      <c r="AM1167">
        <v>240</v>
      </c>
      <c r="AN1167">
        <v>-48</v>
      </c>
      <c r="AO1167">
        <v>0</v>
      </c>
      <c r="AP1167">
        <v>120</v>
      </c>
      <c r="AQ1167">
        <v>-36</v>
      </c>
      <c r="AR1167">
        <v>0</v>
      </c>
      <c r="AS1167">
        <v>120</v>
      </c>
      <c r="AT1167">
        <v>-12</v>
      </c>
      <c r="AU1167">
        <v>0</v>
      </c>
      <c r="AW1167">
        <v>0</v>
      </c>
      <c r="AX1167">
        <v>0</v>
      </c>
      <c r="AY1167">
        <v>344.4</v>
      </c>
      <c r="BC1167" t="str">
        <f t="shared" si="193"/>
        <v>9791166067563</v>
      </c>
      <c r="BE1167" t="str">
        <f t="shared" si="194"/>
        <v>판타지 웹소설 &gt; 현대 판타지</v>
      </c>
    </row>
    <row r="1168" spans="1:57" x14ac:dyDescent="0.3">
      <c r="A1168">
        <v>2313011400</v>
      </c>
      <c r="B1168">
        <v>2313011740</v>
      </c>
      <c r="C1168" t="str">
        <f>T("최종 보스 17권 9화")</f>
        <v>최종 보스 17권 9화</v>
      </c>
      <c r="D1168" t="str">
        <f>T("341")</f>
        <v>341</v>
      </c>
      <c r="E1168" t="str">
        <f t="shared" si="190"/>
        <v>무장</v>
      </c>
      <c r="H1168" t="str">
        <f t="shared" si="191"/>
        <v>스토리위즈</v>
      </c>
      <c r="I1168" t="str">
        <f t="shared" si="192"/>
        <v>최종 보스 : 빛을 향해 달리는 그림자</v>
      </c>
      <c r="J1168">
        <v>100</v>
      </c>
      <c r="K1168">
        <v>500</v>
      </c>
      <c r="L1168">
        <v>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500</v>
      </c>
      <c r="AH1168">
        <v>5</v>
      </c>
      <c r="AI1168">
        <v>0</v>
      </c>
      <c r="AJ1168">
        <v>0</v>
      </c>
      <c r="AK1168">
        <v>300</v>
      </c>
      <c r="AL1168">
        <v>0</v>
      </c>
      <c r="AM1168">
        <v>240</v>
      </c>
      <c r="AN1168">
        <v>-48</v>
      </c>
      <c r="AO1168">
        <v>0</v>
      </c>
      <c r="AP1168">
        <v>120</v>
      </c>
      <c r="AQ1168">
        <v>-36</v>
      </c>
      <c r="AR1168">
        <v>0</v>
      </c>
      <c r="AS1168">
        <v>120</v>
      </c>
      <c r="AT1168">
        <v>-12</v>
      </c>
      <c r="AU1168">
        <v>0</v>
      </c>
      <c r="AW1168">
        <v>0</v>
      </c>
      <c r="AX1168">
        <v>0</v>
      </c>
      <c r="AY1168">
        <v>344.4</v>
      </c>
      <c r="BC1168" t="str">
        <f t="shared" si="193"/>
        <v>9791166067563</v>
      </c>
      <c r="BE1168" t="str">
        <f t="shared" si="194"/>
        <v>판타지 웹소설 &gt; 현대 판타지</v>
      </c>
    </row>
    <row r="1169" spans="1:57" x14ac:dyDescent="0.3">
      <c r="A1169">
        <v>2313011400</v>
      </c>
      <c r="B1169">
        <v>2313011741</v>
      </c>
      <c r="C1169" t="str">
        <f>T("최종 보스 17권 10화")</f>
        <v>최종 보스 17권 10화</v>
      </c>
      <c r="D1169" t="str">
        <f>T("342")</f>
        <v>342</v>
      </c>
      <c r="E1169" t="str">
        <f t="shared" si="190"/>
        <v>무장</v>
      </c>
      <c r="H1169" t="str">
        <f t="shared" si="191"/>
        <v>스토리위즈</v>
      </c>
      <c r="I1169" t="str">
        <f t="shared" si="192"/>
        <v>최종 보스 : 빛을 향해 달리는 그림자</v>
      </c>
      <c r="J1169">
        <v>100</v>
      </c>
      <c r="K1169">
        <v>500</v>
      </c>
      <c r="L1169">
        <v>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500</v>
      </c>
      <c r="AH1169">
        <v>5</v>
      </c>
      <c r="AI1169">
        <v>0</v>
      </c>
      <c r="AJ1169">
        <v>0</v>
      </c>
      <c r="AK1169">
        <v>300</v>
      </c>
      <c r="AL1169">
        <v>0</v>
      </c>
      <c r="AM1169">
        <v>240</v>
      </c>
      <c r="AN1169">
        <v>-48</v>
      </c>
      <c r="AO1169">
        <v>0</v>
      </c>
      <c r="AP1169">
        <v>120</v>
      </c>
      <c r="AQ1169">
        <v>-36</v>
      </c>
      <c r="AR1169">
        <v>0</v>
      </c>
      <c r="AS1169">
        <v>120</v>
      </c>
      <c r="AT1169">
        <v>-12</v>
      </c>
      <c r="AU1169">
        <v>0</v>
      </c>
      <c r="AW1169">
        <v>0</v>
      </c>
      <c r="AX1169">
        <v>0</v>
      </c>
      <c r="AY1169">
        <v>344.4</v>
      </c>
      <c r="BC1169" t="str">
        <f t="shared" si="193"/>
        <v>9791166067563</v>
      </c>
      <c r="BE1169" t="str">
        <f t="shared" si="194"/>
        <v>판타지 웹소설 &gt; 현대 판타지</v>
      </c>
    </row>
    <row r="1170" spans="1:57" x14ac:dyDescent="0.3">
      <c r="A1170">
        <v>2313011400</v>
      </c>
      <c r="B1170">
        <v>2313011742</v>
      </c>
      <c r="C1170" t="str">
        <f>T("최종 보스 17권 11화")</f>
        <v>최종 보스 17권 11화</v>
      </c>
      <c r="D1170" t="str">
        <f>T("343")</f>
        <v>343</v>
      </c>
      <c r="E1170" t="str">
        <f t="shared" si="190"/>
        <v>무장</v>
      </c>
      <c r="H1170" t="str">
        <f t="shared" si="191"/>
        <v>스토리위즈</v>
      </c>
      <c r="I1170" t="str">
        <f t="shared" si="192"/>
        <v>최종 보스 : 빛을 향해 달리는 그림자</v>
      </c>
      <c r="J1170">
        <v>100</v>
      </c>
      <c r="K1170">
        <v>500</v>
      </c>
      <c r="L1170">
        <v>5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500</v>
      </c>
      <c r="AH1170">
        <v>5</v>
      </c>
      <c r="AI1170">
        <v>0</v>
      </c>
      <c r="AJ1170">
        <v>0</v>
      </c>
      <c r="AK1170">
        <v>300</v>
      </c>
      <c r="AL1170">
        <v>0</v>
      </c>
      <c r="AM1170">
        <v>240</v>
      </c>
      <c r="AN1170">
        <v>-48</v>
      </c>
      <c r="AO1170">
        <v>0</v>
      </c>
      <c r="AP1170">
        <v>120</v>
      </c>
      <c r="AQ1170">
        <v>-36</v>
      </c>
      <c r="AR1170">
        <v>0</v>
      </c>
      <c r="AS1170">
        <v>120</v>
      </c>
      <c r="AT1170">
        <v>-12</v>
      </c>
      <c r="AU1170">
        <v>0</v>
      </c>
      <c r="AW1170">
        <v>0</v>
      </c>
      <c r="AX1170">
        <v>0</v>
      </c>
      <c r="AY1170">
        <v>344.4</v>
      </c>
      <c r="BC1170" t="str">
        <f t="shared" si="193"/>
        <v>9791166067563</v>
      </c>
      <c r="BE1170" t="str">
        <f t="shared" si="194"/>
        <v>판타지 웹소설 &gt; 현대 판타지</v>
      </c>
    </row>
    <row r="1171" spans="1:57" x14ac:dyDescent="0.3">
      <c r="A1171">
        <v>2313011400</v>
      </c>
      <c r="B1171">
        <v>2313011743</v>
      </c>
      <c r="C1171" t="str">
        <f>T("최종 보스 17권 12화")</f>
        <v>최종 보스 17권 12화</v>
      </c>
      <c r="D1171" t="str">
        <f>T("344")</f>
        <v>344</v>
      </c>
      <c r="E1171" t="str">
        <f t="shared" si="190"/>
        <v>무장</v>
      </c>
      <c r="H1171" t="str">
        <f t="shared" si="191"/>
        <v>스토리위즈</v>
      </c>
      <c r="I1171" t="str">
        <f t="shared" si="192"/>
        <v>최종 보스 : 빛을 향해 달리는 그림자</v>
      </c>
      <c r="J1171">
        <v>100</v>
      </c>
      <c r="K1171">
        <v>500</v>
      </c>
      <c r="L1171">
        <v>5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500</v>
      </c>
      <c r="AH1171">
        <v>5</v>
      </c>
      <c r="AI1171">
        <v>0</v>
      </c>
      <c r="AJ1171">
        <v>0</v>
      </c>
      <c r="AK1171">
        <v>300</v>
      </c>
      <c r="AL1171">
        <v>0</v>
      </c>
      <c r="AM1171">
        <v>240</v>
      </c>
      <c r="AN1171">
        <v>-48</v>
      </c>
      <c r="AO1171">
        <v>0</v>
      </c>
      <c r="AP1171">
        <v>120</v>
      </c>
      <c r="AQ1171">
        <v>-36</v>
      </c>
      <c r="AR1171">
        <v>0</v>
      </c>
      <c r="AS1171">
        <v>120</v>
      </c>
      <c r="AT1171">
        <v>-12</v>
      </c>
      <c r="AU1171">
        <v>0</v>
      </c>
      <c r="AW1171">
        <v>0</v>
      </c>
      <c r="AX1171">
        <v>0</v>
      </c>
      <c r="AY1171">
        <v>344.4</v>
      </c>
      <c r="BC1171" t="str">
        <f t="shared" si="193"/>
        <v>9791166067563</v>
      </c>
      <c r="BE1171" t="str">
        <f t="shared" si="194"/>
        <v>판타지 웹소설 &gt; 현대 판타지</v>
      </c>
    </row>
    <row r="1172" spans="1:57" x14ac:dyDescent="0.3">
      <c r="A1172">
        <v>2313011400</v>
      </c>
      <c r="B1172">
        <v>2313011744</v>
      </c>
      <c r="C1172" t="str">
        <f>T("최종 보스 17권 13화")</f>
        <v>최종 보스 17권 13화</v>
      </c>
      <c r="D1172" t="str">
        <f>T("345")</f>
        <v>345</v>
      </c>
      <c r="E1172" t="str">
        <f t="shared" si="190"/>
        <v>무장</v>
      </c>
      <c r="H1172" t="str">
        <f t="shared" si="191"/>
        <v>스토리위즈</v>
      </c>
      <c r="I1172" t="str">
        <f t="shared" si="192"/>
        <v>최종 보스 : 빛을 향해 달리는 그림자</v>
      </c>
      <c r="J1172">
        <v>100</v>
      </c>
      <c r="K1172">
        <v>500</v>
      </c>
      <c r="L1172">
        <v>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500</v>
      </c>
      <c r="AH1172">
        <v>5</v>
      </c>
      <c r="AI1172">
        <v>0</v>
      </c>
      <c r="AJ1172">
        <v>0</v>
      </c>
      <c r="AK1172">
        <v>300</v>
      </c>
      <c r="AL1172">
        <v>0</v>
      </c>
      <c r="AM1172">
        <v>240</v>
      </c>
      <c r="AN1172">
        <v>-48</v>
      </c>
      <c r="AO1172">
        <v>0</v>
      </c>
      <c r="AP1172">
        <v>120</v>
      </c>
      <c r="AQ1172">
        <v>-36</v>
      </c>
      <c r="AR1172">
        <v>0</v>
      </c>
      <c r="AS1172">
        <v>120</v>
      </c>
      <c r="AT1172">
        <v>-12</v>
      </c>
      <c r="AU1172">
        <v>0</v>
      </c>
      <c r="AW1172">
        <v>0</v>
      </c>
      <c r="AX1172">
        <v>0</v>
      </c>
      <c r="AY1172">
        <v>344.4</v>
      </c>
      <c r="BC1172" t="str">
        <f t="shared" si="193"/>
        <v>9791166067563</v>
      </c>
      <c r="BE1172" t="str">
        <f t="shared" si="194"/>
        <v>판타지 웹소설 &gt; 현대 판타지</v>
      </c>
    </row>
    <row r="1173" spans="1:57" x14ac:dyDescent="0.3">
      <c r="A1173">
        <v>2313011400</v>
      </c>
      <c r="B1173">
        <v>2313011745</v>
      </c>
      <c r="C1173" t="str">
        <f>T("최종 보스 17권 14화")</f>
        <v>최종 보스 17권 14화</v>
      </c>
      <c r="D1173" t="str">
        <f>T("346")</f>
        <v>346</v>
      </c>
      <c r="E1173" t="str">
        <f t="shared" si="190"/>
        <v>무장</v>
      </c>
      <c r="H1173" t="str">
        <f t="shared" si="191"/>
        <v>스토리위즈</v>
      </c>
      <c r="I1173" t="str">
        <f t="shared" si="192"/>
        <v>최종 보스 : 빛을 향해 달리는 그림자</v>
      </c>
      <c r="J1173">
        <v>100</v>
      </c>
      <c r="K1173">
        <v>500</v>
      </c>
      <c r="L1173">
        <v>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500</v>
      </c>
      <c r="AH1173">
        <v>5</v>
      </c>
      <c r="AI1173">
        <v>0</v>
      </c>
      <c r="AJ1173">
        <v>0</v>
      </c>
      <c r="AK1173">
        <v>300</v>
      </c>
      <c r="AL1173">
        <v>0</v>
      </c>
      <c r="AM1173">
        <v>240</v>
      </c>
      <c r="AN1173">
        <v>-48</v>
      </c>
      <c r="AO1173">
        <v>0</v>
      </c>
      <c r="AP1173">
        <v>120</v>
      </c>
      <c r="AQ1173">
        <v>-36</v>
      </c>
      <c r="AR1173">
        <v>0</v>
      </c>
      <c r="AS1173">
        <v>120</v>
      </c>
      <c r="AT1173">
        <v>-12</v>
      </c>
      <c r="AU1173">
        <v>0</v>
      </c>
      <c r="AW1173">
        <v>0</v>
      </c>
      <c r="AX1173">
        <v>0</v>
      </c>
      <c r="AY1173">
        <v>344.4</v>
      </c>
      <c r="BC1173" t="str">
        <f t="shared" si="193"/>
        <v>9791166067563</v>
      </c>
      <c r="BE1173" t="str">
        <f t="shared" si="194"/>
        <v>판타지 웹소설 &gt; 현대 판타지</v>
      </c>
    </row>
    <row r="1174" spans="1:57" x14ac:dyDescent="0.3">
      <c r="A1174">
        <v>2313011400</v>
      </c>
      <c r="B1174">
        <v>2313011746</v>
      </c>
      <c r="C1174" t="str">
        <f>T("최종 보스 17권 15화")</f>
        <v>최종 보스 17권 15화</v>
      </c>
      <c r="D1174" t="str">
        <f>T("347")</f>
        <v>347</v>
      </c>
      <c r="E1174" t="str">
        <f t="shared" si="190"/>
        <v>무장</v>
      </c>
      <c r="H1174" t="str">
        <f t="shared" si="191"/>
        <v>스토리위즈</v>
      </c>
      <c r="I1174" t="str">
        <f t="shared" si="192"/>
        <v>최종 보스 : 빛을 향해 달리는 그림자</v>
      </c>
      <c r="J1174">
        <v>100</v>
      </c>
      <c r="K1174">
        <v>500</v>
      </c>
      <c r="L1174">
        <v>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500</v>
      </c>
      <c r="AH1174">
        <v>5</v>
      </c>
      <c r="AI1174">
        <v>0</v>
      </c>
      <c r="AJ1174">
        <v>0</v>
      </c>
      <c r="AK1174">
        <v>300</v>
      </c>
      <c r="AL1174">
        <v>0</v>
      </c>
      <c r="AM1174">
        <v>240</v>
      </c>
      <c r="AN1174">
        <v>-48</v>
      </c>
      <c r="AO1174">
        <v>0</v>
      </c>
      <c r="AP1174">
        <v>120</v>
      </c>
      <c r="AQ1174">
        <v>-36</v>
      </c>
      <c r="AR1174">
        <v>0</v>
      </c>
      <c r="AS1174">
        <v>120</v>
      </c>
      <c r="AT1174">
        <v>-12</v>
      </c>
      <c r="AU1174">
        <v>0</v>
      </c>
      <c r="AW1174">
        <v>0</v>
      </c>
      <c r="AX1174">
        <v>0</v>
      </c>
      <c r="AY1174">
        <v>344.4</v>
      </c>
      <c r="BC1174" t="str">
        <f t="shared" si="193"/>
        <v>9791166067563</v>
      </c>
      <c r="BE1174" t="str">
        <f t="shared" si="194"/>
        <v>판타지 웹소설 &gt; 현대 판타지</v>
      </c>
    </row>
    <row r="1175" spans="1:57" x14ac:dyDescent="0.3">
      <c r="A1175">
        <v>2313011400</v>
      </c>
      <c r="B1175">
        <v>2313011747</v>
      </c>
      <c r="C1175" t="str">
        <f>T("최종 보스 17권 16화")</f>
        <v>최종 보스 17권 16화</v>
      </c>
      <c r="D1175" t="str">
        <f>T("348")</f>
        <v>348</v>
      </c>
      <c r="E1175" t="str">
        <f t="shared" si="190"/>
        <v>무장</v>
      </c>
      <c r="H1175" t="str">
        <f t="shared" si="191"/>
        <v>스토리위즈</v>
      </c>
      <c r="I1175" t="str">
        <f t="shared" si="192"/>
        <v>최종 보스 : 빛을 향해 달리는 그림자</v>
      </c>
      <c r="J1175">
        <v>100</v>
      </c>
      <c r="K1175">
        <v>500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500</v>
      </c>
      <c r="AH1175">
        <v>5</v>
      </c>
      <c r="AI1175">
        <v>0</v>
      </c>
      <c r="AJ1175">
        <v>0</v>
      </c>
      <c r="AK1175">
        <v>300</v>
      </c>
      <c r="AL1175">
        <v>0</v>
      </c>
      <c r="AM1175">
        <v>240</v>
      </c>
      <c r="AN1175">
        <v>-48</v>
      </c>
      <c r="AO1175">
        <v>0</v>
      </c>
      <c r="AP1175">
        <v>120</v>
      </c>
      <c r="AQ1175">
        <v>-36</v>
      </c>
      <c r="AR1175">
        <v>0</v>
      </c>
      <c r="AS1175">
        <v>120</v>
      </c>
      <c r="AT1175">
        <v>-12</v>
      </c>
      <c r="AU1175">
        <v>0</v>
      </c>
      <c r="AW1175">
        <v>0</v>
      </c>
      <c r="AX1175">
        <v>0</v>
      </c>
      <c r="AY1175">
        <v>344.4</v>
      </c>
      <c r="BC1175" t="str">
        <f t="shared" si="193"/>
        <v>9791166067563</v>
      </c>
      <c r="BE1175" t="str">
        <f t="shared" si="194"/>
        <v>판타지 웹소설 &gt; 현대 판타지</v>
      </c>
    </row>
    <row r="1176" spans="1:57" x14ac:dyDescent="0.3">
      <c r="A1176">
        <v>2313011400</v>
      </c>
      <c r="B1176">
        <v>2313011748</v>
      </c>
      <c r="C1176" t="str">
        <f>T("최종 보스 17권 17화")</f>
        <v>최종 보스 17권 17화</v>
      </c>
      <c r="D1176" t="str">
        <f>T("349")</f>
        <v>349</v>
      </c>
      <c r="E1176" t="str">
        <f t="shared" si="190"/>
        <v>무장</v>
      </c>
      <c r="H1176" t="str">
        <f t="shared" si="191"/>
        <v>스토리위즈</v>
      </c>
      <c r="I1176" t="str">
        <f t="shared" si="192"/>
        <v>최종 보스 : 빛을 향해 달리는 그림자</v>
      </c>
      <c r="J1176">
        <v>100</v>
      </c>
      <c r="K1176">
        <v>500</v>
      </c>
      <c r="L1176">
        <v>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500</v>
      </c>
      <c r="AH1176">
        <v>5</v>
      </c>
      <c r="AI1176">
        <v>0</v>
      </c>
      <c r="AJ1176">
        <v>0</v>
      </c>
      <c r="AK1176">
        <v>300</v>
      </c>
      <c r="AL1176">
        <v>0</v>
      </c>
      <c r="AM1176">
        <v>240</v>
      </c>
      <c r="AN1176">
        <v>-48</v>
      </c>
      <c r="AO1176">
        <v>0</v>
      </c>
      <c r="AP1176">
        <v>120</v>
      </c>
      <c r="AQ1176">
        <v>-36</v>
      </c>
      <c r="AR1176">
        <v>0</v>
      </c>
      <c r="AS1176">
        <v>120</v>
      </c>
      <c r="AT1176">
        <v>-12</v>
      </c>
      <c r="AU1176">
        <v>0</v>
      </c>
      <c r="AW1176">
        <v>0</v>
      </c>
      <c r="AX1176">
        <v>0</v>
      </c>
      <c r="AY1176">
        <v>344.4</v>
      </c>
      <c r="BC1176" t="str">
        <f t="shared" si="193"/>
        <v>9791166067563</v>
      </c>
      <c r="BE1176" t="str">
        <f t="shared" si="194"/>
        <v>판타지 웹소설 &gt; 현대 판타지</v>
      </c>
    </row>
    <row r="1177" spans="1:57" x14ac:dyDescent="0.3">
      <c r="A1177">
        <v>2313011400</v>
      </c>
      <c r="B1177">
        <v>2313011749</v>
      </c>
      <c r="C1177" t="str">
        <f>T("최종 보스 17권 18화")</f>
        <v>최종 보스 17권 18화</v>
      </c>
      <c r="D1177" t="str">
        <f>T("350")</f>
        <v>350</v>
      </c>
      <c r="E1177" t="str">
        <f t="shared" si="190"/>
        <v>무장</v>
      </c>
      <c r="H1177" t="str">
        <f t="shared" si="191"/>
        <v>스토리위즈</v>
      </c>
      <c r="I1177" t="str">
        <f t="shared" si="192"/>
        <v>최종 보스 : 빛을 향해 달리는 그림자</v>
      </c>
      <c r="J1177">
        <v>100</v>
      </c>
      <c r="K1177">
        <v>500</v>
      </c>
      <c r="L1177">
        <v>5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500</v>
      </c>
      <c r="AH1177">
        <v>5</v>
      </c>
      <c r="AI1177">
        <v>0</v>
      </c>
      <c r="AJ1177">
        <v>0</v>
      </c>
      <c r="AK1177">
        <v>300</v>
      </c>
      <c r="AL1177">
        <v>0</v>
      </c>
      <c r="AM1177">
        <v>240</v>
      </c>
      <c r="AN1177">
        <v>-48</v>
      </c>
      <c r="AO1177">
        <v>0</v>
      </c>
      <c r="AP1177">
        <v>120</v>
      </c>
      <c r="AQ1177">
        <v>-36</v>
      </c>
      <c r="AR1177">
        <v>0</v>
      </c>
      <c r="AS1177">
        <v>120</v>
      </c>
      <c r="AT1177">
        <v>-12</v>
      </c>
      <c r="AU1177">
        <v>0</v>
      </c>
      <c r="AW1177">
        <v>0</v>
      </c>
      <c r="AX1177">
        <v>0</v>
      </c>
      <c r="AY1177">
        <v>344.4</v>
      </c>
      <c r="BC1177" t="str">
        <f t="shared" si="193"/>
        <v>9791166067563</v>
      </c>
      <c r="BE1177" t="str">
        <f t="shared" si="194"/>
        <v>판타지 웹소설 &gt; 현대 판타지</v>
      </c>
    </row>
    <row r="1178" spans="1:57" x14ac:dyDescent="0.3">
      <c r="A1178">
        <v>2313011400</v>
      </c>
      <c r="B1178">
        <v>2313011750</v>
      </c>
      <c r="C1178" t="str">
        <f>T("최종 보스 17권 19화")</f>
        <v>최종 보스 17권 19화</v>
      </c>
      <c r="D1178" t="str">
        <f>T("351")</f>
        <v>351</v>
      </c>
      <c r="E1178" t="str">
        <f t="shared" si="190"/>
        <v>무장</v>
      </c>
      <c r="H1178" t="str">
        <f t="shared" si="191"/>
        <v>스토리위즈</v>
      </c>
      <c r="I1178" t="str">
        <f t="shared" si="192"/>
        <v>최종 보스 : 빛을 향해 달리는 그림자</v>
      </c>
      <c r="J1178">
        <v>100</v>
      </c>
      <c r="K1178">
        <v>500</v>
      </c>
      <c r="L1178">
        <v>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500</v>
      </c>
      <c r="AH1178">
        <v>5</v>
      </c>
      <c r="AI1178">
        <v>0</v>
      </c>
      <c r="AJ1178">
        <v>0</v>
      </c>
      <c r="AK1178">
        <v>300</v>
      </c>
      <c r="AL1178">
        <v>0</v>
      </c>
      <c r="AM1178">
        <v>240</v>
      </c>
      <c r="AN1178">
        <v>-48</v>
      </c>
      <c r="AO1178">
        <v>0</v>
      </c>
      <c r="AP1178">
        <v>120</v>
      </c>
      <c r="AQ1178">
        <v>-36</v>
      </c>
      <c r="AR1178">
        <v>0</v>
      </c>
      <c r="AS1178">
        <v>120</v>
      </c>
      <c r="AT1178">
        <v>-12</v>
      </c>
      <c r="AU1178">
        <v>0</v>
      </c>
      <c r="AW1178">
        <v>0</v>
      </c>
      <c r="AX1178">
        <v>0</v>
      </c>
      <c r="AY1178">
        <v>344.4</v>
      </c>
      <c r="BC1178" t="str">
        <f t="shared" si="193"/>
        <v>9791166067563</v>
      </c>
      <c r="BE1178" t="str">
        <f t="shared" si="194"/>
        <v>판타지 웹소설 &gt; 현대 판타지</v>
      </c>
    </row>
    <row r="1179" spans="1:57" x14ac:dyDescent="0.3">
      <c r="A1179">
        <v>2313011400</v>
      </c>
      <c r="B1179">
        <v>2313011751</v>
      </c>
      <c r="C1179" t="str">
        <f>T("최종 보스 17권 20화(1부 완결)")</f>
        <v>최종 보스 17권 20화(1부 완결)</v>
      </c>
      <c r="D1179" t="str">
        <f>T("352")</f>
        <v>352</v>
      </c>
      <c r="E1179" t="str">
        <f t="shared" si="190"/>
        <v>무장</v>
      </c>
      <c r="H1179" t="str">
        <f t="shared" si="191"/>
        <v>스토리위즈</v>
      </c>
      <c r="I1179" t="str">
        <f t="shared" si="192"/>
        <v>최종 보스 : 빛을 향해 달리는 그림자</v>
      </c>
      <c r="J1179">
        <v>100</v>
      </c>
      <c r="K1179">
        <v>500</v>
      </c>
      <c r="L1179">
        <v>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500</v>
      </c>
      <c r="AH1179">
        <v>5</v>
      </c>
      <c r="AI1179">
        <v>0</v>
      </c>
      <c r="AJ1179">
        <v>0</v>
      </c>
      <c r="AK1179">
        <v>300</v>
      </c>
      <c r="AL1179">
        <v>0</v>
      </c>
      <c r="AM1179">
        <v>240</v>
      </c>
      <c r="AN1179">
        <v>-48</v>
      </c>
      <c r="AO1179">
        <v>0</v>
      </c>
      <c r="AP1179">
        <v>120</v>
      </c>
      <c r="AQ1179">
        <v>-36</v>
      </c>
      <c r="AR1179">
        <v>0</v>
      </c>
      <c r="AS1179">
        <v>120</v>
      </c>
      <c r="AT1179">
        <v>-12</v>
      </c>
      <c r="AU1179">
        <v>0</v>
      </c>
      <c r="AW1179">
        <v>0</v>
      </c>
      <c r="AX1179">
        <v>0</v>
      </c>
      <c r="AY1179">
        <v>344.4</v>
      </c>
      <c r="BC1179" t="str">
        <f t="shared" si="193"/>
        <v>9791166067563</v>
      </c>
      <c r="BE1179" t="str">
        <f t="shared" si="194"/>
        <v>판타지 웹소설 &gt; 현대 판타지</v>
      </c>
    </row>
    <row r="1180" spans="1:57" x14ac:dyDescent="0.3">
      <c r="A1180">
        <v>2313011955</v>
      </c>
      <c r="B1180">
        <v>2313011975</v>
      </c>
      <c r="C1180" t="str">
        <f>T("갓 오브 블랙필드 21화")</f>
        <v>갓 오브 블랙필드 21화</v>
      </c>
      <c r="D1180" t="str">
        <f>T("21")</f>
        <v>21</v>
      </c>
      <c r="E1180" t="str">
        <f t="shared" ref="E1180:E1243" si="195">T("무장")</f>
        <v>무장</v>
      </c>
      <c r="H1180" t="str">
        <f t="shared" ref="H1180:H1243" si="196">T("스토리위즈")</f>
        <v>스토리위즈</v>
      </c>
      <c r="I1180" t="str">
        <f t="shared" ref="I1180:I1243" si="197">T("갓 오브 블랙필드")</f>
        <v>갓 오브 블랙필드</v>
      </c>
      <c r="J1180">
        <v>100</v>
      </c>
      <c r="K1180">
        <v>500</v>
      </c>
      <c r="L1180">
        <v>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500</v>
      </c>
      <c r="AH1180">
        <v>5</v>
      </c>
      <c r="AI1180">
        <v>0</v>
      </c>
      <c r="AJ1180">
        <v>0</v>
      </c>
      <c r="AK1180">
        <v>300</v>
      </c>
      <c r="AL1180">
        <v>0</v>
      </c>
      <c r="AM1180">
        <v>240</v>
      </c>
      <c r="AN1180">
        <v>-72</v>
      </c>
      <c r="AO1180">
        <v>0</v>
      </c>
      <c r="AP1180">
        <v>120</v>
      </c>
      <c r="AQ1180">
        <v>-36</v>
      </c>
      <c r="AR1180">
        <v>0</v>
      </c>
      <c r="AS1180">
        <v>120</v>
      </c>
      <c r="AT1180">
        <v>-36</v>
      </c>
      <c r="AU1180">
        <v>0</v>
      </c>
      <c r="AW1180">
        <v>0</v>
      </c>
      <c r="AX1180">
        <v>0</v>
      </c>
      <c r="AY1180">
        <v>327.60000000000002</v>
      </c>
      <c r="BC1180" t="str">
        <f t="shared" ref="BC1180:BC1243" si="198">T("9791137602113")</f>
        <v>9791137602113</v>
      </c>
      <c r="BE1180" t="str">
        <f t="shared" ref="BE1180:BE1243" si="199">T("판타지 웹소설 &gt; 현대 판타지")</f>
        <v>판타지 웹소설 &gt; 현대 판타지</v>
      </c>
    </row>
    <row r="1181" spans="1:57" x14ac:dyDescent="0.3">
      <c r="A1181">
        <v>2313011955</v>
      </c>
      <c r="B1181">
        <v>2313011976</v>
      </c>
      <c r="C1181" t="str">
        <f>T("갓 오브 블랙필드 22화")</f>
        <v>갓 오브 블랙필드 22화</v>
      </c>
      <c r="D1181" t="str">
        <f>T("22")</f>
        <v>22</v>
      </c>
      <c r="E1181" t="str">
        <f t="shared" si="195"/>
        <v>무장</v>
      </c>
      <c r="H1181" t="str">
        <f t="shared" si="196"/>
        <v>스토리위즈</v>
      </c>
      <c r="I1181" t="str">
        <f t="shared" si="197"/>
        <v>갓 오브 블랙필드</v>
      </c>
      <c r="J1181">
        <v>100</v>
      </c>
      <c r="K1181">
        <v>500</v>
      </c>
      <c r="L1181">
        <v>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500</v>
      </c>
      <c r="AH1181">
        <v>5</v>
      </c>
      <c r="AI1181">
        <v>0</v>
      </c>
      <c r="AJ1181">
        <v>0</v>
      </c>
      <c r="AK1181">
        <v>300</v>
      </c>
      <c r="AL1181">
        <v>0</v>
      </c>
      <c r="AM1181">
        <v>240</v>
      </c>
      <c r="AN1181">
        <v>-72</v>
      </c>
      <c r="AO1181">
        <v>0</v>
      </c>
      <c r="AP1181">
        <v>120</v>
      </c>
      <c r="AQ1181">
        <v>-36</v>
      </c>
      <c r="AR1181">
        <v>0</v>
      </c>
      <c r="AS1181">
        <v>120</v>
      </c>
      <c r="AT1181">
        <v>-36</v>
      </c>
      <c r="AU1181">
        <v>0</v>
      </c>
      <c r="AW1181">
        <v>0</v>
      </c>
      <c r="AX1181">
        <v>0</v>
      </c>
      <c r="AY1181">
        <v>327.60000000000002</v>
      </c>
      <c r="BC1181" t="str">
        <f t="shared" si="198"/>
        <v>9791137602113</v>
      </c>
      <c r="BE1181" t="str">
        <f t="shared" si="199"/>
        <v>판타지 웹소설 &gt; 현대 판타지</v>
      </c>
    </row>
    <row r="1182" spans="1:57" x14ac:dyDescent="0.3">
      <c r="A1182">
        <v>2313011955</v>
      </c>
      <c r="B1182">
        <v>2313011977</v>
      </c>
      <c r="C1182" t="str">
        <f>T("갓 오브 블랙필드 23화")</f>
        <v>갓 오브 블랙필드 23화</v>
      </c>
      <c r="D1182" t="str">
        <f>T("23")</f>
        <v>23</v>
      </c>
      <c r="E1182" t="str">
        <f t="shared" si="195"/>
        <v>무장</v>
      </c>
      <c r="H1182" t="str">
        <f t="shared" si="196"/>
        <v>스토리위즈</v>
      </c>
      <c r="I1182" t="str">
        <f t="shared" si="197"/>
        <v>갓 오브 블랙필드</v>
      </c>
      <c r="J1182">
        <v>100</v>
      </c>
      <c r="K1182">
        <v>500</v>
      </c>
      <c r="L1182">
        <v>5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500</v>
      </c>
      <c r="AH1182">
        <v>5</v>
      </c>
      <c r="AI1182">
        <v>0</v>
      </c>
      <c r="AJ1182">
        <v>0</v>
      </c>
      <c r="AK1182">
        <v>300</v>
      </c>
      <c r="AL1182">
        <v>0</v>
      </c>
      <c r="AM1182">
        <v>240</v>
      </c>
      <c r="AN1182">
        <v>-72</v>
      </c>
      <c r="AO1182">
        <v>0</v>
      </c>
      <c r="AP1182">
        <v>120</v>
      </c>
      <c r="AQ1182">
        <v>-36</v>
      </c>
      <c r="AR1182">
        <v>0</v>
      </c>
      <c r="AS1182">
        <v>120</v>
      </c>
      <c r="AT1182">
        <v>-36</v>
      </c>
      <c r="AU1182">
        <v>0</v>
      </c>
      <c r="AW1182">
        <v>0</v>
      </c>
      <c r="AX1182">
        <v>0</v>
      </c>
      <c r="AY1182">
        <v>327.60000000000002</v>
      </c>
      <c r="BC1182" t="str">
        <f t="shared" si="198"/>
        <v>9791137602113</v>
      </c>
      <c r="BE1182" t="str">
        <f t="shared" si="199"/>
        <v>판타지 웹소설 &gt; 현대 판타지</v>
      </c>
    </row>
    <row r="1183" spans="1:57" x14ac:dyDescent="0.3">
      <c r="A1183">
        <v>2313011955</v>
      </c>
      <c r="B1183">
        <v>2313011978</v>
      </c>
      <c r="C1183" t="str">
        <f>T("갓 오브 블랙필드 24화")</f>
        <v>갓 오브 블랙필드 24화</v>
      </c>
      <c r="D1183" t="str">
        <f>T("24")</f>
        <v>24</v>
      </c>
      <c r="E1183" t="str">
        <f t="shared" si="195"/>
        <v>무장</v>
      </c>
      <c r="H1183" t="str">
        <f t="shared" si="196"/>
        <v>스토리위즈</v>
      </c>
      <c r="I1183" t="str">
        <f t="shared" si="197"/>
        <v>갓 오브 블랙필드</v>
      </c>
      <c r="J1183">
        <v>100</v>
      </c>
      <c r="K1183">
        <v>500</v>
      </c>
      <c r="L1183">
        <v>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500</v>
      </c>
      <c r="AH1183">
        <v>5</v>
      </c>
      <c r="AI1183">
        <v>0</v>
      </c>
      <c r="AJ1183">
        <v>0</v>
      </c>
      <c r="AK1183">
        <v>300</v>
      </c>
      <c r="AL1183">
        <v>0</v>
      </c>
      <c r="AM1183">
        <v>240</v>
      </c>
      <c r="AN1183">
        <v>-72</v>
      </c>
      <c r="AO1183">
        <v>0</v>
      </c>
      <c r="AP1183">
        <v>120</v>
      </c>
      <c r="AQ1183">
        <v>-36</v>
      </c>
      <c r="AR1183">
        <v>0</v>
      </c>
      <c r="AS1183">
        <v>120</v>
      </c>
      <c r="AT1183">
        <v>-36</v>
      </c>
      <c r="AU1183">
        <v>0</v>
      </c>
      <c r="AW1183">
        <v>0</v>
      </c>
      <c r="AX1183">
        <v>0</v>
      </c>
      <c r="AY1183">
        <v>327.60000000000002</v>
      </c>
      <c r="BC1183" t="str">
        <f t="shared" si="198"/>
        <v>9791137602113</v>
      </c>
      <c r="BE1183" t="str">
        <f t="shared" si="199"/>
        <v>판타지 웹소설 &gt; 현대 판타지</v>
      </c>
    </row>
    <row r="1184" spans="1:57" x14ac:dyDescent="0.3">
      <c r="A1184">
        <v>2313011955</v>
      </c>
      <c r="B1184">
        <v>2313011979</v>
      </c>
      <c r="C1184" t="str">
        <f>T("갓 오브 블랙필드 25화")</f>
        <v>갓 오브 블랙필드 25화</v>
      </c>
      <c r="D1184" t="str">
        <f>T("25")</f>
        <v>25</v>
      </c>
      <c r="E1184" t="str">
        <f t="shared" si="195"/>
        <v>무장</v>
      </c>
      <c r="H1184" t="str">
        <f t="shared" si="196"/>
        <v>스토리위즈</v>
      </c>
      <c r="I1184" t="str">
        <f t="shared" si="197"/>
        <v>갓 오브 블랙필드</v>
      </c>
      <c r="J1184">
        <v>100</v>
      </c>
      <c r="K1184">
        <v>500</v>
      </c>
      <c r="L1184">
        <v>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500</v>
      </c>
      <c r="AH1184">
        <v>5</v>
      </c>
      <c r="AI1184">
        <v>0</v>
      </c>
      <c r="AJ1184">
        <v>0</v>
      </c>
      <c r="AK1184">
        <v>300</v>
      </c>
      <c r="AL1184">
        <v>0</v>
      </c>
      <c r="AM1184">
        <v>240</v>
      </c>
      <c r="AN1184">
        <v>-72</v>
      </c>
      <c r="AO1184">
        <v>0</v>
      </c>
      <c r="AP1184">
        <v>120</v>
      </c>
      <c r="AQ1184">
        <v>-36</v>
      </c>
      <c r="AR1184">
        <v>0</v>
      </c>
      <c r="AS1184">
        <v>120</v>
      </c>
      <c r="AT1184">
        <v>-36</v>
      </c>
      <c r="AU1184">
        <v>0</v>
      </c>
      <c r="AW1184">
        <v>0</v>
      </c>
      <c r="AX1184">
        <v>0</v>
      </c>
      <c r="AY1184">
        <v>327.60000000000002</v>
      </c>
      <c r="BC1184" t="str">
        <f t="shared" si="198"/>
        <v>9791137602113</v>
      </c>
      <c r="BE1184" t="str">
        <f t="shared" si="199"/>
        <v>판타지 웹소설 &gt; 현대 판타지</v>
      </c>
    </row>
    <row r="1185" spans="1:57" x14ac:dyDescent="0.3">
      <c r="A1185">
        <v>2313011955</v>
      </c>
      <c r="B1185">
        <v>2313011980</v>
      </c>
      <c r="C1185" t="str">
        <f>T("갓 오브 블랙필드 26화")</f>
        <v>갓 오브 블랙필드 26화</v>
      </c>
      <c r="D1185" t="str">
        <f>T("26")</f>
        <v>26</v>
      </c>
      <c r="E1185" t="str">
        <f t="shared" si="195"/>
        <v>무장</v>
      </c>
      <c r="H1185" t="str">
        <f t="shared" si="196"/>
        <v>스토리위즈</v>
      </c>
      <c r="I1185" t="str">
        <f t="shared" si="197"/>
        <v>갓 오브 블랙필드</v>
      </c>
      <c r="J1185">
        <v>100</v>
      </c>
      <c r="K1185">
        <v>500</v>
      </c>
      <c r="L1185">
        <v>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500</v>
      </c>
      <c r="AH1185">
        <v>5</v>
      </c>
      <c r="AI1185">
        <v>0</v>
      </c>
      <c r="AJ1185">
        <v>0</v>
      </c>
      <c r="AK1185">
        <v>300</v>
      </c>
      <c r="AL1185">
        <v>0</v>
      </c>
      <c r="AM1185">
        <v>240</v>
      </c>
      <c r="AN1185">
        <v>-72</v>
      </c>
      <c r="AO1185">
        <v>0</v>
      </c>
      <c r="AP1185">
        <v>120</v>
      </c>
      <c r="AQ1185">
        <v>-36</v>
      </c>
      <c r="AR1185">
        <v>0</v>
      </c>
      <c r="AS1185">
        <v>120</v>
      </c>
      <c r="AT1185">
        <v>-36</v>
      </c>
      <c r="AU1185">
        <v>0</v>
      </c>
      <c r="AW1185">
        <v>0</v>
      </c>
      <c r="AX1185">
        <v>0</v>
      </c>
      <c r="AY1185">
        <v>327.60000000000002</v>
      </c>
      <c r="BC1185" t="str">
        <f t="shared" si="198"/>
        <v>9791137602113</v>
      </c>
      <c r="BE1185" t="str">
        <f t="shared" si="199"/>
        <v>판타지 웹소설 &gt; 현대 판타지</v>
      </c>
    </row>
    <row r="1186" spans="1:57" x14ac:dyDescent="0.3">
      <c r="A1186">
        <v>2313011955</v>
      </c>
      <c r="B1186">
        <v>2313011981</v>
      </c>
      <c r="C1186" t="str">
        <f>T("갓 오브 블랙필드 27화")</f>
        <v>갓 오브 블랙필드 27화</v>
      </c>
      <c r="D1186" t="str">
        <f>T("27")</f>
        <v>27</v>
      </c>
      <c r="E1186" t="str">
        <f t="shared" si="195"/>
        <v>무장</v>
      </c>
      <c r="H1186" t="str">
        <f t="shared" si="196"/>
        <v>스토리위즈</v>
      </c>
      <c r="I1186" t="str">
        <f t="shared" si="197"/>
        <v>갓 오브 블랙필드</v>
      </c>
      <c r="J1186">
        <v>100</v>
      </c>
      <c r="K1186">
        <v>500</v>
      </c>
      <c r="L1186">
        <v>5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500</v>
      </c>
      <c r="AH1186">
        <v>5</v>
      </c>
      <c r="AI1186">
        <v>0</v>
      </c>
      <c r="AJ1186">
        <v>0</v>
      </c>
      <c r="AK1186">
        <v>300</v>
      </c>
      <c r="AL1186">
        <v>0</v>
      </c>
      <c r="AM1186">
        <v>240</v>
      </c>
      <c r="AN1186">
        <v>-72</v>
      </c>
      <c r="AO1186">
        <v>0</v>
      </c>
      <c r="AP1186">
        <v>120</v>
      </c>
      <c r="AQ1186">
        <v>-36</v>
      </c>
      <c r="AR1186">
        <v>0</v>
      </c>
      <c r="AS1186">
        <v>120</v>
      </c>
      <c r="AT1186">
        <v>-36</v>
      </c>
      <c r="AU1186">
        <v>0</v>
      </c>
      <c r="AW1186">
        <v>0</v>
      </c>
      <c r="AX1186">
        <v>0</v>
      </c>
      <c r="AY1186">
        <v>327.60000000000002</v>
      </c>
      <c r="BC1186" t="str">
        <f t="shared" si="198"/>
        <v>9791137602113</v>
      </c>
      <c r="BE1186" t="str">
        <f t="shared" si="199"/>
        <v>판타지 웹소설 &gt; 현대 판타지</v>
      </c>
    </row>
    <row r="1187" spans="1:57" x14ac:dyDescent="0.3">
      <c r="A1187">
        <v>2313011955</v>
      </c>
      <c r="B1187">
        <v>2313011982</v>
      </c>
      <c r="C1187" t="str">
        <f>T("갓 오브 블랙필드 28화")</f>
        <v>갓 오브 블랙필드 28화</v>
      </c>
      <c r="D1187" t="str">
        <f>T("28")</f>
        <v>28</v>
      </c>
      <c r="E1187" t="str">
        <f t="shared" si="195"/>
        <v>무장</v>
      </c>
      <c r="H1187" t="str">
        <f t="shared" si="196"/>
        <v>스토리위즈</v>
      </c>
      <c r="I1187" t="str">
        <f t="shared" si="197"/>
        <v>갓 오브 블랙필드</v>
      </c>
      <c r="J1187">
        <v>100</v>
      </c>
      <c r="K1187">
        <v>500</v>
      </c>
      <c r="L1187">
        <v>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500</v>
      </c>
      <c r="AH1187">
        <v>5</v>
      </c>
      <c r="AI1187">
        <v>0</v>
      </c>
      <c r="AJ1187">
        <v>0</v>
      </c>
      <c r="AK1187">
        <v>300</v>
      </c>
      <c r="AL1187">
        <v>0</v>
      </c>
      <c r="AM1187">
        <v>240</v>
      </c>
      <c r="AN1187">
        <v>-72</v>
      </c>
      <c r="AO1187">
        <v>0</v>
      </c>
      <c r="AP1187">
        <v>120</v>
      </c>
      <c r="AQ1187">
        <v>-36</v>
      </c>
      <c r="AR1187">
        <v>0</v>
      </c>
      <c r="AS1187">
        <v>120</v>
      </c>
      <c r="AT1187">
        <v>-36</v>
      </c>
      <c r="AU1187">
        <v>0</v>
      </c>
      <c r="AW1187">
        <v>0</v>
      </c>
      <c r="AX1187">
        <v>0</v>
      </c>
      <c r="AY1187">
        <v>327.60000000000002</v>
      </c>
      <c r="BC1187" t="str">
        <f t="shared" si="198"/>
        <v>9791137602113</v>
      </c>
      <c r="BE1187" t="str">
        <f t="shared" si="199"/>
        <v>판타지 웹소설 &gt; 현대 판타지</v>
      </c>
    </row>
    <row r="1188" spans="1:57" x14ac:dyDescent="0.3">
      <c r="A1188">
        <v>2313011955</v>
      </c>
      <c r="B1188">
        <v>2313011983</v>
      </c>
      <c r="C1188" t="str">
        <f>T("갓 오브 블랙필드 29화")</f>
        <v>갓 오브 블랙필드 29화</v>
      </c>
      <c r="D1188" t="str">
        <f>T("29")</f>
        <v>29</v>
      </c>
      <c r="E1188" t="str">
        <f t="shared" si="195"/>
        <v>무장</v>
      </c>
      <c r="H1188" t="str">
        <f t="shared" si="196"/>
        <v>스토리위즈</v>
      </c>
      <c r="I1188" t="str">
        <f t="shared" si="197"/>
        <v>갓 오브 블랙필드</v>
      </c>
      <c r="J1188">
        <v>100</v>
      </c>
      <c r="K1188">
        <v>500</v>
      </c>
      <c r="L1188">
        <v>5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500</v>
      </c>
      <c r="AH1188">
        <v>5</v>
      </c>
      <c r="AI1188">
        <v>0</v>
      </c>
      <c r="AJ1188">
        <v>0</v>
      </c>
      <c r="AK1188">
        <v>300</v>
      </c>
      <c r="AL1188">
        <v>0</v>
      </c>
      <c r="AM1188">
        <v>240</v>
      </c>
      <c r="AN1188">
        <v>-72</v>
      </c>
      <c r="AO1188">
        <v>0</v>
      </c>
      <c r="AP1188">
        <v>120</v>
      </c>
      <c r="AQ1188">
        <v>-36</v>
      </c>
      <c r="AR1188">
        <v>0</v>
      </c>
      <c r="AS1188">
        <v>120</v>
      </c>
      <c r="AT1188">
        <v>-36</v>
      </c>
      <c r="AU1188">
        <v>0</v>
      </c>
      <c r="AW1188">
        <v>0</v>
      </c>
      <c r="AX1188">
        <v>0</v>
      </c>
      <c r="AY1188">
        <v>327.60000000000002</v>
      </c>
      <c r="BC1188" t="str">
        <f t="shared" si="198"/>
        <v>9791137602113</v>
      </c>
      <c r="BE1188" t="str">
        <f t="shared" si="199"/>
        <v>판타지 웹소설 &gt; 현대 판타지</v>
      </c>
    </row>
    <row r="1189" spans="1:57" x14ac:dyDescent="0.3">
      <c r="A1189">
        <v>2313011955</v>
      </c>
      <c r="B1189">
        <v>2313011984</v>
      </c>
      <c r="C1189" t="str">
        <f>T("갓 오브 블랙필드 30화")</f>
        <v>갓 오브 블랙필드 30화</v>
      </c>
      <c r="D1189" t="str">
        <f>T("30")</f>
        <v>30</v>
      </c>
      <c r="E1189" t="str">
        <f t="shared" si="195"/>
        <v>무장</v>
      </c>
      <c r="H1189" t="str">
        <f t="shared" si="196"/>
        <v>스토리위즈</v>
      </c>
      <c r="I1189" t="str">
        <f t="shared" si="197"/>
        <v>갓 오브 블랙필드</v>
      </c>
      <c r="J1189">
        <v>100</v>
      </c>
      <c r="K1189">
        <v>500</v>
      </c>
      <c r="L1189">
        <v>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500</v>
      </c>
      <c r="AH1189">
        <v>5</v>
      </c>
      <c r="AI1189">
        <v>0</v>
      </c>
      <c r="AJ1189">
        <v>0</v>
      </c>
      <c r="AK1189">
        <v>300</v>
      </c>
      <c r="AL1189">
        <v>0</v>
      </c>
      <c r="AM1189">
        <v>240</v>
      </c>
      <c r="AN1189">
        <v>-72</v>
      </c>
      <c r="AO1189">
        <v>0</v>
      </c>
      <c r="AP1189">
        <v>120</v>
      </c>
      <c r="AQ1189">
        <v>-36</v>
      </c>
      <c r="AR1189">
        <v>0</v>
      </c>
      <c r="AS1189">
        <v>120</v>
      </c>
      <c r="AT1189">
        <v>-36</v>
      </c>
      <c r="AU1189">
        <v>0</v>
      </c>
      <c r="AW1189">
        <v>0</v>
      </c>
      <c r="AX1189">
        <v>0</v>
      </c>
      <c r="AY1189">
        <v>327.60000000000002</v>
      </c>
      <c r="BC1189" t="str">
        <f t="shared" si="198"/>
        <v>9791137602113</v>
      </c>
      <c r="BE1189" t="str">
        <f t="shared" si="199"/>
        <v>판타지 웹소설 &gt; 현대 판타지</v>
      </c>
    </row>
    <row r="1190" spans="1:57" x14ac:dyDescent="0.3">
      <c r="A1190">
        <v>2313011955</v>
      </c>
      <c r="B1190">
        <v>2313011985</v>
      </c>
      <c r="C1190" t="str">
        <f>T("갓 오브 블랙필드 31화")</f>
        <v>갓 오브 블랙필드 31화</v>
      </c>
      <c r="D1190" t="str">
        <f>T("31")</f>
        <v>31</v>
      </c>
      <c r="E1190" t="str">
        <f t="shared" si="195"/>
        <v>무장</v>
      </c>
      <c r="H1190" t="str">
        <f t="shared" si="196"/>
        <v>스토리위즈</v>
      </c>
      <c r="I1190" t="str">
        <f t="shared" si="197"/>
        <v>갓 오브 블랙필드</v>
      </c>
      <c r="J1190">
        <v>100</v>
      </c>
      <c r="K1190">
        <v>500</v>
      </c>
      <c r="L1190">
        <v>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500</v>
      </c>
      <c r="AH1190">
        <v>5</v>
      </c>
      <c r="AI1190">
        <v>0</v>
      </c>
      <c r="AJ1190">
        <v>0</v>
      </c>
      <c r="AK1190">
        <v>300</v>
      </c>
      <c r="AL1190">
        <v>0</v>
      </c>
      <c r="AM1190">
        <v>240</v>
      </c>
      <c r="AN1190">
        <v>-72</v>
      </c>
      <c r="AO1190">
        <v>0</v>
      </c>
      <c r="AP1190">
        <v>120</v>
      </c>
      <c r="AQ1190">
        <v>-36</v>
      </c>
      <c r="AR1190">
        <v>0</v>
      </c>
      <c r="AS1190">
        <v>120</v>
      </c>
      <c r="AT1190">
        <v>-36</v>
      </c>
      <c r="AU1190">
        <v>0</v>
      </c>
      <c r="AW1190">
        <v>0</v>
      </c>
      <c r="AX1190">
        <v>0</v>
      </c>
      <c r="AY1190">
        <v>327.60000000000002</v>
      </c>
      <c r="BC1190" t="str">
        <f t="shared" si="198"/>
        <v>9791137602113</v>
      </c>
      <c r="BE1190" t="str">
        <f t="shared" si="199"/>
        <v>판타지 웹소설 &gt; 현대 판타지</v>
      </c>
    </row>
    <row r="1191" spans="1:57" x14ac:dyDescent="0.3">
      <c r="A1191">
        <v>2313011955</v>
      </c>
      <c r="B1191">
        <v>2313011986</v>
      </c>
      <c r="C1191" t="str">
        <f>T("갓 오브 블랙필드 32화")</f>
        <v>갓 오브 블랙필드 32화</v>
      </c>
      <c r="D1191" t="str">
        <f>T("32")</f>
        <v>32</v>
      </c>
      <c r="E1191" t="str">
        <f t="shared" si="195"/>
        <v>무장</v>
      </c>
      <c r="H1191" t="str">
        <f t="shared" si="196"/>
        <v>스토리위즈</v>
      </c>
      <c r="I1191" t="str">
        <f t="shared" si="197"/>
        <v>갓 오브 블랙필드</v>
      </c>
      <c r="J1191">
        <v>100</v>
      </c>
      <c r="K1191">
        <v>500</v>
      </c>
      <c r="L1191">
        <v>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500</v>
      </c>
      <c r="AH1191">
        <v>5</v>
      </c>
      <c r="AI1191">
        <v>0</v>
      </c>
      <c r="AJ1191">
        <v>0</v>
      </c>
      <c r="AK1191">
        <v>300</v>
      </c>
      <c r="AL1191">
        <v>0</v>
      </c>
      <c r="AM1191">
        <v>240</v>
      </c>
      <c r="AN1191">
        <v>-72</v>
      </c>
      <c r="AO1191">
        <v>0</v>
      </c>
      <c r="AP1191">
        <v>120</v>
      </c>
      <c r="AQ1191">
        <v>-36</v>
      </c>
      <c r="AR1191">
        <v>0</v>
      </c>
      <c r="AS1191">
        <v>120</v>
      </c>
      <c r="AT1191">
        <v>-36</v>
      </c>
      <c r="AU1191">
        <v>0</v>
      </c>
      <c r="AW1191">
        <v>0</v>
      </c>
      <c r="AX1191">
        <v>0</v>
      </c>
      <c r="AY1191">
        <v>327.60000000000002</v>
      </c>
      <c r="BC1191" t="str">
        <f t="shared" si="198"/>
        <v>9791137602113</v>
      </c>
      <c r="BE1191" t="str">
        <f t="shared" si="199"/>
        <v>판타지 웹소설 &gt; 현대 판타지</v>
      </c>
    </row>
    <row r="1192" spans="1:57" x14ac:dyDescent="0.3">
      <c r="A1192">
        <v>2313011955</v>
      </c>
      <c r="B1192">
        <v>2313011996</v>
      </c>
      <c r="C1192" t="str">
        <f>T("갓 오브 블랙필드 42화")</f>
        <v>갓 오브 블랙필드 42화</v>
      </c>
      <c r="D1192" t="str">
        <f>T("42")</f>
        <v>42</v>
      </c>
      <c r="E1192" t="str">
        <f t="shared" si="195"/>
        <v>무장</v>
      </c>
      <c r="H1192" t="str">
        <f t="shared" si="196"/>
        <v>스토리위즈</v>
      </c>
      <c r="I1192" t="str">
        <f t="shared" si="197"/>
        <v>갓 오브 블랙필드</v>
      </c>
      <c r="J1192">
        <v>100</v>
      </c>
      <c r="K1192">
        <v>500</v>
      </c>
      <c r="L1192">
        <v>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500</v>
      </c>
      <c r="AH1192">
        <v>5</v>
      </c>
      <c r="AI1192">
        <v>0</v>
      </c>
      <c r="AJ1192">
        <v>0</v>
      </c>
      <c r="AK1192">
        <v>400</v>
      </c>
      <c r="AL1192">
        <v>0</v>
      </c>
      <c r="AM1192">
        <v>120</v>
      </c>
      <c r="AN1192">
        <v>-36</v>
      </c>
      <c r="AO1192">
        <v>0</v>
      </c>
      <c r="AP1192">
        <v>120</v>
      </c>
      <c r="AQ1192">
        <v>-36</v>
      </c>
      <c r="AR1192">
        <v>0</v>
      </c>
      <c r="AT1192">
        <v>0</v>
      </c>
      <c r="AU1192">
        <v>0</v>
      </c>
      <c r="AW1192">
        <v>0</v>
      </c>
      <c r="AX1192">
        <v>0</v>
      </c>
      <c r="AY1192">
        <v>338.8</v>
      </c>
      <c r="BC1192" t="str">
        <f t="shared" si="198"/>
        <v>9791137602113</v>
      </c>
      <c r="BE1192" t="str">
        <f t="shared" si="199"/>
        <v>판타지 웹소설 &gt; 현대 판타지</v>
      </c>
    </row>
    <row r="1193" spans="1:57" x14ac:dyDescent="0.3">
      <c r="A1193">
        <v>2313011955</v>
      </c>
      <c r="B1193">
        <v>2313011997</v>
      </c>
      <c r="C1193" t="str">
        <f>T("갓 오브 블랙필드 43화")</f>
        <v>갓 오브 블랙필드 43화</v>
      </c>
      <c r="D1193" t="str">
        <f>T("43")</f>
        <v>43</v>
      </c>
      <c r="E1193" t="str">
        <f t="shared" si="195"/>
        <v>무장</v>
      </c>
      <c r="H1193" t="str">
        <f t="shared" si="196"/>
        <v>스토리위즈</v>
      </c>
      <c r="I1193" t="str">
        <f t="shared" si="197"/>
        <v>갓 오브 블랙필드</v>
      </c>
      <c r="J1193">
        <v>100</v>
      </c>
      <c r="K1193">
        <v>500</v>
      </c>
      <c r="L1193">
        <v>5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500</v>
      </c>
      <c r="AH1193">
        <v>5</v>
      </c>
      <c r="AI1193">
        <v>0</v>
      </c>
      <c r="AJ1193">
        <v>0</v>
      </c>
      <c r="AK1193">
        <v>400</v>
      </c>
      <c r="AL1193">
        <v>0</v>
      </c>
      <c r="AM1193">
        <v>120</v>
      </c>
      <c r="AN1193">
        <v>-36</v>
      </c>
      <c r="AO1193">
        <v>0</v>
      </c>
      <c r="AP1193">
        <v>120</v>
      </c>
      <c r="AQ1193">
        <v>-36</v>
      </c>
      <c r="AR1193">
        <v>0</v>
      </c>
      <c r="AT1193">
        <v>0</v>
      </c>
      <c r="AU1193">
        <v>0</v>
      </c>
      <c r="AW1193">
        <v>0</v>
      </c>
      <c r="AX1193">
        <v>0</v>
      </c>
      <c r="AY1193">
        <v>338.8</v>
      </c>
      <c r="BC1193" t="str">
        <f t="shared" si="198"/>
        <v>9791137602113</v>
      </c>
      <c r="BE1193" t="str">
        <f t="shared" si="199"/>
        <v>판타지 웹소설 &gt; 현대 판타지</v>
      </c>
    </row>
    <row r="1194" spans="1:57" x14ac:dyDescent="0.3">
      <c r="A1194">
        <v>2313011955</v>
      </c>
      <c r="B1194">
        <v>2313011998</v>
      </c>
      <c r="C1194" t="str">
        <f>T("갓 오브 블랙필드 44화")</f>
        <v>갓 오브 블랙필드 44화</v>
      </c>
      <c r="D1194" t="str">
        <f>T("44")</f>
        <v>44</v>
      </c>
      <c r="E1194" t="str">
        <f t="shared" si="195"/>
        <v>무장</v>
      </c>
      <c r="H1194" t="str">
        <f t="shared" si="196"/>
        <v>스토리위즈</v>
      </c>
      <c r="I1194" t="str">
        <f t="shared" si="197"/>
        <v>갓 오브 블랙필드</v>
      </c>
      <c r="J1194">
        <v>100</v>
      </c>
      <c r="K1194">
        <v>500</v>
      </c>
      <c r="L1194">
        <v>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500</v>
      </c>
      <c r="AH1194">
        <v>5</v>
      </c>
      <c r="AI1194">
        <v>0</v>
      </c>
      <c r="AJ1194">
        <v>0</v>
      </c>
      <c r="AK1194">
        <v>400</v>
      </c>
      <c r="AL1194">
        <v>0</v>
      </c>
      <c r="AM1194">
        <v>120</v>
      </c>
      <c r="AN1194">
        <v>-36</v>
      </c>
      <c r="AO1194">
        <v>0</v>
      </c>
      <c r="AP1194">
        <v>120</v>
      </c>
      <c r="AQ1194">
        <v>-36</v>
      </c>
      <c r="AR1194">
        <v>0</v>
      </c>
      <c r="AT1194">
        <v>0</v>
      </c>
      <c r="AU1194">
        <v>0</v>
      </c>
      <c r="AW1194">
        <v>0</v>
      </c>
      <c r="AX1194">
        <v>0</v>
      </c>
      <c r="AY1194">
        <v>338.8</v>
      </c>
      <c r="BC1194" t="str">
        <f t="shared" si="198"/>
        <v>9791137602113</v>
      </c>
      <c r="BE1194" t="str">
        <f t="shared" si="199"/>
        <v>판타지 웹소설 &gt; 현대 판타지</v>
      </c>
    </row>
    <row r="1195" spans="1:57" x14ac:dyDescent="0.3">
      <c r="A1195">
        <v>2313011955</v>
      </c>
      <c r="B1195">
        <v>2313011999</v>
      </c>
      <c r="C1195" t="str">
        <f>T("갓 오브 블랙필드 45화")</f>
        <v>갓 오브 블랙필드 45화</v>
      </c>
      <c r="D1195" t="str">
        <f>T("45")</f>
        <v>45</v>
      </c>
      <c r="E1195" t="str">
        <f t="shared" si="195"/>
        <v>무장</v>
      </c>
      <c r="H1195" t="str">
        <f t="shared" si="196"/>
        <v>스토리위즈</v>
      </c>
      <c r="I1195" t="str">
        <f t="shared" si="197"/>
        <v>갓 오브 블랙필드</v>
      </c>
      <c r="J1195">
        <v>100</v>
      </c>
      <c r="K1195">
        <v>500</v>
      </c>
      <c r="L1195">
        <v>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500</v>
      </c>
      <c r="AH1195">
        <v>5</v>
      </c>
      <c r="AI1195">
        <v>0</v>
      </c>
      <c r="AJ1195">
        <v>0</v>
      </c>
      <c r="AK1195">
        <v>400</v>
      </c>
      <c r="AL1195">
        <v>0</v>
      </c>
      <c r="AM1195">
        <v>120</v>
      </c>
      <c r="AN1195">
        <v>-36</v>
      </c>
      <c r="AO1195">
        <v>0</v>
      </c>
      <c r="AP1195">
        <v>120</v>
      </c>
      <c r="AQ1195">
        <v>-36</v>
      </c>
      <c r="AR1195">
        <v>0</v>
      </c>
      <c r="AT1195">
        <v>0</v>
      </c>
      <c r="AU1195">
        <v>0</v>
      </c>
      <c r="AW1195">
        <v>0</v>
      </c>
      <c r="AX1195">
        <v>0</v>
      </c>
      <c r="AY1195">
        <v>338.8</v>
      </c>
      <c r="BC1195" t="str">
        <f t="shared" si="198"/>
        <v>9791137602113</v>
      </c>
      <c r="BE1195" t="str">
        <f t="shared" si="199"/>
        <v>판타지 웹소설 &gt; 현대 판타지</v>
      </c>
    </row>
    <row r="1196" spans="1:57" x14ac:dyDescent="0.3">
      <c r="A1196">
        <v>2313011955</v>
      </c>
      <c r="B1196">
        <v>2313012000</v>
      </c>
      <c r="C1196" t="str">
        <f>T("갓 오브 블랙필드 46화")</f>
        <v>갓 오브 블랙필드 46화</v>
      </c>
      <c r="D1196" t="str">
        <f>T("46")</f>
        <v>46</v>
      </c>
      <c r="E1196" t="str">
        <f t="shared" si="195"/>
        <v>무장</v>
      </c>
      <c r="H1196" t="str">
        <f t="shared" si="196"/>
        <v>스토리위즈</v>
      </c>
      <c r="I1196" t="str">
        <f t="shared" si="197"/>
        <v>갓 오브 블랙필드</v>
      </c>
      <c r="J1196">
        <v>100</v>
      </c>
      <c r="K1196">
        <v>500</v>
      </c>
      <c r="L1196">
        <v>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500</v>
      </c>
      <c r="AH1196">
        <v>5</v>
      </c>
      <c r="AI1196">
        <v>0</v>
      </c>
      <c r="AJ1196">
        <v>0</v>
      </c>
      <c r="AK1196">
        <v>400</v>
      </c>
      <c r="AL1196">
        <v>0</v>
      </c>
      <c r="AM1196">
        <v>120</v>
      </c>
      <c r="AN1196">
        <v>-36</v>
      </c>
      <c r="AO1196">
        <v>0</v>
      </c>
      <c r="AP1196">
        <v>120</v>
      </c>
      <c r="AQ1196">
        <v>-36</v>
      </c>
      <c r="AR1196">
        <v>0</v>
      </c>
      <c r="AT1196">
        <v>0</v>
      </c>
      <c r="AU1196">
        <v>0</v>
      </c>
      <c r="AW1196">
        <v>0</v>
      </c>
      <c r="AX1196">
        <v>0</v>
      </c>
      <c r="AY1196">
        <v>338.8</v>
      </c>
      <c r="BC1196" t="str">
        <f t="shared" si="198"/>
        <v>9791137602113</v>
      </c>
      <c r="BE1196" t="str">
        <f t="shared" si="199"/>
        <v>판타지 웹소설 &gt; 현대 판타지</v>
      </c>
    </row>
    <row r="1197" spans="1:57" x14ac:dyDescent="0.3">
      <c r="A1197">
        <v>2313011955</v>
      </c>
      <c r="B1197">
        <v>2313012001</v>
      </c>
      <c r="C1197" t="str">
        <f>T("갓 오브 블랙필드 47화")</f>
        <v>갓 오브 블랙필드 47화</v>
      </c>
      <c r="D1197" t="str">
        <f>T("47")</f>
        <v>47</v>
      </c>
      <c r="E1197" t="str">
        <f t="shared" si="195"/>
        <v>무장</v>
      </c>
      <c r="H1197" t="str">
        <f t="shared" si="196"/>
        <v>스토리위즈</v>
      </c>
      <c r="I1197" t="str">
        <f t="shared" si="197"/>
        <v>갓 오브 블랙필드</v>
      </c>
      <c r="J1197">
        <v>100</v>
      </c>
      <c r="K1197">
        <v>500</v>
      </c>
      <c r="L1197">
        <v>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500</v>
      </c>
      <c r="AH1197">
        <v>5</v>
      </c>
      <c r="AI1197">
        <v>0</v>
      </c>
      <c r="AJ1197">
        <v>0</v>
      </c>
      <c r="AK1197">
        <v>400</v>
      </c>
      <c r="AL1197">
        <v>0</v>
      </c>
      <c r="AM1197">
        <v>120</v>
      </c>
      <c r="AN1197">
        <v>-36</v>
      </c>
      <c r="AO1197">
        <v>0</v>
      </c>
      <c r="AP1197">
        <v>120</v>
      </c>
      <c r="AQ1197">
        <v>-36</v>
      </c>
      <c r="AR1197">
        <v>0</v>
      </c>
      <c r="AT1197">
        <v>0</v>
      </c>
      <c r="AU1197">
        <v>0</v>
      </c>
      <c r="AW1197">
        <v>0</v>
      </c>
      <c r="AX1197">
        <v>0</v>
      </c>
      <c r="AY1197">
        <v>338.8</v>
      </c>
      <c r="BC1197" t="str">
        <f t="shared" si="198"/>
        <v>9791137602113</v>
      </c>
      <c r="BE1197" t="str">
        <f t="shared" si="199"/>
        <v>판타지 웹소설 &gt; 현대 판타지</v>
      </c>
    </row>
    <row r="1198" spans="1:57" x14ac:dyDescent="0.3">
      <c r="A1198">
        <v>2313011955</v>
      </c>
      <c r="B1198">
        <v>2313012002</v>
      </c>
      <c r="C1198" t="str">
        <f>T("갓 오브 블랙필드 48화")</f>
        <v>갓 오브 블랙필드 48화</v>
      </c>
      <c r="D1198" t="str">
        <f>T("48")</f>
        <v>48</v>
      </c>
      <c r="E1198" t="str">
        <f t="shared" si="195"/>
        <v>무장</v>
      </c>
      <c r="H1198" t="str">
        <f t="shared" si="196"/>
        <v>스토리위즈</v>
      </c>
      <c r="I1198" t="str">
        <f t="shared" si="197"/>
        <v>갓 오브 블랙필드</v>
      </c>
      <c r="J1198">
        <v>100</v>
      </c>
      <c r="K1198">
        <v>500</v>
      </c>
      <c r="L1198">
        <v>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500</v>
      </c>
      <c r="AH1198">
        <v>5</v>
      </c>
      <c r="AI1198">
        <v>0</v>
      </c>
      <c r="AJ1198">
        <v>0</v>
      </c>
      <c r="AK1198">
        <v>400</v>
      </c>
      <c r="AL1198">
        <v>0</v>
      </c>
      <c r="AM1198">
        <v>120</v>
      </c>
      <c r="AN1198">
        <v>-36</v>
      </c>
      <c r="AO1198">
        <v>0</v>
      </c>
      <c r="AP1198">
        <v>120</v>
      </c>
      <c r="AQ1198">
        <v>-36</v>
      </c>
      <c r="AR1198">
        <v>0</v>
      </c>
      <c r="AT1198">
        <v>0</v>
      </c>
      <c r="AU1198">
        <v>0</v>
      </c>
      <c r="AW1198">
        <v>0</v>
      </c>
      <c r="AX1198">
        <v>0</v>
      </c>
      <c r="AY1198">
        <v>338.8</v>
      </c>
      <c r="BC1198" t="str">
        <f t="shared" si="198"/>
        <v>9791137602113</v>
      </c>
      <c r="BE1198" t="str">
        <f t="shared" si="199"/>
        <v>판타지 웹소설 &gt; 현대 판타지</v>
      </c>
    </row>
    <row r="1199" spans="1:57" x14ac:dyDescent="0.3">
      <c r="A1199">
        <v>2313011955</v>
      </c>
      <c r="B1199">
        <v>2313012003</v>
      </c>
      <c r="C1199" t="str">
        <f>T("갓 오브 블랙필드 49화")</f>
        <v>갓 오브 블랙필드 49화</v>
      </c>
      <c r="D1199" t="str">
        <f>T("49")</f>
        <v>49</v>
      </c>
      <c r="E1199" t="str">
        <f t="shared" si="195"/>
        <v>무장</v>
      </c>
      <c r="H1199" t="str">
        <f t="shared" si="196"/>
        <v>스토리위즈</v>
      </c>
      <c r="I1199" t="str">
        <f t="shared" si="197"/>
        <v>갓 오브 블랙필드</v>
      </c>
      <c r="J1199">
        <v>100</v>
      </c>
      <c r="K1199">
        <v>500</v>
      </c>
      <c r="L1199">
        <v>5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500</v>
      </c>
      <c r="AH1199">
        <v>5</v>
      </c>
      <c r="AI1199">
        <v>0</v>
      </c>
      <c r="AJ1199">
        <v>0</v>
      </c>
      <c r="AK1199">
        <v>400</v>
      </c>
      <c r="AL1199">
        <v>0</v>
      </c>
      <c r="AM1199">
        <v>120</v>
      </c>
      <c r="AN1199">
        <v>-36</v>
      </c>
      <c r="AO1199">
        <v>0</v>
      </c>
      <c r="AP1199">
        <v>120</v>
      </c>
      <c r="AQ1199">
        <v>-36</v>
      </c>
      <c r="AR1199">
        <v>0</v>
      </c>
      <c r="AT1199">
        <v>0</v>
      </c>
      <c r="AU1199">
        <v>0</v>
      </c>
      <c r="AW1199">
        <v>0</v>
      </c>
      <c r="AX1199">
        <v>0</v>
      </c>
      <c r="AY1199">
        <v>338.8</v>
      </c>
      <c r="BC1199" t="str">
        <f t="shared" si="198"/>
        <v>9791137602113</v>
      </c>
      <c r="BE1199" t="str">
        <f t="shared" si="199"/>
        <v>판타지 웹소설 &gt; 현대 판타지</v>
      </c>
    </row>
    <row r="1200" spans="1:57" x14ac:dyDescent="0.3">
      <c r="A1200">
        <v>2313011955</v>
      </c>
      <c r="B1200">
        <v>2313012004</v>
      </c>
      <c r="C1200" t="str">
        <f>T("갓 오브 블랙필드 50화")</f>
        <v>갓 오브 블랙필드 50화</v>
      </c>
      <c r="D1200" t="str">
        <f>T("50")</f>
        <v>50</v>
      </c>
      <c r="E1200" t="str">
        <f t="shared" si="195"/>
        <v>무장</v>
      </c>
      <c r="H1200" t="str">
        <f t="shared" si="196"/>
        <v>스토리위즈</v>
      </c>
      <c r="I1200" t="str">
        <f t="shared" si="197"/>
        <v>갓 오브 블랙필드</v>
      </c>
      <c r="J1200">
        <v>100</v>
      </c>
      <c r="K1200">
        <v>500</v>
      </c>
      <c r="L1200">
        <v>5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500</v>
      </c>
      <c r="AH1200">
        <v>5</v>
      </c>
      <c r="AI1200">
        <v>0</v>
      </c>
      <c r="AJ1200">
        <v>0</v>
      </c>
      <c r="AK1200">
        <v>400</v>
      </c>
      <c r="AL1200">
        <v>0</v>
      </c>
      <c r="AM1200">
        <v>120</v>
      </c>
      <c r="AN1200">
        <v>-36</v>
      </c>
      <c r="AO1200">
        <v>0</v>
      </c>
      <c r="AP1200">
        <v>120</v>
      </c>
      <c r="AQ1200">
        <v>-36</v>
      </c>
      <c r="AR1200">
        <v>0</v>
      </c>
      <c r="AT1200">
        <v>0</v>
      </c>
      <c r="AU1200">
        <v>0</v>
      </c>
      <c r="AW1200">
        <v>0</v>
      </c>
      <c r="AX1200">
        <v>0</v>
      </c>
      <c r="AY1200">
        <v>338.8</v>
      </c>
      <c r="BC1200" t="str">
        <f t="shared" si="198"/>
        <v>9791137602113</v>
      </c>
      <c r="BE1200" t="str">
        <f t="shared" si="199"/>
        <v>판타지 웹소설 &gt; 현대 판타지</v>
      </c>
    </row>
    <row r="1201" spans="1:57" x14ac:dyDescent="0.3">
      <c r="A1201">
        <v>2313011955</v>
      </c>
      <c r="B1201">
        <v>2313012005</v>
      </c>
      <c r="C1201" t="str">
        <f>T("갓 오브 블랙필드 51화")</f>
        <v>갓 오브 블랙필드 51화</v>
      </c>
      <c r="D1201" t="str">
        <f>T("51")</f>
        <v>51</v>
      </c>
      <c r="E1201" t="str">
        <f t="shared" si="195"/>
        <v>무장</v>
      </c>
      <c r="H1201" t="str">
        <f t="shared" si="196"/>
        <v>스토리위즈</v>
      </c>
      <c r="I1201" t="str">
        <f t="shared" si="197"/>
        <v>갓 오브 블랙필드</v>
      </c>
      <c r="J1201">
        <v>100</v>
      </c>
      <c r="K1201">
        <v>500</v>
      </c>
      <c r="L1201">
        <v>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500</v>
      </c>
      <c r="AH1201">
        <v>5</v>
      </c>
      <c r="AI1201">
        <v>0</v>
      </c>
      <c r="AJ1201">
        <v>0</v>
      </c>
      <c r="AK1201">
        <v>400</v>
      </c>
      <c r="AL1201">
        <v>0</v>
      </c>
      <c r="AM1201">
        <v>120</v>
      </c>
      <c r="AN1201">
        <v>-36</v>
      </c>
      <c r="AO1201">
        <v>0</v>
      </c>
      <c r="AP1201">
        <v>120</v>
      </c>
      <c r="AQ1201">
        <v>-36</v>
      </c>
      <c r="AR1201">
        <v>0</v>
      </c>
      <c r="AT1201">
        <v>0</v>
      </c>
      <c r="AU1201">
        <v>0</v>
      </c>
      <c r="AW1201">
        <v>0</v>
      </c>
      <c r="AX1201">
        <v>0</v>
      </c>
      <c r="AY1201">
        <v>338.8</v>
      </c>
      <c r="BC1201" t="str">
        <f t="shared" si="198"/>
        <v>9791137602113</v>
      </c>
      <c r="BE1201" t="str">
        <f t="shared" si="199"/>
        <v>판타지 웹소설 &gt; 현대 판타지</v>
      </c>
    </row>
    <row r="1202" spans="1:57" x14ac:dyDescent="0.3">
      <c r="A1202">
        <v>2313011955</v>
      </c>
      <c r="B1202">
        <v>2313012006</v>
      </c>
      <c r="C1202" t="str">
        <f>T("갓 오브 블랙필드 52화")</f>
        <v>갓 오브 블랙필드 52화</v>
      </c>
      <c r="D1202" t="str">
        <f>T("52")</f>
        <v>52</v>
      </c>
      <c r="E1202" t="str">
        <f t="shared" si="195"/>
        <v>무장</v>
      </c>
      <c r="H1202" t="str">
        <f t="shared" si="196"/>
        <v>스토리위즈</v>
      </c>
      <c r="I1202" t="str">
        <f t="shared" si="197"/>
        <v>갓 오브 블랙필드</v>
      </c>
      <c r="J1202">
        <v>100</v>
      </c>
      <c r="K1202">
        <v>500</v>
      </c>
      <c r="L1202">
        <v>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500</v>
      </c>
      <c r="AH1202">
        <v>5</v>
      </c>
      <c r="AI1202">
        <v>0</v>
      </c>
      <c r="AJ1202">
        <v>0</v>
      </c>
      <c r="AK1202">
        <v>400</v>
      </c>
      <c r="AL1202">
        <v>0</v>
      </c>
      <c r="AM1202">
        <v>120</v>
      </c>
      <c r="AN1202">
        <v>-36</v>
      </c>
      <c r="AO1202">
        <v>0</v>
      </c>
      <c r="AP1202">
        <v>120</v>
      </c>
      <c r="AQ1202">
        <v>-36</v>
      </c>
      <c r="AR1202">
        <v>0</v>
      </c>
      <c r="AT1202">
        <v>0</v>
      </c>
      <c r="AU1202">
        <v>0</v>
      </c>
      <c r="AW1202">
        <v>0</v>
      </c>
      <c r="AX1202">
        <v>0</v>
      </c>
      <c r="AY1202">
        <v>338.8</v>
      </c>
      <c r="BC1202" t="str">
        <f t="shared" si="198"/>
        <v>9791137602113</v>
      </c>
      <c r="BE1202" t="str">
        <f t="shared" si="199"/>
        <v>판타지 웹소설 &gt; 현대 판타지</v>
      </c>
    </row>
    <row r="1203" spans="1:57" x14ac:dyDescent="0.3">
      <c r="A1203">
        <v>2313011955</v>
      </c>
      <c r="B1203">
        <v>2313012007</v>
      </c>
      <c r="C1203" t="str">
        <f>T("갓 오브 블랙필드 53화")</f>
        <v>갓 오브 블랙필드 53화</v>
      </c>
      <c r="D1203" t="str">
        <f>T("53")</f>
        <v>53</v>
      </c>
      <c r="E1203" t="str">
        <f t="shared" si="195"/>
        <v>무장</v>
      </c>
      <c r="H1203" t="str">
        <f t="shared" si="196"/>
        <v>스토리위즈</v>
      </c>
      <c r="I1203" t="str">
        <f t="shared" si="197"/>
        <v>갓 오브 블랙필드</v>
      </c>
      <c r="J1203">
        <v>100</v>
      </c>
      <c r="K1203">
        <v>500</v>
      </c>
      <c r="L1203">
        <v>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500</v>
      </c>
      <c r="AH1203">
        <v>5</v>
      </c>
      <c r="AI1203">
        <v>0</v>
      </c>
      <c r="AJ1203">
        <v>0</v>
      </c>
      <c r="AK1203">
        <v>400</v>
      </c>
      <c r="AL1203">
        <v>0</v>
      </c>
      <c r="AM1203">
        <v>120</v>
      </c>
      <c r="AN1203">
        <v>-36</v>
      </c>
      <c r="AO1203">
        <v>0</v>
      </c>
      <c r="AP1203">
        <v>120</v>
      </c>
      <c r="AQ1203">
        <v>-36</v>
      </c>
      <c r="AR1203">
        <v>0</v>
      </c>
      <c r="AT1203">
        <v>0</v>
      </c>
      <c r="AU1203">
        <v>0</v>
      </c>
      <c r="AW1203">
        <v>0</v>
      </c>
      <c r="AX1203">
        <v>0</v>
      </c>
      <c r="AY1203">
        <v>338.8</v>
      </c>
      <c r="BC1203" t="str">
        <f t="shared" si="198"/>
        <v>9791137602113</v>
      </c>
      <c r="BE1203" t="str">
        <f t="shared" si="199"/>
        <v>판타지 웹소설 &gt; 현대 판타지</v>
      </c>
    </row>
    <row r="1204" spans="1:57" x14ac:dyDescent="0.3">
      <c r="A1204">
        <v>2313011955</v>
      </c>
      <c r="B1204">
        <v>2313012008</v>
      </c>
      <c r="C1204" t="str">
        <f>T("갓 오브 블랙필드 54화")</f>
        <v>갓 오브 블랙필드 54화</v>
      </c>
      <c r="D1204" t="str">
        <f>T("54")</f>
        <v>54</v>
      </c>
      <c r="E1204" t="str">
        <f t="shared" si="195"/>
        <v>무장</v>
      </c>
      <c r="H1204" t="str">
        <f t="shared" si="196"/>
        <v>스토리위즈</v>
      </c>
      <c r="I1204" t="str">
        <f t="shared" si="197"/>
        <v>갓 오브 블랙필드</v>
      </c>
      <c r="J1204">
        <v>100</v>
      </c>
      <c r="K1204">
        <v>500</v>
      </c>
      <c r="L1204">
        <v>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500</v>
      </c>
      <c r="AH1204">
        <v>5</v>
      </c>
      <c r="AI1204">
        <v>0</v>
      </c>
      <c r="AJ1204">
        <v>0</v>
      </c>
      <c r="AK1204">
        <v>400</v>
      </c>
      <c r="AL1204">
        <v>0</v>
      </c>
      <c r="AM1204">
        <v>120</v>
      </c>
      <c r="AN1204">
        <v>-36</v>
      </c>
      <c r="AO1204">
        <v>0</v>
      </c>
      <c r="AP1204">
        <v>120</v>
      </c>
      <c r="AQ1204">
        <v>-36</v>
      </c>
      <c r="AR1204">
        <v>0</v>
      </c>
      <c r="AT1204">
        <v>0</v>
      </c>
      <c r="AU1204">
        <v>0</v>
      </c>
      <c r="AW1204">
        <v>0</v>
      </c>
      <c r="AX1204">
        <v>0</v>
      </c>
      <c r="AY1204">
        <v>338.8</v>
      </c>
      <c r="BC1204" t="str">
        <f t="shared" si="198"/>
        <v>9791137602113</v>
      </c>
      <c r="BE1204" t="str">
        <f t="shared" si="199"/>
        <v>판타지 웹소설 &gt; 현대 판타지</v>
      </c>
    </row>
    <row r="1205" spans="1:57" x14ac:dyDescent="0.3">
      <c r="A1205">
        <v>2313011955</v>
      </c>
      <c r="B1205">
        <v>2313012009</v>
      </c>
      <c r="C1205" t="str">
        <f>T("갓 오브 블랙필드 55화")</f>
        <v>갓 오브 블랙필드 55화</v>
      </c>
      <c r="D1205" t="str">
        <f>T("55")</f>
        <v>55</v>
      </c>
      <c r="E1205" t="str">
        <f t="shared" si="195"/>
        <v>무장</v>
      </c>
      <c r="H1205" t="str">
        <f t="shared" si="196"/>
        <v>스토리위즈</v>
      </c>
      <c r="I1205" t="str">
        <f t="shared" si="197"/>
        <v>갓 오브 블랙필드</v>
      </c>
      <c r="J1205">
        <v>100</v>
      </c>
      <c r="K1205">
        <v>500</v>
      </c>
      <c r="L1205">
        <v>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500</v>
      </c>
      <c r="AH1205">
        <v>5</v>
      </c>
      <c r="AI1205">
        <v>0</v>
      </c>
      <c r="AJ1205">
        <v>0</v>
      </c>
      <c r="AK1205">
        <v>400</v>
      </c>
      <c r="AL1205">
        <v>0</v>
      </c>
      <c r="AM1205">
        <v>120</v>
      </c>
      <c r="AN1205">
        <v>-36</v>
      </c>
      <c r="AO1205">
        <v>0</v>
      </c>
      <c r="AP1205">
        <v>120</v>
      </c>
      <c r="AQ1205">
        <v>-36</v>
      </c>
      <c r="AR1205">
        <v>0</v>
      </c>
      <c r="AT1205">
        <v>0</v>
      </c>
      <c r="AU1205">
        <v>0</v>
      </c>
      <c r="AW1205">
        <v>0</v>
      </c>
      <c r="AX1205">
        <v>0</v>
      </c>
      <c r="AY1205">
        <v>338.8</v>
      </c>
      <c r="BC1205" t="str">
        <f t="shared" si="198"/>
        <v>9791137602113</v>
      </c>
      <c r="BE1205" t="str">
        <f t="shared" si="199"/>
        <v>판타지 웹소설 &gt; 현대 판타지</v>
      </c>
    </row>
    <row r="1206" spans="1:57" x14ac:dyDescent="0.3">
      <c r="A1206">
        <v>2313011955</v>
      </c>
      <c r="B1206">
        <v>2313012010</v>
      </c>
      <c r="C1206" t="str">
        <f>T("갓 오브 블랙필드 56화")</f>
        <v>갓 오브 블랙필드 56화</v>
      </c>
      <c r="D1206" t="str">
        <f>T("56")</f>
        <v>56</v>
      </c>
      <c r="E1206" t="str">
        <f t="shared" si="195"/>
        <v>무장</v>
      </c>
      <c r="H1206" t="str">
        <f t="shared" si="196"/>
        <v>스토리위즈</v>
      </c>
      <c r="I1206" t="str">
        <f t="shared" si="197"/>
        <v>갓 오브 블랙필드</v>
      </c>
      <c r="J1206">
        <v>100</v>
      </c>
      <c r="K1206">
        <v>500</v>
      </c>
      <c r="L1206">
        <v>5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500</v>
      </c>
      <c r="AH1206">
        <v>5</v>
      </c>
      <c r="AI1206">
        <v>0</v>
      </c>
      <c r="AJ1206">
        <v>0</v>
      </c>
      <c r="AK1206">
        <v>400</v>
      </c>
      <c r="AL1206">
        <v>0</v>
      </c>
      <c r="AM1206">
        <v>120</v>
      </c>
      <c r="AN1206">
        <v>-36</v>
      </c>
      <c r="AO1206">
        <v>0</v>
      </c>
      <c r="AP1206">
        <v>120</v>
      </c>
      <c r="AQ1206">
        <v>-36</v>
      </c>
      <c r="AR1206">
        <v>0</v>
      </c>
      <c r="AT1206">
        <v>0</v>
      </c>
      <c r="AU1206">
        <v>0</v>
      </c>
      <c r="AW1206">
        <v>0</v>
      </c>
      <c r="AX1206">
        <v>0</v>
      </c>
      <c r="AY1206">
        <v>338.8</v>
      </c>
      <c r="BC1206" t="str">
        <f t="shared" si="198"/>
        <v>9791137602113</v>
      </c>
      <c r="BE1206" t="str">
        <f t="shared" si="199"/>
        <v>판타지 웹소설 &gt; 현대 판타지</v>
      </c>
    </row>
    <row r="1207" spans="1:57" x14ac:dyDescent="0.3">
      <c r="A1207">
        <v>2313011955</v>
      </c>
      <c r="B1207">
        <v>2313012011</v>
      </c>
      <c r="C1207" t="str">
        <f>T("갓 오브 블랙필드 57화")</f>
        <v>갓 오브 블랙필드 57화</v>
      </c>
      <c r="D1207" t="str">
        <f>T("57")</f>
        <v>57</v>
      </c>
      <c r="E1207" t="str">
        <f t="shared" si="195"/>
        <v>무장</v>
      </c>
      <c r="H1207" t="str">
        <f t="shared" si="196"/>
        <v>스토리위즈</v>
      </c>
      <c r="I1207" t="str">
        <f t="shared" si="197"/>
        <v>갓 오브 블랙필드</v>
      </c>
      <c r="J1207">
        <v>100</v>
      </c>
      <c r="K1207">
        <v>500</v>
      </c>
      <c r="L1207">
        <v>5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500</v>
      </c>
      <c r="AH1207">
        <v>5</v>
      </c>
      <c r="AI1207">
        <v>0</v>
      </c>
      <c r="AJ1207">
        <v>0</v>
      </c>
      <c r="AK1207">
        <v>400</v>
      </c>
      <c r="AL1207">
        <v>0</v>
      </c>
      <c r="AM1207">
        <v>120</v>
      </c>
      <c r="AN1207">
        <v>-36</v>
      </c>
      <c r="AO1207">
        <v>0</v>
      </c>
      <c r="AP1207">
        <v>120</v>
      </c>
      <c r="AQ1207">
        <v>-36</v>
      </c>
      <c r="AR1207">
        <v>0</v>
      </c>
      <c r="AT1207">
        <v>0</v>
      </c>
      <c r="AU1207">
        <v>0</v>
      </c>
      <c r="AW1207">
        <v>0</v>
      </c>
      <c r="AX1207">
        <v>0</v>
      </c>
      <c r="AY1207">
        <v>338.8</v>
      </c>
      <c r="BC1207" t="str">
        <f t="shared" si="198"/>
        <v>9791137602113</v>
      </c>
      <c r="BE1207" t="str">
        <f t="shared" si="199"/>
        <v>판타지 웹소설 &gt; 현대 판타지</v>
      </c>
    </row>
    <row r="1208" spans="1:57" x14ac:dyDescent="0.3">
      <c r="A1208">
        <v>2313011955</v>
      </c>
      <c r="B1208">
        <v>2313012012</v>
      </c>
      <c r="C1208" t="str">
        <f>T("갓 오브 블랙필드 58화")</f>
        <v>갓 오브 블랙필드 58화</v>
      </c>
      <c r="D1208" t="str">
        <f>T("58")</f>
        <v>58</v>
      </c>
      <c r="E1208" t="str">
        <f t="shared" si="195"/>
        <v>무장</v>
      </c>
      <c r="H1208" t="str">
        <f t="shared" si="196"/>
        <v>스토리위즈</v>
      </c>
      <c r="I1208" t="str">
        <f t="shared" si="197"/>
        <v>갓 오브 블랙필드</v>
      </c>
      <c r="J1208">
        <v>100</v>
      </c>
      <c r="K1208">
        <v>500</v>
      </c>
      <c r="L1208">
        <v>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500</v>
      </c>
      <c r="AH1208">
        <v>5</v>
      </c>
      <c r="AI1208">
        <v>0</v>
      </c>
      <c r="AJ1208">
        <v>0</v>
      </c>
      <c r="AK1208">
        <v>400</v>
      </c>
      <c r="AL1208">
        <v>0</v>
      </c>
      <c r="AM1208">
        <v>120</v>
      </c>
      <c r="AN1208">
        <v>-36</v>
      </c>
      <c r="AO1208">
        <v>0</v>
      </c>
      <c r="AP1208">
        <v>120</v>
      </c>
      <c r="AQ1208">
        <v>-36</v>
      </c>
      <c r="AR1208">
        <v>0</v>
      </c>
      <c r="AT1208">
        <v>0</v>
      </c>
      <c r="AU1208">
        <v>0</v>
      </c>
      <c r="AW1208">
        <v>0</v>
      </c>
      <c r="AX1208">
        <v>0</v>
      </c>
      <c r="AY1208">
        <v>338.8</v>
      </c>
      <c r="BC1208" t="str">
        <f t="shared" si="198"/>
        <v>9791137602113</v>
      </c>
      <c r="BE1208" t="str">
        <f t="shared" si="199"/>
        <v>판타지 웹소설 &gt; 현대 판타지</v>
      </c>
    </row>
    <row r="1209" spans="1:57" x14ac:dyDescent="0.3">
      <c r="A1209">
        <v>2313011955</v>
      </c>
      <c r="B1209">
        <v>2313012013</v>
      </c>
      <c r="C1209" t="str">
        <f>T("갓 오브 블랙필드 59화")</f>
        <v>갓 오브 블랙필드 59화</v>
      </c>
      <c r="D1209" t="str">
        <f>T("59")</f>
        <v>59</v>
      </c>
      <c r="E1209" t="str">
        <f t="shared" si="195"/>
        <v>무장</v>
      </c>
      <c r="H1209" t="str">
        <f t="shared" si="196"/>
        <v>스토리위즈</v>
      </c>
      <c r="I1209" t="str">
        <f t="shared" si="197"/>
        <v>갓 오브 블랙필드</v>
      </c>
      <c r="J1209">
        <v>100</v>
      </c>
      <c r="K1209">
        <v>500</v>
      </c>
      <c r="L1209">
        <v>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500</v>
      </c>
      <c r="AH1209">
        <v>5</v>
      </c>
      <c r="AI1209">
        <v>0</v>
      </c>
      <c r="AJ1209">
        <v>0</v>
      </c>
      <c r="AK1209">
        <v>400</v>
      </c>
      <c r="AL1209">
        <v>0</v>
      </c>
      <c r="AM1209">
        <v>120</v>
      </c>
      <c r="AN1209">
        <v>-36</v>
      </c>
      <c r="AO1209">
        <v>0</v>
      </c>
      <c r="AP1209">
        <v>120</v>
      </c>
      <c r="AQ1209">
        <v>-36</v>
      </c>
      <c r="AR1209">
        <v>0</v>
      </c>
      <c r="AT1209">
        <v>0</v>
      </c>
      <c r="AU1209">
        <v>0</v>
      </c>
      <c r="AW1209">
        <v>0</v>
      </c>
      <c r="AX1209">
        <v>0</v>
      </c>
      <c r="AY1209">
        <v>338.8</v>
      </c>
      <c r="BC1209" t="str">
        <f t="shared" si="198"/>
        <v>9791137602113</v>
      </c>
      <c r="BE1209" t="str">
        <f t="shared" si="199"/>
        <v>판타지 웹소설 &gt; 현대 판타지</v>
      </c>
    </row>
    <row r="1210" spans="1:57" x14ac:dyDescent="0.3">
      <c r="A1210">
        <v>2313011955</v>
      </c>
      <c r="B1210">
        <v>2313012014</v>
      </c>
      <c r="C1210" t="str">
        <f>T("갓 오브 블랙필드 60화")</f>
        <v>갓 오브 블랙필드 60화</v>
      </c>
      <c r="D1210" t="str">
        <f>T("60")</f>
        <v>60</v>
      </c>
      <c r="E1210" t="str">
        <f t="shared" si="195"/>
        <v>무장</v>
      </c>
      <c r="H1210" t="str">
        <f t="shared" si="196"/>
        <v>스토리위즈</v>
      </c>
      <c r="I1210" t="str">
        <f t="shared" si="197"/>
        <v>갓 오브 블랙필드</v>
      </c>
      <c r="J1210">
        <v>100</v>
      </c>
      <c r="K1210">
        <v>500</v>
      </c>
      <c r="L1210">
        <v>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500</v>
      </c>
      <c r="AH1210">
        <v>5</v>
      </c>
      <c r="AI1210">
        <v>0</v>
      </c>
      <c r="AJ1210">
        <v>0</v>
      </c>
      <c r="AK1210">
        <v>400</v>
      </c>
      <c r="AL1210">
        <v>0</v>
      </c>
      <c r="AM1210">
        <v>120</v>
      </c>
      <c r="AN1210">
        <v>-36</v>
      </c>
      <c r="AO1210">
        <v>0</v>
      </c>
      <c r="AP1210">
        <v>120</v>
      </c>
      <c r="AQ1210">
        <v>-36</v>
      </c>
      <c r="AR1210">
        <v>0</v>
      </c>
      <c r="AT1210">
        <v>0</v>
      </c>
      <c r="AU1210">
        <v>0</v>
      </c>
      <c r="AW1210">
        <v>0</v>
      </c>
      <c r="AX1210">
        <v>0</v>
      </c>
      <c r="AY1210">
        <v>338.8</v>
      </c>
      <c r="BC1210" t="str">
        <f t="shared" si="198"/>
        <v>9791137602113</v>
      </c>
      <c r="BE1210" t="str">
        <f t="shared" si="199"/>
        <v>판타지 웹소설 &gt; 현대 판타지</v>
      </c>
    </row>
    <row r="1211" spans="1:57" x14ac:dyDescent="0.3">
      <c r="A1211">
        <v>2313011955</v>
      </c>
      <c r="B1211">
        <v>2313012015</v>
      </c>
      <c r="C1211" t="str">
        <f>T("갓 오브 블랙필드 61화")</f>
        <v>갓 오브 블랙필드 61화</v>
      </c>
      <c r="D1211" t="str">
        <f>T("61")</f>
        <v>61</v>
      </c>
      <c r="E1211" t="str">
        <f t="shared" si="195"/>
        <v>무장</v>
      </c>
      <c r="H1211" t="str">
        <f t="shared" si="196"/>
        <v>스토리위즈</v>
      </c>
      <c r="I1211" t="str">
        <f t="shared" si="197"/>
        <v>갓 오브 블랙필드</v>
      </c>
      <c r="J1211">
        <v>100</v>
      </c>
      <c r="K1211">
        <v>500</v>
      </c>
      <c r="L1211">
        <v>5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500</v>
      </c>
      <c r="AH1211">
        <v>5</v>
      </c>
      <c r="AI1211">
        <v>0</v>
      </c>
      <c r="AJ1211">
        <v>0</v>
      </c>
      <c r="AK1211">
        <v>400</v>
      </c>
      <c r="AL1211">
        <v>0</v>
      </c>
      <c r="AM1211">
        <v>120</v>
      </c>
      <c r="AN1211">
        <v>-36</v>
      </c>
      <c r="AO1211">
        <v>0</v>
      </c>
      <c r="AP1211">
        <v>120</v>
      </c>
      <c r="AQ1211">
        <v>-36</v>
      </c>
      <c r="AR1211">
        <v>0</v>
      </c>
      <c r="AT1211">
        <v>0</v>
      </c>
      <c r="AU1211">
        <v>0</v>
      </c>
      <c r="AW1211">
        <v>0</v>
      </c>
      <c r="AX1211">
        <v>0</v>
      </c>
      <c r="AY1211">
        <v>338.8</v>
      </c>
      <c r="BC1211" t="str">
        <f t="shared" si="198"/>
        <v>9791137602113</v>
      </c>
      <c r="BE1211" t="str">
        <f t="shared" si="199"/>
        <v>판타지 웹소설 &gt; 현대 판타지</v>
      </c>
    </row>
    <row r="1212" spans="1:57" x14ac:dyDescent="0.3">
      <c r="A1212">
        <v>2313011955</v>
      </c>
      <c r="B1212">
        <v>2313012016</v>
      </c>
      <c r="C1212" t="str">
        <f>T("갓 오브 블랙필드 62화")</f>
        <v>갓 오브 블랙필드 62화</v>
      </c>
      <c r="D1212" t="str">
        <f>T("62")</f>
        <v>62</v>
      </c>
      <c r="E1212" t="str">
        <f t="shared" si="195"/>
        <v>무장</v>
      </c>
      <c r="H1212" t="str">
        <f t="shared" si="196"/>
        <v>스토리위즈</v>
      </c>
      <c r="I1212" t="str">
        <f t="shared" si="197"/>
        <v>갓 오브 블랙필드</v>
      </c>
      <c r="J1212">
        <v>100</v>
      </c>
      <c r="K1212">
        <v>500</v>
      </c>
      <c r="L1212">
        <v>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500</v>
      </c>
      <c r="AH1212">
        <v>5</v>
      </c>
      <c r="AI1212">
        <v>0</v>
      </c>
      <c r="AJ1212">
        <v>0</v>
      </c>
      <c r="AK1212">
        <v>400</v>
      </c>
      <c r="AL1212">
        <v>0</v>
      </c>
      <c r="AM1212">
        <v>120</v>
      </c>
      <c r="AN1212">
        <v>-36</v>
      </c>
      <c r="AO1212">
        <v>0</v>
      </c>
      <c r="AP1212">
        <v>120</v>
      </c>
      <c r="AQ1212">
        <v>-36</v>
      </c>
      <c r="AR1212">
        <v>0</v>
      </c>
      <c r="AT1212">
        <v>0</v>
      </c>
      <c r="AU1212">
        <v>0</v>
      </c>
      <c r="AW1212">
        <v>0</v>
      </c>
      <c r="AX1212">
        <v>0</v>
      </c>
      <c r="AY1212">
        <v>338.8</v>
      </c>
      <c r="BC1212" t="str">
        <f t="shared" si="198"/>
        <v>9791137602113</v>
      </c>
      <c r="BE1212" t="str">
        <f t="shared" si="199"/>
        <v>판타지 웹소설 &gt; 현대 판타지</v>
      </c>
    </row>
    <row r="1213" spans="1:57" x14ac:dyDescent="0.3">
      <c r="A1213">
        <v>2313011955</v>
      </c>
      <c r="B1213">
        <v>2313012017</v>
      </c>
      <c r="C1213" t="str">
        <f>T("갓 오브 블랙필드 63화")</f>
        <v>갓 오브 블랙필드 63화</v>
      </c>
      <c r="D1213" t="str">
        <f>T("63")</f>
        <v>63</v>
      </c>
      <c r="E1213" t="str">
        <f t="shared" si="195"/>
        <v>무장</v>
      </c>
      <c r="H1213" t="str">
        <f t="shared" si="196"/>
        <v>스토리위즈</v>
      </c>
      <c r="I1213" t="str">
        <f t="shared" si="197"/>
        <v>갓 오브 블랙필드</v>
      </c>
      <c r="J1213">
        <v>100</v>
      </c>
      <c r="K1213">
        <v>500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500</v>
      </c>
      <c r="AH1213">
        <v>5</v>
      </c>
      <c r="AI1213">
        <v>0</v>
      </c>
      <c r="AJ1213">
        <v>0</v>
      </c>
      <c r="AK1213">
        <v>400</v>
      </c>
      <c r="AL1213">
        <v>0</v>
      </c>
      <c r="AM1213">
        <v>120</v>
      </c>
      <c r="AN1213">
        <v>-36</v>
      </c>
      <c r="AO1213">
        <v>0</v>
      </c>
      <c r="AP1213">
        <v>120</v>
      </c>
      <c r="AQ1213">
        <v>-36</v>
      </c>
      <c r="AR1213">
        <v>0</v>
      </c>
      <c r="AT1213">
        <v>0</v>
      </c>
      <c r="AU1213">
        <v>0</v>
      </c>
      <c r="AW1213">
        <v>0</v>
      </c>
      <c r="AX1213">
        <v>0</v>
      </c>
      <c r="AY1213">
        <v>338.8</v>
      </c>
      <c r="BC1213" t="str">
        <f t="shared" si="198"/>
        <v>9791137602113</v>
      </c>
      <c r="BE1213" t="str">
        <f t="shared" si="199"/>
        <v>판타지 웹소설 &gt; 현대 판타지</v>
      </c>
    </row>
    <row r="1214" spans="1:57" x14ac:dyDescent="0.3">
      <c r="A1214">
        <v>2313011955</v>
      </c>
      <c r="B1214">
        <v>2313012018</v>
      </c>
      <c r="C1214" t="str">
        <f>T("갓 오브 블랙필드 64화")</f>
        <v>갓 오브 블랙필드 64화</v>
      </c>
      <c r="D1214" t="str">
        <f>T("64")</f>
        <v>64</v>
      </c>
      <c r="E1214" t="str">
        <f t="shared" si="195"/>
        <v>무장</v>
      </c>
      <c r="H1214" t="str">
        <f t="shared" si="196"/>
        <v>스토리위즈</v>
      </c>
      <c r="I1214" t="str">
        <f t="shared" si="197"/>
        <v>갓 오브 블랙필드</v>
      </c>
      <c r="J1214">
        <v>100</v>
      </c>
      <c r="K1214">
        <v>500</v>
      </c>
      <c r="L1214">
        <v>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500</v>
      </c>
      <c r="AH1214">
        <v>5</v>
      </c>
      <c r="AI1214">
        <v>0</v>
      </c>
      <c r="AJ1214">
        <v>0</v>
      </c>
      <c r="AK1214">
        <v>400</v>
      </c>
      <c r="AL1214">
        <v>0</v>
      </c>
      <c r="AM1214">
        <v>120</v>
      </c>
      <c r="AN1214">
        <v>-36</v>
      </c>
      <c r="AO1214">
        <v>0</v>
      </c>
      <c r="AP1214">
        <v>120</v>
      </c>
      <c r="AQ1214">
        <v>-36</v>
      </c>
      <c r="AR1214">
        <v>0</v>
      </c>
      <c r="AT1214">
        <v>0</v>
      </c>
      <c r="AU1214">
        <v>0</v>
      </c>
      <c r="AW1214">
        <v>0</v>
      </c>
      <c r="AX1214">
        <v>0</v>
      </c>
      <c r="AY1214">
        <v>338.8</v>
      </c>
      <c r="BC1214" t="str">
        <f t="shared" si="198"/>
        <v>9791137602113</v>
      </c>
      <c r="BE1214" t="str">
        <f t="shared" si="199"/>
        <v>판타지 웹소설 &gt; 현대 판타지</v>
      </c>
    </row>
    <row r="1215" spans="1:57" x14ac:dyDescent="0.3">
      <c r="A1215">
        <v>2313011955</v>
      </c>
      <c r="B1215">
        <v>2313012019</v>
      </c>
      <c r="C1215" t="str">
        <f>T("갓 오브 블랙필드 65화")</f>
        <v>갓 오브 블랙필드 65화</v>
      </c>
      <c r="D1215" t="str">
        <f>T("65")</f>
        <v>65</v>
      </c>
      <c r="E1215" t="str">
        <f t="shared" si="195"/>
        <v>무장</v>
      </c>
      <c r="H1215" t="str">
        <f t="shared" si="196"/>
        <v>스토리위즈</v>
      </c>
      <c r="I1215" t="str">
        <f t="shared" si="197"/>
        <v>갓 오브 블랙필드</v>
      </c>
      <c r="J1215">
        <v>100</v>
      </c>
      <c r="K1215">
        <v>500</v>
      </c>
      <c r="L1215">
        <v>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500</v>
      </c>
      <c r="AH1215">
        <v>5</v>
      </c>
      <c r="AI1215">
        <v>0</v>
      </c>
      <c r="AJ1215">
        <v>0</v>
      </c>
      <c r="AK1215">
        <v>400</v>
      </c>
      <c r="AL1215">
        <v>0</v>
      </c>
      <c r="AM1215">
        <v>120</v>
      </c>
      <c r="AN1215">
        <v>-36</v>
      </c>
      <c r="AO1215">
        <v>0</v>
      </c>
      <c r="AP1215">
        <v>120</v>
      </c>
      <c r="AQ1215">
        <v>-36</v>
      </c>
      <c r="AR1215">
        <v>0</v>
      </c>
      <c r="AT1215">
        <v>0</v>
      </c>
      <c r="AU1215">
        <v>0</v>
      </c>
      <c r="AW1215">
        <v>0</v>
      </c>
      <c r="AX1215">
        <v>0</v>
      </c>
      <c r="AY1215">
        <v>338.8</v>
      </c>
      <c r="BC1215" t="str">
        <f t="shared" si="198"/>
        <v>9791137602113</v>
      </c>
      <c r="BE1215" t="str">
        <f t="shared" si="199"/>
        <v>판타지 웹소설 &gt; 현대 판타지</v>
      </c>
    </row>
    <row r="1216" spans="1:57" x14ac:dyDescent="0.3">
      <c r="A1216">
        <v>2313011955</v>
      </c>
      <c r="B1216">
        <v>2313012020</v>
      </c>
      <c r="C1216" t="str">
        <f>T("갓 오브 블랙필드 66화")</f>
        <v>갓 오브 블랙필드 66화</v>
      </c>
      <c r="D1216" t="str">
        <f>T("66")</f>
        <v>66</v>
      </c>
      <c r="E1216" t="str">
        <f t="shared" si="195"/>
        <v>무장</v>
      </c>
      <c r="H1216" t="str">
        <f t="shared" si="196"/>
        <v>스토리위즈</v>
      </c>
      <c r="I1216" t="str">
        <f t="shared" si="197"/>
        <v>갓 오브 블랙필드</v>
      </c>
      <c r="J1216">
        <v>100</v>
      </c>
      <c r="K1216">
        <v>500</v>
      </c>
      <c r="L1216">
        <v>5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500</v>
      </c>
      <c r="AH1216">
        <v>5</v>
      </c>
      <c r="AI1216">
        <v>0</v>
      </c>
      <c r="AJ1216">
        <v>0</v>
      </c>
      <c r="AK1216">
        <v>400</v>
      </c>
      <c r="AL1216">
        <v>0</v>
      </c>
      <c r="AM1216">
        <v>120</v>
      </c>
      <c r="AN1216">
        <v>-36</v>
      </c>
      <c r="AO1216">
        <v>0</v>
      </c>
      <c r="AP1216">
        <v>120</v>
      </c>
      <c r="AQ1216">
        <v>-36</v>
      </c>
      <c r="AR1216">
        <v>0</v>
      </c>
      <c r="AT1216">
        <v>0</v>
      </c>
      <c r="AU1216">
        <v>0</v>
      </c>
      <c r="AW1216">
        <v>0</v>
      </c>
      <c r="AX1216">
        <v>0</v>
      </c>
      <c r="AY1216">
        <v>338.8</v>
      </c>
      <c r="BC1216" t="str">
        <f t="shared" si="198"/>
        <v>9791137602113</v>
      </c>
      <c r="BE1216" t="str">
        <f t="shared" si="199"/>
        <v>판타지 웹소설 &gt; 현대 판타지</v>
      </c>
    </row>
    <row r="1217" spans="1:57" x14ac:dyDescent="0.3">
      <c r="A1217">
        <v>2313011955</v>
      </c>
      <c r="B1217">
        <v>2313012021</v>
      </c>
      <c r="C1217" t="str">
        <f>T("갓 오브 블랙필드 67화")</f>
        <v>갓 오브 블랙필드 67화</v>
      </c>
      <c r="D1217" t="str">
        <f>T("67")</f>
        <v>67</v>
      </c>
      <c r="E1217" t="str">
        <f t="shared" si="195"/>
        <v>무장</v>
      </c>
      <c r="H1217" t="str">
        <f t="shared" si="196"/>
        <v>스토리위즈</v>
      </c>
      <c r="I1217" t="str">
        <f t="shared" si="197"/>
        <v>갓 오브 블랙필드</v>
      </c>
      <c r="J1217">
        <v>100</v>
      </c>
      <c r="K1217">
        <v>500</v>
      </c>
      <c r="L1217">
        <v>5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500</v>
      </c>
      <c r="AH1217">
        <v>5</v>
      </c>
      <c r="AI1217">
        <v>0</v>
      </c>
      <c r="AJ1217">
        <v>0</v>
      </c>
      <c r="AK1217">
        <v>400</v>
      </c>
      <c r="AL1217">
        <v>0</v>
      </c>
      <c r="AM1217">
        <v>120</v>
      </c>
      <c r="AN1217">
        <v>-36</v>
      </c>
      <c r="AO1217">
        <v>0</v>
      </c>
      <c r="AP1217">
        <v>120</v>
      </c>
      <c r="AQ1217">
        <v>-36</v>
      </c>
      <c r="AR1217">
        <v>0</v>
      </c>
      <c r="AT1217">
        <v>0</v>
      </c>
      <c r="AU1217">
        <v>0</v>
      </c>
      <c r="AW1217">
        <v>0</v>
      </c>
      <c r="AX1217">
        <v>0</v>
      </c>
      <c r="AY1217">
        <v>338.8</v>
      </c>
      <c r="BC1217" t="str">
        <f t="shared" si="198"/>
        <v>9791137602113</v>
      </c>
      <c r="BE1217" t="str">
        <f t="shared" si="199"/>
        <v>판타지 웹소설 &gt; 현대 판타지</v>
      </c>
    </row>
    <row r="1218" spans="1:57" x14ac:dyDescent="0.3">
      <c r="A1218">
        <v>2313011955</v>
      </c>
      <c r="B1218">
        <v>2313012022</v>
      </c>
      <c r="C1218" t="str">
        <f>T("갓 오브 블랙필드 68화")</f>
        <v>갓 오브 블랙필드 68화</v>
      </c>
      <c r="D1218" t="str">
        <f>T("68")</f>
        <v>68</v>
      </c>
      <c r="E1218" t="str">
        <f t="shared" si="195"/>
        <v>무장</v>
      </c>
      <c r="H1218" t="str">
        <f t="shared" si="196"/>
        <v>스토리위즈</v>
      </c>
      <c r="I1218" t="str">
        <f t="shared" si="197"/>
        <v>갓 오브 블랙필드</v>
      </c>
      <c r="J1218">
        <v>100</v>
      </c>
      <c r="K1218">
        <v>500</v>
      </c>
      <c r="L1218">
        <v>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500</v>
      </c>
      <c r="AH1218">
        <v>5</v>
      </c>
      <c r="AI1218">
        <v>0</v>
      </c>
      <c r="AJ1218">
        <v>0</v>
      </c>
      <c r="AK1218">
        <v>400</v>
      </c>
      <c r="AL1218">
        <v>0</v>
      </c>
      <c r="AM1218">
        <v>120</v>
      </c>
      <c r="AN1218">
        <v>-36</v>
      </c>
      <c r="AO1218">
        <v>0</v>
      </c>
      <c r="AP1218">
        <v>120</v>
      </c>
      <c r="AQ1218">
        <v>-36</v>
      </c>
      <c r="AR1218">
        <v>0</v>
      </c>
      <c r="AT1218">
        <v>0</v>
      </c>
      <c r="AU1218">
        <v>0</v>
      </c>
      <c r="AW1218">
        <v>0</v>
      </c>
      <c r="AX1218">
        <v>0</v>
      </c>
      <c r="AY1218">
        <v>338.8</v>
      </c>
      <c r="BC1218" t="str">
        <f t="shared" si="198"/>
        <v>9791137602113</v>
      </c>
      <c r="BE1218" t="str">
        <f t="shared" si="199"/>
        <v>판타지 웹소설 &gt; 현대 판타지</v>
      </c>
    </row>
    <row r="1219" spans="1:57" x14ac:dyDescent="0.3">
      <c r="A1219">
        <v>2313011955</v>
      </c>
      <c r="B1219">
        <v>2313012023</v>
      </c>
      <c r="C1219" t="str">
        <f>T("갓 오브 블랙필드 69화")</f>
        <v>갓 오브 블랙필드 69화</v>
      </c>
      <c r="D1219" t="str">
        <f>T("69")</f>
        <v>69</v>
      </c>
      <c r="E1219" t="str">
        <f t="shared" si="195"/>
        <v>무장</v>
      </c>
      <c r="H1219" t="str">
        <f t="shared" si="196"/>
        <v>스토리위즈</v>
      </c>
      <c r="I1219" t="str">
        <f t="shared" si="197"/>
        <v>갓 오브 블랙필드</v>
      </c>
      <c r="J1219">
        <v>100</v>
      </c>
      <c r="K1219">
        <v>500</v>
      </c>
      <c r="L1219">
        <v>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500</v>
      </c>
      <c r="AH1219">
        <v>5</v>
      </c>
      <c r="AI1219">
        <v>0</v>
      </c>
      <c r="AJ1219">
        <v>0</v>
      </c>
      <c r="AK1219">
        <v>400</v>
      </c>
      <c r="AL1219">
        <v>0</v>
      </c>
      <c r="AM1219">
        <v>120</v>
      </c>
      <c r="AN1219">
        <v>-36</v>
      </c>
      <c r="AO1219">
        <v>0</v>
      </c>
      <c r="AP1219">
        <v>120</v>
      </c>
      <c r="AQ1219">
        <v>-36</v>
      </c>
      <c r="AR1219">
        <v>0</v>
      </c>
      <c r="AT1219">
        <v>0</v>
      </c>
      <c r="AU1219">
        <v>0</v>
      </c>
      <c r="AW1219">
        <v>0</v>
      </c>
      <c r="AX1219">
        <v>0</v>
      </c>
      <c r="AY1219">
        <v>338.8</v>
      </c>
      <c r="BC1219" t="str">
        <f t="shared" si="198"/>
        <v>9791137602113</v>
      </c>
      <c r="BE1219" t="str">
        <f t="shared" si="199"/>
        <v>판타지 웹소설 &gt; 현대 판타지</v>
      </c>
    </row>
    <row r="1220" spans="1:57" x14ac:dyDescent="0.3">
      <c r="A1220">
        <v>2313011955</v>
      </c>
      <c r="B1220">
        <v>2313012024</v>
      </c>
      <c r="C1220" t="str">
        <f>T("갓 오브 블랙필드 70화")</f>
        <v>갓 오브 블랙필드 70화</v>
      </c>
      <c r="D1220" t="str">
        <f>T("70")</f>
        <v>70</v>
      </c>
      <c r="E1220" t="str">
        <f t="shared" si="195"/>
        <v>무장</v>
      </c>
      <c r="H1220" t="str">
        <f t="shared" si="196"/>
        <v>스토리위즈</v>
      </c>
      <c r="I1220" t="str">
        <f t="shared" si="197"/>
        <v>갓 오브 블랙필드</v>
      </c>
      <c r="J1220">
        <v>100</v>
      </c>
      <c r="K1220">
        <v>500</v>
      </c>
      <c r="L1220">
        <v>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500</v>
      </c>
      <c r="AH1220">
        <v>5</v>
      </c>
      <c r="AI1220">
        <v>0</v>
      </c>
      <c r="AJ1220">
        <v>0</v>
      </c>
      <c r="AK1220">
        <v>400</v>
      </c>
      <c r="AL1220">
        <v>0</v>
      </c>
      <c r="AM1220">
        <v>120</v>
      </c>
      <c r="AN1220">
        <v>-36</v>
      </c>
      <c r="AO1220">
        <v>0</v>
      </c>
      <c r="AP1220">
        <v>120</v>
      </c>
      <c r="AQ1220">
        <v>-36</v>
      </c>
      <c r="AR1220">
        <v>0</v>
      </c>
      <c r="AT1220">
        <v>0</v>
      </c>
      <c r="AU1220">
        <v>0</v>
      </c>
      <c r="AW1220">
        <v>0</v>
      </c>
      <c r="AX1220">
        <v>0</v>
      </c>
      <c r="AY1220">
        <v>338.8</v>
      </c>
      <c r="BC1220" t="str">
        <f t="shared" si="198"/>
        <v>9791137602113</v>
      </c>
      <c r="BE1220" t="str">
        <f t="shared" si="199"/>
        <v>판타지 웹소설 &gt; 현대 판타지</v>
      </c>
    </row>
    <row r="1221" spans="1:57" x14ac:dyDescent="0.3">
      <c r="A1221">
        <v>2313011955</v>
      </c>
      <c r="B1221">
        <v>2313012025</v>
      </c>
      <c r="C1221" t="str">
        <f>T("갓 오브 블랙필드 71화")</f>
        <v>갓 오브 블랙필드 71화</v>
      </c>
      <c r="D1221" t="str">
        <f>T("71")</f>
        <v>71</v>
      </c>
      <c r="E1221" t="str">
        <f t="shared" si="195"/>
        <v>무장</v>
      </c>
      <c r="H1221" t="str">
        <f t="shared" si="196"/>
        <v>스토리위즈</v>
      </c>
      <c r="I1221" t="str">
        <f t="shared" si="197"/>
        <v>갓 오브 블랙필드</v>
      </c>
      <c r="J1221">
        <v>100</v>
      </c>
      <c r="K1221">
        <v>500</v>
      </c>
      <c r="L1221">
        <v>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500</v>
      </c>
      <c r="AH1221">
        <v>5</v>
      </c>
      <c r="AI1221">
        <v>0</v>
      </c>
      <c r="AJ1221">
        <v>0</v>
      </c>
      <c r="AK1221">
        <v>400</v>
      </c>
      <c r="AL1221">
        <v>0</v>
      </c>
      <c r="AM1221">
        <v>120</v>
      </c>
      <c r="AN1221">
        <v>-36</v>
      </c>
      <c r="AO1221">
        <v>0</v>
      </c>
      <c r="AP1221">
        <v>120</v>
      </c>
      <c r="AQ1221">
        <v>-36</v>
      </c>
      <c r="AR1221">
        <v>0</v>
      </c>
      <c r="AT1221">
        <v>0</v>
      </c>
      <c r="AU1221">
        <v>0</v>
      </c>
      <c r="AW1221">
        <v>0</v>
      </c>
      <c r="AX1221">
        <v>0</v>
      </c>
      <c r="AY1221">
        <v>338.8</v>
      </c>
      <c r="BC1221" t="str">
        <f t="shared" si="198"/>
        <v>9791137602113</v>
      </c>
      <c r="BE1221" t="str">
        <f t="shared" si="199"/>
        <v>판타지 웹소설 &gt; 현대 판타지</v>
      </c>
    </row>
    <row r="1222" spans="1:57" x14ac:dyDescent="0.3">
      <c r="A1222">
        <v>2313011955</v>
      </c>
      <c r="B1222">
        <v>2313012026</v>
      </c>
      <c r="C1222" t="str">
        <f>T("갓 오브 블랙필드 72화")</f>
        <v>갓 오브 블랙필드 72화</v>
      </c>
      <c r="D1222" t="str">
        <f>T("72")</f>
        <v>72</v>
      </c>
      <c r="E1222" t="str">
        <f t="shared" si="195"/>
        <v>무장</v>
      </c>
      <c r="H1222" t="str">
        <f t="shared" si="196"/>
        <v>스토리위즈</v>
      </c>
      <c r="I1222" t="str">
        <f t="shared" si="197"/>
        <v>갓 오브 블랙필드</v>
      </c>
      <c r="J1222">
        <v>100</v>
      </c>
      <c r="K1222">
        <v>500</v>
      </c>
      <c r="L1222">
        <v>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500</v>
      </c>
      <c r="AH1222">
        <v>5</v>
      </c>
      <c r="AI1222">
        <v>0</v>
      </c>
      <c r="AJ1222">
        <v>0</v>
      </c>
      <c r="AK1222">
        <v>400</v>
      </c>
      <c r="AL1222">
        <v>0</v>
      </c>
      <c r="AM1222">
        <v>120</v>
      </c>
      <c r="AN1222">
        <v>-36</v>
      </c>
      <c r="AO1222">
        <v>0</v>
      </c>
      <c r="AP1222">
        <v>120</v>
      </c>
      <c r="AQ1222">
        <v>-36</v>
      </c>
      <c r="AR1222">
        <v>0</v>
      </c>
      <c r="AT1222">
        <v>0</v>
      </c>
      <c r="AU1222">
        <v>0</v>
      </c>
      <c r="AW1222">
        <v>0</v>
      </c>
      <c r="AX1222">
        <v>0</v>
      </c>
      <c r="AY1222">
        <v>338.8</v>
      </c>
      <c r="BC1222" t="str">
        <f t="shared" si="198"/>
        <v>9791137602113</v>
      </c>
      <c r="BE1222" t="str">
        <f t="shared" si="199"/>
        <v>판타지 웹소설 &gt; 현대 판타지</v>
      </c>
    </row>
    <row r="1223" spans="1:57" x14ac:dyDescent="0.3">
      <c r="A1223">
        <v>2313011955</v>
      </c>
      <c r="B1223">
        <v>2313012027</v>
      </c>
      <c r="C1223" t="str">
        <f>T("갓 오브 블랙필드 73화")</f>
        <v>갓 오브 블랙필드 73화</v>
      </c>
      <c r="D1223" t="str">
        <f>T("73")</f>
        <v>73</v>
      </c>
      <c r="E1223" t="str">
        <f t="shared" si="195"/>
        <v>무장</v>
      </c>
      <c r="H1223" t="str">
        <f t="shared" si="196"/>
        <v>스토리위즈</v>
      </c>
      <c r="I1223" t="str">
        <f t="shared" si="197"/>
        <v>갓 오브 블랙필드</v>
      </c>
      <c r="J1223">
        <v>100</v>
      </c>
      <c r="K1223">
        <v>500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500</v>
      </c>
      <c r="AH1223">
        <v>5</v>
      </c>
      <c r="AI1223">
        <v>0</v>
      </c>
      <c r="AJ1223">
        <v>0</v>
      </c>
      <c r="AK1223">
        <v>400</v>
      </c>
      <c r="AL1223">
        <v>0</v>
      </c>
      <c r="AM1223">
        <v>120</v>
      </c>
      <c r="AN1223">
        <v>-36</v>
      </c>
      <c r="AO1223">
        <v>0</v>
      </c>
      <c r="AP1223">
        <v>120</v>
      </c>
      <c r="AQ1223">
        <v>-36</v>
      </c>
      <c r="AR1223">
        <v>0</v>
      </c>
      <c r="AT1223">
        <v>0</v>
      </c>
      <c r="AU1223">
        <v>0</v>
      </c>
      <c r="AW1223">
        <v>0</v>
      </c>
      <c r="AX1223">
        <v>0</v>
      </c>
      <c r="AY1223">
        <v>338.8</v>
      </c>
      <c r="BC1223" t="str">
        <f t="shared" si="198"/>
        <v>9791137602113</v>
      </c>
      <c r="BE1223" t="str">
        <f t="shared" si="199"/>
        <v>판타지 웹소설 &gt; 현대 판타지</v>
      </c>
    </row>
    <row r="1224" spans="1:57" x14ac:dyDescent="0.3">
      <c r="A1224">
        <v>2313011955</v>
      </c>
      <c r="B1224">
        <v>2313012028</v>
      </c>
      <c r="C1224" t="str">
        <f>T("갓 오브 블랙필드 74화")</f>
        <v>갓 오브 블랙필드 74화</v>
      </c>
      <c r="D1224" t="str">
        <f>T("74")</f>
        <v>74</v>
      </c>
      <c r="E1224" t="str">
        <f t="shared" si="195"/>
        <v>무장</v>
      </c>
      <c r="H1224" t="str">
        <f t="shared" si="196"/>
        <v>스토리위즈</v>
      </c>
      <c r="I1224" t="str">
        <f t="shared" si="197"/>
        <v>갓 오브 블랙필드</v>
      </c>
      <c r="J1224">
        <v>100</v>
      </c>
      <c r="K1224">
        <v>500</v>
      </c>
      <c r="L1224">
        <v>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500</v>
      </c>
      <c r="AH1224">
        <v>5</v>
      </c>
      <c r="AI1224">
        <v>0</v>
      </c>
      <c r="AJ1224">
        <v>0</v>
      </c>
      <c r="AK1224">
        <v>400</v>
      </c>
      <c r="AL1224">
        <v>0</v>
      </c>
      <c r="AM1224">
        <v>120</v>
      </c>
      <c r="AN1224">
        <v>-36</v>
      </c>
      <c r="AO1224">
        <v>0</v>
      </c>
      <c r="AP1224">
        <v>120</v>
      </c>
      <c r="AQ1224">
        <v>-36</v>
      </c>
      <c r="AR1224">
        <v>0</v>
      </c>
      <c r="AT1224">
        <v>0</v>
      </c>
      <c r="AU1224">
        <v>0</v>
      </c>
      <c r="AW1224">
        <v>0</v>
      </c>
      <c r="AX1224">
        <v>0</v>
      </c>
      <c r="AY1224">
        <v>338.8</v>
      </c>
      <c r="BC1224" t="str">
        <f t="shared" si="198"/>
        <v>9791137602113</v>
      </c>
      <c r="BE1224" t="str">
        <f t="shared" si="199"/>
        <v>판타지 웹소설 &gt; 현대 판타지</v>
      </c>
    </row>
    <row r="1225" spans="1:57" x14ac:dyDescent="0.3">
      <c r="A1225">
        <v>2313011955</v>
      </c>
      <c r="B1225">
        <v>2313012029</v>
      </c>
      <c r="C1225" t="str">
        <f>T("갓 오브 블랙필드 75화")</f>
        <v>갓 오브 블랙필드 75화</v>
      </c>
      <c r="D1225" t="str">
        <f>T("75")</f>
        <v>75</v>
      </c>
      <c r="E1225" t="str">
        <f t="shared" si="195"/>
        <v>무장</v>
      </c>
      <c r="H1225" t="str">
        <f t="shared" si="196"/>
        <v>스토리위즈</v>
      </c>
      <c r="I1225" t="str">
        <f t="shared" si="197"/>
        <v>갓 오브 블랙필드</v>
      </c>
      <c r="J1225">
        <v>100</v>
      </c>
      <c r="K1225">
        <v>500</v>
      </c>
      <c r="L1225">
        <v>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500</v>
      </c>
      <c r="AH1225">
        <v>5</v>
      </c>
      <c r="AI1225">
        <v>0</v>
      </c>
      <c r="AJ1225">
        <v>0</v>
      </c>
      <c r="AK1225">
        <v>400</v>
      </c>
      <c r="AL1225">
        <v>0</v>
      </c>
      <c r="AM1225">
        <v>120</v>
      </c>
      <c r="AN1225">
        <v>-36</v>
      </c>
      <c r="AO1225">
        <v>0</v>
      </c>
      <c r="AP1225">
        <v>120</v>
      </c>
      <c r="AQ1225">
        <v>-36</v>
      </c>
      <c r="AR1225">
        <v>0</v>
      </c>
      <c r="AT1225">
        <v>0</v>
      </c>
      <c r="AU1225">
        <v>0</v>
      </c>
      <c r="AW1225">
        <v>0</v>
      </c>
      <c r="AX1225">
        <v>0</v>
      </c>
      <c r="AY1225">
        <v>338.8</v>
      </c>
      <c r="BC1225" t="str">
        <f t="shared" si="198"/>
        <v>9791137602113</v>
      </c>
      <c r="BE1225" t="str">
        <f t="shared" si="199"/>
        <v>판타지 웹소설 &gt; 현대 판타지</v>
      </c>
    </row>
    <row r="1226" spans="1:57" x14ac:dyDescent="0.3">
      <c r="A1226">
        <v>2313011955</v>
      </c>
      <c r="B1226">
        <v>2313012030</v>
      </c>
      <c r="C1226" t="str">
        <f>T("갓 오브 블랙필드 76화")</f>
        <v>갓 오브 블랙필드 76화</v>
      </c>
      <c r="D1226" t="str">
        <f>T("76")</f>
        <v>76</v>
      </c>
      <c r="E1226" t="str">
        <f t="shared" si="195"/>
        <v>무장</v>
      </c>
      <c r="H1226" t="str">
        <f t="shared" si="196"/>
        <v>스토리위즈</v>
      </c>
      <c r="I1226" t="str">
        <f t="shared" si="197"/>
        <v>갓 오브 블랙필드</v>
      </c>
      <c r="J1226">
        <v>100</v>
      </c>
      <c r="K1226">
        <v>500</v>
      </c>
      <c r="L1226">
        <v>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500</v>
      </c>
      <c r="AH1226">
        <v>5</v>
      </c>
      <c r="AI1226">
        <v>0</v>
      </c>
      <c r="AJ1226">
        <v>0</v>
      </c>
      <c r="AK1226">
        <v>400</v>
      </c>
      <c r="AL1226">
        <v>0</v>
      </c>
      <c r="AM1226">
        <v>120</v>
      </c>
      <c r="AN1226">
        <v>-36</v>
      </c>
      <c r="AO1226">
        <v>0</v>
      </c>
      <c r="AP1226">
        <v>120</v>
      </c>
      <c r="AQ1226">
        <v>-36</v>
      </c>
      <c r="AR1226">
        <v>0</v>
      </c>
      <c r="AT1226">
        <v>0</v>
      </c>
      <c r="AU1226">
        <v>0</v>
      </c>
      <c r="AW1226">
        <v>0</v>
      </c>
      <c r="AX1226">
        <v>0</v>
      </c>
      <c r="AY1226">
        <v>338.8</v>
      </c>
      <c r="BC1226" t="str">
        <f t="shared" si="198"/>
        <v>9791137602113</v>
      </c>
      <c r="BE1226" t="str">
        <f t="shared" si="199"/>
        <v>판타지 웹소설 &gt; 현대 판타지</v>
      </c>
    </row>
    <row r="1227" spans="1:57" x14ac:dyDescent="0.3">
      <c r="A1227">
        <v>2313011955</v>
      </c>
      <c r="B1227">
        <v>2313012031</v>
      </c>
      <c r="C1227" t="str">
        <f>T("갓 오브 블랙필드 77화")</f>
        <v>갓 오브 블랙필드 77화</v>
      </c>
      <c r="D1227" t="str">
        <f>T("77")</f>
        <v>77</v>
      </c>
      <c r="E1227" t="str">
        <f t="shared" si="195"/>
        <v>무장</v>
      </c>
      <c r="H1227" t="str">
        <f t="shared" si="196"/>
        <v>스토리위즈</v>
      </c>
      <c r="I1227" t="str">
        <f t="shared" si="197"/>
        <v>갓 오브 블랙필드</v>
      </c>
      <c r="J1227">
        <v>100</v>
      </c>
      <c r="K1227">
        <v>500</v>
      </c>
      <c r="L1227">
        <v>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500</v>
      </c>
      <c r="AH1227">
        <v>5</v>
      </c>
      <c r="AI1227">
        <v>0</v>
      </c>
      <c r="AJ1227">
        <v>0</v>
      </c>
      <c r="AK1227">
        <v>400</v>
      </c>
      <c r="AL1227">
        <v>0</v>
      </c>
      <c r="AM1227">
        <v>120</v>
      </c>
      <c r="AN1227">
        <v>-36</v>
      </c>
      <c r="AO1227">
        <v>0</v>
      </c>
      <c r="AP1227">
        <v>120</v>
      </c>
      <c r="AQ1227">
        <v>-36</v>
      </c>
      <c r="AR1227">
        <v>0</v>
      </c>
      <c r="AT1227">
        <v>0</v>
      </c>
      <c r="AU1227">
        <v>0</v>
      </c>
      <c r="AW1227">
        <v>0</v>
      </c>
      <c r="AX1227">
        <v>0</v>
      </c>
      <c r="AY1227">
        <v>338.8</v>
      </c>
      <c r="BC1227" t="str">
        <f t="shared" si="198"/>
        <v>9791137602113</v>
      </c>
      <c r="BE1227" t="str">
        <f t="shared" si="199"/>
        <v>판타지 웹소설 &gt; 현대 판타지</v>
      </c>
    </row>
    <row r="1228" spans="1:57" x14ac:dyDescent="0.3">
      <c r="A1228">
        <v>2313011955</v>
      </c>
      <c r="B1228">
        <v>2313012032</v>
      </c>
      <c r="C1228" t="str">
        <f>T("갓 오브 블랙필드 78화")</f>
        <v>갓 오브 블랙필드 78화</v>
      </c>
      <c r="D1228" t="str">
        <f>T("78")</f>
        <v>78</v>
      </c>
      <c r="E1228" t="str">
        <f t="shared" si="195"/>
        <v>무장</v>
      </c>
      <c r="H1228" t="str">
        <f t="shared" si="196"/>
        <v>스토리위즈</v>
      </c>
      <c r="I1228" t="str">
        <f t="shared" si="197"/>
        <v>갓 오브 블랙필드</v>
      </c>
      <c r="J1228">
        <v>100</v>
      </c>
      <c r="K1228">
        <v>500</v>
      </c>
      <c r="L1228">
        <v>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500</v>
      </c>
      <c r="AH1228">
        <v>5</v>
      </c>
      <c r="AI1228">
        <v>0</v>
      </c>
      <c r="AJ1228">
        <v>0</v>
      </c>
      <c r="AK1228">
        <v>400</v>
      </c>
      <c r="AL1228">
        <v>0</v>
      </c>
      <c r="AM1228">
        <v>120</v>
      </c>
      <c r="AN1228">
        <v>-36</v>
      </c>
      <c r="AO1228">
        <v>0</v>
      </c>
      <c r="AP1228">
        <v>120</v>
      </c>
      <c r="AQ1228">
        <v>-36</v>
      </c>
      <c r="AR1228">
        <v>0</v>
      </c>
      <c r="AT1228">
        <v>0</v>
      </c>
      <c r="AU1228">
        <v>0</v>
      </c>
      <c r="AW1228">
        <v>0</v>
      </c>
      <c r="AX1228">
        <v>0</v>
      </c>
      <c r="AY1228">
        <v>338.8</v>
      </c>
      <c r="BC1228" t="str">
        <f t="shared" si="198"/>
        <v>9791137602113</v>
      </c>
      <c r="BE1228" t="str">
        <f t="shared" si="199"/>
        <v>판타지 웹소설 &gt; 현대 판타지</v>
      </c>
    </row>
    <row r="1229" spans="1:57" x14ac:dyDescent="0.3">
      <c r="A1229">
        <v>2313011955</v>
      </c>
      <c r="B1229">
        <v>2313012033</v>
      </c>
      <c r="C1229" t="str">
        <f>T("갓 오브 블랙필드 79화")</f>
        <v>갓 오브 블랙필드 79화</v>
      </c>
      <c r="D1229" t="str">
        <f>T("79")</f>
        <v>79</v>
      </c>
      <c r="E1229" t="str">
        <f t="shared" si="195"/>
        <v>무장</v>
      </c>
      <c r="H1229" t="str">
        <f t="shared" si="196"/>
        <v>스토리위즈</v>
      </c>
      <c r="I1229" t="str">
        <f t="shared" si="197"/>
        <v>갓 오브 블랙필드</v>
      </c>
      <c r="J1229">
        <v>100</v>
      </c>
      <c r="K1229">
        <v>500</v>
      </c>
      <c r="L1229">
        <v>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500</v>
      </c>
      <c r="AH1229">
        <v>5</v>
      </c>
      <c r="AI1229">
        <v>0</v>
      </c>
      <c r="AJ1229">
        <v>0</v>
      </c>
      <c r="AK1229">
        <v>400</v>
      </c>
      <c r="AL1229">
        <v>0</v>
      </c>
      <c r="AM1229">
        <v>120</v>
      </c>
      <c r="AN1229">
        <v>-36</v>
      </c>
      <c r="AO1229">
        <v>0</v>
      </c>
      <c r="AP1229">
        <v>120</v>
      </c>
      <c r="AQ1229">
        <v>-36</v>
      </c>
      <c r="AR1229">
        <v>0</v>
      </c>
      <c r="AT1229">
        <v>0</v>
      </c>
      <c r="AU1229">
        <v>0</v>
      </c>
      <c r="AW1229">
        <v>0</v>
      </c>
      <c r="AX1229">
        <v>0</v>
      </c>
      <c r="AY1229">
        <v>338.8</v>
      </c>
      <c r="BC1229" t="str">
        <f t="shared" si="198"/>
        <v>9791137602113</v>
      </c>
      <c r="BE1229" t="str">
        <f t="shared" si="199"/>
        <v>판타지 웹소설 &gt; 현대 판타지</v>
      </c>
    </row>
    <row r="1230" spans="1:57" x14ac:dyDescent="0.3">
      <c r="A1230">
        <v>2313011955</v>
      </c>
      <c r="B1230">
        <v>2313012034</v>
      </c>
      <c r="C1230" t="str">
        <f>T("갓 오브 블랙필드 80화")</f>
        <v>갓 오브 블랙필드 80화</v>
      </c>
      <c r="D1230" t="str">
        <f>T("80")</f>
        <v>80</v>
      </c>
      <c r="E1230" t="str">
        <f t="shared" si="195"/>
        <v>무장</v>
      </c>
      <c r="H1230" t="str">
        <f t="shared" si="196"/>
        <v>스토리위즈</v>
      </c>
      <c r="I1230" t="str">
        <f t="shared" si="197"/>
        <v>갓 오브 블랙필드</v>
      </c>
      <c r="J1230">
        <v>100</v>
      </c>
      <c r="K1230">
        <v>500</v>
      </c>
      <c r="L1230">
        <v>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500</v>
      </c>
      <c r="AH1230">
        <v>5</v>
      </c>
      <c r="AI1230">
        <v>0</v>
      </c>
      <c r="AJ1230">
        <v>0</v>
      </c>
      <c r="AK1230">
        <v>400</v>
      </c>
      <c r="AL1230">
        <v>0</v>
      </c>
      <c r="AM1230">
        <v>120</v>
      </c>
      <c r="AN1230">
        <v>-36</v>
      </c>
      <c r="AO1230">
        <v>0</v>
      </c>
      <c r="AP1230">
        <v>120</v>
      </c>
      <c r="AQ1230">
        <v>-36</v>
      </c>
      <c r="AR1230">
        <v>0</v>
      </c>
      <c r="AT1230">
        <v>0</v>
      </c>
      <c r="AU1230">
        <v>0</v>
      </c>
      <c r="AW1230">
        <v>0</v>
      </c>
      <c r="AX1230">
        <v>0</v>
      </c>
      <c r="AY1230">
        <v>338.8</v>
      </c>
      <c r="BC1230" t="str">
        <f t="shared" si="198"/>
        <v>9791137602113</v>
      </c>
      <c r="BE1230" t="str">
        <f t="shared" si="199"/>
        <v>판타지 웹소설 &gt; 현대 판타지</v>
      </c>
    </row>
    <row r="1231" spans="1:57" x14ac:dyDescent="0.3">
      <c r="A1231">
        <v>2313011955</v>
      </c>
      <c r="B1231">
        <v>2313012035</v>
      </c>
      <c r="C1231" t="str">
        <f>T("갓 오브 블랙필드 81화")</f>
        <v>갓 오브 블랙필드 81화</v>
      </c>
      <c r="D1231" t="str">
        <f>T("81")</f>
        <v>81</v>
      </c>
      <c r="E1231" t="str">
        <f t="shared" si="195"/>
        <v>무장</v>
      </c>
      <c r="H1231" t="str">
        <f t="shared" si="196"/>
        <v>스토리위즈</v>
      </c>
      <c r="I1231" t="str">
        <f t="shared" si="197"/>
        <v>갓 오브 블랙필드</v>
      </c>
      <c r="J1231">
        <v>100</v>
      </c>
      <c r="K1231">
        <v>500</v>
      </c>
      <c r="L1231">
        <v>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500</v>
      </c>
      <c r="AH1231">
        <v>5</v>
      </c>
      <c r="AI1231">
        <v>0</v>
      </c>
      <c r="AJ1231">
        <v>0</v>
      </c>
      <c r="AK1231">
        <v>400</v>
      </c>
      <c r="AL1231">
        <v>0</v>
      </c>
      <c r="AM1231">
        <v>120</v>
      </c>
      <c r="AN1231">
        <v>-36</v>
      </c>
      <c r="AO1231">
        <v>0</v>
      </c>
      <c r="AP1231">
        <v>120</v>
      </c>
      <c r="AQ1231">
        <v>-36</v>
      </c>
      <c r="AR1231">
        <v>0</v>
      </c>
      <c r="AT1231">
        <v>0</v>
      </c>
      <c r="AU1231">
        <v>0</v>
      </c>
      <c r="AW1231">
        <v>0</v>
      </c>
      <c r="AX1231">
        <v>0</v>
      </c>
      <c r="AY1231">
        <v>338.8</v>
      </c>
      <c r="BC1231" t="str">
        <f t="shared" si="198"/>
        <v>9791137602113</v>
      </c>
      <c r="BE1231" t="str">
        <f t="shared" si="199"/>
        <v>판타지 웹소설 &gt; 현대 판타지</v>
      </c>
    </row>
    <row r="1232" spans="1:57" x14ac:dyDescent="0.3">
      <c r="A1232">
        <v>2313011955</v>
      </c>
      <c r="B1232">
        <v>2313012036</v>
      </c>
      <c r="C1232" t="str">
        <f>T("갓 오브 블랙필드 82화")</f>
        <v>갓 오브 블랙필드 82화</v>
      </c>
      <c r="D1232" t="str">
        <f>T("82")</f>
        <v>82</v>
      </c>
      <c r="E1232" t="str">
        <f t="shared" si="195"/>
        <v>무장</v>
      </c>
      <c r="H1232" t="str">
        <f t="shared" si="196"/>
        <v>스토리위즈</v>
      </c>
      <c r="I1232" t="str">
        <f t="shared" si="197"/>
        <v>갓 오브 블랙필드</v>
      </c>
      <c r="J1232">
        <v>100</v>
      </c>
      <c r="K1232">
        <v>500</v>
      </c>
      <c r="L1232">
        <v>5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500</v>
      </c>
      <c r="AH1232">
        <v>5</v>
      </c>
      <c r="AI1232">
        <v>0</v>
      </c>
      <c r="AJ1232">
        <v>0</v>
      </c>
      <c r="AK1232">
        <v>400</v>
      </c>
      <c r="AL1232">
        <v>0</v>
      </c>
      <c r="AM1232">
        <v>120</v>
      </c>
      <c r="AN1232">
        <v>-36</v>
      </c>
      <c r="AO1232">
        <v>0</v>
      </c>
      <c r="AP1232">
        <v>120</v>
      </c>
      <c r="AQ1232">
        <v>-36</v>
      </c>
      <c r="AR1232">
        <v>0</v>
      </c>
      <c r="AT1232">
        <v>0</v>
      </c>
      <c r="AU1232">
        <v>0</v>
      </c>
      <c r="AW1232">
        <v>0</v>
      </c>
      <c r="AX1232">
        <v>0</v>
      </c>
      <c r="AY1232">
        <v>338.8</v>
      </c>
      <c r="BC1232" t="str">
        <f t="shared" si="198"/>
        <v>9791137602113</v>
      </c>
      <c r="BE1232" t="str">
        <f t="shared" si="199"/>
        <v>판타지 웹소설 &gt; 현대 판타지</v>
      </c>
    </row>
    <row r="1233" spans="1:57" x14ac:dyDescent="0.3">
      <c r="A1233">
        <v>2313011955</v>
      </c>
      <c r="B1233">
        <v>2313012037</v>
      </c>
      <c r="C1233" t="str">
        <f>T("갓 오브 블랙필드 83화")</f>
        <v>갓 오브 블랙필드 83화</v>
      </c>
      <c r="D1233" t="str">
        <f>T("83")</f>
        <v>83</v>
      </c>
      <c r="E1233" t="str">
        <f t="shared" si="195"/>
        <v>무장</v>
      </c>
      <c r="H1233" t="str">
        <f t="shared" si="196"/>
        <v>스토리위즈</v>
      </c>
      <c r="I1233" t="str">
        <f t="shared" si="197"/>
        <v>갓 오브 블랙필드</v>
      </c>
      <c r="J1233">
        <v>100</v>
      </c>
      <c r="K1233">
        <v>500</v>
      </c>
      <c r="L1233">
        <v>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500</v>
      </c>
      <c r="AH1233">
        <v>5</v>
      </c>
      <c r="AI1233">
        <v>0</v>
      </c>
      <c r="AJ1233">
        <v>0</v>
      </c>
      <c r="AK1233">
        <v>400</v>
      </c>
      <c r="AL1233">
        <v>0</v>
      </c>
      <c r="AM1233">
        <v>120</v>
      </c>
      <c r="AN1233">
        <v>-36</v>
      </c>
      <c r="AO1233">
        <v>0</v>
      </c>
      <c r="AP1233">
        <v>120</v>
      </c>
      <c r="AQ1233">
        <v>-36</v>
      </c>
      <c r="AR1233">
        <v>0</v>
      </c>
      <c r="AT1233">
        <v>0</v>
      </c>
      <c r="AU1233">
        <v>0</v>
      </c>
      <c r="AW1233">
        <v>0</v>
      </c>
      <c r="AX1233">
        <v>0</v>
      </c>
      <c r="AY1233">
        <v>338.8</v>
      </c>
      <c r="BC1233" t="str">
        <f t="shared" si="198"/>
        <v>9791137602113</v>
      </c>
      <c r="BE1233" t="str">
        <f t="shared" si="199"/>
        <v>판타지 웹소설 &gt; 현대 판타지</v>
      </c>
    </row>
    <row r="1234" spans="1:57" x14ac:dyDescent="0.3">
      <c r="A1234">
        <v>2313011955</v>
      </c>
      <c r="B1234">
        <v>2313012038</v>
      </c>
      <c r="C1234" t="str">
        <f>T("갓 오브 블랙필드 84화")</f>
        <v>갓 오브 블랙필드 84화</v>
      </c>
      <c r="D1234" t="str">
        <f>T("84")</f>
        <v>84</v>
      </c>
      <c r="E1234" t="str">
        <f t="shared" si="195"/>
        <v>무장</v>
      </c>
      <c r="H1234" t="str">
        <f t="shared" si="196"/>
        <v>스토리위즈</v>
      </c>
      <c r="I1234" t="str">
        <f t="shared" si="197"/>
        <v>갓 오브 블랙필드</v>
      </c>
      <c r="J1234">
        <v>100</v>
      </c>
      <c r="K1234">
        <v>500</v>
      </c>
      <c r="L1234">
        <v>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500</v>
      </c>
      <c r="AH1234">
        <v>5</v>
      </c>
      <c r="AI1234">
        <v>0</v>
      </c>
      <c r="AJ1234">
        <v>0</v>
      </c>
      <c r="AK1234">
        <v>400</v>
      </c>
      <c r="AL1234">
        <v>0</v>
      </c>
      <c r="AM1234">
        <v>120</v>
      </c>
      <c r="AN1234">
        <v>-36</v>
      </c>
      <c r="AO1234">
        <v>0</v>
      </c>
      <c r="AP1234">
        <v>120</v>
      </c>
      <c r="AQ1234">
        <v>-36</v>
      </c>
      <c r="AR1234">
        <v>0</v>
      </c>
      <c r="AT1234">
        <v>0</v>
      </c>
      <c r="AU1234">
        <v>0</v>
      </c>
      <c r="AW1234">
        <v>0</v>
      </c>
      <c r="AX1234">
        <v>0</v>
      </c>
      <c r="AY1234">
        <v>338.8</v>
      </c>
      <c r="BC1234" t="str">
        <f t="shared" si="198"/>
        <v>9791137602113</v>
      </c>
      <c r="BE1234" t="str">
        <f t="shared" si="199"/>
        <v>판타지 웹소설 &gt; 현대 판타지</v>
      </c>
    </row>
    <row r="1235" spans="1:57" x14ac:dyDescent="0.3">
      <c r="A1235">
        <v>2313011955</v>
      </c>
      <c r="B1235">
        <v>2313012039</v>
      </c>
      <c r="C1235" t="str">
        <f>T("갓 오브 블랙필드 85화")</f>
        <v>갓 오브 블랙필드 85화</v>
      </c>
      <c r="D1235" t="str">
        <f>T("85")</f>
        <v>85</v>
      </c>
      <c r="E1235" t="str">
        <f t="shared" si="195"/>
        <v>무장</v>
      </c>
      <c r="H1235" t="str">
        <f t="shared" si="196"/>
        <v>스토리위즈</v>
      </c>
      <c r="I1235" t="str">
        <f t="shared" si="197"/>
        <v>갓 오브 블랙필드</v>
      </c>
      <c r="J1235">
        <v>100</v>
      </c>
      <c r="K1235">
        <v>500</v>
      </c>
      <c r="L1235">
        <v>5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500</v>
      </c>
      <c r="AH1235">
        <v>5</v>
      </c>
      <c r="AI1235">
        <v>0</v>
      </c>
      <c r="AJ1235">
        <v>0</v>
      </c>
      <c r="AK1235">
        <v>400</v>
      </c>
      <c r="AL1235">
        <v>0</v>
      </c>
      <c r="AM1235">
        <v>120</v>
      </c>
      <c r="AN1235">
        <v>-36</v>
      </c>
      <c r="AO1235">
        <v>0</v>
      </c>
      <c r="AP1235">
        <v>120</v>
      </c>
      <c r="AQ1235">
        <v>-36</v>
      </c>
      <c r="AR1235">
        <v>0</v>
      </c>
      <c r="AT1235">
        <v>0</v>
      </c>
      <c r="AU1235">
        <v>0</v>
      </c>
      <c r="AW1235">
        <v>0</v>
      </c>
      <c r="AX1235">
        <v>0</v>
      </c>
      <c r="AY1235">
        <v>338.8</v>
      </c>
      <c r="BC1235" t="str">
        <f t="shared" si="198"/>
        <v>9791137602113</v>
      </c>
      <c r="BE1235" t="str">
        <f t="shared" si="199"/>
        <v>판타지 웹소설 &gt; 현대 판타지</v>
      </c>
    </row>
    <row r="1236" spans="1:57" x14ac:dyDescent="0.3">
      <c r="A1236">
        <v>2313011955</v>
      </c>
      <c r="B1236">
        <v>2313012040</v>
      </c>
      <c r="C1236" t="str">
        <f>T("갓 오브 블랙필드 86화")</f>
        <v>갓 오브 블랙필드 86화</v>
      </c>
      <c r="D1236" t="str">
        <f>T("86")</f>
        <v>86</v>
      </c>
      <c r="E1236" t="str">
        <f t="shared" si="195"/>
        <v>무장</v>
      </c>
      <c r="H1236" t="str">
        <f t="shared" si="196"/>
        <v>스토리위즈</v>
      </c>
      <c r="I1236" t="str">
        <f t="shared" si="197"/>
        <v>갓 오브 블랙필드</v>
      </c>
      <c r="J1236">
        <v>100</v>
      </c>
      <c r="K1236">
        <v>500</v>
      </c>
      <c r="L1236">
        <v>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500</v>
      </c>
      <c r="AH1236">
        <v>5</v>
      </c>
      <c r="AI1236">
        <v>0</v>
      </c>
      <c r="AJ1236">
        <v>0</v>
      </c>
      <c r="AK1236">
        <v>400</v>
      </c>
      <c r="AL1236">
        <v>0</v>
      </c>
      <c r="AM1236">
        <v>120</v>
      </c>
      <c r="AN1236">
        <v>-36</v>
      </c>
      <c r="AO1236">
        <v>0</v>
      </c>
      <c r="AP1236">
        <v>120</v>
      </c>
      <c r="AQ1236">
        <v>-36</v>
      </c>
      <c r="AR1236">
        <v>0</v>
      </c>
      <c r="AT1236">
        <v>0</v>
      </c>
      <c r="AU1236">
        <v>0</v>
      </c>
      <c r="AW1236">
        <v>0</v>
      </c>
      <c r="AX1236">
        <v>0</v>
      </c>
      <c r="AY1236">
        <v>338.8</v>
      </c>
      <c r="BC1236" t="str">
        <f t="shared" si="198"/>
        <v>9791137602113</v>
      </c>
      <c r="BE1236" t="str">
        <f t="shared" si="199"/>
        <v>판타지 웹소설 &gt; 현대 판타지</v>
      </c>
    </row>
    <row r="1237" spans="1:57" x14ac:dyDescent="0.3">
      <c r="A1237">
        <v>2313011955</v>
      </c>
      <c r="B1237">
        <v>2313012041</v>
      </c>
      <c r="C1237" t="str">
        <f>T("갓 오브 블랙필드 87화")</f>
        <v>갓 오브 블랙필드 87화</v>
      </c>
      <c r="D1237" t="str">
        <f>T("87")</f>
        <v>87</v>
      </c>
      <c r="E1237" t="str">
        <f t="shared" si="195"/>
        <v>무장</v>
      </c>
      <c r="H1237" t="str">
        <f t="shared" si="196"/>
        <v>스토리위즈</v>
      </c>
      <c r="I1237" t="str">
        <f t="shared" si="197"/>
        <v>갓 오브 블랙필드</v>
      </c>
      <c r="J1237">
        <v>100</v>
      </c>
      <c r="K1237">
        <v>500</v>
      </c>
      <c r="L1237">
        <v>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500</v>
      </c>
      <c r="AH1237">
        <v>5</v>
      </c>
      <c r="AI1237">
        <v>0</v>
      </c>
      <c r="AJ1237">
        <v>0</v>
      </c>
      <c r="AK1237">
        <v>400</v>
      </c>
      <c r="AL1237">
        <v>0</v>
      </c>
      <c r="AM1237">
        <v>120</v>
      </c>
      <c r="AN1237">
        <v>-36</v>
      </c>
      <c r="AO1237">
        <v>0</v>
      </c>
      <c r="AP1237">
        <v>120</v>
      </c>
      <c r="AQ1237">
        <v>-36</v>
      </c>
      <c r="AR1237">
        <v>0</v>
      </c>
      <c r="AT1237">
        <v>0</v>
      </c>
      <c r="AU1237">
        <v>0</v>
      </c>
      <c r="AW1237">
        <v>0</v>
      </c>
      <c r="AX1237">
        <v>0</v>
      </c>
      <c r="AY1237">
        <v>338.8</v>
      </c>
      <c r="BC1237" t="str">
        <f t="shared" si="198"/>
        <v>9791137602113</v>
      </c>
      <c r="BE1237" t="str">
        <f t="shared" si="199"/>
        <v>판타지 웹소설 &gt; 현대 판타지</v>
      </c>
    </row>
    <row r="1238" spans="1:57" x14ac:dyDescent="0.3">
      <c r="A1238">
        <v>2313011955</v>
      </c>
      <c r="B1238">
        <v>2313012042</v>
      </c>
      <c r="C1238" t="str">
        <f>T("갓 오브 블랙필드 88화")</f>
        <v>갓 오브 블랙필드 88화</v>
      </c>
      <c r="D1238" t="str">
        <f>T("88")</f>
        <v>88</v>
      </c>
      <c r="E1238" t="str">
        <f t="shared" si="195"/>
        <v>무장</v>
      </c>
      <c r="H1238" t="str">
        <f t="shared" si="196"/>
        <v>스토리위즈</v>
      </c>
      <c r="I1238" t="str">
        <f t="shared" si="197"/>
        <v>갓 오브 블랙필드</v>
      </c>
      <c r="J1238">
        <v>100</v>
      </c>
      <c r="K1238">
        <v>500</v>
      </c>
      <c r="L1238">
        <v>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500</v>
      </c>
      <c r="AH1238">
        <v>5</v>
      </c>
      <c r="AI1238">
        <v>0</v>
      </c>
      <c r="AJ1238">
        <v>0</v>
      </c>
      <c r="AK1238">
        <v>400</v>
      </c>
      <c r="AL1238">
        <v>0</v>
      </c>
      <c r="AM1238">
        <v>120</v>
      </c>
      <c r="AN1238">
        <v>-36</v>
      </c>
      <c r="AO1238">
        <v>0</v>
      </c>
      <c r="AP1238">
        <v>120</v>
      </c>
      <c r="AQ1238">
        <v>-36</v>
      </c>
      <c r="AR1238">
        <v>0</v>
      </c>
      <c r="AT1238">
        <v>0</v>
      </c>
      <c r="AU1238">
        <v>0</v>
      </c>
      <c r="AW1238">
        <v>0</v>
      </c>
      <c r="AX1238">
        <v>0</v>
      </c>
      <c r="AY1238">
        <v>338.8</v>
      </c>
      <c r="BC1238" t="str">
        <f t="shared" si="198"/>
        <v>9791137602113</v>
      </c>
      <c r="BE1238" t="str">
        <f t="shared" si="199"/>
        <v>판타지 웹소설 &gt; 현대 판타지</v>
      </c>
    </row>
    <row r="1239" spans="1:57" x14ac:dyDescent="0.3">
      <c r="A1239">
        <v>2313011955</v>
      </c>
      <c r="B1239">
        <v>2313012043</v>
      </c>
      <c r="C1239" t="str">
        <f>T("갓 오브 블랙필드 89화")</f>
        <v>갓 오브 블랙필드 89화</v>
      </c>
      <c r="D1239" t="str">
        <f>T("89")</f>
        <v>89</v>
      </c>
      <c r="E1239" t="str">
        <f t="shared" si="195"/>
        <v>무장</v>
      </c>
      <c r="H1239" t="str">
        <f t="shared" si="196"/>
        <v>스토리위즈</v>
      </c>
      <c r="I1239" t="str">
        <f t="shared" si="197"/>
        <v>갓 오브 블랙필드</v>
      </c>
      <c r="J1239">
        <v>100</v>
      </c>
      <c r="K1239">
        <v>500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500</v>
      </c>
      <c r="AH1239">
        <v>5</v>
      </c>
      <c r="AI1239">
        <v>0</v>
      </c>
      <c r="AJ1239">
        <v>0</v>
      </c>
      <c r="AK1239">
        <v>400</v>
      </c>
      <c r="AL1239">
        <v>0</v>
      </c>
      <c r="AM1239">
        <v>120</v>
      </c>
      <c r="AN1239">
        <v>-36</v>
      </c>
      <c r="AO1239">
        <v>0</v>
      </c>
      <c r="AP1239">
        <v>120</v>
      </c>
      <c r="AQ1239">
        <v>-36</v>
      </c>
      <c r="AR1239">
        <v>0</v>
      </c>
      <c r="AT1239">
        <v>0</v>
      </c>
      <c r="AU1239">
        <v>0</v>
      </c>
      <c r="AW1239">
        <v>0</v>
      </c>
      <c r="AX1239">
        <v>0</v>
      </c>
      <c r="AY1239">
        <v>338.8</v>
      </c>
      <c r="BC1239" t="str">
        <f t="shared" si="198"/>
        <v>9791137602113</v>
      </c>
      <c r="BE1239" t="str">
        <f t="shared" si="199"/>
        <v>판타지 웹소설 &gt; 현대 판타지</v>
      </c>
    </row>
    <row r="1240" spans="1:57" x14ac:dyDescent="0.3">
      <c r="A1240">
        <v>2313011955</v>
      </c>
      <c r="B1240">
        <v>2313012044</v>
      </c>
      <c r="C1240" t="str">
        <f>T("갓 오브 블랙필드 90화")</f>
        <v>갓 오브 블랙필드 90화</v>
      </c>
      <c r="D1240" t="str">
        <f>T("90")</f>
        <v>90</v>
      </c>
      <c r="E1240" t="str">
        <f t="shared" si="195"/>
        <v>무장</v>
      </c>
      <c r="H1240" t="str">
        <f t="shared" si="196"/>
        <v>스토리위즈</v>
      </c>
      <c r="I1240" t="str">
        <f t="shared" si="197"/>
        <v>갓 오브 블랙필드</v>
      </c>
      <c r="J1240">
        <v>100</v>
      </c>
      <c r="K1240">
        <v>500</v>
      </c>
      <c r="L1240">
        <v>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500</v>
      </c>
      <c r="AH1240">
        <v>5</v>
      </c>
      <c r="AI1240">
        <v>0</v>
      </c>
      <c r="AJ1240">
        <v>0</v>
      </c>
      <c r="AK1240">
        <v>400</v>
      </c>
      <c r="AL1240">
        <v>0</v>
      </c>
      <c r="AM1240">
        <v>120</v>
      </c>
      <c r="AN1240">
        <v>-36</v>
      </c>
      <c r="AO1240">
        <v>0</v>
      </c>
      <c r="AP1240">
        <v>120</v>
      </c>
      <c r="AQ1240">
        <v>-36</v>
      </c>
      <c r="AR1240">
        <v>0</v>
      </c>
      <c r="AT1240">
        <v>0</v>
      </c>
      <c r="AU1240">
        <v>0</v>
      </c>
      <c r="AW1240">
        <v>0</v>
      </c>
      <c r="AX1240">
        <v>0</v>
      </c>
      <c r="AY1240">
        <v>338.8</v>
      </c>
      <c r="BC1240" t="str">
        <f t="shared" si="198"/>
        <v>9791137602113</v>
      </c>
      <c r="BE1240" t="str">
        <f t="shared" si="199"/>
        <v>판타지 웹소설 &gt; 현대 판타지</v>
      </c>
    </row>
    <row r="1241" spans="1:57" x14ac:dyDescent="0.3">
      <c r="A1241">
        <v>2313011955</v>
      </c>
      <c r="B1241">
        <v>2313012045</v>
      </c>
      <c r="C1241" t="str">
        <f>T("갓 오브 블랙필드 91화")</f>
        <v>갓 오브 블랙필드 91화</v>
      </c>
      <c r="D1241" t="str">
        <f>T("91")</f>
        <v>91</v>
      </c>
      <c r="E1241" t="str">
        <f t="shared" si="195"/>
        <v>무장</v>
      </c>
      <c r="H1241" t="str">
        <f t="shared" si="196"/>
        <v>스토리위즈</v>
      </c>
      <c r="I1241" t="str">
        <f t="shared" si="197"/>
        <v>갓 오브 블랙필드</v>
      </c>
      <c r="J1241">
        <v>100</v>
      </c>
      <c r="K1241">
        <v>500</v>
      </c>
      <c r="L1241">
        <v>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500</v>
      </c>
      <c r="AH1241">
        <v>5</v>
      </c>
      <c r="AI1241">
        <v>0</v>
      </c>
      <c r="AJ1241">
        <v>0</v>
      </c>
      <c r="AK1241">
        <v>400</v>
      </c>
      <c r="AL1241">
        <v>0</v>
      </c>
      <c r="AM1241">
        <v>120</v>
      </c>
      <c r="AN1241">
        <v>-36</v>
      </c>
      <c r="AO1241">
        <v>0</v>
      </c>
      <c r="AP1241">
        <v>120</v>
      </c>
      <c r="AQ1241">
        <v>-36</v>
      </c>
      <c r="AR1241">
        <v>0</v>
      </c>
      <c r="AT1241">
        <v>0</v>
      </c>
      <c r="AU1241">
        <v>0</v>
      </c>
      <c r="AW1241">
        <v>0</v>
      </c>
      <c r="AX1241">
        <v>0</v>
      </c>
      <c r="AY1241">
        <v>338.8</v>
      </c>
      <c r="BC1241" t="str">
        <f t="shared" si="198"/>
        <v>9791137602113</v>
      </c>
      <c r="BE1241" t="str">
        <f t="shared" si="199"/>
        <v>판타지 웹소설 &gt; 현대 판타지</v>
      </c>
    </row>
    <row r="1242" spans="1:57" x14ac:dyDescent="0.3">
      <c r="A1242">
        <v>2313011955</v>
      </c>
      <c r="B1242">
        <v>2313012046</v>
      </c>
      <c r="C1242" t="str">
        <f>T("갓 오브 블랙필드 92화")</f>
        <v>갓 오브 블랙필드 92화</v>
      </c>
      <c r="D1242" t="str">
        <f>T("92")</f>
        <v>92</v>
      </c>
      <c r="E1242" t="str">
        <f t="shared" si="195"/>
        <v>무장</v>
      </c>
      <c r="H1242" t="str">
        <f t="shared" si="196"/>
        <v>스토리위즈</v>
      </c>
      <c r="I1242" t="str">
        <f t="shared" si="197"/>
        <v>갓 오브 블랙필드</v>
      </c>
      <c r="J1242">
        <v>100</v>
      </c>
      <c r="K1242">
        <v>500</v>
      </c>
      <c r="L1242">
        <v>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500</v>
      </c>
      <c r="AH1242">
        <v>5</v>
      </c>
      <c r="AI1242">
        <v>0</v>
      </c>
      <c r="AJ1242">
        <v>0</v>
      </c>
      <c r="AK1242">
        <v>400</v>
      </c>
      <c r="AL1242">
        <v>0</v>
      </c>
      <c r="AM1242">
        <v>120</v>
      </c>
      <c r="AN1242">
        <v>-36</v>
      </c>
      <c r="AO1242">
        <v>0</v>
      </c>
      <c r="AP1242">
        <v>120</v>
      </c>
      <c r="AQ1242">
        <v>-36</v>
      </c>
      <c r="AR1242">
        <v>0</v>
      </c>
      <c r="AT1242">
        <v>0</v>
      </c>
      <c r="AU1242">
        <v>0</v>
      </c>
      <c r="AW1242">
        <v>0</v>
      </c>
      <c r="AX1242">
        <v>0</v>
      </c>
      <c r="AY1242">
        <v>338.8</v>
      </c>
      <c r="BC1242" t="str">
        <f t="shared" si="198"/>
        <v>9791137602113</v>
      </c>
      <c r="BE1242" t="str">
        <f t="shared" si="199"/>
        <v>판타지 웹소설 &gt; 현대 판타지</v>
      </c>
    </row>
    <row r="1243" spans="1:57" x14ac:dyDescent="0.3">
      <c r="A1243">
        <v>2313011955</v>
      </c>
      <c r="B1243">
        <v>2313012047</v>
      </c>
      <c r="C1243" t="str">
        <f>T("갓 오브 블랙필드 93화")</f>
        <v>갓 오브 블랙필드 93화</v>
      </c>
      <c r="D1243" t="str">
        <f>T("93")</f>
        <v>93</v>
      </c>
      <c r="E1243" t="str">
        <f t="shared" si="195"/>
        <v>무장</v>
      </c>
      <c r="H1243" t="str">
        <f t="shared" si="196"/>
        <v>스토리위즈</v>
      </c>
      <c r="I1243" t="str">
        <f t="shared" si="197"/>
        <v>갓 오브 블랙필드</v>
      </c>
      <c r="J1243">
        <v>100</v>
      </c>
      <c r="K1243">
        <v>500</v>
      </c>
      <c r="L1243">
        <v>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500</v>
      </c>
      <c r="AH1243">
        <v>5</v>
      </c>
      <c r="AI1243">
        <v>0</v>
      </c>
      <c r="AJ1243">
        <v>0</v>
      </c>
      <c r="AK1243">
        <v>400</v>
      </c>
      <c r="AL1243">
        <v>0</v>
      </c>
      <c r="AM1243">
        <v>120</v>
      </c>
      <c r="AN1243">
        <v>-36</v>
      </c>
      <c r="AO1243">
        <v>0</v>
      </c>
      <c r="AP1243">
        <v>120</v>
      </c>
      <c r="AQ1243">
        <v>-36</v>
      </c>
      <c r="AR1243">
        <v>0</v>
      </c>
      <c r="AT1243">
        <v>0</v>
      </c>
      <c r="AU1243">
        <v>0</v>
      </c>
      <c r="AW1243">
        <v>0</v>
      </c>
      <c r="AX1243">
        <v>0</v>
      </c>
      <c r="AY1243">
        <v>338.8</v>
      </c>
      <c r="BC1243" t="str">
        <f t="shared" si="198"/>
        <v>9791137602113</v>
      </c>
      <c r="BE1243" t="str">
        <f t="shared" si="199"/>
        <v>판타지 웹소설 &gt; 현대 판타지</v>
      </c>
    </row>
    <row r="1244" spans="1:57" x14ac:dyDescent="0.3">
      <c r="A1244">
        <v>2313011955</v>
      </c>
      <c r="B1244">
        <v>2313012048</v>
      </c>
      <c r="C1244" t="str">
        <f>T("갓 오브 블랙필드 94화")</f>
        <v>갓 오브 블랙필드 94화</v>
      </c>
      <c r="D1244" t="str">
        <f>T("94")</f>
        <v>94</v>
      </c>
      <c r="E1244" t="str">
        <f t="shared" ref="E1244:E1307" si="200">T("무장")</f>
        <v>무장</v>
      </c>
      <c r="H1244" t="str">
        <f t="shared" ref="H1244:H1271" si="201">T("스토리위즈")</f>
        <v>스토리위즈</v>
      </c>
      <c r="I1244" t="str">
        <f t="shared" ref="I1244:I1307" si="202">T("갓 오브 블랙필드")</f>
        <v>갓 오브 블랙필드</v>
      </c>
      <c r="J1244">
        <v>100</v>
      </c>
      <c r="K1244">
        <v>500</v>
      </c>
      <c r="L1244">
        <v>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500</v>
      </c>
      <c r="AH1244">
        <v>5</v>
      </c>
      <c r="AI1244">
        <v>0</v>
      </c>
      <c r="AJ1244">
        <v>0</v>
      </c>
      <c r="AK1244">
        <v>400</v>
      </c>
      <c r="AL1244">
        <v>0</v>
      </c>
      <c r="AM1244">
        <v>120</v>
      </c>
      <c r="AN1244">
        <v>-36</v>
      </c>
      <c r="AO1244">
        <v>0</v>
      </c>
      <c r="AP1244">
        <v>120</v>
      </c>
      <c r="AQ1244">
        <v>-36</v>
      </c>
      <c r="AR1244">
        <v>0</v>
      </c>
      <c r="AT1244">
        <v>0</v>
      </c>
      <c r="AU1244">
        <v>0</v>
      </c>
      <c r="AW1244">
        <v>0</v>
      </c>
      <c r="AX1244">
        <v>0</v>
      </c>
      <c r="AY1244">
        <v>338.8</v>
      </c>
      <c r="BC1244" t="str">
        <f t="shared" ref="BC1244:BC1307" si="203">T("9791137602113")</f>
        <v>9791137602113</v>
      </c>
      <c r="BE1244" t="str">
        <f t="shared" ref="BE1244:BE1307" si="204">T("판타지 웹소설 &gt; 현대 판타지")</f>
        <v>판타지 웹소설 &gt; 현대 판타지</v>
      </c>
    </row>
    <row r="1245" spans="1:57" x14ac:dyDescent="0.3">
      <c r="A1245">
        <v>2313011955</v>
      </c>
      <c r="B1245">
        <v>2313012049</v>
      </c>
      <c r="C1245" t="str">
        <f>T("갓 오브 블랙필드 95화")</f>
        <v>갓 오브 블랙필드 95화</v>
      </c>
      <c r="D1245" t="str">
        <f>T("95")</f>
        <v>95</v>
      </c>
      <c r="E1245" t="str">
        <f t="shared" si="200"/>
        <v>무장</v>
      </c>
      <c r="H1245" t="str">
        <f t="shared" si="201"/>
        <v>스토리위즈</v>
      </c>
      <c r="I1245" t="str">
        <f t="shared" si="202"/>
        <v>갓 오브 블랙필드</v>
      </c>
      <c r="J1245">
        <v>100</v>
      </c>
      <c r="K1245">
        <v>500</v>
      </c>
      <c r="L1245">
        <v>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500</v>
      </c>
      <c r="AH1245">
        <v>5</v>
      </c>
      <c r="AI1245">
        <v>0</v>
      </c>
      <c r="AJ1245">
        <v>0</v>
      </c>
      <c r="AK1245">
        <v>400</v>
      </c>
      <c r="AL1245">
        <v>0</v>
      </c>
      <c r="AM1245">
        <v>120</v>
      </c>
      <c r="AN1245">
        <v>-36</v>
      </c>
      <c r="AO1245">
        <v>0</v>
      </c>
      <c r="AP1245">
        <v>120</v>
      </c>
      <c r="AQ1245">
        <v>-36</v>
      </c>
      <c r="AR1245">
        <v>0</v>
      </c>
      <c r="AT1245">
        <v>0</v>
      </c>
      <c r="AU1245">
        <v>0</v>
      </c>
      <c r="AW1245">
        <v>0</v>
      </c>
      <c r="AX1245">
        <v>0</v>
      </c>
      <c r="AY1245">
        <v>338.8</v>
      </c>
      <c r="BC1245" t="str">
        <f t="shared" si="203"/>
        <v>9791137602113</v>
      </c>
      <c r="BE1245" t="str">
        <f t="shared" si="204"/>
        <v>판타지 웹소설 &gt; 현대 판타지</v>
      </c>
    </row>
    <row r="1246" spans="1:57" x14ac:dyDescent="0.3">
      <c r="A1246">
        <v>2313011955</v>
      </c>
      <c r="B1246">
        <v>2313012050</v>
      </c>
      <c r="C1246" t="str">
        <f>T("갓 오브 블랙필드 96화")</f>
        <v>갓 오브 블랙필드 96화</v>
      </c>
      <c r="D1246" t="str">
        <f>T("96")</f>
        <v>96</v>
      </c>
      <c r="E1246" t="str">
        <f t="shared" si="200"/>
        <v>무장</v>
      </c>
      <c r="H1246" t="str">
        <f t="shared" si="201"/>
        <v>스토리위즈</v>
      </c>
      <c r="I1246" t="str">
        <f t="shared" si="202"/>
        <v>갓 오브 블랙필드</v>
      </c>
      <c r="J1246">
        <v>100</v>
      </c>
      <c r="K1246">
        <v>500</v>
      </c>
      <c r="L1246">
        <v>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500</v>
      </c>
      <c r="AH1246">
        <v>5</v>
      </c>
      <c r="AI1246">
        <v>0</v>
      </c>
      <c r="AJ1246">
        <v>0</v>
      </c>
      <c r="AK1246">
        <v>400</v>
      </c>
      <c r="AL1246">
        <v>0</v>
      </c>
      <c r="AM1246">
        <v>120</v>
      </c>
      <c r="AN1246">
        <v>-36</v>
      </c>
      <c r="AO1246">
        <v>0</v>
      </c>
      <c r="AP1246">
        <v>120</v>
      </c>
      <c r="AQ1246">
        <v>-36</v>
      </c>
      <c r="AR1246">
        <v>0</v>
      </c>
      <c r="AT1246">
        <v>0</v>
      </c>
      <c r="AU1246">
        <v>0</v>
      </c>
      <c r="AW1246">
        <v>0</v>
      </c>
      <c r="AX1246">
        <v>0</v>
      </c>
      <c r="AY1246">
        <v>338.8</v>
      </c>
      <c r="BC1246" t="str">
        <f t="shared" si="203"/>
        <v>9791137602113</v>
      </c>
      <c r="BE1246" t="str">
        <f t="shared" si="204"/>
        <v>판타지 웹소설 &gt; 현대 판타지</v>
      </c>
    </row>
    <row r="1247" spans="1:57" x14ac:dyDescent="0.3">
      <c r="A1247">
        <v>2313011955</v>
      </c>
      <c r="B1247">
        <v>2313012051</v>
      </c>
      <c r="C1247" t="str">
        <f>T("갓 오브 블랙필드 97화")</f>
        <v>갓 오브 블랙필드 97화</v>
      </c>
      <c r="D1247" t="str">
        <f>T("97")</f>
        <v>97</v>
      </c>
      <c r="E1247" t="str">
        <f t="shared" si="200"/>
        <v>무장</v>
      </c>
      <c r="H1247" t="str">
        <f t="shared" si="201"/>
        <v>스토리위즈</v>
      </c>
      <c r="I1247" t="str">
        <f t="shared" si="202"/>
        <v>갓 오브 블랙필드</v>
      </c>
      <c r="J1247">
        <v>100</v>
      </c>
      <c r="K1247">
        <v>500</v>
      </c>
      <c r="L1247">
        <v>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500</v>
      </c>
      <c r="AH1247">
        <v>5</v>
      </c>
      <c r="AI1247">
        <v>0</v>
      </c>
      <c r="AJ1247">
        <v>0</v>
      </c>
      <c r="AK1247">
        <v>400</v>
      </c>
      <c r="AL1247">
        <v>0</v>
      </c>
      <c r="AM1247">
        <v>120</v>
      </c>
      <c r="AN1247">
        <v>-36</v>
      </c>
      <c r="AO1247">
        <v>0</v>
      </c>
      <c r="AP1247">
        <v>120</v>
      </c>
      <c r="AQ1247">
        <v>-36</v>
      </c>
      <c r="AR1247">
        <v>0</v>
      </c>
      <c r="AT1247">
        <v>0</v>
      </c>
      <c r="AU1247">
        <v>0</v>
      </c>
      <c r="AW1247">
        <v>0</v>
      </c>
      <c r="AX1247">
        <v>0</v>
      </c>
      <c r="AY1247">
        <v>338.8</v>
      </c>
      <c r="BC1247" t="str">
        <f t="shared" si="203"/>
        <v>9791137602113</v>
      </c>
      <c r="BE1247" t="str">
        <f t="shared" si="204"/>
        <v>판타지 웹소설 &gt; 현대 판타지</v>
      </c>
    </row>
    <row r="1248" spans="1:57" x14ac:dyDescent="0.3">
      <c r="A1248">
        <v>2313011955</v>
      </c>
      <c r="B1248">
        <v>2313012052</v>
      </c>
      <c r="C1248" t="str">
        <f>T("갓 오브 블랙필드 98화")</f>
        <v>갓 오브 블랙필드 98화</v>
      </c>
      <c r="D1248" t="str">
        <f>T("98")</f>
        <v>98</v>
      </c>
      <c r="E1248" t="str">
        <f t="shared" si="200"/>
        <v>무장</v>
      </c>
      <c r="H1248" t="str">
        <f t="shared" si="201"/>
        <v>스토리위즈</v>
      </c>
      <c r="I1248" t="str">
        <f t="shared" si="202"/>
        <v>갓 오브 블랙필드</v>
      </c>
      <c r="J1248">
        <v>100</v>
      </c>
      <c r="K1248">
        <v>500</v>
      </c>
      <c r="L1248">
        <v>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500</v>
      </c>
      <c r="AH1248">
        <v>5</v>
      </c>
      <c r="AI1248">
        <v>0</v>
      </c>
      <c r="AJ1248">
        <v>0</v>
      </c>
      <c r="AK1248">
        <v>400</v>
      </c>
      <c r="AL1248">
        <v>0</v>
      </c>
      <c r="AM1248">
        <v>120</v>
      </c>
      <c r="AN1248">
        <v>-36</v>
      </c>
      <c r="AO1248">
        <v>0</v>
      </c>
      <c r="AP1248">
        <v>120</v>
      </c>
      <c r="AQ1248">
        <v>-36</v>
      </c>
      <c r="AR1248">
        <v>0</v>
      </c>
      <c r="AT1248">
        <v>0</v>
      </c>
      <c r="AU1248">
        <v>0</v>
      </c>
      <c r="AW1248">
        <v>0</v>
      </c>
      <c r="AX1248">
        <v>0</v>
      </c>
      <c r="AY1248">
        <v>338.8</v>
      </c>
      <c r="BC1248" t="str">
        <f t="shared" si="203"/>
        <v>9791137602113</v>
      </c>
      <c r="BE1248" t="str">
        <f t="shared" si="204"/>
        <v>판타지 웹소설 &gt; 현대 판타지</v>
      </c>
    </row>
    <row r="1249" spans="1:57" x14ac:dyDescent="0.3">
      <c r="A1249">
        <v>2313011955</v>
      </c>
      <c r="B1249">
        <v>2313012053</v>
      </c>
      <c r="C1249" t="str">
        <f>T("갓 오브 블랙필드 99화")</f>
        <v>갓 오브 블랙필드 99화</v>
      </c>
      <c r="D1249" t="str">
        <f>T("99")</f>
        <v>99</v>
      </c>
      <c r="E1249" t="str">
        <f t="shared" si="200"/>
        <v>무장</v>
      </c>
      <c r="H1249" t="str">
        <f t="shared" si="201"/>
        <v>스토리위즈</v>
      </c>
      <c r="I1249" t="str">
        <f t="shared" si="202"/>
        <v>갓 오브 블랙필드</v>
      </c>
      <c r="J1249">
        <v>100</v>
      </c>
      <c r="K1249">
        <v>500</v>
      </c>
      <c r="L1249">
        <v>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500</v>
      </c>
      <c r="AH1249">
        <v>5</v>
      </c>
      <c r="AI1249">
        <v>0</v>
      </c>
      <c r="AJ1249">
        <v>0</v>
      </c>
      <c r="AK1249">
        <v>400</v>
      </c>
      <c r="AL1249">
        <v>0</v>
      </c>
      <c r="AM1249">
        <v>120</v>
      </c>
      <c r="AN1249">
        <v>-36</v>
      </c>
      <c r="AO1249">
        <v>0</v>
      </c>
      <c r="AP1249">
        <v>120</v>
      </c>
      <c r="AQ1249">
        <v>-36</v>
      </c>
      <c r="AR1249">
        <v>0</v>
      </c>
      <c r="AT1249">
        <v>0</v>
      </c>
      <c r="AU1249">
        <v>0</v>
      </c>
      <c r="AW1249">
        <v>0</v>
      </c>
      <c r="AX1249">
        <v>0</v>
      </c>
      <c r="AY1249">
        <v>338.8</v>
      </c>
      <c r="BC1249" t="str">
        <f t="shared" si="203"/>
        <v>9791137602113</v>
      </c>
      <c r="BE1249" t="str">
        <f t="shared" si="204"/>
        <v>판타지 웹소설 &gt; 현대 판타지</v>
      </c>
    </row>
    <row r="1250" spans="1:57" x14ac:dyDescent="0.3">
      <c r="A1250">
        <v>2313011955</v>
      </c>
      <c r="B1250">
        <v>2313012054</v>
      </c>
      <c r="C1250" t="str">
        <f>T("갓 오브 블랙필드 100화")</f>
        <v>갓 오브 블랙필드 100화</v>
      </c>
      <c r="D1250" t="str">
        <f>T("100")</f>
        <v>100</v>
      </c>
      <c r="E1250" t="str">
        <f t="shared" si="200"/>
        <v>무장</v>
      </c>
      <c r="H1250" t="str">
        <f t="shared" si="201"/>
        <v>스토리위즈</v>
      </c>
      <c r="I1250" t="str">
        <f t="shared" si="202"/>
        <v>갓 오브 블랙필드</v>
      </c>
      <c r="J1250">
        <v>100</v>
      </c>
      <c r="K1250">
        <v>500</v>
      </c>
      <c r="L1250">
        <v>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500</v>
      </c>
      <c r="AH1250">
        <v>5</v>
      </c>
      <c r="AI1250">
        <v>0</v>
      </c>
      <c r="AJ1250">
        <v>0</v>
      </c>
      <c r="AK1250">
        <v>400</v>
      </c>
      <c r="AL1250">
        <v>0</v>
      </c>
      <c r="AM1250">
        <v>120</v>
      </c>
      <c r="AN1250">
        <v>-36</v>
      </c>
      <c r="AO1250">
        <v>0</v>
      </c>
      <c r="AP1250">
        <v>120</v>
      </c>
      <c r="AQ1250">
        <v>-36</v>
      </c>
      <c r="AR1250">
        <v>0</v>
      </c>
      <c r="AT1250">
        <v>0</v>
      </c>
      <c r="AU1250">
        <v>0</v>
      </c>
      <c r="AW1250">
        <v>0</v>
      </c>
      <c r="AX1250">
        <v>0</v>
      </c>
      <c r="AY1250">
        <v>338.8</v>
      </c>
      <c r="BC1250" t="str">
        <f t="shared" si="203"/>
        <v>9791137602113</v>
      </c>
      <c r="BE1250" t="str">
        <f t="shared" si="204"/>
        <v>판타지 웹소설 &gt; 현대 판타지</v>
      </c>
    </row>
    <row r="1251" spans="1:57" x14ac:dyDescent="0.3">
      <c r="A1251">
        <v>2313011955</v>
      </c>
      <c r="B1251">
        <v>2313012055</v>
      </c>
      <c r="C1251" t="str">
        <f>T("갓 오브 블랙필드 101화")</f>
        <v>갓 오브 블랙필드 101화</v>
      </c>
      <c r="D1251" t="str">
        <f>T("101")</f>
        <v>101</v>
      </c>
      <c r="E1251" t="str">
        <f t="shared" si="200"/>
        <v>무장</v>
      </c>
      <c r="H1251" t="str">
        <f t="shared" si="201"/>
        <v>스토리위즈</v>
      </c>
      <c r="I1251" t="str">
        <f t="shared" si="202"/>
        <v>갓 오브 블랙필드</v>
      </c>
      <c r="J1251">
        <v>100</v>
      </c>
      <c r="K1251">
        <v>500</v>
      </c>
      <c r="L1251">
        <v>5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500</v>
      </c>
      <c r="AH1251">
        <v>5</v>
      </c>
      <c r="AI1251">
        <v>0</v>
      </c>
      <c r="AJ1251">
        <v>0</v>
      </c>
      <c r="AK1251">
        <v>400</v>
      </c>
      <c r="AL1251">
        <v>0</v>
      </c>
      <c r="AM1251">
        <v>120</v>
      </c>
      <c r="AN1251">
        <v>-36</v>
      </c>
      <c r="AO1251">
        <v>0</v>
      </c>
      <c r="AP1251">
        <v>120</v>
      </c>
      <c r="AQ1251">
        <v>-36</v>
      </c>
      <c r="AR1251">
        <v>0</v>
      </c>
      <c r="AT1251">
        <v>0</v>
      </c>
      <c r="AU1251">
        <v>0</v>
      </c>
      <c r="AW1251">
        <v>0</v>
      </c>
      <c r="AX1251">
        <v>0</v>
      </c>
      <c r="AY1251">
        <v>338.8</v>
      </c>
      <c r="BC1251" t="str">
        <f t="shared" si="203"/>
        <v>9791137602113</v>
      </c>
      <c r="BE1251" t="str">
        <f t="shared" si="204"/>
        <v>판타지 웹소설 &gt; 현대 판타지</v>
      </c>
    </row>
    <row r="1252" spans="1:57" x14ac:dyDescent="0.3">
      <c r="A1252">
        <v>2313011955</v>
      </c>
      <c r="B1252">
        <v>2313012056</v>
      </c>
      <c r="C1252" t="str">
        <f>T("갓 오브 블랙필드 102화")</f>
        <v>갓 오브 블랙필드 102화</v>
      </c>
      <c r="D1252" t="str">
        <f>T("102")</f>
        <v>102</v>
      </c>
      <c r="E1252" t="str">
        <f t="shared" si="200"/>
        <v>무장</v>
      </c>
      <c r="H1252" t="str">
        <f t="shared" si="201"/>
        <v>스토리위즈</v>
      </c>
      <c r="I1252" t="str">
        <f t="shared" si="202"/>
        <v>갓 오브 블랙필드</v>
      </c>
      <c r="J1252">
        <v>100</v>
      </c>
      <c r="K1252">
        <v>500</v>
      </c>
      <c r="L1252">
        <v>5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500</v>
      </c>
      <c r="AH1252">
        <v>5</v>
      </c>
      <c r="AI1252">
        <v>0</v>
      </c>
      <c r="AJ1252">
        <v>0</v>
      </c>
      <c r="AK1252">
        <v>400</v>
      </c>
      <c r="AL1252">
        <v>0</v>
      </c>
      <c r="AM1252">
        <v>120</v>
      </c>
      <c r="AN1252">
        <v>-36</v>
      </c>
      <c r="AO1252">
        <v>0</v>
      </c>
      <c r="AP1252">
        <v>120</v>
      </c>
      <c r="AQ1252">
        <v>-36</v>
      </c>
      <c r="AR1252">
        <v>0</v>
      </c>
      <c r="AT1252">
        <v>0</v>
      </c>
      <c r="AU1252">
        <v>0</v>
      </c>
      <c r="AW1252">
        <v>0</v>
      </c>
      <c r="AX1252">
        <v>0</v>
      </c>
      <c r="AY1252">
        <v>338.8</v>
      </c>
      <c r="BC1252" t="str">
        <f t="shared" si="203"/>
        <v>9791137602113</v>
      </c>
      <c r="BE1252" t="str">
        <f t="shared" si="204"/>
        <v>판타지 웹소설 &gt; 현대 판타지</v>
      </c>
    </row>
    <row r="1253" spans="1:57" x14ac:dyDescent="0.3">
      <c r="A1253">
        <v>2313011955</v>
      </c>
      <c r="B1253">
        <v>2313012057</v>
      </c>
      <c r="C1253" t="str">
        <f>T("갓 오브 블랙필드 103화")</f>
        <v>갓 오브 블랙필드 103화</v>
      </c>
      <c r="D1253" t="str">
        <f>T("103")</f>
        <v>103</v>
      </c>
      <c r="E1253" t="str">
        <f t="shared" si="200"/>
        <v>무장</v>
      </c>
      <c r="H1253" t="str">
        <f t="shared" si="201"/>
        <v>스토리위즈</v>
      </c>
      <c r="I1253" t="str">
        <f t="shared" si="202"/>
        <v>갓 오브 블랙필드</v>
      </c>
      <c r="J1253">
        <v>100</v>
      </c>
      <c r="K1253">
        <v>500</v>
      </c>
      <c r="L1253">
        <v>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500</v>
      </c>
      <c r="AH1253">
        <v>5</v>
      </c>
      <c r="AI1253">
        <v>0</v>
      </c>
      <c r="AJ1253">
        <v>0</v>
      </c>
      <c r="AK1253">
        <v>400</v>
      </c>
      <c r="AL1253">
        <v>0</v>
      </c>
      <c r="AM1253">
        <v>120</v>
      </c>
      <c r="AN1253">
        <v>-36</v>
      </c>
      <c r="AO1253">
        <v>0</v>
      </c>
      <c r="AP1253">
        <v>120</v>
      </c>
      <c r="AQ1253">
        <v>-36</v>
      </c>
      <c r="AR1253">
        <v>0</v>
      </c>
      <c r="AT1253">
        <v>0</v>
      </c>
      <c r="AU1253">
        <v>0</v>
      </c>
      <c r="AW1253">
        <v>0</v>
      </c>
      <c r="AX1253">
        <v>0</v>
      </c>
      <c r="AY1253">
        <v>338.8</v>
      </c>
      <c r="BC1253" t="str">
        <f t="shared" si="203"/>
        <v>9791137602113</v>
      </c>
      <c r="BE1253" t="str">
        <f t="shared" si="204"/>
        <v>판타지 웹소설 &gt; 현대 판타지</v>
      </c>
    </row>
    <row r="1254" spans="1:57" x14ac:dyDescent="0.3">
      <c r="A1254">
        <v>2313011955</v>
      </c>
      <c r="B1254">
        <v>2313012058</v>
      </c>
      <c r="C1254" t="str">
        <f>T("갓 오브 블랙필드 104화")</f>
        <v>갓 오브 블랙필드 104화</v>
      </c>
      <c r="D1254" t="str">
        <f>T("104")</f>
        <v>104</v>
      </c>
      <c r="E1254" t="str">
        <f t="shared" si="200"/>
        <v>무장</v>
      </c>
      <c r="H1254" t="str">
        <f t="shared" si="201"/>
        <v>스토리위즈</v>
      </c>
      <c r="I1254" t="str">
        <f t="shared" si="202"/>
        <v>갓 오브 블랙필드</v>
      </c>
      <c r="J1254">
        <v>100</v>
      </c>
      <c r="K1254">
        <v>500</v>
      </c>
      <c r="L1254">
        <v>5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500</v>
      </c>
      <c r="AH1254">
        <v>5</v>
      </c>
      <c r="AI1254">
        <v>0</v>
      </c>
      <c r="AJ1254">
        <v>0</v>
      </c>
      <c r="AK1254">
        <v>450</v>
      </c>
      <c r="AL1254">
        <v>0</v>
      </c>
      <c r="AM1254">
        <v>60</v>
      </c>
      <c r="AN1254">
        <v>-18</v>
      </c>
      <c r="AO1254">
        <v>0</v>
      </c>
      <c r="AP1254">
        <v>60</v>
      </c>
      <c r="AQ1254">
        <v>-18</v>
      </c>
      <c r="AR1254">
        <v>0</v>
      </c>
      <c r="AT1254">
        <v>0</v>
      </c>
      <c r="AU1254">
        <v>0</v>
      </c>
      <c r="AW1254">
        <v>0</v>
      </c>
      <c r="AX1254">
        <v>0</v>
      </c>
      <c r="AY1254">
        <v>344.4</v>
      </c>
      <c r="BC1254" t="str">
        <f t="shared" si="203"/>
        <v>9791137602113</v>
      </c>
      <c r="BE1254" t="str">
        <f t="shared" si="204"/>
        <v>판타지 웹소설 &gt; 현대 판타지</v>
      </c>
    </row>
    <row r="1255" spans="1:57" x14ac:dyDescent="0.3">
      <c r="A1255">
        <v>2313011955</v>
      </c>
      <c r="B1255">
        <v>2313012059</v>
      </c>
      <c r="C1255" t="str">
        <f>T("갓 오브 블랙필드 105화")</f>
        <v>갓 오브 블랙필드 105화</v>
      </c>
      <c r="D1255" t="str">
        <f>T("105")</f>
        <v>105</v>
      </c>
      <c r="E1255" t="str">
        <f t="shared" si="200"/>
        <v>무장</v>
      </c>
      <c r="H1255" t="str">
        <f t="shared" si="201"/>
        <v>스토리위즈</v>
      </c>
      <c r="I1255" t="str">
        <f t="shared" si="202"/>
        <v>갓 오브 블랙필드</v>
      </c>
      <c r="J1255">
        <v>100</v>
      </c>
      <c r="K1255">
        <v>500</v>
      </c>
      <c r="L1255">
        <v>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500</v>
      </c>
      <c r="AH1255">
        <v>5</v>
      </c>
      <c r="AI1255">
        <v>0</v>
      </c>
      <c r="AJ1255">
        <v>0</v>
      </c>
      <c r="AK1255">
        <v>400</v>
      </c>
      <c r="AL1255">
        <v>0</v>
      </c>
      <c r="AM1255">
        <v>120</v>
      </c>
      <c r="AN1255">
        <v>-36</v>
      </c>
      <c r="AO1255">
        <v>0</v>
      </c>
      <c r="AP1255">
        <v>120</v>
      </c>
      <c r="AQ1255">
        <v>-36</v>
      </c>
      <c r="AR1255">
        <v>0</v>
      </c>
      <c r="AT1255">
        <v>0</v>
      </c>
      <c r="AU1255">
        <v>0</v>
      </c>
      <c r="AW1255">
        <v>0</v>
      </c>
      <c r="AX1255">
        <v>0</v>
      </c>
      <c r="AY1255">
        <v>338.8</v>
      </c>
      <c r="BC1255" t="str">
        <f t="shared" si="203"/>
        <v>9791137602113</v>
      </c>
      <c r="BE1255" t="str">
        <f t="shared" si="204"/>
        <v>판타지 웹소설 &gt; 현대 판타지</v>
      </c>
    </row>
    <row r="1256" spans="1:57" x14ac:dyDescent="0.3">
      <c r="A1256">
        <v>2313011955</v>
      </c>
      <c r="B1256">
        <v>2313012060</v>
      </c>
      <c r="C1256" t="str">
        <f>T("갓 오브 블랙필드 106화")</f>
        <v>갓 오브 블랙필드 106화</v>
      </c>
      <c r="D1256" t="str">
        <f>T("106")</f>
        <v>106</v>
      </c>
      <c r="E1256" t="str">
        <f t="shared" si="200"/>
        <v>무장</v>
      </c>
      <c r="H1256" t="str">
        <f t="shared" si="201"/>
        <v>스토리위즈</v>
      </c>
      <c r="I1256" t="str">
        <f t="shared" si="202"/>
        <v>갓 오브 블랙필드</v>
      </c>
      <c r="J1256">
        <v>100</v>
      </c>
      <c r="K1256">
        <v>500</v>
      </c>
      <c r="L1256">
        <v>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500</v>
      </c>
      <c r="AH1256">
        <v>5</v>
      </c>
      <c r="AI1256">
        <v>0</v>
      </c>
      <c r="AJ1256">
        <v>0</v>
      </c>
      <c r="AK1256">
        <v>400</v>
      </c>
      <c r="AL1256">
        <v>0</v>
      </c>
      <c r="AM1256">
        <v>120</v>
      </c>
      <c r="AN1256">
        <v>-36</v>
      </c>
      <c r="AO1256">
        <v>0</v>
      </c>
      <c r="AP1256">
        <v>120</v>
      </c>
      <c r="AQ1256">
        <v>-36</v>
      </c>
      <c r="AR1256">
        <v>0</v>
      </c>
      <c r="AT1256">
        <v>0</v>
      </c>
      <c r="AU1256">
        <v>0</v>
      </c>
      <c r="AW1256">
        <v>0</v>
      </c>
      <c r="AX1256">
        <v>0</v>
      </c>
      <c r="AY1256">
        <v>338.8</v>
      </c>
      <c r="BC1256" t="str">
        <f t="shared" si="203"/>
        <v>9791137602113</v>
      </c>
      <c r="BE1256" t="str">
        <f t="shared" si="204"/>
        <v>판타지 웹소설 &gt; 현대 판타지</v>
      </c>
    </row>
    <row r="1257" spans="1:57" x14ac:dyDescent="0.3">
      <c r="A1257">
        <v>2313011955</v>
      </c>
      <c r="B1257">
        <v>2313012061</v>
      </c>
      <c r="C1257" t="str">
        <f>T("갓 오브 블랙필드 107화")</f>
        <v>갓 오브 블랙필드 107화</v>
      </c>
      <c r="D1257" t="str">
        <f>T("107")</f>
        <v>107</v>
      </c>
      <c r="E1257" t="str">
        <f t="shared" si="200"/>
        <v>무장</v>
      </c>
      <c r="H1257" t="str">
        <f t="shared" si="201"/>
        <v>스토리위즈</v>
      </c>
      <c r="I1257" t="str">
        <f t="shared" si="202"/>
        <v>갓 오브 블랙필드</v>
      </c>
      <c r="J1257">
        <v>100</v>
      </c>
      <c r="K1257">
        <v>500</v>
      </c>
      <c r="L1257">
        <v>5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500</v>
      </c>
      <c r="AH1257">
        <v>5</v>
      </c>
      <c r="AI1257">
        <v>0</v>
      </c>
      <c r="AJ1257">
        <v>0</v>
      </c>
      <c r="AK1257">
        <v>400</v>
      </c>
      <c r="AL1257">
        <v>0</v>
      </c>
      <c r="AM1257">
        <v>120</v>
      </c>
      <c r="AN1257">
        <v>-36</v>
      </c>
      <c r="AO1257">
        <v>0</v>
      </c>
      <c r="AP1257">
        <v>120</v>
      </c>
      <c r="AQ1257">
        <v>-36</v>
      </c>
      <c r="AR1257">
        <v>0</v>
      </c>
      <c r="AT1257">
        <v>0</v>
      </c>
      <c r="AU1257">
        <v>0</v>
      </c>
      <c r="AW1257">
        <v>0</v>
      </c>
      <c r="AX1257">
        <v>0</v>
      </c>
      <c r="AY1257">
        <v>338.8</v>
      </c>
      <c r="BC1257" t="str">
        <f t="shared" si="203"/>
        <v>9791137602113</v>
      </c>
      <c r="BE1257" t="str">
        <f t="shared" si="204"/>
        <v>판타지 웹소설 &gt; 현대 판타지</v>
      </c>
    </row>
    <row r="1258" spans="1:57" x14ac:dyDescent="0.3">
      <c r="A1258">
        <v>2313011955</v>
      </c>
      <c r="B1258">
        <v>2313012062</v>
      </c>
      <c r="C1258" t="str">
        <f>T("갓 오브 블랙필드 108화")</f>
        <v>갓 오브 블랙필드 108화</v>
      </c>
      <c r="D1258" t="str">
        <f>T("108")</f>
        <v>108</v>
      </c>
      <c r="E1258" t="str">
        <f t="shared" si="200"/>
        <v>무장</v>
      </c>
      <c r="H1258" t="str">
        <f t="shared" si="201"/>
        <v>스토리위즈</v>
      </c>
      <c r="I1258" t="str">
        <f t="shared" si="202"/>
        <v>갓 오브 블랙필드</v>
      </c>
      <c r="J1258">
        <v>100</v>
      </c>
      <c r="K1258">
        <v>500</v>
      </c>
      <c r="L1258">
        <v>5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500</v>
      </c>
      <c r="AH1258">
        <v>5</v>
      </c>
      <c r="AI1258">
        <v>0</v>
      </c>
      <c r="AJ1258">
        <v>0</v>
      </c>
      <c r="AK1258">
        <v>400</v>
      </c>
      <c r="AL1258">
        <v>0</v>
      </c>
      <c r="AM1258">
        <v>120</v>
      </c>
      <c r="AN1258">
        <v>-36</v>
      </c>
      <c r="AO1258">
        <v>0</v>
      </c>
      <c r="AP1258">
        <v>120</v>
      </c>
      <c r="AQ1258">
        <v>-36</v>
      </c>
      <c r="AR1258">
        <v>0</v>
      </c>
      <c r="AT1258">
        <v>0</v>
      </c>
      <c r="AU1258">
        <v>0</v>
      </c>
      <c r="AW1258">
        <v>0</v>
      </c>
      <c r="AX1258">
        <v>0</v>
      </c>
      <c r="AY1258">
        <v>338.8</v>
      </c>
      <c r="BC1258" t="str">
        <f t="shared" si="203"/>
        <v>9791137602113</v>
      </c>
      <c r="BE1258" t="str">
        <f t="shared" si="204"/>
        <v>판타지 웹소설 &gt; 현대 판타지</v>
      </c>
    </row>
    <row r="1259" spans="1:57" x14ac:dyDescent="0.3">
      <c r="A1259">
        <v>2313011955</v>
      </c>
      <c r="B1259">
        <v>2313012063</v>
      </c>
      <c r="C1259" t="str">
        <f>T("갓 오브 블랙필드 109화")</f>
        <v>갓 오브 블랙필드 109화</v>
      </c>
      <c r="D1259" t="str">
        <f>T("109")</f>
        <v>109</v>
      </c>
      <c r="E1259" t="str">
        <f t="shared" si="200"/>
        <v>무장</v>
      </c>
      <c r="H1259" t="str">
        <f t="shared" si="201"/>
        <v>스토리위즈</v>
      </c>
      <c r="I1259" t="str">
        <f t="shared" si="202"/>
        <v>갓 오브 블랙필드</v>
      </c>
      <c r="J1259">
        <v>100</v>
      </c>
      <c r="K1259">
        <v>500</v>
      </c>
      <c r="L1259">
        <v>5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500</v>
      </c>
      <c r="AH1259">
        <v>5</v>
      </c>
      <c r="AI1259">
        <v>0</v>
      </c>
      <c r="AJ1259">
        <v>0</v>
      </c>
      <c r="AK1259">
        <v>400</v>
      </c>
      <c r="AL1259">
        <v>0</v>
      </c>
      <c r="AM1259">
        <v>120</v>
      </c>
      <c r="AN1259">
        <v>-36</v>
      </c>
      <c r="AO1259">
        <v>0</v>
      </c>
      <c r="AP1259">
        <v>120</v>
      </c>
      <c r="AQ1259">
        <v>-36</v>
      </c>
      <c r="AR1259">
        <v>0</v>
      </c>
      <c r="AT1259">
        <v>0</v>
      </c>
      <c r="AU1259">
        <v>0</v>
      </c>
      <c r="AW1259">
        <v>0</v>
      </c>
      <c r="AX1259">
        <v>0</v>
      </c>
      <c r="AY1259">
        <v>338.8</v>
      </c>
      <c r="BC1259" t="str">
        <f t="shared" si="203"/>
        <v>9791137602113</v>
      </c>
      <c r="BE1259" t="str">
        <f t="shared" si="204"/>
        <v>판타지 웹소설 &gt; 현대 판타지</v>
      </c>
    </row>
    <row r="1260" spans="1:57" x14ac:dyDescent="0.3">
      <c r="A1260">
        <v>2313011955</v>
      </c>
      <c r="B1260">
        <v>2313012064</v>
      </c>
      <c r="C1260" t="str">
        <f>T("갓 오브 블랙필드 110화")</f>
        <v>갓 오브 블랙필드 110화</v>
      </c>
      <c r="D1260" t="str">
        <f>T("110")</f>
        <v>110</v>
      </c>
      <c r="E1260" t="str">
        <f t="shared" si="200"/>
        <v>무장</v>
      </c>
      <c r="H1260" t="str">
        <f t="shared" si="201"/>
        <v>스토리위즈</v>
      </c>
      <c r="I1260" t="str">
        <f t="shared" si="202"/>
        <v>갓 오브 블랙필드</v>
      </c>
      <c r="J1260">
        <v>100</v>
      </c>
      <c r="K1260">
        <v>500</v>
      </c>
      <c r="L1260">
        <v>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500</v>
      </c>
      <c r="AH1260">
        <v>5</v>
      </c>
      <c r="AI1260">
        <v>0</v>
      </c>
      <c r="AJ1260">
        <v>0</v>
      </c>
      <c r="AK1260">
        <v>400</v>
      </c>
      <c r="AL1260">
        <v>0</v>
      </c>
      <c r="AM1260">
        <v>120</v>
      </c>
      <c r="AN1260">
        <v>-36</v>
      </c>
      <c r="AO1260">
        <v>0</v>
      </c>
      <c r="AP1260">
        <v>120</v>
      </c>
      <c r="AQ1260">
        <v>-36</v>
      </c>
      <c r="AR1260">
        <v>0</v>
      </c>
      <c r="AT1260">
        <v>0</v>
      </c>
      <c r="AU1260">
        <v>0</v>
      </c>
      <c r="AW1260">
        <v>0</v>
      </c>
      <c r="AX1260">
        <v>0</v>
      </c>
      <c r="AY1260">
        <v>338.8</v>
      </c>
      <c r="BC1260" t="str">
        <f t="shared" si="203"/>
        <v>9791137602113</v>
      </c>
      <c r="BE1260" t="str">
        <f t="shared" si="204"/>
        <v>판타지 웹소설 &gt; 현대 판타지</v>
      </c>
    </row>
    <row r="1261" spans="1:57" x14ac:dyDescent="0.3">
      <c r="A1261">
        <v>2313011955</v>
      </c>
      <c r="B1261">
        <v>2313012065</v>
      </c>
      <c r="C1261" t="str">
        <f>T("갓 오브 블랙필드 111화")</f>
        <v>갓 오브 블랙필드 111화</v>
      </c>
      <c r="D1261" t="str">
        <f>T("111")</f>
        <v>111</v>
      </c>
      <c r="E1261" t="str">
        <f t="shared" si="200"/>
        <v>무장</v>
      </c>
      <c r="H1261" t="str">
        <f t="shared" si="201"/>
        <v>스토리위즈</v>
      </c>
      <c r="I1261" t="str">
        <f t="shared" si="202"/>
        <v>갓 오브 블랙필드</v>
      </c>
      <c r="J1261">
        <v>100</v>
      </c>
      <c r="K1261">
        <v>500</v>
      </c>
      <c r="L1261">
        <v>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500</v>
      </c>
      <c r="AH1261">
        <v>5</v>
      </c>
      <c r="AI1261">
        <v>0</v>
      </c>
      <c r="AJ1261">
        <v>0</v>
      </c>
      <c r="AK1261">
        <v>400</v>
      </c>
      <c r="AL1261">
        <v>0</v>
      </c>
      <c r="AM1261">
        <v>120</v>
      </c>
      <c r="AN1261">
        <v>-36</v>
      </c>
      <c r="AO1261">
        <v>0</v>
      </c>
      <c r="AP1261">
        <v>120</v>
      </c>
      <c r="AQ1261">
        <v>-36</v>
      </c>
      <c r="AR1261">
        <v>0</v>
      </c>
      <c r="AT1261">
        <v>0</v>
      </c>
      <c r="AU1261">
        <v>0</v>
      </c>
      <c r="AW1261">
        <v>0</v>
      </c>
      <c r="AX1261">
        <v>0</v>
      </c>
      <c r="AY1261">
        <v>338.8</v>
      </c>
      <c r="BC1261" t="str">
        <f t="shared" si="203"/>
        <v>9791137602113</v>
      </c>
      <c r="BE1261" t="str">
        <f t="shared" si="204"/>
        <v>판타지 웹소설 &gt; 현대 판타지</v>
      </c>
    </row>
    <row r="1262" spans="1:57" x14ac:dyDescent="0.3">
      <c r="A1262">
        <v>2313011955</v>
      </c>
      <c r="B1262">
        <v>2313012066</v>
      </c>
      <c r="C1262" t="str">
        <f>T("갓 오브 블랙필드 112화")</f>
        <v>갓 오브 블랙필드 112화</v>
      </c>
      <c r="D1262" t="str">
        <f>T("112")</f>
        <v>112</v>
      </c>
      <c r="E1262" t="str">
        <f t="shared" si="200"/>
        <v>무장</v>
      </c>
      <c r="H1262" t="str">
        <f t="shared" si="201"/>
        <v>스토리위즈</v>
      </c>
      <c r="I1262" t="str">
        <f t="shared" si="202"/>
        <v>갓 오브 블랙필드</v>
      </c>
      <c r="J1262">
        <v>100</v>
      </c>
      <c r="K1262">
        <v>500</v>
      </c>
      <c r="L1262">
        <v>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500</v>
      </c>
      <c r="AH1262">
        <v>5</v>
      </c>
      <c r="AI1262">
        <v>0</v>
      </c>
      <c r="AJ1262">
        <v>0</v>
      </c>
      <c r="AK1262">
        <v>400</v>
      </c>
      <c r="AL1262">
        <v>0</v>
      </c>
      <c r="AM1262">
        <v>120</v>
      </c>
      <c r="AN1262">
        <v>-36</v>
      </c>
      <c r="AO1262">
        <v>0</v>
      </c>
      <c r="AP1262">
        <v>120</v>
      </c>
      <c r="AQ1262">
        <v>-36</v>
      </c>
      <c r="AR1262">
        <v>0</v>
      </c>
      <c r="AT1262">
        <v>0</v>
      </c>
      <c r="AU1262">
        <v>0</v>
      </c>
      <c r="AW1262">
        <v>0</v>
      </c>
      <c r="AX1262">
        <v>0</v>
      </c>
      <c r="AY1262">
        <v>338.8</v>
      </c>
      <c r="BC1262" t="str">
        <f t="shared" si="203"/>
        <v>9791137602113</v>
      </c>
      <c r="BE1262" t="str">
        <f t="shared" si="204"/>
        <v>판타지 웹소설 &gt; 현대 판타지</v>
      </c>
    </row>
    <row r="1263" spans="1:57" x14ac:dyDescent="0.3">
      <c r="A1263">
        <v>2313011955</v>
      </c>
      <c r="B1263">
        <v>2313012067</v>
      </c>
      <c r="C1263" t="str">
        <f>T("갓 오브 블랙필드 113화")</f>
        <v>갓 오브 블랙필드 113화</v>
      </c>
      <c r="D1263" t="str">
        <f>T("113")</f>
        <v>113</v>
      </c>
      <c r="E1263" t="str">
        <f t="shared" si="200"/>
        <v>무장</v>
      </c>
      <c r="H1263" t="str">
        <f t="shared" si="201"/>
        <v>스토리위즈</v>
      </c>
      <c r="I1263" t="str">
        <f t="shared" si="202"/>
        <v>갓 오브 블랙필드</v>
      </c>
      <c r="J1263">
        <v>100</v>
      </c>
      <c r="K1263">
        <v>500</v>
      </c>
      <c r="L1263">
        <v>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500</v>
      </c>
      <c r="AH1263">
        <v>5</v>
      </c>
      <c r="AI1263">
        <v>0</v>
      </c>
      <c r="AJ1263">
        <v>0</v>
      </c>
      <c r="AK1263">
        <v>400</v>
      </c>
      <c r="AL1263">
        <v>0</v>
      </c>
      <c r="AM1263">
        <v>120</v>
      </c>
      <c r="AN1263">
        <v>-36</v>
      </c>
      <c r="AO1263">
        <v>0</v>
      </c>
      <c r="AP1263">
        <v>120</v>
      </c>
      <c r="AQ1263">
        <v>-36</v>
      </c>
      <c r="AR1263">
        <v>0</v>
      </c>
      <c r="AT1263">
        <v>0</v>
      </c>
      <c r="AU1263">
        <v>0</v>
      </c>
      <c r="AW1263">
        <v>0</v>
      </c>
      <c r="AX1263">
        <v>0</v>
      </c>
      <c r="AY1263">
        <v>338.8</v>
      </c>
      <c r="BC1263" t="str">
        <f t="shared" si="203"/>
        <v>9791137602113</v>
      </c>
      <c r="BE1263" t="str">
        <f t="shared" si="204"/>
        <v>판타지 웹소설 &gt; 현대 판타지</v>
      </c>
    </row>
    <row r="1264" spans="1:57" x14ac:dyDescent="0.3">
      <c r="A1264">
        <v>2313011955</v>
      </c>
      <c r="B1264">
        <v>2313012068</v>
      </c>
      <c r="C1264" t="str">
        <f>T("갓 오브 블랙필드 114화")</f>
        <v>갓 오브 블랙필드 114화</v>
      </c>
      <c r="D1264" t="str">
        <f>T("114")</f>
        <v>114</v>
      </c>
      <c r="E1264" t="str">
        <f t="shared" si="200"/>
        <v>무장</v>
      </c>
      <c r="H1264" t="str">
        <f t="shared" si="201"/>
        <v>스토리위즈</v>
      </c>
      <c r="I1264" t="str">
        <f t="shared" si="202"/>
        <v>갓 오브 블랙필드</v>
      </c>
      <c r="J1264">
        <v>100</v>
      </c>
      <c r="K1264">
        <v>500</v>
      </c>
      <c r="L1264">
        <v>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500</v>
      </c>
      <c r="AH1264">
        <v>5</v>
      </c>
      <c r="AI1264">
        <v>0</v>
      </c>
      <c r="AJ1264">
        <v>0</v>
      </c>
      <c r="AK1264">
        <v>400</v>
      </c>
      <c r="AL1264">
        <v>0</v>
      </c>
      <c r="AM1264">
        <v>120</v>
      </c>
      <c r="AN1264">
        <v>-36</v>
      </c>
      <c r="AO1264">
        <v>0</v>
      </c>
      <c r="AP1264">
        <v>120</v>
      </c>
      <c r="AQ1264">
        <v>-36</v>
      </c>
      <c r="AR1264">
        <v>0</v>
      </c>
      <c r="AT1264">
        <v>0</v>
      </c>
      <c r="AU1264">
        <v>0</v>
      </c>
      <c r="AW1264">
        <v>0</v>
      </c>
      <c r="AX1264">
        <v>0</v>
      </c>
      <c r="AY1264">
        <v>338.8</v>
      </c>
      <c r="BC1264" t="str">
        <f t="shared" si="203"/>
        <v>9791137602113</v>
      </c>
      <c r="BE1264" t="str">
        <f t="shared" si="204"/>
        <v>판타지 웹소설 &gt; 현대 판타지</v>
      </c>
    </row>
    <row r="1265" spans="1:57" x14ac:dyDescent="0.3">
      <c r="A1265">
        <v>2313011955</v>
      </c>
      <c r="B1265">
        <v>2313012069</v>
      </c>
      <c r="C1265" t="str">
        <f>T("갓 오브 블랙필드 115화")</f>
        <v>갓 오브 블랙필드 115화</v>
      </c>
      <c r="D1265" t="str">
        <f>T("115")</f>
        <v>115</v>
      </c>
      <c r="E1265" t="str">
        <f t="shared" si="200"/>
        <v>무장</v>
      </c>
      <c r="H1265" t="str">
        <f t="shared" si="201"/>
        <v>스토리위즈</v>
      </c>
      <c r="I1265" t="str">
        <f t="shared" si="202"/>
        <v>갓 오브 블랙필드</v>
      </c>
      <c r="J1265">
        <v>100</v>
      </c>
      <c r="K1265">
        <v>500</v>
      </c>
      <c r="L1265">
        <v>5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500</v>
      </c>
      <c r="AH1265">
        <v>5</v>
      </c>
      <c r="AI1265">
        <v>0</v>
      </c>
      <c r="AJ1265">
        <v>0</v>
      </c>
      <c r="AK1265">
        <v>400</v>
      </c>
      <c r="AL1265">
        <v>0</v>
      </c>
      <c r="AM1265">
        <v>120</v>
      </c>
      <c r="AN1265">
        <v>-36</v>
      </c>
      <c r="AO1265">
        <v>0</v>
      </c>
      <c r="AP1265">
        <v>120</v>
      </c>
      <c r="AQ1265">
        <v>-36</v>
      </c>
      <c r="AR1265">
        <v>0</v>
      </c>
      <c r="AT1265">
        <v>0</v>
      </c>
      <c r="AU1265">
        <v>0</v>
      </c>
      <c r="AW1265">
        <v>0</v>
      </c>
      <c r="AX1265">
        <v>0</v>
      </c>
      <c r="AY1265">
        <v>338.8</v>
      </c>
      <c r="BC1265" t="str">
        <f t="shared" si="203"/>
        <v>9791137602113</v>
      </c>
      <c r="BE1265" t="str">
        <f t="shared" si="204"/>
        <v>판타지 웹소설 &gt; 현대 판타지</v>
      </c>
    </row>
    <row r="1266" spans="1:57" x14ac:dyDescent="0.3">
      <c r="A1266">
        <v>2313011955</v>
      </c>
      <c r="B1266">
        <v>2313012070</v>
      </c>
      <c r="C1266" t="str">
        <f>T("갓 오브 블랙필드 116화")</f>
        <v>갓 오브 블랙필드 116화</v>
      </c>
      <c r="D1266" t="str">
        <f>T("116")</f>
        <v>116</v>
      </c>
      <c r="E1266" t="str">
        <f t="shared" si="200"/>
        <v>무장</v>
      </c>
      <c r="H1266" t="str">
        <f t="shared" si="201"/>
        <v>스토리위즈</v>
      </c>
      <c r="I1266" t="str">
        <f t="shared" si="202"/>
        <v>갓 오브 블랙필드</v>
      </c>
      <c r="J1266">
        <v>100</v>
      </c>
      <c r="K1266">
        <v>500</v>
      </c>
      <c r="L1266">
        <v>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500</v>
      </c>
      <c r="AH1266">
        <v>5</v>
      </c>
      <c r="AI1266">
        <v>0</v>
      </c>
      <c r="AJ1266">
        <v>0</v>
      </c>
      <c r="AK1266">
        <v>400</v>
      </c>
      <c r="AL1266">
        <v>0</v>
      </c>
      <c r="AM1266">
        <v>120</v>
      </c>
      <c r="AN1266">
        <v>-36</v>
      </c>
      <c r="AO1266">
        <v>0</v>
      </c>
      <c r="AP1266">
        <v>120</v>
      </c>
      <c r="AQ1266">
        <v>-36</v>
      </c>
      <c r="AR1266">
        <v>0</v>
      </c>
      <c r="AT1266">
        <v>0</v>
      </c>
      <c r="AU1266">
        <v>0</v>
      </c>
      <c r="AW1266">
        <v>0</v>
      </c>
      <c r="AX1266">
        <v>0</v>
      </c>
      <c r="AY1266">
        <v>338.8</v>
      </c>
      <c r="BC1266" t="str">
        <f t="shared" si="203"/>
        <v>9791137602113</v>
      </c>
      <c r="BE1266" t="str">
        <f t="shared" si="204"/>
        <v>판타지 웹소설 &gt; 현대 판타지</v>
      </c>
    </row>
    <row r="1267" spans="1:57" x14ac:dyDescent="0.3">
      <c r="A1267">
        <v>2313011955</v>
      </c>
      <c r="B1267">
        <v>2313012071</v>
      </c>
      <c r="C1267" t="str">
        <f>T("갓 오브 블랙필드 117화")</f>
        <v>갓 오브 블랙필드 117화</v>
      </c>
      <c r="D1267" t="str">
        <f>T("117")</f>
        <v>117</v>
      </c>
      <c r="E1267" t="str">
        <f t="shared" si="200"/>
        <v>무장</v>
      </c>
      <c r="H1267" t="str">
        <f t="shared" si="201"/>
        <v>스토리위즈</v>
      </c>
      <c r="I1267" t="str">
        <f t="shared" si="202"/>
        <v>갓 오브 블랙필드</v>
      </c>
      <c r="J1267">
        <v>100</v>
      </c>
      <c r="K1267">
        <v>500</v>
      </c>
      <c r="L1267">
        <v>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500</v>
      </c>
      <c r="AH1267">
        <v>5</v>
      </c>
      <c r="AI1267">
        <v>0</v>
      </c>
      <c r="AJ1267">
        <v>0</v>
      </c>
      <c r="AK1267">
        <v>400</v>
      </c>
      <c r="AL1267">
        <v>0</v>
      </c>
      <c r="AM1267">
        <v>120</v>
      </c>
      <c r="AN1267">
        <v>-36</v>
      </c>
      <c r="AO1267">
        <v>0</v>
      </c>
      <c r="AP1267">
        <v>120</v>
      </c>
      <c r="AQ1267">
        <v>-36</v>
      </c>
      <c r="AR1267">
        <v>0</v>
      </c>
      <c r="AT1267">
        <v>0</v>
      </c>
      <c r="AU1267">
        <v>0</v>
      </c>
      <c r="AW1267">
        <v>0</v>
      </c>
      <c r="AX1267">
        <v>0</v>
      </c>
      <c r="AY1267">
        <v>338.8</v>
      </c>
      <c r="BC1267" t="str">
        <f t="shared" si="203"/>
        <v>9791137602113</v>
      </c>
      <c r="BE1267" t="str">
        <f t="shared" si="204"/>
        <v>판타지 웹소설 &gt; 현대 판타지</v>
      </c>
    </row>
    <row r="1268" spans="1:57" x14ac:dyDescent="0.3">
      <c r="A1268">
        <v>2313011955</v>
      </c>
      <c r="B1268">
        <v>2313012072</v>
      </c>
      <c r="C1268" t="str">
        <f>T("갓 오브 블랙필드 118화")</f>
        <v>갓 오브 블랙필드 118화</v>
      </c>
      <c r="D1268" t="str">
        <f>T("118")</f>
        <v>118</v>
      </c>
      <c r="E1268" t="str">
        <f t="shared" si="200"/>
        <v>무장</v>
      </c>
      <c r="H1268" t="str">
        <f t="shared" si="201"/>
        <v>스토리위즈</v>
      </c>
      <c r="I1268" t="str">
        <f t="shared" si="202"/>
        <v>갓 오브 블랙필드</v>
      </c>
      <c r="J1268">
        <v>100</v>
      </c>
      <c r="K1268">
        <v>500</v>
      </c>
      <c r="L1268">
        <v>5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500</v>
      </c>
      <c r="AH1268">
        <v>5</v>
      </c>
      <c r="AI1268">
        <v>0</v>
      </c>
      <c r="AJ1268">
        <v>0</v>
      </c>
      <c r="AK1268">
        <v>400</v>
      </c>
      <c r="AL1268">
        <v>0</v>
      </c>
      <c r="AM1268">
        <v>120</v>
      </c>
      <c r="AN1268">
        <v>-36</v>
      </c>
      <c r="AO1268">
        <v>0</v>
      </c>
      <c r="AP1268">
        <v>120</v>
      </c>
      <c r="AQ1268">
        <v>-36</v>
      </c>
      <c r="AR1268">
        <v>0</v>
      </c>
      <c r="AT1268">
        <v>0</v>
      </c>
      <c r="AU1268">
        <v>0</v>
      </c>
      <c r="AW1268">
        <v>0</v>
      </c>
      <c r="AX1268">
        <v>0</v>
      </c>
      <c r="AY1268">
        <v>338.8</v>
      </c>
      <c r="BC1268" t="str">
        <f t="shared" si="203"/>
        <v>9791137602113</v>
      </c>
      <c r="BE1268" t="str">
        <f t="shared" si="204"/>
        <v>판타지 웹소설 &gt; 현대 판타지</v>
      </c>
    </row>
    <row r="1269" spans="1:57" x14ac:dyDescent="0.3">
      <c r="A1269">
        <v>2313011955</v>
      </c>
      <c r="B1269">
        <v>2313012073</v>
      </c>
      <c r="C1269" t="str">
        <f>T("갓 오브 블랙필드 119화")</f>
        <v>갓 오브 블랙필드 119화</v>
      </c>
      <c r="D1269" t="str">
        <f>T("119")</f>
        <v>119</v>
      </c>
      <c r="E1269" t="str">
        <f t="shared" si="200"/>
        <v>무장</v>
      </c>
      <c r="H1269" t="str">
        <f t="shared" si="201"/>
        <v>스토리위즈</v>
      </c>
      <c r="I1269" t="str">
        <f t="shared" si="202"/>
        <v>갓 오브 블랙필드</v>
      </c>
      <c r="J1269">
        <v>100</v>
      </c>
      <c r="K1269">
        <v>500</v>
      </c>
      <c r="L1269">
        <v>5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500</v>
      </c>
      <c r="AH1269">
        <v>5</v>
      </c>
      <c r="AI1269">
        <v>0</v>
      </c>
      <c r="AJ1269">
        <v>0</v>
      </c>
      <c r="AK1269">
        <v>400</v>
      </c>
      <c r="AL1269">
        <v>0</v>
      </c>
      <c r="AM1269">
        <v>120</v>
      </c>
      <c r="AN1269">
        <v>-36</v>
      </c>
      <c r="AO1269">
        <v>0</v>
      </c>
      <c r="AP1269">
        <v>120</v>
      </c>
      <c r="AQ1269">
        <v>-36</v>
      </c>
      <c r="AR1269">
        <v>0</v>
      </c>
      <c r="AT1269">
        <v>0</v>
      </c>
      <c r="AU1269">
        <v>0</v>
      </c>
      <c r="AW1269">
        <v>0</v>
      </c>
      <c r="AX1269">
        <v>0</v>
      </c>
      <c r="AY1269">
        <v>338.8</v>
      </c>
      <c r="BC1269" t="str">
        <f t="shared" si="203"/>
        <v>9791137602113</v>
      </c>
      <c r="BE1269" t="str">
        <f t="shared" si="204"/>
        <v>판타지 웹소설 &gt; 현대 판타지</v>
      </c>
    </row>
    <row r="1270" spans="1:57" x14ac:dyDescent="0.3">
      <c r="A1270">
        <v>2313011955</v>
      </c>
      <c r="B1270">
        <v>2313012074</v>
      </c>
      <c r="C1270" t="str">
        <f>T("갓 오브 블랙필드 120화")</f>
        <v>갓 오브 블랙필드 120화</v>
      </c>
      <c r="D1270" t="str">
        <f>T("120")</f>
        <v>120</v>
      </c>
      <c r="E1270" t="str">
        <f t="shared" si="200"/>
        <v>무장</v>
      </c>
      <c r="H1270" t="str">
        <f t="shared" si="201"/>
        <v>스토리위즈</v>
      </c>
      <c r="I1270" t="str">
        <f t="shared" si="202"/>
        <v>갓 오브 블랙필드</v>
      </c>
      <c r="J1270">
        <v>100</v>
      </c>
      <c r="K1270">
        <v>500</v>
      </c>
      <c r="L1270">
        <v>5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500</v>
      </c>
      <c r="AH1270">
        <v>5</v>
      </c>
      <c r="AI1270">
        <v>0</v>
      </c>
      <c r="AJ1270">
        <v>0</v>
      </c>
      <c r="AK1270">
        <v>400</v>
      </c>
      <c r="AL1270">
        <v>0</v>
      </c>
      <c r="AM1270">
        <v>120</v>
      </c>
      <c r="AN1270">
        <v>-36</v>
      </c>
      <c r="AO1270">
        <v>0</v>
      </c>
      <c r="AP1270">
        <v>120</v>
      </c>
      <c r="AQ1270">
        <v>-36</v>
      </c>
      <c r="AR1270">
        <v>0</v>
      </c>
      <c r="AT1270">
        <v>0</v>
      </c>
      <c r="AU1270">
        <v>0</v>
      </c>
      <c r="AW1270">
        <v>0</v>
      </c>
      <c r="AX1270">
        <v>0</v>
      </c>
      <c r="AY1270">
        <v>338.8</v>
      </c>
      <c r="BC1270" t="str">
        <f t="shared" si="203"/>
        <v>9791137602113</v>
      </c>
      <c r="BE1270" t="str">
        <f t="shared" si="204"/>
        <v>판타지 웹소설 &gt; 현대 판타지</v>
      </c>
    </row>
    <row r="1271" spans="1:57" x14ac:dyDescent="0.3">
      <c r="A1271">
        <v>2313011955</v>
      </c>
      <c r="B1271">
        <v>2313012075</v>
      </c>
      <c r="C1271" t="str">
        <f>T("갓 오브 블랙필드 121화")</f>
        <v>갓 오브 블랙필드 121화</v>
      </c>
      <c r="D1271" t="str">
        <f>T("121")</f>
        <v>121</v>
      </c>
      <c r="E1271" t="str">
        <f t="shared" si="200"/>
        <v>무장</v>
      </c>
      <c r="H1271" t="str">
        <f t="shared" si="201"/>
        <v>스토리위즈</v>
      </c>
      <c r="I1271" t="str">
        <f t="shared" si="202"/>
        <v>갓 오브 블랙필드</v>
      </c>
      <c r="J1271">
        <v>100</v>
      </c>
      <c r="K1271">
        <v>500</v>
      </c>
      <c r="L1271">
        <v>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500</v>
      </c>
      <c r="AH1271">
        <v>5</v>
      </c>
      <c r="AI1271">
        <v>0</v>
      </c>
      <c r="AJ1271">
        <v>0</v>
      </c>
      <c r="AK1271">
        <v>400</v>
      </c>
      <c r="AL1271">
        <v>0</v>
      </c>
      <c r="AM1271">
        <v>120</v>
      </c>
      <c r="AN1271">
        <v>-36</v>
      </c>
      <c r="AO1271">
        <v>0</v>
      </c>
      <c r="AP1271">
        <v>120</v>
      </c>
      <c r="AQ1271">
        <v>-36</v>
      </c>
      <c r="AR1271">
        <v>0</v>
      </c>
      <c r="AT1271">
        <v>0</v>
      </c>
      <c r="AU1271">
        <v>0</v>
      </c>
      <c r="AW1271">
        <v>0</v>
      </c>
      <c r="AX1271">
        <v>0</v>
      </c>
      <c r="AY1271">
        <v>338.8</v>
      </c>
      <c r="BC1271" t="str">
        <f t="shared" si="203"/>
        <v>9791137602113</v>
      </c>
      <c r="BE1271" t="str">
        <f t="shared" si="204"/>
        <v>판타지 웹소설 &gt; 현대 판타지</v>
      </c>
    </row>
    <row r="1272" spans="1:57" x14ac:dyDescent="0.3">
      <c r="A1272">
        <v>2313011955</v>
      </c>
      <c r="B1272">
        <v>2313012076</v>
      </c>
      <c r="C1272" t="str">
        <f>T("갓 오브 블랙필드 122화")</f>
        <v>갓 오브 블랙필드 122화</v>
      </c>
      <c r="D1272" t="str">
        <f>T("122")</f>
        <v>122</v>
      </c>
      <c r="E1272" t="str">
        <f t="shared" si="200"/>
        <v>무장</v>
      </c>
      <c r="H1272" t="str">
        <f>T("(주)마야마루출판사")</f>
        <v>(주)마야마루출판사</v>
      </c>
      <c r="I1272" t="str">
        <f t="shared" si="202"/>
        <v>갓 오브 블랙필드</v>
      </c>
      <c r="J1272">
        <v>100</v>
      </c>
      <c r="K1272">
        <v>500</v>
      </c>
      <c r="L1272">
        <v>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500</v>
      </c>
      <c r="AH1272">
        <v>5</v>
      </c>
      <c r="AI1272">
        <v>0</v>
      </c>
      <c r="AJ1272">
        <v>0</v>
      </c>
      <c r="AK1272">
        <v>400</v>
      </c>
      <c r="AL1272">
        <v>0</v>
      </c>
      <c r="AM1272">
        <v>120</v>
      </c>
      <c r="AN1272">
        <v>-36</v>
      </c>
      <c r="AO1272">
        <v>0</v>
      </c>
      <c r="AP1272">
        <v>120</v>
      </c>
      <c r="AQ1272">
        <v>-36</v>
      </c>
      <c r="AR1272">
        <v>0</v>
      </c>
      <c r="AT1272">
        <v>0</v>
      </c>
      <c r="AU1272">
        <v>0</v>
      </c>
      <c r="AW1272">
        <v>0</v>
      </c>
      <c r="AX1272">
        <v>0</v>
      </c>
      <c r="AY1272">
        <v>338.8</v>
      </c>
      <c r="BC1272" t="str">
        <f t="shared" si="203"/>
        <v>9791137602113</v>
      </c>
      <c r="BE1272" t="str">
        <f t="shared" si="204"/>
        <v>판타지 웹소설 &gt; 현대 판타지</v>
      </c>
    </row>
    <row r="1273" spans="1:57" x14ac:dyDescent="0.3">
      <c r="A1273">
        <v>2313011955</v>
      </c>
      <c r="B1273">
        <v>2313012077</v>
      </c>
      <c r="C1273" t="str">
        <f>T("갓 오브 블랙필드 123화")</f>
        <v>갓 오브 블랙필드 123화</v>
      </c>
      <c r="D1273" t="str">
        <f>T("123")</f>
        <v>123</v>
      </c>
      <c r="E1273" t="str">
        <f t="shared" si="200"/>
        <v>무장</v>
      </c>
      <c r="H1273" t="str">
        <f t="shared" ref="H1273:H1324" si="205">T("스토리위즈")</f>
        <v>스토리위즈</v>
      </c>
      <c r="I1273" t="str">
        <f t="shared" si="202"/>
        <v>갓 오브 블랙필드</v>
      </c>
      <c r="J1273">
        <v>100</v>
      </c>
      <c r="K1273">
        <v>500</v>
      </c>
      <c r="L1273">
        <v>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500</v>
      </c>
      <c r="AH1273">
        <v>5</v>
      </c>
      <c r="AI1273">
        <v>0</v>
      </c>
      <c r="AJ1273">
        <v>0</v>
      </c>
      <c r="AK1273">
        <v>400</v>
      </c>
      <c r="AL1273">
        <v>0</v>
      </c>
      <c r="AM1273">
        <v>120</v>
      </c>
      <c r="AN1273">
        <v>-36</v>
      </c>
      <c r="AO1273">
        <v>0</v>
      </c>
      <c r="AP1273">
        <v>120</v>
      </c>
      <c r="AQ1273">
        <v>-36</v>
      </c>
      <c r="AR1273">
        <v>0</v>
      </c>
      <c r="AT1273">
        <v>0</v>
      </c>
      <c r="AU1273">
        <v>0</v>
      </c>
      <c r="AW1273">
        <v>0</v>
      </c>
      <c r="AX1273">
        <v>0</v>
      </c>
      <c r="AY1273">
        <v>338.8</v>
      </c>
      <c r="BC1273" t="str">
        <f t="shared" si="203"/>
        <v>9791137602113</v>
      </c>
      <c r="BE1273" t="str">
        <f t="shared" si="204"/>
        <v>판타지 웹소설 &gt; 현대 판타지</v>
      </c>
    </row>
    <row r="1274" spans="1:57" x14ac:dyDescent="0.3">
      <c r="A1274">
        <v>2313011955</v>
      </c>
      <c r="B1274">
        <v>2313012078</v>
      </c>
      <c r="C1274" t="str">
        <f>T("갓 오브 블랙필드 124화")</f>
        <v>갓 오브 블랙필드 124화</v>
      </c>
      <c r="D1274" t="str">
        <f>T("124")</f>
        <v>124</v>
      </c>
      <c r="E1274" t="str">
        <f t="shared" si="200"/>
        <v>무장</v>
      </c>
      <c r="H1274" t="str">
        <f t="shared" si="205"/>
        <v>스토리위즈</v>
      </c>
      <c r="I1274" t="str">
        <f t="shared" si="202"/>
        <v>갓 오브 블랙필드</v>
      </c>
      <c r="J1274">
        <v>100</v>
      </c>
      <c r="K1274">
        <v>500</v>
      </c>
      <c r="L1274">
        <v>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500</v>
      </c>
      <c r="AH1274">
        <v>5</v>
      </c>
      <c r="AI1274">
        <v>0</v>
      </c>
      <c r="AJ1274">
        <v>0</v>
      </c>
      <c r="AK1274">
        <v>400</v>
      </c>
      <c r="AL1274">
        <v>0</v>
      </c>
      <c r="AM1274">
        <v>120</v>
      </c>
      <c r="AN1274">
        <v>-36</v>
      </c>
      <c r="AO1274">
        <v>0</v>
      </c>
      <c r="AP1274">
        <v>120</v>
      </c>
      <c r="AQ1274">
        <v>-36</v>
      </c>
      <c r="AR1274">
        <v>0</v>
      </c>
      <c r="AT1274">
        <v>0</v>
      </c>
      <c r="AU1274">
        <v>0</v>
      </c>
      <c r="AW1274">
        <v>0</v>
      </c>
      <c r="AX1274">
        <v>0</v>
      </c>
      <c r="AY1274">
        <v>338.8</v>
      </c>
      <c r="BC1274" t="str">
        <f t="shared" si="203"/>
        <v>9791137602113</v>
      </c>
      <c r="BE1274" t="str">
        <f t="shared" si="204"/>
        <v>판타지 웹소설 &gt; 현대 판타지</v>
      </c>
    </row>
    <row r="1275" spans="1:57" x14ac:dyDescent="0.3">
      <c r="A1275">
        <v>2313011955</v>
      </c>
      <c r="B1275">
        <v>2313012079</v>
      </c>
      <c r="C1275" t="str">
        <f>T("갓 오브 블랙필드 125화")</f>
        <v>갓 오브 블랙필드 125화</v>
      </c>
      <c r="D1275" t="str">
        <f>T("125")</f>
        <v>125</v>
      </c>
      <c r="E1275" t="str">
        <f t="shared" si="200"/>
        <v>무장</v>
      </c>
      <c r="H1275" t="str">
        <f t="shared" si="205"/>
        <v>스토리위즈</v>
      </c>
      <c r="I1275" t="str">
        <f t="shared" si="202"/>
        <v>갓 오브 블랙필드</v>
      </c>
      <c r="J1275">
        <v>100</v>
      </c>
      <c r="K1275">
        <v>500</v>
      </c>
      <c r="L1275">
        <v>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500</v>
      </c>
      <c r="AH1275">
        <v>5</v>
      </c>
      <c r="AI1275">
        <v>0</v>
      </c>
      <c r="AJ1275">
        <v>0</v>
      </c>
      <c r="AK1275">
        <v>400</v>
      </c>
      <c r="AL1275">
        <v>0</v>
      </c>
      <c r="AM1275">
        <v>120</v>
      </c>
      <c r="AN1275">
        <v>-36</v>
      </c>
      <c r="AO1275">
        <v>0</v>
      </c>
      <c r="AP1275">
        <v>120</v>
      </c>
      <c r="AQ1275">
        <v>-36</v>
      </c>
      <c r="AR1275">
        <v>0</v>
      </c>
      <c r="AT1275">
        <v>0</v>
      </c>
      <c r="AU1275">
        <v>0</v>
      </c>
      <c r="AW1275">
        <v>0</v>
      </c>
      <c r="AX1275">
        <v>0</v>
      </c>
      <c r="AY1275">
        <v>338.8</v>
      </c>
      <c r="BC1275" t="str">
        <f t="shared" si="203"/>
        <v>9791137602113</v>
      </c>
      <c r="BE1275" t="str">
        <f t="shared" si="204"/>
        <v>판타지 웹소설 &gt; 현대 판타지</v>
      </c>
    </row>
    <row r="1276" spans="1:57" x14ac:dyDescent="0.3">
      <c r="A1276">
        <v>2313011955</v>
      </c>
      <c r="B1276">
        <v>2313012080</v>
      </c>
      <c r="C1276" t="str">
        <f>T("갓 오브 블랙필드 126화")</f>
        <v>갓 오브 블랙필드 126화</v>
      </c>
      <c r="D1276" t="str">
        <f>T("126")</f>
        <v>126</v>
      </c>
      <c r="E1276" t="str">
        <f t="shared" si="200"/>
        <v>무장</v>
      </c>
      <c r="H1276" t="str">
        <f t="shared" si="205"/>
        <v>스토리위즈</v>
      </c>
      <c r="I1276" t="str">
        <f t="shared" si="202"/>
        <v>갓 오브 블랙필드</v>
      </c>
      <c r="J1276">
        <v>100</v>
      </c>
      <c r="K1276">
        <v>500</v>
      </c>
      <c r="L1276">
        <v>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500</v>
      </c>
      <c r="AH1276">
        <v>5</v>
      </c>
      <c r="AI1276">
        <v>0</v>
      </c>
      <c r="AJ1276">
        <v>0</v>
      </c>
      <c r="AK1276">
        <v>400</v>
      </c>
      <c r="AL1276">
        <v>0</v>
      </c>
      <c r="AM1276">
        <v>120</v>
      </c>
      <c r="AN1276">
        <v>-36</v>
      </c>
      <c r="AO1276">
        <v>0</v>
      </c>
      <c r="AP1276">
        <v>120</v>
      </c>
      <c r="AQ1276">
        <v>-36</v>
      </c>
      <c r="AR1276">
        <v>0</v>
      </c>
      <c r="AT1276">
        <v>0</v>
      </c>
      <c r="AU1276">
        <v>0</v>
      </c>
      <c r="AW1276">
        <v>0</v>
      </c>
      <c r="AX1276">
        <v>0</v>
      </c>
      <c r="AY1276">
        <v>338.8</v>
      </c>
      <c r="BC1276" t="str">
        <f t="shared" si="203"/>
        <v>9791137602113</v>
      </c>
      <c r="BE1276" t="str">
        <f t="shared" si="204"/>
        <v>판타지 웹소설 &gt; 현대 판타지</v>
      </c>
    </row>
    <row r="1277" spans="1:57" x14ac:dyDescent="0.3">
      <c r="A1277">
        <v>2313011955</v>
      </c>
      <c r="B1277">
        <v>2313012081</v>
      </c>
      <c r="C1277" t="str">
        <f>T("갓 오브 블랙필드 127화")</f>
        <v>갓 오브 블랙필드 127화</v>
      </c>
      <c r="D1277" t="str">
        <f>T("127")</f>
        <v>127</v>
      </c>
      <c r="E1277" t="str">
        <f t="shared" si="200"/>
        <v>무장</v>
      </c>
      <c r="H1277" t="str">
        <f t="shared" si="205"/>
        <v>스토리위즈</v>
      </c>
      <c r="I1277" t="str">
        <f t="shared" si="202"/>
        <v>갓 오브 블랙필드</v>
      </c>
      <c r="J1277">
        <v>100</v>
      </c>
      <c r="K1277">
        <v>500</v>
      </c>
      <c r="L1277">
        <v>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500</v>
      </c>
      <c r="AH1277">
        <v>5</v>
      </c>
      <c r="AI1277">
        <v>0</v>
      </c>
      <c r="AJ1277">
        <v>0</v>
      </c>
      <c r="AK1277">
        <v>400</v>
      </c>
      <c r="AL1277">
        <v>0</v>
      </c>
      <c r="AM1277">
        <v>120</v>
      </c>
      <c r="AN1277">
        <v>-36</v>
      </c>
      <c r="AO1277">
        <v>0</v>
      </c>
      <c r="AP1277">
        <v>120</v>
      </c>
      <c r="AQ1277">
        <v>-36</v>
      </c>
      <c r="AR1277">
        <v>0</v>
      </c>
      <c r="AT1277">
        <v>0</v>
      </c>
      <c r="AU1277">
        <v>0</v>
      </c>
      <c r="AW1277">
        <v>0</v>
      </c>
      <c r="AX1277">
        <v>0</v>
      </c>
      <c r="AY1277">
        <v>338.8</v>
      </c>
      <c r="BC1277" t="str">
        <f t="shared" si="203"/>
        <v>9791137602113</v>
      </c>
      <c r="BE1277" t="str">
        <f t="shared" si="204"/>
        <v>판타지 웹소설 &gt; 현대 판타지</v>
      </c>
    </row>
    <row r="1278" spans="1:57" x14ac:dyDescent="0.3">
      <c r="A1278">
        <v>2313011955</v>
      </c>
      <c r="B1278">
        <v>2313012082</v>
      </c>
      <c r="C1278" t="str">
        <f>T("갓 오브 블랙필드 128화")</f>
        <v>갓 오브 블랙필드 128화</v>
      </c>
      <c r="D1278" t="str">
        <f>T("128")</f>
        <v>128</v>
      </c>
      <c r="E1278" t="str">
        <f t="shared" si="200"/>
        <v>무장</v>
      </c>
      <c r="H1278" t="str">
        <f t="shared" si="205"/>
        <v>스토리위즈</v>
      </c>
      <c r="I1278" t="str">
        <f t="shared" si="202"/>
        <v>갓 오브 블랙필드</v>
      </c>
      <c r="J1278">
        <v>100</v>
      </c>
      <c r="K1278">
        <v>500</v>
      </c>
      <c r="L1278">
        <v>5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500</v>
      </c>
      <c r="AH1278">
        <v>5</v>
      </c>
      <c r="AI1278">
        <v>0</v>
      </c>
      <c r="AJ1278">
        <v>0</v>
      </c>
      <c r="AK1278">
        <v>450</v>
      </c>
      <c r="AL1278">
        <v>0</v>
      </c>
      <c r="AM1278">
        <v>60</v>
      </c>
      <c r="AN1278">
        <v>-18</v>
      </c>
      <c r="AO1278">
        <v>0</v>
      </c>
      <c r="AP1278">
        <v>60</v>
      </c>
      <c r="AQ1278">
        <v>-18</v>
      </c>
      <c r="AR1278">
        <v>0</v>
      </c>
      <c r="AT1278">
        <v>0</v>
      </c>
      <c r="AU1278">
        <v>0</v>
      </c>
      <c r="AW1278">
        <v>0</v>
      </c>
      <c r="AX1278">
        <v>0</v>
      </c>
      <c r="AY1278">
        <v>344.4</v>
      </c>
      <c r="BC1278" t="str">
        <f t="shared" si="203"/>
        <v>9791137602113</v>
      </c>
      <c r="BE1278" t="str">
        <f t="shared" si="204"/>
        <v>판타지 웹소설 &gt; 현대 판타지</v>
      </c>
    </row>
    <row r="1279" spans="1:57" x14ac:dyDescent="0.3">
      <c r="A1279">
        <v>2313011955</v>
      </c>
      <c r="B1279">
        <v>2313012083</v>
      </c>
      <c r="C1279" t="str">
        <f>T("갓 오브 블랙필드 129화")</f>
        <v>갓 오브 블랙필드 129화</v>
      </c>
      <c r="D1279" t="str">
        <f>T("129")</f>
        <v>129</v>
      </c>
      <c r="E1279" t="str">
        <f t="shared" si="200"/>
        <v>무장</v>
      </c>
      <c r="H1279" t="str">
        <f t="shared" si="205"/>
        <v>스토리위즈</v>
      </c>
      <c r="I1279" t="str">
        <f t="shared" si="202"/>
        <v>갓 오브 블랙필드</v>
      </c>
      <c r="J1279">
        <v>100</v>
      </c>
      <c r="K1279">
        <v>500</v>
      </c>
      <c r="L1279">
        <v>5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500</v>
      </c>
      <c r="AH1279">
        <v>5</v>
      </c>
      <c r="AI1279">
        <v>0</v>
      </c>
      <c r="AJ1279">
        <v>0</v>
      </c>
      <c r="AK1279">
        <v>400</v>
      </c>
      <c r="AL1279">
        <v>0</v>
      </c>
      <c r="AM1279">
        <v>120</v>
      </c>
      <c r="AN1279">
        <v>-36</v>
      </c>
      <c r="AO1279">
        <v>0</v>
      </c>
      <c r="AP1279">
        <v>120</v>
      </c>
      <c r="AQ1279">
        <v>-36</v>
      </c>
      <c r="AR1279">
        <v>0</v>
      </c>
      <c r="AT1279">
        <v>0</v>
      </c>
      <c r="AU1279">
        <v>0</v>
      </c>
      <c r="AW1279">
        <v>0</v>
      </c>
      <c r="AX1279">
        <v>0</v>
      </c>
      <c r="AY1279">
        <v>338.8</v>
      </c>
      <c r="BC1279" t="str">
        <f t="shared" si="203"/>
        <v>9791137602113</v>
      </c>
      <c r="BE1279" t="str">
        <f t="shared" si="204"/>
        <v>판타지 웹소설 &gt; 현대 판타지</v>
      </c>
    </row>
    <row r="1280" spans="1:57" x14ac:dyDescent="0.3">
      <c r="A1280">
        <v>2313011955</v>
      </c>
      <c r="B1280">
        <v>2313012084</v>
      </c>
      <c r="C1280" t="str">
        <f>T("갓 오브 블랙필드 130화")</f>
        <v>갓 오브 블랙필드 130화</v>
      </c>
      <c r="D1280" t="str">
        <f>T("130")</f>
        <v>130</v>
      </c>
      <c r="E1280" t="str">
        <f t="shared" si="200"/>
        <v>무장</v>
      </c>
      <c r="H1280" t="str">
        <f t="shared" si="205"/>
        <v>스토리위즈</v>
      </c>
      <c r="I1280" t="str">
        <f t="shared" si="202"/>
        <v>갓 오브 블랙필드</v>
      </c>
      <c r="J1280">
        <v>100</v>
      </c>
      <c r="K1280">
        <v>500</v>
      </c>
      <c r="L1280">
        <v>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500</v>
      </c>
      <c r="AH1280">
        <v>5</v>
      </c>
      <c r="AI1280">
        <v>0</v>
      </c>
      <c r="AJ1280">
        <v>0</v>
      </c>
      <c r="AK1280">
        <v>400</v>
      </c>
      <c r="AL1280">
        <v>0</v>
      </c>
      <c r="AM1280">
        <v>120</v>
      </c>
      <c r="AN1280">
        <v>-36</v>
      </c>
      <c r="AO1280">
        <v>0</v>
      </c>
      <c r="AP1280">
        <v>120</v>
      </c>
      <c r="AQ1280">
        <v>-36</v>
      </c>
      <c r="AR1280">
        <v>0</v>
      </c>
      <c r="AT1280">
        <v>0</v>
      </c>
      <c r="AU1280">
        <v>0</v>
      </c>
      <c r="AW1280">
        <v>0</v>
      </c>
      <c r="AX1280">
        <v>0</v>
      </c>
      <c r="AY1280">
        <v>338.8</v>
      </c>
      <c r="BC1280" t="str">
        <f t="shared" si="203"/>
        <v>9791137602113</v>
      </c>
      <c r="BE1280" t="str">
        <f t="shared" si="204"/>
        <v>판타지 웹소설 &gt; 현대 판타지</v>
      </c>
    </row>
    <row r="1281" spans="1:57" x14ac:dyDescent="0.3">
      <c r="A1281">
        <v>2313011955</v>
      </c>
      <c r="B1281">
        <v>2313012085</v>
      </c>
      <c r="C1281" t="str">
        <f>T("갓 오브 블랙필드 131화")</f>
        <v>갓 오브 블랙필드 131화</v>
      </c>
      <c r="D1281" t="str">
        <f>T("131")</f>
        <v>131</v>
      </c>
      <c r="E1281" t="str">
        <f t="shared" si="200"/>
        <v>무장</v>
      </c>
      <c r="H1281" t="str">
        <f t="shared" si="205"/>
        <v>스토리위즈</v>
      </c>
      <c r="I1281" t="str">
        <f t="shared" si="202"/>
        <v>갓 오브 블랙필드</v>
      </c>
      <c r="J1281">
        <v>100</v>
      </c>
      <c r="K1281">
        <v>500</v>
      </c>
      <c r="L1281">
        <v>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500</v>
      </c>
      <c r="AH1281">
        <v>5</v>
      </c>
      <c r="AI1281">
        <v>0</v>
      </c>
      <c r="AJ1281">
        <v>0</v>
      </c>
      <c r="AK1281">
        <v>400</v>
      </c>
      <c r="AL1281">
        <v>0</v>
      </c>
      <c r="AM1281">
        <v>120</v>
      </c>
      <c r="AN1281">
        <v>-36</v>
      </c>
      <c r="AO1281">
        <v>0</v>
      </c>
      <c r="AP1281">
        <v>120</v>
      </c>
      <c r="AQ1281">
        <v>-36</v>
      </c>
      <c r="AR1281">
        <v>0</v>
      </c>
      <c r="AT1281">
        <v>0</v>
      </c>
      <c r="AU1281">
        <v>0</v>
      </c>
      <c r="AW1281">
        <v>0</v>
      </c>
      <c r="AX1281">
        <v>0</v>
      </c>
      <c r="AY1281">
        <v>338.8</v>
      </c>
      <c r="BC1281" t="str">
        <f t="shared" si="203"/>
        <v>9791137602113</v>
      </c>
      <c r="BE1281" t="str">
        <f t="shared" si="204"/>
        <v>판타지 웹소설 &gt; 현대 판타지</v>
      </c>
    </row>
    <row r="1282" spans="1:57" x14ac:dyDescent="0.3">
      <c r="A1282">
        <v>2313011955</v>
      </c>
      <c r="B1282">
        <v>2313012086</v>
      </c>
      <c r="C1282" t="str">
        <f>T("갓 오브 블랙필드 132화")</f>
        <v>갓 오브 블랙필드 132화</v>
      </c>
      <c r="D1282" t="str">
        <f>T("132")</f>
        <v>132</v>
      </c>
      <c r="E1282" t="str">
        <f t="shared" si="200"/>
        <v>무장</v>
      </c>
      <c r="H1282" t="str">
        <f t="shared" si="205"/>
        <v>스토리위즈</v>
      </c>
      <c r="I1282" t="str">
        <f t="shared" si="202"/>
        <v>갓 오브 블랙필드</v>
      </c>
      <c r="J1282">
        <v>100</v>
      </c>
      <c r="K1282">
        <v>500</v>
      </c>
      <c r="L1282">
        <v>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500</v>
      </c>
      <c r="AH1282">
        <v>5</v>
      </c>
      <c r="AI1282">
        <v>0</v>
      </c>
      <c r="AJ1282">
        <v>0</v>
      </c>
      <c r="AK1282">
        <v>400</v>
      </c>
      <c r="AL1282">
        <v>0</v>
      </c>
      <c r="AM1282">
        <v>120</v>
      </c>
      <c r="AN1282">
        <v>-36</v>
      </c>
      <c r="AO1282">
        <v>0</v>
      </c>
      <c r="AP1282">
        <v>120</v>
      </c>
      <c r="AQ1282">
        <v>-36</v>
      </c>
      <c r="AR1282">
        <v>0</v>
      </c>
      <c r="AT1282">
        <v>0</v>
      </c>
      <c r="AU1282">
        <v>0</v>
      </c>
      <c r="AW1282">
        <v>0</v>
      </c>
      <c r="AX1282">
        <v>0</v>
      </c>
      <c r="AY1282">
        <v>338.8</v>
      </c>
      <c r="BC1282" t="str">
        <f t="shared" si="203"/>
        <v>9791137602113</v>
      </c>
      <c r="BE1282" t="str">
        <f t="shared" si="204"/>
        <v>판타지 웹소설 &gt; 현대 판타지</v>
      </c>
    </row>
    <row r="1283" spans="1:57" x14ac:dyDescent="0.3">
      <c r="A1283">
        <v>2313011955</v>
      </c>
      <c r="B1283">
        <v>2313012087</v>
      </c>
      <c r="C1283" t="str">
        <f>T("갓 오브 블랙필드 133화")</f>
        <v>갓 오브 블랙필드 133화</v>
      </c>
      <c r="D1283" t="str">
        <f>T("133")</f>
        <v>133</v>
      </c>
      <c r="E1283" t="str">
        <f t="shared" si="200"/>
        <v>무장</v>
      </c>
      <c r="H1283" t="str">
        <f t="shared" si="205"/>
        <v>스토리위즈</v>
      </c>
      <c r="I1283" t="str">
        <f t="shared" si="202"/>
        <v>갓 오브 블랙필드</v>
      </c>
      <c r="J1283">
        <v>100</v>
      </c>
      <c r="K1283">
        <v>500</v>
      </c>
      <c r="L1283">
        <v>5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500</v>
      </c>
      <c r="AH1283">
        <v>5</v>
      </c>
      <c r="AI1283">
        <v>0</v>
      </c>
      <c r="AJ1283">
        <v>0</v>
      </c>
      <c r="AK1283">
        <v>400</v>
      </c>
      <c r="AL1283">
        <v>0</v>
      </c>
      <c r="AM1283">
        <v>120</v>
      </c>
      <c r="AN1283">
        <v>-36</v>
      </c>
      <c r="AO1283">
        <v>0</v>
      </c>
      <c r="AP1283">
        <v>120</v>
      </c>
      <c r="AQ1283">
        <v>-36</v>
      </c>
      <c r="AR1283">
        <v>0</v>
      </c>
      <c r="AT1283">
        <v>0</v>
      </c>
      <c r="AU1283">
        <v>0</v>
      </c>
      <c r="AW1283">
        <v>0</v>
      </c>
      <c r="AX1283">
        <v>0</v>
      </c>
      <c r="AY1283">
        <v>338.8</v>
      </c>
      <c r="BC1283" t="str">
        <f t="shared" si="203"/>
        <v>9791137602113</v>
      </c>
      <c r="BE1283" t="str">
        <f t="shared" si="204"/>
        <v>판타지 웹소설 &gt; 현대 판타지</v>
      </c>
    </row>
    <row r="1284" spans="1:57" x14ac:dyDescent="0.3">
      <c r="A1284">
        <v>2313011955</v>
      </c>
      <c r="B1284">
        <v>2313012088</v>
      </c>
      <c r="C1284" t="str">
        <f>T("갓 오브 블랙필드 134화")</f>
        <v>갓 오브 블랙필드 134화</v>
      </c>
      <c r="D1284" t="str">
        <f>T("134")</f>
        <v>134</v>
      </c>
      <c r="E1284" t="str">
        <f t="shared" si="200"/>
        <v>무장</v>
      </c>
      <c r="H1284" t="str">
        <f t="shared" si="205"/>
        <v>스토리위즈</v>
      </c>
      <c r="I1284" t="str">
        <f t="shared" si="202"/>
        <v>갓 오브 블랙필드</v>
      </c>
      <c r="J1284">
        <v>100</v>
      </c>
      <c r="K1284">
        <v>500</v>
      </c>
      <c r="L1284">
        <v>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500</v>
      </c>
      <c r="AH1284">
        <v>5</v>
      </c>
      <c r="AI1284">
        <v>0</v>
      </c>
      <c r="AJ1284">
        <v>0</v>
      </c>
      <c r="AK1284">
        <v>400</v>
      </c>
      <c r="AL1284">
        <v>0</v>
      </c>
      <c r="AM1284">
        <v>120</v>
      </c>
      <c r="AN1284">
        <v>-36</v>
      </c>
      <c r="AO1284">
        <v>0</v>
      </c>
      <c r="AP1284">
        <v>120</v>
      </c>
      <c r="AQ1284">
        <v>-36</v>
      </c>
      <c r="AR1284">
        <v>0</v>
      </c>
      <c r="AT1284">
        <v>0</v>
      </c>
      <c r="AU1284">
        <v>0</v>
      </c>
      <c r="AW1284">
        <v>0</v>
      </c>
      <c r="AX1284">
        <v>0</v>
      </c>
      <c r="AY1284">
        <v>338.8</v>
      </c>
      <c r="BC1284" t="str">
        <f t="shared" si="203"/>
        <v>9791137602113</v>
      </c>
      <c r="BE1284" t="str">
        <f t="shared" si="204"/>
        <v>판타지 웹소설 &gt; 현대 판타지</v>
      </c>
    </row>
    <row r="1285" spans="1:57" x14ac:dyDescent="0.3">
      <c r="A1285">
        <v>2313011955</v>
      </c>
      <c r="B1285">
        <v>2313012089</v>
      </c>
      <c r="C1285" t="str">
        <f>T("갓 오브 블랙필드 135화")</f>
        <v>갓 오브 블랙필드 135화</v>
      </c>
      <c r="D1285" t="str">
        <f>T("135")</f>
        <v>135</v>
      </c>
      <c r="E1285" t="str">
        <f t="shared" si="200"/>
        <v>무장</v>
      </c>
      <c r="H1285" t="str">
        <f t="shared" si="205"/>
        <v>스토리위즈</v>
      </c>
      <c r="I1285" t="str">
        <f t="shared" si="202"/>
        <v>갓 오브 블랙필드</v>
      </c>
      <c r="J1285">
        <v>100</v>
      </c>
      <c r="K1285">
        <v>500</v>
      </c>
      <c r="L1285">
        <v>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500</v>
      </c>
      <c r="AH1285">
        <v>5</v>
      </c>
      <c r="AI1285">
        <v>0</v>
      </c>
      <c r="AJ1285">
        <v>0</v>
      </c>
      <c r="AK1285">
        <v>400</v>
      </c>
      <c r="AL1285">
        <v>0</v>
      </c>
      <c r="AM1285">
        <v>120</v>
      </c>
      <c r="AN1285">
        <v>-36</v>
      </c>
      <c r="AO1285">
        <v>0</v>
      </c>
      <c r="AP1285">
        <v>120</v>
      </c>
      <c r="AQ1285">
        <v>-36</v>
      </c>
      <c r="AR1285">
        <v>0</v>
      </c>
      <c r="AT1285">
        <v>0</v>
      </c>
      <c r="AU1285">
        <v>0</v>
      </c>
      <c r="AW1285">
        <v>0</v>
      </c>
      <c r="AX1285">
        <v>0</v>
      </c>
      <c r="AY1285">
        <v>338.8</v>
      </c>
      <c r="BC1285" t="str">
        <f t="shared" si="203"/>
        <v>9791137602113</v>
      </c>
      <c r="BE1285" t="str">
        <f t="shared" si="204"/>
        <v>판타지 웹소설 &gt; 현대 판타지</v>
      </c>
    </row>
    <row r="1286" spans="1:57" x14ac:dyDescent="0.3">
      <c r="A1286">
        <v>2313011955</v>
      </c>
      <c r="B1286">
        <v>2313012090</v>
      </c>
      <c r="C1286" t="str">
        <f>T("갓 오브 블랙필드 136화")</f>
        <v>갓 오브 블랙필드 136화</v>
      </c>
      <c r="D1286" t="str">
        <f>T("136")</f>
        <v>136</v>
      </c>
      <c r="E1286" t="str">
        <f t="shared" si="200"/>
        <v>무장</v>
      </c>
      <c r="H1286" t="str">
        <f t="shared" si="205"/>
        <v>스토리위즈</v>
      </c>
      <c r="I1286" t="str">
        <f t="shared" si="202"/>
        <v>갓 오브 블랙필드</v>
      </c>
      <c r="J1286">
        <v>100</v>
      </c>
      <c r="K1286">
        <v>500</v>
      </c>
      <c r="L1286">
        <v>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500</v>
      </c>
      <c r="AH1286">
        <v>5</v>
      </c>
      <c r="AI1286">
        <v>0</v>
      </c>
      <c r="AJ1286">
        <v>0</v>
      </c>
      <c r="AK1286">
        <v>400</v>
      </c>
      <c r="AL1286">
        <v>0</v>
      </c>
      <c r="AM1286">
        <v>120</v>
      </c>
      <c r="AN1286">
        <v>-36</v>
      </c>
      <c r="AO1286">
        <v>0</v>
      </c>
      <c r="AP1286">
        <v>120</v>
      </c>
      <c r="AQ1286">
        <v>-36</v>
      </c>
      <c r="AR1286">
        <v>0</v>
      </c>
      <c r="AT1286">
        <v>0</v>
      </c>
      <c r="AU1286">
        <v>0</v>
      </c>
      <c r="AW1286">
        <v>0</v>
      </c>
      <c r="AX1286">
        <v>0</v>
      </c>
      <c r="AY1286">
        <v>338.8</v>
      </c>
      <c r="BC1286" t="str">
        <f t="shared" si="203"/>
        <v>9791137602113</v>
      </c>
      <c r="BE1286" t="str">
        <f t="shared" si="204"/>
        <v>판타지 웹소설 &gt; 현대 판타지</v>
      </c>
    </row>
    <row r="1287" spans="1:57" x14ac:dyDescent="0.3">
      <c r="A1287">
        <v>2313011955</v>
      </c>
      <c r="B1287">
        <v>2313012091</v>
      </c>
      <c r="C1287" t="str">
        <f>T("갓 오브 블랙필드 137화")</f>
        <v>갓 오브 블랙필드 137화</v>
      </c>
      <c r="D1287" t="str">
        <f>T("137")</f>
        <v>137</v>
      </c>
      <c r="E1287" t="str">
        <f t="shared" si="200"/>
        <v>무장</v>
      </c>
      <c r="H1287" t="str">
        <f t="shared" si="205"/>
        <v>스토리위즈</v>
      </c>
      <c r="I1287" t="str">
        <f t="shared" si="202"/>
        <v>갓 오브 블랙필드</v>
      </c>
      <c r="J1287">
        <v>100</v>
      </c>
      <c r="K1287">
        <v>500</v>
      </c>
      <c r="L1287">
        <v>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500</v>
      </c>
      <c r="AH1287">
        <v>5</v>
      </c>
      <c r="AI1287">
        <v>0</v>
      </c>
      <c r="AJ1287">
        <v>0</v>
      </c>
      <c r="AK1287">
        <v>400</v>
      </c>
      <c r="AL1287">
        <v>0</v>
      </c>
      <c r="AM1287">
        <v>120</v>
      </c>
      <c r="AN1287">
        <v>-36</v>
      </c>
      <c r="AO1287">
        <v>0</v>
      </c>
      <c r="AP1287">
        <v>120</v>
      </c>
      <c r="AQ1287">
        <v>-36</v>
      </c>
      <c r="AR1287">
        <v>0</v>
      </c>
      <c r="AT1287">
        <v>0</v>
      </c>
      <c r="AU1287">
        <v>0</v>
      </c>
      <c r="AW1287">
        <v>0</v>
      </c>
      <c r="AX1287">
        <v>0</v>
      </c>
      <c r="AY1287">
        <v>338.8</v>
      </c>
      <c r="BC1287" t="str">
        <f t="shared" si="203"/>
        <v>9791137602113</v>
      </c>
      <c r="BE1287" t="str">
        <f t="shared" si="204"/>
        <v>판타지 웹소설 &gt; 현대 판타지</v>
      </c>
    </row>
    <row r="1288" spans="1:57" x14ac:dyDescent="0.3">
      <c r="A1288">
        <v>2313011955</v>
      </c>
      <c r="B1288">
        <v>2313012092</v>
      </c>
      <c r="C1288" t="str">
        <f>T("갓 오브 블랙필드 138화")</f>
        <v>갓 오브 블랙필드 138화</v>
      </c>
      <c r="D1288" t="str">
        <f>T("138")</f>
        <v>138</v>
      </c>
      <c r="E1288" t="str">
        <f t="shared" si="200"/>
        <v>무장</v>
      </c>
      <c r="H1288" t="str">
        <f t="shared" si="205"/>
        <v>스토리위즈</v>
      </c>
      <c r="I1288" t="str">
        <f t="shared" si="202"/>
        <v>갓 오브 블랙필드</v>
      </c>
      <c r="J1288">
        <v>100</v>
      </c>
      <c r="K1288">
        <v>500</v>
      </c>
      <c r="L1288">
        <v>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500</v>
      </c>
      <c r="AH1288">
        <v>5</v>
      </c>
      <c r="AI1288">
        <v>0</v>
      </c>
      <c r="AJ1288">
        <v>0</v>
      </c>
      <c r="AK1288">
        <v>400</v>
      </c>
      <c r="AL1288">
        <v>0</v>
      </c>
      <c r="AM1288">
        <v>120</v>
      </c>
      <c r="AN1288">
        <v>-36</v>
      </c>
      <c r="AO1288">
        <v>0</v>
      </c>
      <c r="AP1288">
        <v>120</v>
      </c>
      <c r="AQ1288">
        <v>-36</v>
      </c>
      <c r="AR1288">
        <v>0</v>
      </c>
      <c r="AT1288">
        <v>0</v>
      </c>
      <c r="AU1288">
        <v>0</v>
      </c>
      <c r="AW1288">
        <v>0</v>
      </c>
      <c r="AX1288">
        <v>0</v>
      </c>
      <c r="AY1288">
        <v>338.8</v>
      </c>
      <c r="BC1288" t="str">
        <f t="shared" si="203"/>
        <v>9791137602113</v>
      </c>
      <c r="BE1288" t="str">
        <f t="shared" si="204"/>
        <v>판타지 웹소설 &gt; 현대 판타지</v>
      </c>
    </row>
    <row r="1289" spans="1:57" x14ac:dyDescent="0.3">
      <c r="A1289">
        <v>2313011955</v>
      </c>
      <c r="B1289">
        <v>2313012093</v>
      </c>
      <c r="C1289" t="str">
        <f>T("갓 오브 블랙필드 139화")</f>
        <v>갓 오브 블랙필드 139화</v>
      </c>
      <c r="D1289" t="str">
        <f>T("139")</f>
        <v>139</v>
      </c>
      <c r="E1289" t="str">
        <f t="shared" si="200"/>
        <v>무장</v>
      </c>
      <c r="H1289" t="str">
        <f t="shared" si="205"/>
        <v>스토리위즈</v>
      </c>
      <c r="I1289" t="str">
        <f t="shared" si="202"/>
        <v>갓 오브 블랙필드</v>
      </c>
      <c r="J1289">
        <v>100</v>
      </c>
      <c r="K1289">
        <v>500</v>
      </c>
      <c r="L1289">
        <v>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500</v>
      </c>
      <c r="AH1289">
        <v>5</v>
      </c>
      <c r="AI1289">
        <v>0</v>
      </c>
      <c r="AJ1289">
        <v>0</v>
      </c>
      <c r="AK1289">
        <v>400</v>
      </c>
      <c r="AL1289">
        <v>0</v>
      </c>
      <c r="AM1289">
        <v>120</v>
      </c>
      <c r="AN1289">
        <v>-36</v>
      </c>
      <c r="AO1289">
        <v>0</v>
      </c>
      <c r="AP1289">
        <v>120</v>
      </c>
      <c r="AQ1289">
        <v>-36</v>
      </c>
      <c r="AR1289">
        <v>0</v>
      </c>
      <c r="AT1289">
        <v>0</v>
      </c>
      <c r="AU1289">
        <v>0</v>
      </c>
      <c r="AW1289">
        <v>0</v>
      </c>
      <c r="AX1289">
        <v>0</v>
      </c>
      <c r="AY1289">
        <v>338.8</v>
      </c>
      <c r="BC1289" t="str">
        <f t="shared" si="203"/>
        <v>9791137602113</v>
      </c>
      <c r="BE1289" t="str">
        <f t="shared" si="204"/>
        <v>판타지 웹소설 &gt; 현대 판타지</v>
      </c>
    </row>
    <row r="1290" spans="1:57" x14ac:dyDescent="0.3">
      <c r="A1290">
        <v>2313011955</v>
      </c>
      <c r="B1290">
        <v>2313012094</v>
      </c>
      <c r="C1290" t="str">
        <f>T("갓 오브 블랙필드 140화")</f>
        <v>갓 오브 블랙필드 140화</v>
      </c>
      <c r="D1290" t="str">
        <f>T("140")</f>
        <v>140</v>
      </c>
      <c r="E1290" t="str">
        <f t="shared" si="200"/>
        <v>무장</v>
      </c>
      <c r="H1290" t="str">
        <f t="shared" si="205"/>
        <v>스토리위즈</v>
      </c>
      <c r="I1290" t="str">
        <f t="shared" si="202"/>
        <v>갓 오브 블랙필드</v>
      </c>
      <c r="J1290">
        <v>100</v>
      </c>
      <c r="K1290">
        <v>500</v>
      </c>
      <c r="L1290">
        <v>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500</v>
      </c>
      <c r="AH1290">
        <v>5</v>
      </c>
      <c r="AI1290">
        <v>0</v>
      </c>
      <c r="AJ1290">
        <v>0</v>
      </c>
      <c r="AK1290">
        <v>400</v>
      </c>
      <c r="AL1290">
        <v>0</v>
      </c>
      <c r="AM1290">
        <v>120</v>
      </c>
      <c r="AN1290">
        <v>-36</v>
      </c>
      <c r="AO1290">
        <v>0</v>
      </c>
      <c r="AP1290">
        <v>120</v>
      </c>
      <c r="AQ1290">
        <v>-36</v>
      </c>
      <c r="AR1290">
        <v>0</v>
      </c>
      <c r="AT1290">
        <v>0</v>
      </c>
      <c r="AU1290">
        <v>0</v>
      </c>
      <c r="AW1290">
        <v>0</v>
      </c>
      <c r="AX1290">
        <v>0</v>
      </c>
      <c r="AY1290">
        <v>338.8</v>
      </c>
      <c r="BC1290" t="str">
        <f t="shared" si="203"/>
        <v>9791137602113</v>
      </c>
      <c r="BE1290" t="str">
        <f t="shared" si="204"/>
        <v>판타지 웹소설 &gt; 현대 판타지</v>
      </c>
    </row>
    <row r="1291" spans="1:57" x14ac:dyDescent="0.3">
      <c r="A1291">
        <v>2313011955</v>
      </c>
      <c r="B1291">
        <v>2313012095</v>
      </c>
      <c r="C1291" t="str">
        <f>T("갓 오브 블랙필드 141화")</f>
        <v>갓 오브 블랙필드 141화</v>
      </c>
      <c r="D1291" t="str">
        <f>T("141")</f>
        <v>141</v>
      </c>
      <c r="E1291" t="str">
        <f t="shared" si="200"/>
        <v>무장</v>
      </c>
      <c r="H1291" t="str">
        <f t="shared" si="205"/>
        <v>스토리위즈</v>
      </c>
      <c r="I1291" t="str">
        <f t="shared" si="202"/>
        <v>갓 오브 블랙필드</v>
      </c>
      <c r="J1291">
        <v>100</v>
      </c>
      <c r="K1291">
        <v>500</v>
      </c>
      <c r="L1291">
        <v>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500</v>
      </c>
      <c r="AH1291">
        <v>5</v>
      </c>
      <c r="AI1291">
        <v>0</v>
      </c>
      <c r="AJ1291">
        <v>0</v>
      </c>
      <c r="AK1291">
        <v>400</v>
      </c>
      <c r="AL1291">
        <v>0</v>
      </c>
      <c r="AM1291">
        <v>120</v>
      </c>
      <c r="AN1291">
        <v>-36</v>
      </c>
      <c r="AO1291">
        <v>0</v>
      </c>
      <c r="AP1291">
        <v>120</v>
      </c>
      <c r="AQ1291">
        <v>-36</v>
      </c>
      <c r="AR1291">
        <v>0</v>
      </c>
      <c r="AT1291">
        <v>0</v>
      </c>
      <c r="AU1291">
        <v>0</v>
      </c>
      <c r="AW1291">
        <v>0</v>
      </c>
      <c r="AX1291">
        <v>0</v>
      </c>
      <c r="AY1291">
        <v>338.8</v>
      </c>
      <c r="BC1291" t="str">
        <f t="shared" si="203"/>
        <v>9791137602113</v>
      </c>
      <c r="BE1291" t="str">
        <f t="shared" si="204"/>
        <v>판타지 웹소설 &gt; 현대 판타지</v>
      </c>
    </row>
    <row r="1292" spans="1:57" x14ac:dyDescent="0.3">
      <c r="A1292">
        <v>2313011955</v>
      </c>
      <c r="B1292">
        <v>2313012096</v>
      </c>
      <c r="C1292" t="str">
        <f>T("갓 오브 블랙필드 142화")</f>
        <v>갓 오브 블랙필드 142화</v>
      </c>
      <c r="D1292" t="str">
        <f>T("142")</f>
        <v>142</v>
      </c>
      <c r="E1292" t="str">
        <f t="shared" si="200"/>
        <v>무장</v>
      </c>
      <c r="H1292" t="str">
        <f t="shared" si="205"/>
        <v>스토리위즈</v>
      </c>
      <c r="I1292" t="str">
        <f t="shared" si="202"/>
        <v>갓 오브 블랙필드</v>
      </c>
      <c r="J1292">
        <v>100</v>
      </c>
      <c r="K1292">
        <v>500</v>
      </c>
      <c r="L1292">
        <v>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500</v>
      </c>
      <c r="AH1292">
        <v>5</v>
      </c>
      <c r="AI1292">
        <v>0</v>
      </c>
      <c r="AJ1292">
        <v>0</v>
      </c>
      <c r="AK1292">
        <v>400</v>
      </c>
      <c r="AL1292">
        <v>0</v>
      </c>
      <c r="AM1292">
        <v>120</v>
      </c>
      <c r="AN1292">
        <v>-36</v>
      </c>
      <c r="AO1292">
        <v>0</v>
      </c>
      <c r="AP1292">
        <v>120</v>
      </c>
      <c r="AQ1292">
        <v>-36</v>
      </c>
      <c r="AR1292">
        <v>0</v>
      </c>
      <c r="AT1292">
        <v>0</v>
      </c>
      <c r="AU1292">
        <v>0</v>
      </c>
      <c r="AW1292">
        <v>0</v>
      </c>
      <c r="AX1292">
        <v>0</v>
      </c>
      <c r="AY1292">
        <v>338.8</v>
      </c>
      <c r="BC1292" t="str">
        <f t="shared" si="203"/>
        <v>9791137602113</v>
      </c>
      <c r="BE1292" t="str">
        <f t="shared" si="204"/>
        <v>판타지 웹소설 &gt; 현대 판타지</v>
      </c>
    </row>
    <row r="1293" spans="1:57" x14ac:dyDescent="0.3">
      <c r="A1293">
        <v>2313011955</v>
      </c>
      <c r="B1293">
        <v>2313012097</v>
      </c>
      <c r="C1293" t="str">
        <f>T("갓 오브 블랙필드 143화")</f>
        <v>갓 오브 블랙필드 143화</v>
      </c>
      <c r="D1293" t="str">
        <f>T("143")</f>
        <v>143</v>
      </c>
      <c r="E1293" t="str">
        <f t="shared" si="200"/>
        <v>무장</v>
      </c>
      <c r="H1293" t="str">
        <f t="shared" si="205"/>
        <v>스토리위즈</v>
      </c>
      <c r="I1293" t="str">
        <f t="shared" si="202"/>
        <v>갓 오브 블랙필드</v>
      </c>
      <c r="J1293">
        <v>100</v>
      </c>
      <c r="K1293">
        <v>500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500</v>
      </c>
      <c r="AH1293">
        <v>5</v>
      </c>
      <c r="AI1293">
        <v>0</v>
      </c>
      <c r="AJ1293">
        <v>0</v>
      </c>
      <c r="AK1293">
        <v>400</v>
      </c>
      <c r="AL1293">
        <v>0</v>
      </c>
      <c r="AM1293">
        <v>120</v>
      </c>
      <c r="AN1293">
        <v>-36</v>
      </c>
      <c r="AO1293">
        <v>0</v>
      </c>
      <c r="AP1293">
        <v>120</v>
      </c>
      <c r="AQ1293">
        <v>-36</v>
      </c>
      <c r="AR1293">
        <v>0</v>
      </c>
      <c r="AT1293">
        <v>0</v>
      </c>
      <c r="AU1293">
        <v>0</v>
      </c>
      <c r="AW1293">
        <v>0</v>
      </c>
      <c r="AX1293">
        <v>0</v>
      </c>
      <c r="AY1293">
        <v>338.8</v>
      </c>
      <c r="BC1293" t="str">
        <f t="shared" si="203"/>
        <v>9791137602113</v>
      </c>
      <c r="BE1293" t="str">
        <f t="shared" si="204"/>
        <v>판타지 웹소설 &gt; 현대 판타지</v>
      </c>
    </row>
    <row r="1294" spans="1:57" x14ac:dyDescent="0.3">
      <c r="A1294">
        <v>2313011955</v>
      </c>
      <c r="B1294">
        <v>2313012098</v>
      </c>
      <c r="C1294" t="str">
        <f>T("갓 오브 블랙필드 144화")</f>
        <v>갓 오브 블랙필드 144화</v>
      </c>
      <c r="D1294" t="str">
        <f>T("144")</f>
        <v>144</v>
      </c>
      <c r="E1294" t="str">
        <f t="shared" si="200"/>
        <v>무장</v>
      </c>
      <c r="H1294" t="str">
        <f t="shared" si="205"/>
        <v>스토리위즈</v>
      </c>
      <c r="I1294" t="str">
        <f t="shared" si="202"/>
        <v>갓 오브 블랙필드</v>
      </c>
      <c r="J1294">
        <v>100</v>
      </c>
      <c r="K1294">
        <v>500</v>
      </c>
      <c r="L1294">
        <v>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500</v>
      </c>
      <c r="AH1294">
        <v>5</v>
      </c>
      <c r="AI1294">
        <v>0</v>
      </c>
      <c r="AJ1294">
        <v>0</v>
      </c>
      <c r="AK1294">
        <v>400</v>
      </c>
      <c r="AL1294">
        <v>0</v>
      </c>
      <c r="AM1294">
        <v>120</v>
      </c>
      <c r="AN1294">
        <v>-36</v>
      </c>
      <c r="AO1294">
        <v>0</v>
      </c>
      <c r="AP1294">
        <v>120</v>
      </c>
      <c r="AQ1294">
        <v>-36</v>
      </c>
      <c r="AR1294">
        <v>0</v>
      </c>
      <c r="AT1294">
        <v>0</v>
      </c>
      <c r="AU1294">
        <v>0</v>
      </c>
      <c r="AW1294">
        <v>0</v>
      </c>
      <c r="AX1294">
        <v>0</v>
      </c>
      <c r="AY1294">
        <v>338.8</v>
      </c>
      <c r="BC1294" t="str">
        <f t="shared" si="203"/>
        <v>9791137602113</v>
      </c>
      <c r="BE1294" t="str">
        <f t="shared" si="204"/>
        <v>판타지 웹소설 &gt; 현대 판타지</v>
      </c>
    </row>
    <row r="1295" spans="1:57" x14ac:dyDescent="0.3">
      <c r="A1295">
        <v>2313011955</v>
      </c>
      <c r="B1295">
        <v>2313012099</v>
      </c>
      <c r="C1295" t="str">
        <f>T("갓 오브 블랙필드 145화")</f>
        <v>갓 오브 블랙필드 145화</v>
      </c>
      <c r="D1295" t="str">
        <f>T("145")</f>
        <v>145</v>
      </c>
      <c r="E1295" t="str">
        <f t="shared" si="200"/>
        <v>무장</v>
      </c>
      <c r="H1295" t="str">
        <f t="shared" si="205"/>
        <v>스토리위즈</v>
      </c>
      <c r="I1295" t="str">
        <f t="shared" si="202"/>
        <v>갓 오브 블랙필드</v>
      </c>
      <c r="J1295">
        <v>100</v>
      </c>
      <c r="K1295">
        <v>500</v>
      </c>
      <c r="L1295">
        <v>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500</v>
      </c>
      <c r="AH1295">
        <v>5</v>
      </c>
      <c r="AI1295">
        <v>0</v>
      </c>
      <c r="AJ1295">
        <v>0</v>
      </c>
      <c r="AK1295">
        <v>400</v>
      </c>
      <c r="AL1295">
        <v>0</v>
      </c>
      <c r="AM1295">
        <v>120</v>
      </c>
      <c r="AN1295">
        <v>-36</v>
      </c>
      <c r="AO1295">
        <v>0</v>
      </c>
      <c r="AP1295">
        <v>120</v>
      </c>
      <c r="AQ1295">
        <v>-36</v>
      </c>
      <c r="AR1295">
        <v>0</v>
      </c>
      <c r="AT1295">
        <v>0</v>
      </c>
      <c r="AU1295">
        <v>0</v>
      </c>
      <c r="AW1295">
        <v>0</v>
      </c>
      <c r="AX1295">
        <v>0</v>
      </c>
      <c r="AY1295">
        <v>338.8</v>
      </c>
      <c r="BC1295" t="str">
        <f t="shared" si="203"/>
        <v>9791137602113</v>
      </c>
      <c r="BE1295" t="str">
        <f t="shared" si="204"/>
        <v>판타지 웹소설 &gt; 현대 판타지</v>
      </c>
    </row>
    <row r="1296" spans="1:57" x14ac:dyDescent="0.3">
      <c r="A1296">
        <v>2313011955</v>
      </c>
      <c r="B1296">
        <v>2313012100</v>
      </c>
      <c r="C1296" t="str">
        <f>T("갓 오브 블랙필드 146화")</f>
        <v>갓 오브 블랙필드 146화</v>
      </c>
      <c r="D1296" t="str">
        <f>T("146")</f>
        <v>146</v>
      </c>
      <c r="E1296" t="str">
        <f t="shared" si="200"/>
        <v>무장</v>
      </c>
      <c r="H1296" t="str">
        <f t="shared" si="205"/>
        <v>스토리위즈</v>
      </c>
      <c r="I1296" t="str">
        <f t="shared" si="202"/>
        <v>갓 오브 블랙필드</v>
      </c>
      <c r="J1296">
        <v>100</v>
      </c>
      <c r="K1296">
        <v>500</v>
      </c>
      <c r="L1296">
        <v>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500</v>
      </c>
      <c r="AH1296">
        <v>5</v>
      </c>
      <c r="AI1296">
        <v>0</v>
      </c>
      <c r="AJ1296">
        <v>0</v>
      </c>
      <c r="AK1296">
        <v>400</v>
      </c>
      <c r="AL1296">
        <v>0</v>
      </c>
      <c r="AM1296">
        <v>120</v>
      </c>
      <c r="AN1296">
        <v>-36</v>
      </c>
      <c r="AO1296">
        <v>0</v>
      </c>
      <c r="AP1296">
        <v>120</v>
      </c>
      <c r="AQ1296">
        <v>-36</v>
      </c>
      <c r="AR1296">
        <v>0</v>
      </c>
      <c r="AT1296">
        <v>0</v>
      </c>
      <c r="AU1296">
        <v>0</v>
      </c>
      <c r="AW1296">
        <v>0</v>
      </c>
      <c r="AX1296">
        <v>0</v>
      </c>
      <c r="AY1296">
        <v>338.8</v>
      </c>
      <c r="BC1296" t="str">
        <f t="shared" si="203"/>
        <v>9791137602113</v>
      </c>
      <c r="BE1296" t="str">
        <f t="shared" si="204"/>
        <v>판타지 웹소설 &gt; 현대 판타지</v>
      </c>
    </row>
    <row r="1297" spans="1:57" x14ac:dyDescent="0.3">
      <c r="A1297">
        <v>2313011955</v>
      </c>
      <c r="B1297">
        <v>2313012101</v>
      </c>
      <c r="C1297" t="str">
        <f>T("갓 오브 블랙필드 147화")</f>
        <v>갓 오브 블랙필드 147화</v>
      </c>
      <c r="D1297" t="str">
        <f>T("147")</f>
        <v>147</v>
      </c>
      <c r="E1297" t="str">
        <f t="shared" si="200"/>
        <v>무장</v>
      </c>
      <c r="H1297" t="str">
        <f t="shared" si="205"/>
        <v>스토리위즈</v>
      </c>
      <c r="I1297" t="str">
        <f t="shared" si="202"/>
        <v>갓 오브 블랙필드</v>
      </c>
      <c r="J1297">
        <v>100</v>
      </c>
      <c r="K1297">
        <v>500</v>
      </c>
      <c r="L1297">
        <v>5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500</v>
      </c>
      <c r="AH1297">
        <v>5</v>
      </c>
      <c r="AI1297">
        <v>0</v>
      </c>
      <c r="AJ1297">
        <v>0</v>
      </c>
      <c r="AK1297">
        <v>400</v>
      </c>
      <c r="AL1297">
        <v>0</v>
      </c>
      <c r="AM1297">
        <v>120</v>
      </c>
      <c r="AN1297">
        <v>-36</v>
      </c>
      <c r="AO1297">
        <v>0</v>
      </c>
      <c r="AP1297">
        <v>120</v>
      </c>
      <c r="AQ1297">
        <v>-36</v>
      </c>
      <c r="AR1297">
        <v>0</v>
      </c>
      <c r="AT1297">
        <v>0</v>
      </c>
      <c r="AU1297">
        <v>0</v>
      </c>
      <c r="AW1297">
        <v>0</v>
      </c>
      <c r="AX1297">
        <v>0</v>
      </c>
      <c r="AY1297">
        <v>338.8</v>
      </c>
      <c r="BC1297" t="str">
        <f t="shared" si="203"/>
        <v>9791137602113</v>
      </c>
      <c r="BE1297" t="str">
        <f t="shared" si="204"/>
        <v>판타지 웹소설 &gt; 현대 판타지</v>
      </c>
    </row>
    <row r="1298" spans="1:57" x14ac:dyDescent="0.3">
      <c r="A1298">
        <v>2313011955</v>
      </c>
      <c r="B1298">
        <v>2313012102</v>
      </c>
      <c r="C1298" t="str">
        <f>T("갓 오브 블랙필드 148화")</f>
        <v>갓 오브 블랙필드 148화</v>
      </c>
      <c r="D1298" t="str">
        <f>T("148")</f>
        <v>148</v>
      </c>
      <c r="E1298" t="str">
        <f t="shared" si="200"/>
        <v>무장</v>
      </c>
      <c r="H1298" t="str">
        <f t="shared" si="205"/>
        <v>스토리위즈</v>
      </c>
      <c r="I1298" t="str">
        <f t="shared" si="202"/>
        <v>갓 오브 블랙필드</v>
      </c>
      <c r="J1298">
        <v>100</v>
      </c>
      <c r="K1298">
        <v>500</v>
      </c>
      <c r="L1298">
        <v>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500</v>
      </c>
      <c r="AH1298">
        <v>5</v>
      </c>
      <c r="AI1298">
        <v>0</v>
      </c>
      <c r="AJ1298">
        <v>0</v>
      </c>
      <c r="AK1298">
        <v>400</v>
      </c>
      <c r="AL1298">
        <v>0</v>
      </c>
      <c r="AM1298">
        <v>120</v>
      </c>
      <c r="AN1298">
        <v>-36</v>
      </c>
      <c r="AO1298">
        <v>0</v>
      </c>
      <c r="AP1298">
        <v>120</v>
      </c>
      <c r="AQ1298">
        <v>-36</v>
      </c>
      <c r="AR1298">
        <v>0</v>
      </c>
      <c r="AT1298">
        <v>0</v>
      </c>
      <c r="AU1298">
        <v>0</v>
      </c>
      <c r="AW1298">
        <v>0</v>
      </c>
      <c r="AX1298">
        <v>0</v>
      </c>
      <c r="AY1298">
        <v>338.8</v>
      </c>
      <c r="BC1298" t="str">
        <f t="shared" si="203"/>
        <v>9791137602113</v>
      </c>
      <c r="BE1298" t="str">
        <f t="shared" si="204"/>
        <v>판타지 웹소설 &gt; 현대 판타지</v>
      </c>
    </row>
    <row r="1299" spans="1:57" x14ac:dyDescent="0.3">
      <c r="A1299">
        <v>2313011955</v>
      </c>
      <c r="B1299">
        <v>2313012103</v>
      </c>
      <c r="C1299" t="str">
        <f>T("갓 오브 블랙필드 149화")</f>
        <v>갓 오브 블랙필드 149화</v>
      </c>
      <c r="D1299" t="str">
        <f>T("149")</f>
        <v>149</v>
      </c>
      <c r="E1299" t="str">
        <f t="shared" si="200"/>
        <v>무장</v>
      </c>
      <c r="H1299" t="str">
        <f t="shared" si="205"/>
        <v>스토리위즈</v>
      </c>
      <c r="I1299" t="str">
        <f t="shared" si="202"/>
        <v>갓 오브 블랙필드</v>
      </c>
      <c r="J1299">
        <v>100</v>
      </c>
      <c r="K1299">
        <v>500</v>
      </c>
      <c r="L1299">
        <v>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500</v>
      </c>
      <c r="AH1299">
        <v>5</v>
      </c>
      <c r="AI1299">
        <v>0</v>
      </c>
      <c r="AJ1299">
        <v>0</v>
      </c>
      <c r="AK1299">
        <v>400</v>
      </c>
      <c r="AL1299">
        <v>0</v>
      </c>
      <c r="AM1299">
        <v>120</v>
      </c>
      <c r="AN1299">
        <v>-36</v>
      </c>
      <c r="AO1299">
        <v>0</v>
      </c>
      <c r="AP1299">
        <v>120</v>
      </c>
      <c r="AQ1299">
        <v>-36</v>
      </c>
      <c r="AR1299">
        <v>0</v>
      </c>
      <c r="AT1299">
        <v>0</v>
      </c>
      <c r="AU1299">
        <v>0</v>
      </c>
      <c r="AW1299">
        <v>0</v>
      </c>
      <c r="AX1299">
        <v>0</v>
      </c>
      <c r="AY1299">
        <v>338.8</v>
      </c>
      <c r="BC1299" t="str">
        <f t="shared" si="203"/>
        <v>9791137602113</v>
      </c>
      <c r="BE1299" t="str">
        <f t="shared" si="204"/>
        <v>판타지 웹소설 &gt; 현대 판타지</v>
      </c>
    </row>
    <row r="1300" spans="1:57" x14ac:dyDescent="0.3">
      <c r="A1300">
        <v>2313011955</v>
      </c>
      <c r="B1300">
        <v>2313012104</v>
      </c>
      <c r="C1300" t="str">
        <f>T("갓 오브 블랙필드 150화")</f>
        <v>갓 오브 블랙필드 150화</v>
      </c>
      <c r="D1300" t="str">
        <f>T("150")</f>
        <v>150</v>
      </c>
      <c r="E1300" t="str">
        <f t="shared" si="200"/>
        <v>무장</v>
      </c>
      <c r="H1300" t="str">
        <f t="shared" si="205"/>
        <v>스토리위즈</v>
      </c>
      <c r="I1300" t="str">
        <f t="shared" si="202"/>
        <v>갓 오브 블랙필드</v>
      </c>
      <c r="J1300">
        <v>100</v>
      </c>
      <c r="K1300">
        <v>500</v>
      </c>
      <c r="L1300">
        <v>5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500</v>
      </c>
      <c r="AH1300">
        <v>5</v>
      </c>
      <c r="AI1300">
        <v>0</v>
      </c>
      <c r="AJ1300">
        <v>0</v>
      </c>
      <c r="AK1300">
        <v>400</v>
      </c>
      <c r="AL1300">
        <v>0</v>
      </c>
      <c r="AM1300">
        <v>120</v>
      </c>
      <c r="AN1300">
        <v>-36</v>
      </c>
      <c r="AO1300">
        <v>0</v>
      </c>
      <c r="AP1300">
        <v>120</v>
      </c>
      <c r="AQ1300">
        <v>-36</v>
      </c>
      <c r="AR1300">
        <v>0</v>
      </c>
      <c r="AT1300">
        <v>0</v>
      </c>
      <c r="AU1300">
        <v>0</v>
      </c>
      <c r="AW1300">
        <v>0</v>
      </c>
      <c r="AX1300">
        <v>0</v>
      </c>
      <c r="AY1300">
        <v>338.8</v>
      </c>
      <c r="BC1300" t="str">
        <f t="shared" si="203"/>
        <v>9791137602113</v>
      </c>
      <c r="BE1300" t="str">
        <f t="shared" si="204"/>
        <v>판타지 웹소설 &gt; 현대 판타지</v>
      </c>
    </row>
    <row r="1301" spans="1:57" x14ac:dyDescent="0.3">
      <c r="A1301">
        <v>2313011955</v>
      </c>
      <c r="B1301">
        <v>2313012105</v>
      </c>
      <c r="C1301" t="str">
        <f>T("갓 오브 블랙필드 151화")</f>
        <v>갓 오브 블랙필드 151화</v>
      </c>
      <c r="D1301" t="str">
        <f>T("151")</f>
        <v>151</v>
      </c>
      <c r="E1301" t="str">
        <f t="shared" si="200"/>
        <v>무장</v>
      </c>
      <c r="H1301" t="str">
        <f t="shared" si="205"/>
        <v>스토리위즈</v>
      </c>
      <c r="I1301" t="str">
        <f t="shared" si="202"/>
        <v>갓 오브 블랙필드</v>
      </c>
      <c r="J1301">
        <v>100</v>
      </c>
      <c r="K1301">
        <v>500</v>
      </c>
      <c r="L1301">
        <v>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500</v>
      </c>
      <c r="AH1301">
        <v>5</v>
      </c>
      <c r="AI1301">
        <v>0</v>
      </c>
      <c r="AJ1301">
        <v>0</v>
      </c>
      <c r="AK1301">
        <v>400</v>
      </c>
      <c r="AL1301">
        <v>0</v>
      </c>
      <c r="AM1301">
        <v>120</v>
      </c>
      <c r="AN1301">
        <v>-36</v>
      </c>
      <c r="AO1301">
        <v>0</v>
      </c>
      <c r="AP1301">
        <v>120</v>
      </c>
      <c r="AQ1301">
        <v>-36</v>
      </c>
      <c r="AR1301">
        <v>0</v>
      </c>
      <c r="AT1301">
        <v>0</v>
      </c>
      <c r="AU1301">
        <v>0</v>
      </c>
      <c r="AW1301">
        <v>0</v>
      </c>
      <c r="AX1301">
        <v>0</v>
      </c>
      <c r="AY1301">
        <v>338.8</v>
      </c>
      <c r="BC1301" t="str">
        <f t="shared" si="203"/>
        <v>9791137602113</v>
      </c>
      <c r="BE1301" t="str">
        <f t="shared" si="204"/>
        <v>판타지 웹소설 &gt; 현대 판타지</v>
      </c>
    </row>
    <row r="1302" spans="1:57" x14ac:dyDescent="0.3">
      <c r="A1302">
        <v>2313011955</v>
      </c>
      <c r="B1302">
        <v>2313012114</v>
      </c>
      <c r="C1302" t="str">
        <f>T("갓 오브 블랙필드 160화")</f>
        <v>갓 오브 블랙필드 160화</v>
      </c>
      <c r="D1302" t="str">
        <f>T("160")</f>
        <v>160</v>
      </c>
      <c r="E1302" t="str">
        <f t="shared" si="200"/>
        <v>무장</v>
      </c>
      <c r="H1302" t="str">
        <f t="shared" si="205"/>
        <v>스토리위즈</v>
      </c>
      <c r="I1302" t="str">
        <f t="shared" si="202"/>
        <v>갓 오브 블랙필드</v>
      </c>
      <c r="J1302">
        <v>100</v>
      </c>
      <c r="K1302">
        <v>500</v>
      </c>
      <c r="L1302">
        <v>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500</v>
      </c>
      <c r="AH1302">
        <v>5</v>
      </c>
      <c r="AI1302">
        <v>0</v>
      </c>
      <c r="AJ1302">
        <v>0</v>
      </c>
      <c r="AK1302">
        <v>400</v>
      </c>
      <c r="AL1302">
        <v>0</v>
      </c>
      <c r="AM1302">
        <v>120</v>
      </c>
      <c r="AN1302">
        <v>-36</v>
      </c>
      <c r="AO1302">
        <v>0</v>
      </c>
      <c r="AP1302">
        <v>120</v>
      </c>
      <c r="AQ1302">
        <v>-36</v>
      </c>
      <c r="AR1302">
        <v>0</v>
      </c>
      <c r="AT1302">
        <v>0</v>
      </c>
      <c r="AU1302">
        <v>0</v>
      </c>
      <c r="AW1302">
        <v>0</v>
      </c>
      <c r="AX1302">
        <v>0</v>
      </c>
      <c r="AY1302">
        <v>338.8</v>
      </c>
      <c r="BC1302" t="str">
        <f t="shared" si="203"/>
        <v>9791137602113</v>
      </c>
      <c r="BE1302" t="str">
        <f t="shared" si="204"/>
        <v>판타지 웹소설 &gt; 현대 판타지</v>
      </c>
    </row>
    <row r="1303" spans="1:57" x14ac:dyDescent="0.3">
      <c r="A1303">
        <v>2313011955</v>
      </c>
      <c r="B1303">
        <v>2313012118</v>
      </c>
      <c r="C1303" t="str">
        <f>T("갓 오브 블랙필드 164화")</f>
        <v>갓 오브 블랙필드 164화</v>
      </c>
      <c r="D1303" t="str">
        <f>T("164")</f>
        <v>164</v>
      </c>
      <c r="E1303" t="str">
        <f t="shared" si="200"/>
        <v>무장</v>
      </c>
      <c r="H1303" t="str">
        <f t="shared" si="205"/>
        <v>스토리위즈</v>
      </c>
      <c r="I1303" t="str">
        <f t="shared" si="202"/>
        <v>갓 오브 블랙필드</v>
      </c>
      <c r="J1303">
        <v>100</v>
      </c>
      <c r="K1303">
        <v>500</v>
      </c>
      <c r="L1303">
        <v>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500</v>
      </c>
      <c r="AH1303">
        <v>5</v>
      </c>
      <c r="AI1303">
        <v>0</v>
      </c>
      <c r="AJ1303">
        <v>0</v>
      </c>
      <c r="AK1303">
        <v>400</v>
      </c>
      <c r="AL1303">
        <v>0</v>
      </c>
      <c r="AM1303">
        <v>120</v>
      </c>
      <c r="AN1303">
        <v>-36</v>
      </c>
      <c r="AO1303">
        <v>0</v>
      </c>
      <c r="AP1303">
        <v>120</v>
      </c>
      <c r="AQ1303">
        <v>-36</v>
      </c>
      <c r="AR1303">
        <v>0</v>
      </c>
      <c r="AT1303">
        <v>0</v>
      </c>
      <c r="AU1303">
        <v>0</v>
      </c>
      <c r="AW1303">
        <v>0</v>
      </c>
      <c r="AX1303">
        <v>0</v>
      </c>
      <c r="AY1303">
        <v>338.8</v>
      </c>
      <c r="BC1303" t="str">
        <f t="shared" si="203"/>
        <v>9791137602113</v>
      </c>
      <c r="BE1303" t="str">
        <f t="shared" si="204"/>
        <v>판타지 웹소설 &gt; 현대 판타지</v>
      </c>
    </row>
    <row r="1304" spans="1:57" x14ac:dyDescent="0.3">
      <c r="A1304">
        <v>2313011955</v>
      </c>
      <c r="B1304">
        <v>2313012120</v>
      </c>
      <c r="C1304" t="str">
        <f>T("갓 오브 블랙필드 166화")</f>
        <v>갓 오브 블랙필드 166화</v>
      </c>
      <c r="D1304" t="str">
        <f>T("166")</f>
        <v>166</v>
      </c>
      <c r="E1304" t="str">
        <f t="shared" si="200"/>
        <v>무장</v>
      </c>
      <c r="H1304" t="str">
        <f t="shared" si="205"/>
        <v>스토리위즈</v>
      </c>
      <c r="I1304" t="str">
        <f t="shared" si="202"/>
        <v>갓 오브 블랙필드</v>
      </c>
      <c r="J1304">
        <v>100</v>
      </c>
      <c r="K1304">
        <v>500</v>
      </c>
      <c r="L1304">
        <v>5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500</v>
      </c>
      <c r="AH1304">
        <v>5</v>
      </c>
      <c r="AI1304">
        <v>0</v>
      </c>
      <c r="AJ1304">
        <v>0</v>
      </c>
      <c r="AK1304">
        <v>400</v>
      </c>
      <c r="AL1304">
        <v>0</v>
      </c>
      <c r="AM1304">
        <v>120</v>
      </c>
      <c r="AN1304">
        <v>-36</v>
      </c>
      <c r="AO1304">
        <v>0</v>
      </c>
      <c r="AP1304">
        <v>120</v>
      </c>
      <c r="AQ1304">
        <v>-36</v>
      </c>
      <c r="AR1304">
        <v>0</v>
      </c>
      <c r="AT1304">
        <v>0</v>
      </c>
      <c r="AU1304">
        <v>0</v>
      </c>
      <c r="AW1304">
        <v>0</v>
      </c>
      <c r="AX1304">
        <v>0</v>
      </c>
      <c r="AY1304">
        <v>338.8</v>
      </c>
      <c r="BC1304" t="str">
        <f t="shared" si="203"/>
        <v>9791137602113</v>
      </c>
      <c r="BE1304" t="str">
        <f t="shared" si="204"/>
        <v>판타지 웹소설 &gt; 현대 판타지</v>
      </c>
    </row>
    <row r="1305" spans="1:57" x14ac:dyDescent="0.3">
      <c r="A1305">
        <v>2313011955</v>
      </c>
      <c r="B1305">
        <v>2313012122</v>
      </c>
      <c r="C1305" t="str">
        <f>T("갓 오브 블랙필드 168화")</f>
        <v>갓 오브 블랙필드 168화</v>
      </c>
      <c r="D1305" t="str">
        <f>T("168")</f>
        <v>168</v>
      </c>
      <c r="E1305" t="str">
        <f t="shared" si="200"/>
        <v>무장</v>
      </c>
      <c r="H1305" t="str">
        <f t="shared" si="205"/>
        <v>스토리위즈</v>
      </c>
      <c r="I1305" t="str">
        <f t="shared" si="202"/>
        <v>갓 오브 블랙필드</v>
      </c>
      <c r="J1305">
        <v>100</v>
      </c>
      <c r="K1305">
        <v>500</v>
      </c>
      <c r="L1305">
        <v>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500</v>
      </c>
      <c r="AH1305">
        <v>5</v>
      </c>
      <c r="AI1305">
        <v>0</v>
      </c>
      <c r="AJ1305">
        <v>0</v>
      </c>
      <c r="AK1305">
        <v>400</v>
      </c>
      <c r="AL1305">
        <v>0</v>
      </c>
      <c r="AM1305">
        <v>120</v>
      </c>
      <c r="AN1305">
        <v>-36</v>
      </c>
      <c r="AO1305">
        <v>0</v>
      </c>
      <c r="AP1305">
        <v>120</v>
      </c>
      <c r="AQ1305">
        <v>-36</v>
      </c>
      <c r="AR1305">
        <v>0</v>
      </c>
      <c r="AT1305">
        <v>0</v>
      </c>
      <c r="AU1305">
        <v>0</v>
      </c>
      <c r="AW1305">
        <v>0</v>
      </c>
      <c r="AX1305">
        <v>0</v>
      </c>
      <c r="AY1305">
        <v>338.8</v>
      </c>
      <c r="BC1305" t="str">
        <f t="shared" si="203"/>
        <v>9791137602113</v>
      </c>
      <c r="BE1305" t="str">
        <f t="shared" si="204"/>
        <v>판타지 웹소설 &gt; 현대 판타지</v>
      </c>
    </row>
    <row r="1306" spans="1:57" x14ac:dyDescent="0.3">
      <c r="A1306">
        <v>2313011955</v>
      </c>
      <c r="B1306">
        <v>2313012123</v>
      </c>
      <c r="C1306" t="str">
        <f>T("갓 오브 블랙필드 169화")</f>
        <v>갓 오브 블랙필드 169화</v>
      </c>
      <c r="D1306" t="str">
        <f>T("169")</f>
        <v>169</v>
      </c>
      <c r="E1306" t="str">
        <f t="shared" si="200"/>
        <v>무장</v>
      </c>
      <c r="H1306" t="str">
        <f t="shared" si="205"/>
        <v>스토리위즈</v>
      </c>
      <c r="I1306" t="str">
        <f t="shared" si="202"/>
        <v>갓 오브 블랙필드</v>
      </c>
      <c r="J1306">
        <v>100</v>
      </c>
      <c r="K1306">
        <v>500</v>
      </c>
      <c r="L1306">
        <v>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500</v>
      </c>
      <c r="AH1306">
        <v>5</v>
      </c>
      <c r="AI1306">
        <v>0</v>
      </c>
      <c r="AJ1306">
        <v>0</v>
      </c>
      <c r="AK1306">
        <v>400</v>
      </c>
      <c r="AL1306">
        <v>0</v>
      </c>
      <c r="AM1306">
        <v>120</v>
      </c>
      <c r="AN1306">
        <v>-36</v>
      </c>
      <c r="AO1306">
        <v>0</v>
      </c>
      <c r="AP1306">
        <v>120</v>
      </c>
      <c r="AQ1306">
        <v>-36</v>
      </c>
      <c r="AR1306">
        <v>0</v>
      </c>
      <c r="AT1306">
        <v>0</v>
      </c>
      <c r="AU1306">
        <v>0</v>
      </c>
      <c r="AW1306">
        <v>0</v>
      </c>
      <c r="AX1306">
        <v>0</v>
      </c>
      <c r="AY1306">
        <v>338.8</v>
      </c>
      <c r="BC1306" t="str">
        <f t="shared" si="203"/>
        <v>9791137602113</v>
      </c>
      <c r="BE1306" t="str">
        <f t="shared" si="204"/>
        <v>판타지 웹소설 &gt; 현대 판타지</v>
      </c>
    </row>
    <row r="1307" spans="1:57" x14ac:dyDescent="0.3">
      <c r="A1307">
        <v>2313011955</v>
      </c>
      <c r="B1307">
        <v>2313012124</v>
      </c>
      <c r="C1307" t="str">
        <f>T("갓 오브 블랙필드 170화")</f>
        <v>갓 오브 블랙필드 170화</v>
      </c>
      <c r="D1307" t="str">
        <f>T("170")</f>
        <v>170</v>
      </c>
      <c r="E1307" t="str">
        <f t="shared" si="200"/>
        <v>무장</v>
      </c>
      <c r="H1307" t="str">
        <f t="shared" si="205"/>
        <v>스토리위즈</v>
      </c>
      <c r="I1307" t="str">
        <f t="shared" si="202"/>
        <v>갓 오브 블랙필드</v>
      </c>
      <c r="J1307">
        <v>100</v>
      </c>
      <c r="K1307">
        <v>500</v>
      </c>
      <c r="L1307">
        <v>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500</v>
      </c>
      <c r="AH1307">
        <v>5</v>
      </c>
      <c r="AI1307">
        <v>0</v>
      </c>
      <c r="AJ1307">
        <v>0</v>
      </c>
      <c r="AK1307">
        <v>400</v>
      </c>
      <c r="AL1307">
        <v>0</v>
      </c>
      <c r="AM1307">
        <v>120</v>
      </c>
      <c r="AN1307">
        <v>-36</v>
      </c>
      <c r="AO1307">
        <v>0</v>
      </c>
      <c r="AP1307">
        <v>120</v>
      </c>
      <c r="AQ1307">
        <v>-36</v>
      </c>
      <c r="AR1307">
        <v>0</v>
      </c>
      <c r="AT1307">
        <v>0</v>
      </c>
      <c r="AU1307">
        <v>0</v>
      </c>
      <c r="AW1307">
        <v>0</v>
      </c>
      <c r="AX1307">
        <v>0</v>
      </c>
      <c r="AY1307">
        <v>338.8</v>
      </c>
      <c r="BC1307" t="str">
        <f t="shared" si="203"/>
        <v>9791137602113</v>
      </c>
      <c r="BE1307" t="str">
        <f t="shared" si="204"/>
        <v>판타지 웹소설 &gt; 현대 판타지</v>
      </c>
    </row>
    <row r="1308" spans="1:57" x14ac:dyDescent="0.3">
      <c r="A1308">
        <v>2313011955</v>
      </c>
      <c r="B1308">
        <v>2313012125</v>
      </c>
      <c r="C1308" t="str">
        <f>T("갓 오브 블랙필드 171화")</f>
        <v>갓 오브 블랙필드 171화</v>
      </c>
      <c r="D1308" t="str">
        <f>T("171")</f>
        <v>171</v>
      </c>
      <c r="E1308" t="str">
        <f t="shared" ref="E1308:E1324" si="206">T("무장")</f>
        <v>무장</v>
      </c>
      <c r="H1308" t="str">
        <f t="shared" si="205"/>
        <v>스토리위즈</v>
      </c>
      <c r="I1308" t="str">
        <f t="shared" ref="I1308:I1324" si="207">T("갓 오브 블랙필드")</f>
        <v>갓 오브 블랙필드</v>
      </c>
      <c r="J1308">
        <v>100</v>
      </c>
      <c r="K1308">
        <v>500</v>
      </c>
      <c r="L1308">
        <v>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500</v>
      </c>
      <c r="AH1308">
        <v>5</v>
      </c>
      <c r="AI1308">
        <v>0</v>
      </c>
      <c r="AJ1308">
        <v>0</v>
      </c>
      <c r="AK1308">
        <v>400</v>
      </c>
      <c r="AL1308">
        <v>0</v>
      </c>
      <c r="AM1308">
        <v>120</v>
      </c>
      <c r="AN1308">
        <v>-36</v>
      </c>
      <c r="AO1308">
        <v>0</v>
      </c>
      <c r="AP1308">
        <v>120</v>
      </c>
      <c r="AQ1308">
        <v>-36</v>
      </c>
      <c r="AR1308">
        <v>0</v>
      </c>
      <c r="AT1308">
        <v>0</v>
      </c>
      <c r="AU1308">
        <v>0</v>
      </c>
      <c r="AW1308">
        <v>0</v>
      </c>
      <c r="AX1308">
        <v>0</v>
      </c>
      <c r="AY1308">
        <v>338.8</v>
      </c>
      <c r="BC1308" t="str">
        <f t="shared" ref="BC1308:BC1324" si="208">T("9791137602113")</f>
        <v>9791137602113</v>
      </c>
      <c r="BE1308" t="str">
        <f t="shared" ref="BE1308:BE1324" si="209">T("판타지 웹소설 &gt; 현대 판타지")</f>
        <v>판타지 웹소설 &gt; 현대 판타지</v>
      </c>
    </row>
    <row r="1309" spans="1:57" x14ac:dyDescent="0.3">
      <c r="A1309">
        <v>2313011955</v>
      </c>
      <c r="B1309">
        <v>2313012126</v>
      </c>
      <c r="C1309" t="str">
        <f>T("갓 오브 블랙필드 172화")</f>
        <v>갓 오브 블랙필드 172화</v>
      </c>
      <c r="D1309" t="str">
        <f>T("172")</f>
        <v>172</v>
      </c>
      <c r="E1309" t="str">
        <f t="shared" si="206"/>
        <v>무장</v>
      </c>
      <c r="H1309" t="str">
        <f t="shared" si="205"/>
        <v>스토리위즈</v>
      </c>
      <c r="I1309" t="str">
        <f t="shared" si="207"/>
        <v>갓 오브 블랙필드</v>
      </c>
      <c r="J1309">
        <v>100</v>
      </c>
      <c r="K1309">
        <v>500</v>
      </c>
      <c r="L1309">
        <v>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500</v>
      </c>
      <c r="AH1309">
        <v>5</v>
      </c>
      <c r="AI1309">
        <v>0</v>
      </c>
      <c r="AJ1309">
        <v>0</v>
      </c>
      <c r="AK1309">
        <v>400</v>
      </c>
      <c r="AL1309">
        <v>0</v>
      </c>
      <c r="AM1309">
        <v>120</v>
      </c>
      <c r="AN1309">
        <v>-36</v>
      </c>
      <c r="AO1309">
        <v>0</v>
      </c>
      <c r="AP1309">
        <v>120</v>
      </c>
      <c r="AQ1309">
        <v>-36</v>
      </c>
      <c r="AR1309">
        <v>0</v>
      </c>
      <c r="AT1309">
        <v>0</v>
      </c>
      <c r="AU1309">
        <v>0</v>
      </c>
      <c r="AW1309">
        <v>0</v>
      </c>
      <c r="AX1309">
        <v>0</v>
      </c>
      <c r="AY1309">
        <v>338.8</v>
      </c>
      <c r="BC1309" t="str">
        <f t="shared" si="208"/>
        <v>9791137602113</v>
      </c>
      <c r="BE1309" t="str">
        <f t="shared" si="209"/>
        <v>판타지 웹소설 &gt; 현대 판타지</v>
      </c>
    </row>
    <row r="1310" spans="1:57" x14ac:dyDescent="0.3">
      <c r="A1310">
        <v>2313011955</v>
      </c>
      <c r="B1310">
        <v>2313012127</v>
      </c>
      <c r="C1310" t="str">
        <f>T("갓 오브 블랙필드 173화")</f>
        <v>갓 오브 블랙필드 173화</v>
      </c>
      <c r="D1310" t="str">
        <f>T("173")</f>
        <v>173</v>
      </c>
      <c r="E1310" t="str">
        <f t="shared" si="206"/>
        <v>무장</v>
      </c>
      <c r="H1310" t="str">
        <f t="shared" si="205"/>
        <v>스토리위즈</v>
      </c>
      <c r="I1310" t="str">
        <f t="shared" si="207"/>
        <v>갓 오브 블랙필드</v>
      </c>
      <c r="J1310">
        <v>100</v>
      </c>
      <c r="K1310">
        <v>500</v>
      </c>
      <c r="L1310">
        <v>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500</v>
      </c>
      <c r="AH1310">
        <v>5</v>
      </c>
      <c r="AI1310">
        <v>0</v>
      </c>
      <c r="AJ1310">
        <v>0</v>
      </c>
      <c r="AK1310">
        <v>400</v>
      </c>
      <c r="AL1310">
        <v>0</v>
      </c>
      <c r="AM1310">
        <v>120</v>
      </c>
      <c r="AN1310">
        <v>-36</v>
      </c>
      <c r="AO1310">
        <v>0</v>
      </c>
      <c r="AP1310">
        <v>120</v>
      </c>
      <c r="AQ1310">
        <v>-36</v>
      </c>
      <c r="AR1310">
        <v>0</v>
      </c>
      <c r="AT1310">
        <v>0</v>
      </c>
      <c r="AU1310">
        <v>0</v>
      </c>
      <c r="AW1310">
        <v>0</v>
      </c>
      <c r="AX1310">
        <v>0</v>
      </c>
      <c r="AY1310">
        <v>338.8</v>
      </c>
      <c r="BC1310" t="str">
        <f t="shared" si="208"/>
        <v>9791137602113</v>
      </c>
      <c r="BE1310" t="str">
        <f t="shared" si="209"/>
        <v>판타지 웹소설 &gt; 현대 판타지</v>
      </c>
    </row>
    <row r="1311" spans="1:57" x14ac:dyDescent="0.3">
      <c r="A1311">
        <v>2313011955</v>
      </c>
      <c r="B1311">
        <v>2313012128</v>
      </c>
      <c r="C1311" t="str">
        <f>T("갓 오브 블랙필드 174화")</f>
        <v>갓 오브 블랙필드 174화</v>
      </c>
      <c r="D1311" t="str">
        <f>T("174")</f>
        <v>174</v>
      </c>
      <c r="E1311" t="str">
        <f t="shared" si="206"/>
        <v>무장</v>
      </c>
      <c r="H1311" t="str">
        <f t="shared" si="205"/>
        <v>스토리위즈</v>
      </c>
      <c r="I1311" t="str">
        <f t="shared" si="207"/>
        <v>갓 오브 블랙필드</v>
      </c>
      <c r="J1311">
        <v>100</v>
      </c>
      <c r="K1311">
        <v>500</v>
      </c>
      <c r="L1311">
        <v>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500</v>
      </c>
      <c r="AH1311">
        <v>5</v>
      </c>
      <c r="AI1311">
        <v>0</v>
      </c>
      <c r="AJ1311">
        <v>0</v>
      </c>
      <c r="AK1311">
        <v>400</v>
      </c>
      <c r="AL1311">
        <v>0</v>
      </c>
      <c r="AM1311">
        <v>120</v>
      </c>
      <c r="AN1311">
        <v>-36</v>
      </c>
      <c r="AO1311">
        <v>0</v>
      </c>
      <c r="AP1311">
        <v>120</v>
      </c>
      <c r="AQ1311">
        <v>-36</v>
      </c>
      <c r="AR1311">
        <v>0</v>
      </c>
      <c r="AT1311">
        <v>0</v>
      </c>
      <c r="AU1311">
        <v>0</v>
      </c>
      <c r="AW1311">
        <v>0</v>
      </c>
      <c r="AX1311">
        <v>0</v>
      </c>
      <c r="AY1311">
        <v>338.8</v>
      </c>
      <c r="BC1311" t="str">
        <f t="shared" si="208"/>
        <v>9791137602113</v>
      </c>
      <c r="BE1311" t="str">
        <f t="shared" si="209"/>
        <v>판타지 웹소설 &gt; 현대 판타지</v>
      </c>
    </row>
    <row r="1312" spans="1:57" x14ac:dyDescent="0.3">
      <c r="A1312">
        <v>2313011955</v>
      </c>
      <c r="B1312">
        <v>2313012129</v>
      </c>
      <c r="C1312" t="str">
        <f>T("갓 오브 블랙필드 175화")</f>
        <v>갓 오브 블랙필드 175화</v>
      </c>
      <c r="D1312" t="str">
        <f>T("175")</f>
        <v>175</v>
      </c>
      <c r="E1312" t="str">
        <f t="shared" si="206"/>
        <v>무장</v>
      </c>
      <c r="H1312" t="str">
        <f t="shared" si="205"/>
        <v>스토리위즈</v>
      </c>
      <c r="I1312" t="str">
        <f t="shared" si="207"/>
        <v>갓 오브 블랙필드</v>
      </c>
      <c r="J1312">
        <v>100</v>
      </c>
      <c r="K1312">
        <v>500</v>
      </c>
      <c r="L1312">
        <v>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500</v>
      </c>
      <c r="AH1312">
        <v>5</v>
      </c>
      <c r="AI1312">
        <v>0</v>
      </c>
      <c r="AJ1312">
        <v>0</v>
      </c>
      <c r="AK1312">
        <v>400</v>
      </c>
      <c r="AL1312">
        <v>0</v>
      </c>
      <c r="AM1312">
        <v>120</v>
      </c>
      <c r="AN1312">
        <v>-36</v>
      </c>
      <c r="AO1312">
        <v>0</v>
      </c>
      <c r="AP1312">
        <v>120</v>
      </c>
      <c r="AQ1312">
        <v>-36</v>
      </c>
      <c r="AR1312">
        <v>0</v>
      </c>
      <c r="AT1312">
        <v>0</v>
      </c>
      <c r="AU1312">
        <v>0</v>
      </c>
      <c r="AW1312">
        <v>0</v>
      </c>
      <c r="AX1312">
        <v>0</v>
      </c>
      <c r="AY1312">
        <v>338.8</v>
      </c>
      <c r="BC1312" t="str">
        <f t="shared" si="208"/>
        <v>9791137602113</v>
      </c>
      <c r="BE1312" t="str">
        <f t="shared" si="209"/>
        <v>판타지 웹소설 &gt; 현대 판타지</v>
      </c>
    </row>
    <row r="1313" spans="1:58" x14ac:dyDescent="0.3">
      <c r="A1313">
        <v>2313011955</v>
      </c>
      <c r="B1313">
        <v>2313012130</v>
      </c>
      <c r="C1313" t="str">
        <f>T("갓 오브 블랙필드 176화")</f>
        <v>갓 오브 블랙필드 176화</v>
      </c>
      <c r="D1313" t="str">
        <f>T("176")</f>
        <v>176</v>
      </c>
      <c r="E1313" t="str">
        <f t="shared" si="206"/>
        <v>무장</v>
      </c>
      <c r="H1313" t="str">
        <f t="shared" si="205"/>
        <v>스토리위즈</v>
      </c>
      <c r="I1313" t="str">
        <f t="shared" si="207"/>
        <v>갓 오브 블랙필드</v>
      </c>
      <c r="J1313">
        <v>100</v>
      </c>
      <c r="K1313">
        <v>500</v>
      </c>
      <c r="L1313">
        <v>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500</v>
      </c>
      <c r="AH1313">
        <v>5</v>
      </c>
      <c r="AI1313">
        <v>0</v>
      </c>
      <c r="AJ1313">
        <v>0</v>
      </c>
      <c r="AK1313">
        <v>400</v>
      </c>
      <c r="AL1313">
        <v>0</v>
      </c>
      <c r="AM1313">
        <v>120</v>
      </c>
      <c r="AN1313">
        <v>-36</v>
      </c>
      <c r="AO1313">
        <v>0</v>
      </c>
      <c r="AP1313">
        <v>120</v>
      </c>
      <c r="AQ1313">
        <v>-36</v>
      </c>
      <c r="AR1313">
        <v>0</v>
      </c>
      <c r="AT1313">
        <v>0</v>
      </c>
      <c r="AU1313">
        <v>0</v>
      </c>
      <c r="AW1313">
        <v>0</v>
      </c>
      <c r="AX1313">
        <v>0</v>
      </c>
      <c r="AY1313">
        <v>338.8</v>
      </c>
      <c r="BC1313" t="str">
        <f t="shared" si="208"/>
        <v>9791137602113</v>
      </c>
      <c r="BE1313" t="str">
        <f t="shared" si="209"/>
        <v>판타지 웹소설 &gt; 현대 판타지</v>
      </c>
    </row>
    <row r="1314" spans="1:58" x14ac:dyDescent="0.3">
      <c r="A1314">
        <v>2313011955</v>
      </c>
      <c r="B1314">
        <v>2313012132</v>
      </c>
      <c r="C1314" t="str">
        <f>T("갓 오브 블랙필드 178화")</f>
        <v>갓 오브 블랙필드 178화</v>
      </c>
      <c r="D1314" t="str">
        <f>T("178")</f>
        <v>178</v>
      </c>
      <c r="E1314" t="str">
        <f t="shared" si="206"/>
        <v>무장</v>
      </c>
      <c r="H1314" t="str">
        <f t="shared" si="205"/>
        <v>스토리위즈</v>
      </c>
      <c r="I1314" t="str">
        <f t="shared" si="207"/>
        <v>갓 오브 블랙필드</v>
      </c>
      <c r="J1314">
        <v>100</v>
      </c>
      <c r="K1314">
        <v>500</v>
      </c>
      <c r="L1314">
        <v>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500</v>
      </c>
      <c r="AH1314">
        <v>5</v>
      </c>
      <c r="AI1314">
        <v>0</v>
      </c>
      <c r="AJ1314">
        <v>0</v>
      </c>
      <c r="AK1314">
        <v>400</v>
      </c>
      <c r="AL1314">
        <v>0</v>
      </c>
      <c r="AM1314">
        <v>120</v>
      </c>
      <c r="AN1314">
        <v>-36</v>
      </c>
      <c r="AO1314">
        <v>0</v>
      </c>
      <c r="AP1314">
        <v>120</v>
      </c>
      <c r="AQ1314">
        <v>-36</v>
      </c>
      <c r="AR1314">
        <v>0</v>
      </c>
      <c r="AT1314">
        <v>0</v>
      </c>
      <c r="AU1314">
        <v>0</v>
      </c>
      <c r="AW1314">
        <v>0</v>
      </c>
      <c r="AX1314">
        <v>0</v>
      </c>
      <c r="AY1314">
        <v>338.8</v>
      </c>
      <c r="BC1314" t="str">
        <f t="shared" si="208"/>
        <v>9791137602113</v>
      </c>
      <c r="BE1314" t="str">
        <f t="shared" si="209"/>
        <v>판타지 웹소설 &gt; 현대 판타지</v>
      </c>
    </row>
    <row r="1315" spans="1:58" x14ac:dyDescent="0.3">
      <c r="A1315">
        <v>2313011955</v>
      </c>
      <c r="B1315">
        <v>2313012134</v>
      </c>
      <c r="C1315" t="str">
        <f>T("갓 오브 블랙필드 180화")</f>
        <v>갓 오브 블랙필드 180화</v>
      </c>
      <c r="D1315" t="str">
        <f>T("180")</f>
        <v>180</v>
      </c>
      <c r="E1315" t="str">
        <f t="shared" si="206"/>
        <v>무장</v>
      </c>
      <c r="H1315" t="str">
        <f t="shared" si="205"/>
        <v>스토리위즈</v>
      </c>
      <c r="I1315" t="str">
        <f t="shared" si="207"/>
        <v>갓 오브 블랙필드</v>
      </c>
      <c r="J1315">
        <v>100</v>
      </c>
      <c r="K1315">
        <v>500</v>
      </c>
      <c r="L1315">
        <v>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500</v>
      </c>
      <c r="AH1315">
        <v>5</v>
      </c>
      <c r="AI1315">
        <v>0</v>
      </c>
      <c r="AJ1315">
        <v>0</v>
      </c>
      <c r="AK1315">
        <v>400</v>
      </c>
      <c r="AL1315">
        <v>0</v>
      </c>
      <c r="AM1315">
        <v>120</v>
      </c>
      <c r="AN1315">
        <v>-36</v>
      </c>
      <c r="AO1315">
        <v>0</v>
      </c>
      <c r="AP1315">
        <v>120</v>
      </c>
      <c r="AQ1315">
        <v>-36</v>
      </c>
      <c r="AR1315">
        <v>0</v>
      </c>
      <c r="AT1315">
        <v>0</v>
      </c>
      <c r="AU1315">
        <v>0</v>
      </c>
      <c r="AW1315">
        <v>0</v>
      </c>
      <c r="AX1315">
        <v>0</v>
      </c>
      <c r="AY1315">
        <v>338.8</v>
      </c>
      <c r="BC1315" t="str">
        <f t="shared" si="208"/>
        <v>9791137602113</v>
      </c>
      <c r="BE1315" t="str">
        <f t="shared" si="209"/>
        <v>판타지 웹소설 &gt; 현대 판타지</v>
      </c>
    </row>
    <row r="1316" spans="1:58" x14ac:dyDescent="0.3">
      <c r="A1316">
        <v>2313011955</v>
      </c>
      <c r="B1316">
        <v>2313012136</v>
      </c>
      <c r="C1316" t="str">
        <f>T("갓 오브 블랙필드 182화")</f>
        <v>갓 오브 블랙필드 182화</v>
      </c>
      <c r="D1316" t="str">
        <f>T("182")</f>
        <v>182</v>
      </c>
      <c r="E1316" t="str">
        <f t="shared" si="206"/>
        <v>무장</v>
      </c>
      <c r="H1316" t="str">
        <f t="shared" si="205"/>
        <v>스토리위즈</v>
      </c>
      <c r="I1316" t="str">
        <f t="shared" si="207"/>
        <v>갓 오브 블랙필드</v>
      </c>
      <c r="J1316">
        <v>100</v>
      </c>
      <c r="K1316">
        <v>500</v>
      </c>
      <c r="L1316">
        <v>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500</v>
      </c>
      <c r="AH1316">
        <v>5</v>
      </c>
      <c r="AI1316">
        <v>0</v>
      </c>
      <c r="AJ1316">
        <v>0</v>
      </c>
      <c r="AK1316">
        <v>400</v>
      </c>
      <c r="AL1316">
        <v>0</v>
      </c>
      <c r="AM1316">
        <v>120</v>
      </c>
      <c r="AN1316">
        <v>-36</v>
      </c>
      <c r="AO1316">
        <v>0</v>
      </c>
      <c r="AP1316">
        <v>120</v>
      </c>
      <c r="AQ1316">
        <v>-36</v>
      </c>
      <c r="AR1316">
        <v>0</v>
      </c>
      <c r="AT1316">
        <v>0</v>
      </c>
      <c r="AU1316">
        <v>0</v>
      </c>
      <c r="AW1316">
        <v>0</v>
      </c>
      <c r="AX1316">
        <v>0</v>
      </c>
      <c r="AY1316">
        <v>338.8</v>
      </c>
      <c r="BC1316" t="str">
        <f t="shared" si="208"/>
        <v>9791137602113</v>
      </c>
      <c r="BE1316" t="str">
        <f t="shared" si="209"/>
        <v>판타지 웹소설 &gt; 현대 판타지</v>
      </c>
    </row>
    <row r="1317" spans="1:58" x14ac:dyDescent="0.3">
      <c r="A1317">
        <v>2313011955</v>
      </c>
      <c r="B1317">
        <v>2313012139</v>
      </c>
      <c r="C1317" t="str">
        <f>T("갓 오브 블랙필드 185화")</f>
        <v>갓 오브 블랙필드 185화</v>
      </c>
      <c r="D1317" t="str">
        <f>T("185")</f>
        <v>185</v>
      </c>
      <c r="E1317" t="str">
        <f t="shared" si="206"/>
        <v>무장</v>
      </c>
      <c r="H1317" t="str">
        <f t="shared" si="205"/>
        <v>스토리위즈</v>
      </c>
      <c r="I1317" t="str">
        <f t="shared" si="207"/>
        <v>갓 오브 블랙필드</v>
      </c>
      <c r="J1317">
        <v>100</v>
      </c>
      <c r="K1317">
        <v>500</v>
      </c>
      <c r="L1317">
        <v>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500</v>
      </c>
      <c r="AH1317">
        <v>5</v>
      </c>
      <c r="AI1317">
        <v>0</v>
      </c>
      <c r="AJ1317">
        <v>0</v>
      </c>
      <c r="AK1317">
        <v>400</v>
      </c>
      <c r="AL1317">
        <v>0</v>
      </c>
      <c r="AM1317">
        <v>120</v>
      </c>
      <c r="AN1317">
        <v>-36</v>
      </c>
      <c r="AO1317">
        <v>0</v>
      </c>
      <c r="AP1317">
        <v>120</v>
      </c>
      <c r="AQ1317">
        <v>-36</v>
      </c>
      <c r="AR1317">
        <v>0</v>
      </c>
      <c r="AT1317">
        <v>0</v>
      </c>
      <c r="AU1317">
        <v>0</v>
      </c>
      <c r="AW1317">
        <v>0</v>
      </c>
      <c r="AX1317">
        <v>0</v>
      </c>
      <c r="AY1317">
        <v>338.8</v>
      </c>
      <c r="BC1317" t="str">
        <f t="shared" si="208"/>
        <v>9791137602113</v>
      </c>
      <c r="BE1317" t="str">
        <f t="shared" si="209"/>
        <v>판타지 웹소설 &gt; 현대 판타지</v>
      </c>
    </row>
    <row r="1318" spans="1:58" x14ac:dyDescent="0.3">
      <c r="A1318">
        <v>2313011955</v>
      </c>
      <c r="B1318">
        <v>2313012140</v>
      </c>
      <c r="C1318" t="str">
        <f>T("갓 오브 블랙필드 186화")</f>
        <v>갓 오브 블랙필드 186화</v>
      </c>
      <c r="D1318" t="str">
        <f>T("186")</f>
        <v>186</v>
      </c>
      <c r="E1318" t="str">
        <f t="shared" si="206"/>
        <v>무장</v>
      </c>
      <c r="H1318" t="str">
        <f t="shared" si="205"/>
        <v>스토리위즈</v>
      </c>
      <c r="I1318" t="str">
        <f t="shared" si="207"/>
        <v>갓 오브 블랙필드</v>
      </c>
      <c r="J1318">
        <v>100</v>
      </c>
      <c r="K1318">
        <v>500</v>
      </c>
      <c r="L1318">
        <v>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500</v>
      </c>
      <c r="AH1318">
        <v>5</v>
      </c>
      <c r="AI1318">
        <v>0</v>
      </c>
      <c r="AJ1318">
        <v>0</v>
      </c>
      <c r="AK1318">
        <v>400</v>
      </c>
      <c r="AL1318">
        <v>0</v>
      </c>
      <c r="AM1318">
        <v>120</v>
      </c>
      <c r="AN1318">
        <v>-36</v>
      </c>
      <c r="AO1318">
        <v>0</v>
      </c>
      <c r="AP1318">
        <v>120</v>
      </c>
      <c r="AQ1318">
        <v>-36</v>
      </c>
      <c r="AR1318">
        <v>0</v>
      </c>
      <c r="AT1318">
        <v>0</v>
      </c>
      <c r="AU1318">
        <v>0</v>
      </c>
      <c r="AW1318">
        <v>0</v>
      </c>
      <c r="AX1318">
        <v>0</v>
      </c>
      <c r="AY1318">
        <v>338.8</v>
      </c>
      <c r="BC1318" t="str">
        <f t="shared" si="208"/>
        <v>9791137602113</v>
      </c>
      <c r="BE1318" t="str">
        <f t="shared" si="209"/>
        <v>판타지 웹소설 &gt; 현대 판타지</v>
      </c>
    </row>
    <row r="1319" spans="1:58" x14ac:dyDescent="0.3">
      <c r="A1319">
        <v>2313011955</v>
      </c>
      <c r="B1319">
        <v>2313012141</v>
      </c>
      <c r="C1319" t="str">
        <f>T("갓 오브 블랙필드 187화")</f>
        <v>갓 오브 블랙필드 187화</v>
      </c>
      <c r="D1319" t="str">
        <f>T("187")</f>
        <v>187</v>
      </c>
      <c r="E1319" t="str">
        <f t="shared" si="206"/>
        <v>무장</v>
      </c>
      <c r="H1319" t="str">
        <f t="shared" si="205"/>
        <v>스토리위즈</v>
      </c>
      <c r="I1319" t="str">
        <f t="shared" si="207"/>
        <v>갓 오브 블랙필드</v>
      </c>
      <c r="J1319">
        <v>100</v>
      </c>
      <c r="K1319">
        <v>500</v>
      </c>
      <c r="L1319">
        <v>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500</v>
      </c>
      <c r="AH1319">
        <v>5</v>
      </c>
      <c r="AI1319">
        <v>0</v>
      </c>
      <c r="AJ1319">
        <v>0</v>
      </c>
      <c r="AK1319">
        <v>400</v>
      </c>
      <c r="AL1319">
        <v>0</v>
      </c>
      <c r="AM1319">
        <v>120</v>
      </c>
      <c r="AN1319">
        <v>-36</v>
      </c>
      <c r="AO1319">
        <v>0</v>
      </c>
      <c r="AP1319">
        <v>120</v>
      </c>
      <c r="AQ1319">
        <v>-36</v>
      </c>
      <c r="AR1319">
        <v>0</v>
      </c>
      <c r="AT1319">
        <v>0</v>
      </c>
      <c r="AU1319">
        <v>0</v>
      </c>
      <c r="AW1319">
        <v>0</v>
      </c>
      <c r="AX1319">
        <v>0</v>
      </c>
      <c r="AY1319">
        <v>338.8</v>
      </c>
      <c r="BC1319" t="str">
        <f t="shared" si="208"/>
        <v>9791137602113</v>
      </c>
      <c r="BE1319" t="str">
        <f t="shared" si="209"/>
        <v>판타지 웹소설 &gt; 현대 판타지</v>
      </c>
    </row>
    <row r="1320" spans="1:58" x14ac:dyDescent="0.3">
      <c r="A1320">
        <v>2313011955</v>
      </c>
      <c r="B1320">
        <v>2313012142</v>
      </c>
      <c r="C1320" t="str">
        <f>T("갓 오브 블랙필드 188화")</f>
        <v>갓 오브 블랙필드 188화</v>
      </c>
      <c r="D1320" t="str">
        <f>T("188")</f>
        <v>188</v>
      </c>
      <c r="E1320" t="str">
        <f t="shared" si="206"/>
        <v>무장</v>
      </c>
      <c r="H1320" t="str">
        <f t="shared" si="205"/>
        <v>스토리위즈</v>
      </c>
      <c r="I1320" t="str">
        <f t="shared" si="207"/>
        <v>갓 오브 블랙필드</v>
      </c>
      <c r="J1320">
        <v>100</v>
      </c>
      <c r="K1320">
        <v>500</v>
      </c>
      <c r="L1320">
        <v>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500</v>
      </c>
      <c r="AH1320">
        <v>5</v>
      </c>
      <c r="AI1320">
        <v>0</v>
      </c>
      <c r="AJ1320">
        <v>0</v>
      </c>
      <c r="AK1320">
        <v>400</v>
      </c>
      <c r="AL1320">
        <v>0</v>
      </c>
      <c r="AM1320">
        <v>120</v>
      </c>
      <c r="AN1320">
        <v>-36</v>
      </c>
      <c r="AO1320">
        <v>0</v>
      </c>
      <c r="AP1320">
        <v>120</v>
      </c>
      <c r="AQ1320">
        <v>-36</v>
      </c>
      <c r="AR1320">
        <v>0</v>
      </c>
      <c r="AT1320">
        <v>0</v>
      </c>
      <c r="AU1320">
        <v>0</v>
      </c>
      <c r="AW1320">
        <v>0</v>
      </c>
      <c r="AX1320">
        <v>0</v>
      </c>
      <c r="AY1320">
        <v>338.8</v>
      </c>
      <c r="BC1320" t="str">
        <f t="shared" si="208"/>
        <v>9791137602113</v>
      </c>
      <c r="BE1320" t="str">
        <f t="shared" si="209"/>
        <v>판타지 웹소설 &gt; 현대 판타지</v>
      </c>
    </row>
    <row r="1321" spans="1:58" x14ac:dyDescent="0.3">
      <c r="A1321">
        <v>2313011955</v>
      </c>
      <c r="B1321">
        <v>2313012143</v>
      </c>
      <c r="C1321" t="str">
        <f>T("갓 오브 블랙필드 189화")</f>
        <v>갓 오브 블랙필드 189화</v>
      </c>
      <c r="D1321" t="str">
        <f>T("189")</f>
        <v>189</v>
      </c>
      <c r="E1321" t="str">
        <f t="shared" si="206"/>
        <v>무장</v>
      </c>
      <c r="H1321" t="str">
        <f t="shared" si="205"/>
        <v>스토리위즈</v>
      </c>
      <c r="I1321" t="str">
        <f t="shared" si="207"/>
        <v>갓 오브 블랙필드</v>
      </c>
      <c r="J1321">
        <v>100</v>
      </c>
      <c r="K1321">
        <v>500</v>
      </c>
      <c r="L1321">
        <v>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500</v>
      </c>
      <c r="AH1321">
        <v>5</v>
      </c>
      <c r="AI1321">
        <v>0</v>
      </c>
      <c r="AJ1321">
        <v>0</v>
      </c>
      <c r="AK1321">
        <v>400</v>
      </c>
      <c r="AL1321">
        <v>0</v>
      </c>
      <c r="AM1321">
        <v>120</v>
      </c>
      <c r="AN1321">
        <v>-36</v>
      </c>
      <c r="AO1321">
        <v>0</v>
      </c>
      <c r="AP1321">
        <v>120</v>
      </c>
      <c r="AQ1321">
        <v>-36</v>
      </c>
      <c r="AR1321">
        <v>0</v>
      </c>
      <c r="AT1321">
        <v>0</v>
      </c>
      <c r="AU1321">
        <v>0</v>
      </c>
      <c r="AW1321">
        <v>0</v>
      </c>
      <c r="AX1321">
        <v>0</v>
      </c>
      <c r="AY1321">
        <v>338.8</v>
      </c>
      <c r="BC1321" t="str">
        <f t="shared" si="208"/>
        <v>9791137602113</v>
      </c>
      <c r="BE1321" t="str">
        <f t="shared" si="209"/>
        <v>판타지 웹소설 &gt; 현대 판타지</v>
      </c>
    </row>
    <row r="1322" spans="1:58" x14ac:dyDescent="0.3">
      <c r="A1322">
        <v>2313011955</v>
      </c>
      <c r="B1322">
        <v>2313012144</v>
      </c>
      <c r="C1322" t="str">
        <f>T("갓 오브 블랙필드 190화")</f>
        <v>갓 오브 블랙필드 190화</v>
      </c>
      <c r="D1322" t="str">
        <f>T("190")</f>
        <v>190</v>
      </c>
      <c r="E1322" t="str">
        <f t="shared" si="206"/>
        <v>무장</v>
      </c>
      <c r="H1322" t="str">
        <f t="shared" si="205"/>
        <v>스토리위즈</v>
      </c>
      <c r="I1322" t="str">
        <f t="shared" si="207"/>
        <v>갓 오브 블랙필드</v>
      </c>
      <c r="J1322">
        <v>100</v>
      </c>
      <c r="K1322">
        <v>500</v>
      </c>
      <c r="L1322">
        <v>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500</v>
      </c>
      <c r="AH1322">
        <v>5</v>
      </c>
      <c r="AI1322">
        <v>0</v>
      </c>
      <c r="AJ1322">
        <v>0</v>
      </c>
      <c r="AK1322">
        <v>400</v>
      </c>
      <c r="AL1322">
        <v>0</v>
      </c>
      <c r="AM1322">
        <v>120</v>
      </c>
      <c r="AN1322">
        <v>-36</v>
      </c>
      <c r="AO1322">
        <v>0</v>
      </c>
      <c r="AP1322">
        <v>120</v>
      </c>
      <c r="AQ1322">
        <v>-36</v>
      </c>
      <c r="AR1322">
        <v>0</v>
      </c>
      <c r="AT1322">
        <v>0</v>
      </c>
      <c r="AU1322">
        <v>0</v>
      </c>
      <c r="AW1322">
        <v>0</v>
      </c>
      <c r="AX1322">
        <v>0</v>
      </c>
      <c r="AY1322">
        <v>338.8</v>
      </c>
      <c r="BC1322" t="str">
        <f t="shared" si="208"/>
        <v>9791137602113</v>
      </c>
      <c r="BE1322" t="str">
        <f t="shared" si="209"/>
        <v>판타지 웹소설 &gt; 현대 판타지</v>
      </c>
    </row>
    <row r="1323" spans="1:58" x14ac:dyDescent="0.3">
      <c r="A1323">
        <v>2313011955</v>
      </c>
      <c r="B1323">
        <v>2313012146</v>
      </c>
      <c r="C1323" t="str">
        <f>T("갓 오브 블랙필드 192화")</f>
        <v>갓 오브 블랙필드 192화</v>
      </c>
      <c r="D1323" t="str">
        <f>T("192")</f>
        <v>192</v>
      </c>
      <c r="E1323" t="str">
        <f t="shared" si="206"/>
        <v>무장</v>
      </c>
      <c r="H1323" t="str">
        <f t="shared" si="205"/>
        <v>스토리위즈</v>
      </c>
      <c r="I1323" t="str">
        <f t="shared" si="207"/>
        <v>갓 오브 블랙필드</v>
      </c>
      <c r="J1323">
        <v>100</v>
      </c>
      <c r="K1323">
        <v>500</v>
      </c>
      <c r="L1323">
        <v>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500</v>
      </c>
      <c r="AH1323">
        <v>5</v>
      </c>
      <c r="AI1323">
        <v>0</v>
      </c>
      <c r="AJ1323">
        <v>0</v>
      </c>
      <c r="AK1323">
        <v>400</v>
      </c>
      <c r="AL1323">
        <v>0</v>
      </c>
      <c r="AM1323">
        <v>120</v>
      </c>
      <c r="AN1323">
        <v>-36</v>
      </c>
      <c r="AO1323">
        <v>0</v>
      </c>
      <c r="AP1323">
        <v>120</v>
      </c>
      <c r="AQ1323">
        <v>-36</v>
      </c>
      <c r="AR1323">
        <v>0</v>
      </c>
      <c r="AT1323">
        <v>0</v>
      </c>
      <c r="AU1323">
        <v>0</v>
      </c>
      <c r="AW1323">
        <v>0</v>
      </c>
      <c r="AX1323">
        <v>0</v>
      </c>
      <c r="AY1323">
        <v>338.8</v>
      </c>
      <c r="BC1323" t="str">
        <f t="shared" si="208"/>
        <v>9791137602113</v>
      </c>
      <c r="BE1323" t="str">
        <f t="shared" si="209"/>
        <v>판타지 웹소설 &gt; 현대 판타지</v>
      </c>
    </row>
    <row r="1324" spans="1:58" x14ac:dyDescent="0.3">
      <c r="A1324">
        <v>2313011955</v>
      </c>
      <c r="B1324">
        <v>2313012147</v>
      </c>
      <c r="C1324" t="str">
        <f>T("갓 오브 블랙필드 193화")</f>
        <v>갓 오브 블랙필드 193화</v>
      </c>
      <c r="D1324" t="str">
        <f>T("193")</f>
        <v>193</v>
      </c>
      <c r="E1324" t="str">
        <f t="shared" si="206"/>
        <v>무장</v>
      </c>
      <c r="H1324" t="str">
        <f t="shared" si="205"/>
        <v>스토리위즈</v>
      </c>
      <c r="I1324" t="str">
        <f t="shared" si="207"/>
        <v>갓 오브 블랙필드</v>
      </c>
      <c r="J1324">
        <v>100</v>
      </c>
      <c r="K1324">
        <v>500</v>
      </c>
      <c r="L1324">
        <v>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500</v>
      </c>
      <c r="AH1324">
        <v>5</v>
      </c>
      <c r="AI1324">
        <v>0</v>
      </c>
      <c r="AJ1324">
        <v>0</v>
      </c>
      <c r="AK1324">
        <v>400</v>
      </c>
      <c r="AL1324">
        <v>0</v>
      </c>
      <c r="AM1324">
        <v>120</v>
      </c>
      <c r="AN1324">
        <v>-36</v>
      </c>
      <c r="AO1324">
        <v>0</v>
      </c>
      <c r="AP1324">
        <v>120</v>
      </c>
      <c r="AQ1324">
        <v>-36</v>
      </c>
      <c r="AR1324">
        <v>0</v>
      </c>
      <c r="AT1324">
        <v>0</v>
      </c>
      <c r="AU1324">
        <v>0</v>
      </c>
      <c r="AW1324">
        <v>0</v>
      </c>
      <c r="AX1324">
        <v>0</v>
      </c>
      <c r="AY1324">
        <v>338.8</v>
      </c>
      <c r="BC1324" t="str">
        <f t="shared" si="208"/>
        <v>9791137602113</v>
      </c>
      <c r="BE1324" t="str">
        <f t="shared" si="209"/>
        <v>판타지 웹소설 &gt; 현대 판타지</v>
      </c>
    </row>
    <row r="1325" spans="1:58" x14ac:dyDescent="0.3">
      <c r="A1325">
        <v>2313016875</v>
      </c>
      <c r="B1325">
        <v>2313016872</v>
      </c>
      <c r="C1325" t="str">
        <f>T("[e북]사랑한다 윤혜영 (외전증보 삽화본) (외전)")</f>
        <v>[e북]사랑한다 윤혜영 (외전증보 삽화본) (외전)</v>
      </c>
      <c r="D1325" t="str">
        <f>T("4")</f>
        <v>4</v>
      </c>
      <c r="E1325" t="str">
        <f>T("블랙커피")</f>
        <v>블랙커피</v>
      </c>
      <c r="H1325" t="str">
        <f>T("도서출판 태랑")</f>
        <v>도서출판 태랑</v>
      </c>
      <c r="I1325" t="str">
        <f>T("[e북]사랑한다 윤혜영 (외전증보 삽화본)")</f>
        <v>[e북]사랑한다 윤혜영 (외전증보 삽화본)</v>
      </c>
      <c r="J1325">
        <v>500</v>
      </c>
      <c r="K1325">
        <v>500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500</v>
      </c>
      <c r="AH1325">
        <v>1</v>
      </c>
      <c r="AI1325">
        <v>0</v>
      </c>
      <c r="AJ1325">
        <v>0</v>
      </c>
      <c r="AK1325">
        <v>500</v>
      </c>
      <c r="AL1325">
        <v>0</v>
      </c>
      <c r="AM1325">
        <v>0</v>
      </c>
      <c r="AN1325">
        <v>0</v>
      </c>
      <c r="AO1325">
        <v>0</v>
      </c>
      <c r="AP1325"/>
      <c r="AQ1325">
        <v>0</v>
      </c>
      <c r="AR1325">
        <v>0</v>
      </c>
      <c r="AT1325">
        <v>0</v>
      </c>
      <c r="AU1325">
        <v>0</v>
      </c>
      <c r="AW1325">
        <v>0</v>
      </c>
      <c r="AX1325">
        <v>0</v>
      </c>
      <c r="AY1325">
        <v>350</v>
      </c>
      <c r="BC1325" t="str">
        <f>T("9791164374205")</f>
        <v>9791164374205</v>
      </c>
      <c r="BE1325" t="str">
        <f>T("로맨스 e북 &gt; 현대물")</f>
        <v>로맨스 e북 &gt; 현대물</v>
      </c>
      <c r="BF1325" t="str">
        <f>T("로맨스 e북 &gt; 19+")</f>
        <v>로맨스 e북 &gt; 19+</v>
      </c>
    </row>
    <row r="1326" spans="1:58" x14ac:dyDescent="0.3">
      <c r="A1326">
        <v>2313017096</v>
      </c>
      <c r="B1326">
        <v>2313017094</v>
      </c>
      <c r="C1326" t="str">
        <f>T("[e북]욕망하다 (외전)")</f>
        <v>[e북]욕망하다 (외전)</v>
      </c>
      <c r="D1326" t="str">
        <f>T("3")</f>
        <v>3</v>
      </c>
      <c r="E1326" t="str">
        <f>T("라비니안느")</f>
        <v>라비니안느</v>
      </c>
      <c r="H1326" t="str">
        <f>T("도서출판 태랑")</f>
        <v>도서출판 태랑</v>
      </c>
      <c r="I1326" t="str">
        <f>T("[e북]욕망하다")</f>
        <v>[e북]욕망하다</v>
      </c>
      <c r="J1326">
        <v>500</v>
      </c>
      <c r="K1326">
        <v>500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500</v>
      </c>
      <c r="AH1326">
        <v>1</v>
      </c>
      <c r="AI1326">
        <v>0</v>
      </c>
      <c r="AJ1326">
        <v>0</v>
      </c>
      <c r="AK1326">
        <v>500</v>
      </c>
      <c r="AL1326">
        <v>0</v>
      </c>
      <c r="AM1326">
        <v>0</v>
      </c>
      <c r="AN1326">
        <v>0</v>
      </c>
      <c r="AO1326">
        <v>0</v>
      </c>
      <c r="AP1326"/>
      <c r="AQ1326">
        <v>0</v>
      </c>
      <c r="AR1326">
        <v>0</v>
      </c>
      <c r="AT1326">
        <v>0</v>
      </c>
      <c r="AU1326">
        <v>0</v>
      </c>
      <c r="AW1326">
        <v>0</v>
      </c>
      <c r="AX1326">
        <v>0</v>
      </c>
      <c r="AY1326">
        <v>350</v>
      </c>
      <c r="BC1326" t="str">
        <f>T("9791189627591")</f>
        <v>9791189627591</v>
      </c>
      <c r="BE1326" t="str">
        <f>T("BL 소설 e북 &gt; 현대물")</f>
        <v>BL 소설 e북 &gt; 현대물</v>
      </c>
    </row>
    <row r="1327" spans="1:58" x14ac:dyDescent="0.3">
      <c r="A1327">
        <v>2313017145</v>
      </c>
      <c r="B1327">
        <v>2313017124</v>
      </c>
      <c r="C1327" t="str">
        <f>T("[e북]그땐 미처 (외전)")</f>
        <v>[e북]그땐 미처 (외전)</v>
      </c>
      <c r="D1327" t="str">
        <f>T("2")</f>
        <v>2</v>
      </c>
      <c r="E1327" t="str">
        <f>T("셔틀")</f>
        <v>셔틀</v>
      </c>
      <c r="H1327" t="str">
        <f>T("도서출판 태랑")</f>
        <v>도서출판 태랑</v>
      </c>
      <c r="I1327" t="str">
        <f>T("[e북]그땐 미처")</f>
        <v>[e북]그땐 미처</v>
      </c>
      <c r="J1327">
        <v>500</v>
      </c>
      <c r="K1327">
        <v>500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500</v>
      </c>
      <c r="AH1327">
        <v>1</v>
      </c>
      <c r="AI1327">
        <v>0</v>
      </c>
      <c r="AJ1327">
        <v>0</v>
      </c>
      <c r="AK1327">
        <v>500</v>
      </c>
      <c r="AL1327">
        <v>0</v>
      </c>
      <c r="AM1327">
        <v>0</v>
      </c>
      <c r="AN1327">
        <v>0</v>
      </c>
      <c r="AO1327">
        <v>0</v>
      </c>
      <c r="AP1327"/>
      <c r="AQ1327">
        <v>0</v>
      </c>
      <c r="AR1327">
        <v>0</v>
      </c>
      <c r="AT1327">
        <v>0</v>
      </c>
      <c r="AU1327">
        <v>0</v>
      </c>
      <c r="AW1327">
        <v>0</v>
      </c>
      <c r="AX1327">
        <v>0</v>
      </c>
      <c r="AY1327">
        <v>350</v>
      </c>
      <c r="BC1327" t="str">
        <f>T("9791189084820")</f>
        <v>9791189084820</v>
      </c>
      <c r="BE1327" t="str">
        <f>T("로맨스 e북 &gt; 현대물")</f>
        <v>로맨스 e북 &gt; 현대물</v>
      </c>
      <c r="BF1327" t="str">
        <f>T("로맨스 e북 &gt; 19+")</f>
        <v>로맨스 e북 &gt; 19+</v>
      </c>
    </row>
    <row r="1328" spans="1:58" x14ac:dyDescent="0.3">
      <c r="A1328">
        <v>2313017163</v>
      </c>
      <c r="B1328">
        <v>2313017168</v>
      </c>
      <c r="C1328" t="str">
        <f>T("친절하기는 얼어 죽을 5화")</f>
        <v>친절하기는 얼어 죽을 5화</v>
      </c>
      <c r="D1328" t="str">
        <f>T("6")</f>
        <v>6</v>
      </c>
      <c r="E1328" t="str">
        <f t="shared" ref="E1328:E1337" si="210">T("솜목화")</f>
        <v>솜목화</v>
      </c>
      <c r="H1328" t="str">
        <f t="shared" ref="H1328:H1337" si="211">T("블레슈(Blesshuu)")</f>
        <v>블레슈(Blesshuu)</v>
      </c>
      <c r="I1328" t="str">
        <f t="shared" ref="I1328:I1337" si="212">T("친절하기는 얼어 죽을")</f>
        <v>친절하기는 얼어 죽을</v>
      </c>
      <c r="J1328">
        <v>100</v>
      </c>
      <c r="K1328">
        <v>500</v>
      </c>
      <c r="L1328">
        <v>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500</v>
      </c>
      <c r="AH1328">
        <v>5</v>
      </c>
      <c r="AI1328">
        <v>0</v>
      </c>
      <c r="AJ1328">
        <v>0</v>
      </c>
      <c r="AK1328">
        <v>400</v>
      </c>
      <c r="AL1328">
        <v>0</v>
      </c>
      <c r="AM1328">
        <v>120</v>
      </c>
      <c r="AN1328">
        <v>-12</v>
      </c>
      <c r="AO1328">
        <v>0</v>
      </c>
      <c r="AP1328"/>
      <c r="AQ1328">
        <v>0</v>
      </c>
      <c r="AR1328">
        <v>0</v>
      </c>
      <c r="AS1328">
        <v>120</v>
      </c>
      <c r="AT1328">
        <v>-12</v>
      </c>
      <c r="AU1328">
        <v>0</v>
      </c>
      <c r="AW1328">
        <v>0</v>
      </c>
      <c r="AX1328">
        <v>0</v>
      </c>
      <c r="AY1328">
        <v>304.8</v>
      </c>
      <c r="BA1328" t="str">
        <f t="shared" ref="BA1328:BA1337" si="213">T("0000000000000")</f>
        <v>0000000000000</v>
      </c>
      <c r="BC1328" t="str">
        <f t="shared" ref="BC1328:BC1337" si="214">T("9791137604131")</f>
        <v>9791137604131</v>
      </c>
      <c r="BE1328" t="str">
        <f t="shared" ref="BE1328:BE1337" si="215">T("로맨스 웹소설 &gt; 현대물")</f>
        <v>로맨스 웹소설 &gt; 현대물</v>
      </c>
    </row>
    <row r="1329" spans="1:57" x14ac:dyDescent="0.3">
      <c r="A1329">
        <v>2313017163</v>
      </c>
      <c r="B1329">
        <v>2313017234</v>
      </c>
      <c r="C1329" t="str">
        <f>T("친절하기는 얼어 죽을 71화")</f>
        <v>친절하기는 얼어 죽을 71화</v>
      </c>
      <c r="D1329" t="str">
        <f>T("72")</f>
        <v>72</v>
      </c>
      <c r="E1329" t="str">
        <f t="shared" si="210"/>
        <v>솜목화</v>
      </c>
      <c r="H1329" t="str">
        <f t="shared" si="211"/>
        <v>블레슈(Blesshuu)</v>
      </c>
      <c r="I1329" t="str">
        <f t="shared" si="212"/>
        <v>친절하기는 얼어 죽을</v>
      </c>
      <c r="J1329">
        <v>100</v>
      </c>
      <c r="K1329">
        <v>500</v>
      </c>
      <c r="L1329">
        <v>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500</v>
      </c>
      <c r="AH1329">
        <v>5</v>
      </c>
      <c r="AI1329">
        <v>0</v>
      </c>
      <c r="AJ1329">
        <v>0</v>
      </c>
      <c r="AK1329">
        <v>400</v>
      </c>
      <c r="AL1329">
        <v>0</v>
      </c>
      <c r="AM1329">
        <v>120</v>
      </c>
      <c r="AN1329">
        <v>-12</v>
      </c>
      <c r="AO1329">
        <v>0</v>
      </c>
      <c r="AP1329"/>
      <c r="AQ1329">
        <v>0</v>
      </c>
      <c r="AR1329">
        <v>0</v>
      </c>
      <c r="AS1329">
        <v>120</v>
      </c>
      <c r="AT1329">
        <v>-12</v>
      </c>
      <c r="AU1329">
        <v>0</v>
      </c>
      <c r="AW1329">
        <v>0</v>
      </c>
      <c r="AX1329">
        <v>0</v>
      </c>
      <c r="AY1329">
        <v>304.8</v>
      </c>
      <c r="BA1329" t="str">
        <f t="shared" si="213"/>
        <v>0000000000000</v>
      </c>
      <c r="BC1329" t="str">
        <f t="shared" si="214"/>
        <v>9791137604131</v>
      </c>
      <c r="BE1329" t="str">
        <f t="shared" si="215"/>
        <v>로맨스 웹소설 &gt; 현대물</v>
      </c>
    </row>
    <row r="1330" spans="1:57" x14ac:dyDescent="0.3">
      <c r="A1330">
        <v>2313017163</v>
      </c>
      <c r="B1330">
        <v>2313017235</v>
      </c>
      <c r="C1330" t="str">
        <f>T("친절하기는 얼어 죽을 72화")</f>
        <v>친절하기는 얼어 죽을 72화</v>
      </c>
      <c r="D1330" t="str">
        <f>T("73")</f>
        <v>73</v>
      </c>
      <c r="E1330" t="str">
        <f t="shared" si="210"/>
        <v>솜목화</v>
      </c>
      <c r="H1330" t="str">
        <f t="shared" si="211"/>
        <v>블레슈(Blesshuu)</v>
      </c>
      <c r="I1330" t="str">
        <f t="shared" si="212"/>
        <v>친절하기는 얼어 죽을</v>
      </c>
      <c r="J1330">
        <v>100</v>
      </c>
      <c r="K1330">
        <v>500</v>
      </c>
      <c r="L1330">
        <v>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500</v>
      </c>
      <c r="AH1330">
        <v>5</v>
      </c>
      <c r="AI1330">
        <v>0</v>
      </c>
      <c r="AJ1330">
        <v>0</v>
      </c>
      <c r="AK1330">
        <v>400</v>
      </c>
      <c r="AL1330">
        <v>0</v>
      </c>
      <c r="AM1330">
        <v>120</v>
      </c>
      <c r="AN1330">
        <v>-12</v>
      </c>
      <c r="AO1330">
        <v>0</v>
      </c>
      <c r="AP1330"/>
      <c r="AQ1330">
        <v>0</v>
      </c>
      <c r="AR1330">
        <v>0</v>
      </c>
      <c r="AS1330">
        <v>120</v>
      </c>
      <c r="AT1330">
        <v>-12</v>
      </c>
      <c r="AU1330">
        <v>0</v>
      </c>
      <c r="AW1330">
        <v>0</v>
      </c>
      <c r="AX1330">
        <v>0</v>
      </c>
      <c r="AY1330">
        <v>304.8</v>
      </c>
      <c r="BA1330" t="str">
        <f t="shared" si="213"/>
        <v>0000000000000</v>
      </c>
      <c r="BC1330" t="str">
        <f t="shared" si="214"/>
        <v>9791137604131</v>
      </c>
      <c r="BE1330" t="str">
        <f t="shared" si="215"/>
        <v>로맨스 웹소설 &gt; 현대물</v>
      </c>
    </row>
    <row r="1331" spans="1:57" x14ac:dyDescent="0.3">
      <c r="A1331">
        <v>2313017163</v>
      </c>
      <c r="B1331">
        <v>2313017236</v>
      </c>
      <c r="C1331" t="str">
        <f>T("친절하기는 얼어 죽을 73화")</f>
        <v>친절하기는 얼어 죽을 73화</v>
      </c>
      <c r="D1331" t="str">
        <f>T("74")</f>
        <v>74</v>
      </c>
      <c r="E1331" t="str">
        <f t="shared" si="210"/>
        <v>솜목화</v>
      </c>
      <c r="H1331" t="str">
        <f t="shared" si="211"/>
        <v>블레슈(Blesshuu)</v>
      </c>
      <c r="I1331" t="str">
        <f t="shared" si="212"/>
        <v>친절하기는 얼어 죽을</v>
      </c>
      <c r="J1331">
        <v>100</v>
      </c>
      <c r="K1331">
        <v>500</v>
      </c>
      <c r="L1331">
        <v>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500</v>
      </c>
      <c r="AH1331">
        <v>5</v>
      </c>
      <c r="AI1331">
        <v>0</v>
      </c>
      <c r="AJ1331">
        <v>0</v>
      </c>
      <c r="AK1331">
        <v>400</v>
      </c>
      <c r="AL1331">
        <v>0</v>
      </c>
      <c r="AM1331">
        <v>120</v>
      </c>
      <c r="AN1331">
        <v>-12</v>
      </c>
      <c r="AO1331">
        <v>0</v>
      </c>
      <c r="AP1331"/>
      <c r="AQ1331">
        <v>0</v>
      </c>
      <c r="AR1331">
        <v>0</v>
      </c>
      <c r="AS1331">
        <v>120</v>
      </c>
      <c r="AT1331">
        <v>-12</v>
      </c>
      <c r="AU1331">
        <v>0</v>
      </c>
      <c r="AW1331">
        <v>0</v>
      </c>
      <c r="AX1331">
        <v>0</v>
      </c>
      <c r="AY1331">
        <v>304.8</v>
      </c>
      <c r="BA1331" t="str">
        <f t="shared" si="213"/>
        <v>0000000000000</v>
      </c>
      <c r="BC1331" t="str">
        <f t="shared" si="214"/>
        <v>9791137604131</v>
      </c>
      <c r="BE1331" t="str">
        <f t="shared" si="215"/>
        <v>로맨스 웹소설 &gt; 현대물</v>
      </c>
    </row>
    <row r="1332" spans="1:57" x14ac:dyDescent="0.3">
      <c r="A1332">
        <v>2313017163</v>
      </c>
      <c r="B1332">
        <v>2313017237</v>
      </c>
      <c r="C1332" t="str">
        <f>T("친절하기는 얼어 죽을 74화")</f>
        <v>친절하기는 얼어 죽을 74화</v>
      </c>
      <c r="D1332" t="str">
        <f>T("75")</f>
        <v>75</v>
      </c>
      <c r="E1332" t="str">
        <f t="shared" si="210"/>
        <v>솜목화</v>
      </c>
      <c r="H1332" t="str">
        <f t="shared" si="211"/>
        <v>블레슈(Blesshuu)</v>
      </c>
      <c r="I1332" t="str">
        <f t="shared" si="212"/>
        <v>친절하기는 얼어 죽을</v>
      </c>
      <c r="J1332">
        <v>100</v>
      </c>
      <c r="K1332">
        <v>500</v>
      </c>
      <c r="L1332">
        <v>5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500</v>
      </c>
      <c r="AH1332">
        <v>5</v>
      </c>
      <c r="AI1332">
        <v>0</v>
      </c>
      <c r="AJ1332">
        <v>0</v>
      </c>
      <c r="AK1332">
        <v>400</v>
      </c>
      <c r="AL1332">
        <v>0</v>
      </c>
      <c r="AM1332">
        <v>120</v>
      </c>
      <c r="AN1332">
        <v>-12</v>
      </c>
      <c r="AO1332">
        <v>0</v>
      </c>
      <c r="AP1332"/>
      <c r="AQ1332">
        <v>0</v>
      </c>
      <c r="AR1332">
        <v>0</v>
      </c>
      <c r="AS1332">
        <v>120</v>
      </c>
      <c r="AT1332">
        <v>-12</v>
      </c>
      <c r="AU1332">
        <v>0</v>
      </c>
      <c r="AW1332">
        <v>0</v>
      </c>
      <c r="AX1332">
        <v>0</v>
      </c>
      <c r="AY1332">
        <v>304.8</v>
      </c>
      <c r="BA1332" t="str">
        <f t="shared" si="213"/>
        <v>0000000000000</v>
      </c>
      <c r="BC1332" t="str">
        <f t="shared" si="214"/>
        <v>9791137604131</v>
      </c>
      <c r="BE1332" t="str">
        <f t="shared" si="215"/>
        <v>로맨스 웹소설 &gt; 현대물</v>
      </c>
    </row>
    <row r="1333" spans="1:57" x14ac:dyDescent="0.3">
      <c r="A1333">
        <v>2313017163</v>
      </c>
      <c r="B1333">
        <v>2313017240</v>
      </c>
      <c r="C1333" t="str">
        <f>T("친절하기는 얼어 죽을 77화")</f>
        <v>친절하기는 얼어 죽을 77화</v>
      </c>
      <c r="D1333" t="str">
        <f>T("78")</f>
        <v>78</v>
      </c>
      <c r="E1333" t="str">
        <f t="shared" si="210"/>
        <v>솜목화</v>
      </c>
      <c r="H1333" t="str">
        <f t="shared" si="211"/>
        <v>블레슈(Blesshuu)</v>
      </c>
      <c r="I1333" t="str">
        <f t="shared" si="212"/>
        <v>친절하기는 얼어 죽을</v>
      </c>
      <c r="J1333">
        <v>100</v>
      </c>
      <c r="K1333">
        <v>500</v>
      </c>
      <c r="L1333">
        <v>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500</v>
      </c>
      <c r="AH1333">
        <v>5</v>
      </c>
      <c r="AI1333">
        <v>0</v>
      </c>
      <c r="AJ1333">
        <v>0</v>
      </c>
      <c r="AK1333">
        <v>400</v>
      </c>
      <c r="AL1333">
        <v>0</v>
      </c>
      <c r="AM1333">
        <v>120</v>
      </c>
      <c r="AN1333">
        <v>-12</v>
      </c>
      <c r="AO1333">
        <v>0</v>
      </c>
      <c r="AP1333"/>
      <c r="AQ1333">
        <v>0</v>
      </c>
      <c r="AR1333">
        <v>0</v>
      </c>
      <c r="AS1333">
        <v>120</v>
      </c>
      <c r="AT1333">
        <v>-12</v>
      </c>
      <c r="AU1333">
        <v>0</v>
      </c>
      <c r="AW1333">
        <v>0</v>
      </c>
      <c r="AX1333">
        <v>0</v>
      </c>
      <c r="AY1333">
        <v>304.8</v>
      </c>
      <c r="BA1333" t="str">
        <f t="shared" si="213"/>
        <v>0000000000000</v>
      </c>
      <c r="BC1333" t="str">
        <f t="shared" si="214"/>
        <v>9791137604131</v>
      </c>
      <c r="BE1333" t="str">
        <f t="shared" si="215"/>
        <v>로맨스 웹소설 &gt; 현대물</v>
      </c>
    </row>
    <row r="1334" spans="1:57" x14ac:dyDescent="0.3">
      <c r="A1334">
        <v>2313017163</v>
      </c>
      <c r="B1334">
        <v>2313017241</v>
      </c>
      <c r="C1334" t="str">
        <f>T("친절하기는 얼어 죽을 78화")</f>
        <v>친절하기는 얼어 죽을 78화</v>
      </c>
      <c r="D1334" t="str">
        <f>T("79")</f>
        <v>79</v>
      </c>
      <c r="E1334" t="str">
        <f t="shared" si="210"/>
        <v>솜목화</v>
      </c>
      <c r="H1334" t="str">
        <f t="shared" si="211"/>
        <v>블레슈(Blesshuu)</v>
      </c>
      <c r="I1334" t="str">
        <f t="shared" si="212"/>
        <v>친절하기는 얼어 죽을</v>
      </c>
      <c r="J1334">
        <v>100</v>
      </c>
      <c r="K1334">
        <v>500</v>
      </c>
      <c r="L1334">
        <v>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500</v>
      </c>
      <c r="AH1334">
        <v>5</v>
      </c>
      <c r="AI1334">
        <v>0</v>
      </c>
      <c r="AJ1334">
        <v>0</v>
      </c>
      <c r="AK1334">
        <v>400</v>
      </c>
      <c r="AL1334">
        <v>0</v>
      </c>
      <c r="AM1334">
        <v>120</v>
      </c>
      <c r="AN1334">
        <v>-12</v>
      </c>
      <c r="AO1334">
        <v>0</v>
      </c>
      <c r="AP1334"/>
      <c r="AQ1334">
        <v>0</v>
      </c>
      <c r="AR1334">
        <v>0</v>
      </c>
      <c r="AS1334">
        <v>120</v>
      </c>
      <c r="AT1334">
        <v>-12</v>
      </c>
      <c r="AU1334">
        <v>0</v>
      </c>
      <c r="AW1334">
        <v>0</v>
      </c>
      <c r="AX1334">
        <v>0</v>
      </c>
      <c r="AY1334">
        <v>304.8</v>
      </c>
      <c r="BA1334" t="str">
        <f t="shared" si="213"/>
        <v>0000000000000</v>
      </c>
      <c r="BC1334" t="str">
        <f t="shared" si="214"/>
        <v>9791137604131</v>
      </c>
      <c r="BE1334" t="str">
        <f t="shared" si="215"/>
        <v>로맨스 웹소설 &gt; 현대물</v>
      </c>
    </row>
    <row r="1335" spans="1:57" x14ac:dyDescent="0.3">
      <c r="A1335">
        <v>2313017163</v>
      </c>
      <c r="B1335">
        <v>2313017242</v>
      </c>
      <c r="C1335" t="str">
        <f>T("친절하기는 얼어 죽을 79화")</f>
        <v>친절하기는 얼어 죽을 79화</v>
      </c>
      <c r="D1335" t="str">
        <f>T("80")</f>
        <v>80</v>
      </c>
      <c r="E1335" t="str">
        <f t="shared" si="210"/>
        <v>솜목화</v>
      </c>
      <c r="H1335" t="str">
        <f t="shared" si="211"/>
        <v>블레슈(Blesshuu)</v>
      </c>
      <c r="I1335" t="str">
        <f t="shared" si="212"/>
        <v>친절하기는 얼어 죽을</v>
      </c>
      <c r="J1335">
        <v>100</v>
      </c>
      <c r="K1335">
        <v>500</v>
      </c>
      <c r="L1335">
        <v>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500</v>
      </c>
      <c r="AH1335">
        <v>5</v>
      </c>
      <c r="AI1335">
        <v>0</v>
      </c>
      <c r="AJ1335">
        <v>0</v>
      </c>
      <c r="AK1335">
        <v>400</v>
      </c>
      <c r="AL1335">
        <v>0</v>
      </c>
      <c r="AM1335">
        <v>120</v>
      </c>
      <c r="AN1335">
        <v>-12</v>
      </c>
      <c r="AO1335">
        <v>0</v>
      </c>
      <c r="AP1335"/>
      <c r="AQ1335">
        <v>0</v>
      </c>
      <c r="AR1335">
        <v>0</v>
      </c>
      <c r="AS1335">
        <v>120</v>
      </c>
      <c r="AT1335">
        <v>-12</v>
      </c>
      <c r="AU1335">
        <v>0</v>
      </c>
      <c r="AW1335">
        <v>0</v>
      </c>
      <c r="AX1335">
        <v>0</v>
      </c>
      <c r="AY1335">
        <v>304.8</v>
      </c>
      <c r="BA1335" t="str">
        <f t="shared" si="213"/>
        <v>0000000000000</v>
      </c>
      <c r="BC1335" t="str">
        <f t="shared" si="214"/>
        <v>9791137604131</v>
      </c>
      <c r="BE1335" t="str">
        <f t="shared" si="215"/>
        <v>로맨스 웹소설 &gt; 현대물</v>
      </c>
    </row>
    <row r="1336" spans="1:57" x14ac:dyDescent="0.3">
      <c r="A1336">
        <v>2313017163</v>
      </c>
      <c r="B1336">
        <v>2313017247</v>
      </c>
      <c r="C1336" t="str">
        <f>T("친절하기는 얼어 죽을 84화")</f>
        <v>친절하기는 얼어 죽을 84화</v>
      </c>
      <c r="D1336" t="str">
        <f>T("85")</f>
        <v>85</v>
      </c>
      <c r="E1336" t="str">
        <f t="shared" si="210"/>
        <v>솜목화</v>
      </c>
      <c r="H1336" t="str">
        <f t="shared" si="211"/>
        <v>블레슈(Blesshuu)</v>
      </c>
      <c r="I1336" t="str">
        <f t="shared" si="212"/>
        <v>친절하기는 얼어 죽을</v>
      </c>
      <c r="J1336">
        <v>100</v>
      </c>
      <c r="K1336">
        <v>500</v>
      </c>
      <c r="L1336">
        <v>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500</v>
      </c>
      <c r="AH1336">
        <v>5</v>
      </c>
      <c r="AI1336">
        <v>0</v>
      </c>
      <c r="AJ1336">
        <v>0</v>
      </c>
      <c r="AK1336">
        <v>400</v>
      </c>
      <c r="AL1336">
        <v>0</v>
      </c>
      <c r="AM1336">
        <v>120</v>
      </c>
      <c r="AN1336">
        <v>-12</v>
      </c>
      <c r="AO1336">
        <v>0</v>
      </c>
      <c r="AP1336"/>
      <c r="AQ1336">
        <v>0</v>
      </c>
      <c r="AR1336">
        <v>0</v>
      </c>
      <c r="AS1336">
        <v>120</v>
      </c>
      <c r="AT1336">
        <v>-12</v>
      </c>
      <c r="AU1336">
        <v>0</v>
      </c>
      <c r="AW1336">
        <v>0</v>
      </c>
      <c r="AX1336">
        <v>0</v>
      </c>
      <c r="AY1336">
        <v>304.8</v>
      </c>
      <c r="BA1336" t="str">
        <f t="shared" si="213"/>
        <v>0000000000000</v>
      </c>
      <c r="BC1336" t="str">
        <f t="shared" si="214"/>
        <v>9791137604131</v>
      </c>
      <c r="BE1336" t="str">
        <f t="shared" si="215"/>
        <v>로맨스 웹소설 &gt; 현대물</v>
      </c>
    </row>
    <row r="1337" spans="1:57" x14ac:dyDescent="0.3">
      <c r="A1337">
        <v>2313017163</v>
      </c>
      <c r="B1337">
        <v>2313017248</v>
      </c>
      <c r="C1337" t="str">
        <f>T("친절하기는 얼어 죽을 85화")</f>
        <v>친절하기는 얼어 죽을 85화</v>
      </c>
      <c r="D1337" t="str">
        <f>T("86")</f>
        <v>86</v>
      </c>
      <c r="E1337" t="str">
        <f t="shared" si="210"/>
        <v>솜목화</v>
      </c>
      <c r="H1337" t="str">
        <f t="shared" si="211"/>
        <v>블레슈(Blesshuu)</v>
      </c>
      <c r="I1337" t="str">
        <f t="shared" si="212"/>
        <v>친절하기는 얼어 죽을</v>
      </c>
      <c r="J1337">
        <v>100</v>
      </c>
      <c r="K1337">
        <v>500</v>
      </c>
      <c r="L1337">
        <v>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500</v>
      </c>
      <c r="AH1337">
        <v>5</v>
      </c>
      <c r="AI1337">
        <v>0</v>
      </c>
      <c r="AJ1337">
        <v>0</v>
      </c>
      <c r="AK1337">
        <v>400</v>
      </c>
      <c r="AL1337">
        <v>0</v>
      </c>
      <c r="AM1337">
        <v>120</v>
      </c>
      <c r="AN1337">
        <v>-12</v>
      </c>
      <c r="AO1337">
        <v>0</v>
      </c>
      <c r="AP1337"/>
      <c r="AQ1337">
        <v>0</v>
      </c>
      <c r="AR1337">
        <v>0</v>
      </c>
      <c r="AS1337">
        <v>120</v>
      </c>
      <c r="AT1337">
        <v>-12</v>
      </c>
      <c r="AU1337">
        <v>0</v>
      </c>
      <c r="AW1337">
        <v>0</v>
      </c>
      <c r="AX1337">
        <v>0</v>
      </c>
      <c r="AY1337">
        <v>304.8</v>
      </c>
      <c r="BA1337" t="str">
        <f t="shared" si="213"/>
        <v>0000000000000</v>
      </c>
      <c r="BC1337" t="str">
        <f t="shared" si="214"/>
        <v>9791137604131</v>
      </c>
      <c r="BE1337" t="str">
        <f t="shared" si="215"/>
        <v>로맨스 웹소설 &gt; 현대물</v>
      </c>
    </row>
    <row r="1338" spans="1:57" x14ac:dyDescent="0.3">
      <c r="A1338">
        <v>2313019814</v>
      </c>
      <c r="B1338">
        <v>2313020083</v>
      </c>
      <c r="C1338" t="str">
        <f>T("친구 졸업 96화")</f>
        <v>친구 졸업 96화</v>
      </c>
      <c r="D1338" t="str">
        <f>T("96")</f>
        <v>96</v>
      </c>
      <c r="E1338" t="str">
        <f t="shared" ref="E1338:E1343" si="216">T("세상")</f>
        <v>세상</v>
      </c>
      <c r="H1338" t="str">
        <f t="shared" ref="H1338:H1343" si="217">T("앰퍼샌드B")</f>
        <v>앰퍼샌드B</v>
      </c>
      <c r="I1338" t="str">
        <f t="shared" ref="I1338:I1343" si="218">T("친구 졸업")</f>
        <v>친구 졸업</v>
      </c>
      <c r="J1338">
        <v>100</v>
      </c>
      <c r="K1338">
        <v>500</v>
      </c>
      <c r="L1338">
        <v>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500</v>
      </c>
      <c r="AH1338">
        <v>5</v>
      </c>
      <c r="AI1338">
        <v>0</v>
      </c>
      <c r="AJ1338">
        <v>0</v>
      </c>
      <c r="AK1338">
        <v>500</v>
      </c>
      <c r="AL1338">
        <v>0</v>
      </c>
      <c r="AM1338">
        <v>0</v>
      </c>
      <c r="AN1338">
        <v>0</v>
      </c>
      <c r="AO1338">
        <v>0</v>
      </c>
      <c r="AP1338"/>
      <c r="AQ1338">
        <v>0</v>
      </c>
      <c r="AR1338">
        <v>0</v>
      </c>
      <c r="AT1338">
        <v>0</v>
      </c>
      <c r="AU1338">
        <v>0</v>
      </c>
      <c r="AW1338">
        <v>0</v>
      </c>
      <c r="AX1338">
        <v>0</v>
      </c>
      <c r="AY1338">
        <v>350</v>
      </c>
      <c r="BC1338" t="str">
        <f t="shared" ref="BC1338:BC1343" si="219">T("9791137606975")</f>
        <v>9791137606975</v>
      </c>
      <c r="BE1338" t="str">
        <f t="shared" ref="BE1338:BE1343" si="220">T("BL 웹소설 &gt; 현대물")</f>
        <v>BL 웹소설 &gt; 현대물</v>
      </c>
    </row>
    <row r="1339" spans="1:57" x14ac:dyDescent="0.3">
      <c r="A1339">
        <v>2313019814</v>
      </c>
      <c r="B1339">
        <v>2313020084</v>
      </c>
      <c r="C1339" t="str">
        <f>T("친구 졸업 97화")</f>
        <v>친구 졸업 97화</v>
      </c>
      <c r="D1339" t="str">
        <f>T("97")</f>
        <v>97</v>
      </c>
      <c r="E1339" t="str">
        <f t="shared" si="216"/>
        <v>세상</v>
      </c>
      <c r="H1339" t="str">
        <f t="shared" si="217"/>
        <v>앰퍼샌드B</v>
      </c>
      <c r="I1339" t="str">
        <f t="shared" si="218"/>
        <v>친구 졸업</v>
      </c>
      <c r="J1339">
        <v>100</v>
      </c>
      <c r="K1339">
        <v>500</v>
      </c>
      <c r="L1339">
        <v>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500</v>
      </c>
      <c r="AH1339">
        <v>5</v>
      </c>
      <c r="AI1339">
        <v>0</v>
      </c>
      <c r="AJ1339">
        <v>0</v>
      </c>
      <c r="AK1339">
        <v>500</v>
      </c>
      <c r="AL1339">
        <v>0</v>
      </c>
      <c r="AM1339">
        <v>0</v>
      </c>
      <c r="AN1339">
        <v>0</v>
      </c>
      <c r="AO1339">
        <v>0</v>
      </c>
      <c r="AP1339"/>
      <c r="AQ1339">
        <v>0</v>
      </c>
      <c r="AR1339">
        <v>0</v>
      </c>
      <c r="AT1339">
        <v>0</v>
      </c>
      <c r="AU1339">
        <v>0</v>
      </c>
      <c r="AW1339">
        <v>0</v>
      </c>
      <c r="AX1339">
        <v>0</v>
      </c>
      <c r="AY1339">
        <v>350</v>
      </c>
      <c r="BC1339" t="str">
        <f t="shared" si="219"/>
        <v>9791137606975</v>
      </c>
      <c r="BE1339" t="str">
        <f t="shared" si="220"/>
        <v>BL 웹소설 &gt; 현대물</v>
      </c>
    </row>
    <row r="1340" spans="1:57" x14ac:dyDescent="0.3">
      <c r="A1340">
        <v>2313019814</v>
      </c>
      <c r="B1340">
        <v>2313020085</v>
      </c>
      <c r="C1340" t="str">
        <f>T("친구 졸업 98화")</f>
        <v>친구 졸업 98화</v>
      </c>
      <c r="D1340" t="str">
        <f>T("98")</f>
        <v>98</v>
      </c>
      <c r="E1340" t="str">
        <f t="shared" si="216"/>
        <v>세상</v>
      </c>
      <c r="H1340" t="str">
        <f t="shared" si="217"/>
        <v>앰퍼샌드B</v>
      </c>
      <c r="I1340" t="str">
        <f t="shared" si="218"/>
        <v>친구 졸업</v>
      </c>
      <c r="J1340">
        <v>100</v>
      </c>
      <c r="K1340">
        <v>500</v>
      </c>
      <c r="L1340">
        <v>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500</v>
      </c>
      <c r="AH1340">
        <v>5</v>
      </c>
      <c r="AI1340">
        <v>0</v>
      </c>
      <c r="AJ1340">
        <v>0</v>
      </c>
      <c r="AK1340">
        <v>500</v>
      </c>
      <c r="AL1340">
        <v>0</v>
      </c>
      <c r="AM1340">
        <v>0</v>
      </c>
      <c r="AN1340">
        <v>0</v>
      </c>
      <c r="AO1340">
        <v>0</v>
      </c>
      <c r="AP1340"/>
      <c r="AQ1340">
        <v>0</v>
      </c>
      <c r="AR1340">
        <v>0</v>
      </c>
      <c r="AT1340">
        <v>0</v>
      </c>
      <c r="AU1340">
        <v>0</v>
      </c>
      <c r="AW1340">
        <v>0</v>
      </c>
      <c r="AX1340">
        <v>0</v>
      </c>
      <c r="AY1340">
        <v>350</v>
      </c>
      <c r="BC1340" t="str">
        <f t="shared" si="219"/>
        <v>9791137606975</v>
      </c>
      <c r="BE1340" t="str">
        <f t="shared" si="220"/>
        <v>BL 웹소설 &gt; 현대물</v>
      </c>
    </row>
    <row r="1341" spans="1:57" x14ac:dyDescent="0.3">
      <c r="A1341">
        <v>2313019814</v>
      </c>
      <c r="B1341">
        <v>2313020086</v>
      </c>
      <c r="C1341" t="str">
        <f>T("친구 졸업 99화")</f>
        <v>친구 졸업 99화</v>
      </c>
      <c r="D1341" t="str">
        <f>T("99")</f>
        <v>99</v>
      </c>
      <c r="E1341" t="str">
        <f t="shared" si="216"/>
        <v>세상</v>
      </c>
      <c r="H1341" t="str">
        <f t="shared" si="217"/>
        <v>앰퍼샌드B</v>
      </c>
      <c r="I1341" t="str">
        <f t="shared" si="218"/>
        <v>친구 졸업</v>
      </c>
      <c r="J1341">
        <v>100</v>
      </c>
      <c r="K1341">
        <v>500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500</v>
      </c>
      <c r="AH1341">
        <v>5</v>
      </c>
      <c r="AI1341">
        <v>0</v>
      </c>
      <c r="AJ1341">
        <v>0</v>
      </c>
      <c r="AK1341">
        <v>500</v>
      </c>
      <c r="AL1341">
        <v>0</v>
      </c>
      <c r="AM1341">
        <v>0</v>
      </c>
      <c r="AN1341">
        <v>0</v>
      </c>
      <c r="AO1341">
        <v>0</v>
      </c>
      <c r="AP1341"/>
      <c r="AQ1341">
        <v>0</v>
      </c>
      <c r="AR1341">
        <v>0</v>
      </c>
      <c r="AT1341">
        <v>0</v>
      </c>
      <c r="AU1341">
        <v>0</v>
      </c>
      <c r="AW1341">
        <v>0</v>
      </c>
      <c r="AX1341">
        <v>0</v>
      </c>
      <c r="AY1341">
        <v>350</v>
      </c>
      <c r="BC1341" t="str">
        <f t="shared" si="219"/>
        <v>9791137606975</v>
      </c>
      <c r="BE1341" t="str">
        <f t="shared" si="220"/>
        <v>BL 웹소설 &gt; 현대물</v>
      </c>
    </row>
    <row r="1342" spans="1:57" x14ac:dyDescent="0.3">
      <c r="A1342">
        <v>2313019814</v>
      </c>
      <c r="B1342">
        <v>2313020087</v>
      </c>
      <c r="C1342" t="str">
        <f>T("친구 졸업 100화")</f>
        <v>친구 졸업 100화</v>
      </c>
      <c r="D1342" t="str">
        <f>T("100")</f>
        <v>100</v>
      </c>
      <c r="E1342" t="str">
        <f t="shared" si="216"/>
        <v>세상</v>
      </c>
      <c r="H1342" t="str">
        <f t="shared" si="217"/>
        <v>앰퍼샌드B</v>
      </c>
      <c r="I1342" t="str">
        <f t="shared" si="218"/>
        <v>친구 졸업</v>
      </c>
      <c r="J1342">
        <v>100</v>
      </c>
      <c r="K1342">
        <v>500</v>
      </c>
      <c r="L1342">
        <v>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500</v>
      </c>
      <c r="AH1342">
        <v>5</v>
      </c>
      <c r="AI1342">
        <v>0</v>
      </c>
      <c r="AJ1342">
        <v>0</v>
      </c>
      <c r="AK1342">
        <v>500</v>
      </c>
      <c r="AL1342">
        <v>0</v>
      </c>
      <c r="AM1342">
        <v>0</v>
      </c>
      <c r="AN1342">
        <v>0</v>
      </c>
      <c r="AO1342">
        <v>0</v>
      </c>
      <c r="AP1342"/>
      <c r="AQ1342">
        <v>0</v>
      </c>
      <c r="AR1342">
        <v>0</v>
      </c>
      <c r="AT1342">
        <v>0</v>
      </c>
      <c r="AU1342">
        <v>0</v>
      </c>
      <c r="AW1342">
        <v>0</v>
      </c>
      <c r="AX1342">
        <v>0</v>
      </c>
      <c r="AY1342">
        <v>350</v>
      </c>
      <c r="BC1342" t="str">
        <f t="shared" si="219"/>
        <v>9791137606975</v>
      </c>
      <c r="BE1342" t="str">
        <f t="shared" si="220"/>
        <v>BL 웹소설 &gt; 현대물</v>
      </c>
    </row>
    <row r="1343" spans="1:57" x14ac:dyDescent="0.3">
      <c r="A1343">
        <v>2313019814</v>
      </c>
      <c r="B1343">
        <v>2313020089</v>
      </c>
      <c r="C1343" t="str">
        <f>T("친구 졸업 102화")</f>
        <v>친구 졸업 102화</v>
      </c>
      <c r="D1343" t="str">
        <f>T("102")</f>
        <v>102</v>
      </c>
      <c r="E1343" t="str">
        <f t="shared" si="216"/>
        <v>세상</v>
      </c>
      <c r="H1343" t="str">
        <f t="shared" si="217"/>
        <v>앰퍼샌드B</v>
      </c>
      <c r="I1343" t="str">
        <f t="shared" si="218"/>
        <v>친구 졸업</v>
      </c>
      <c r="J1343">
        <v>100</v>
      </c>
      <c r="K1343">
        <v>500</v>
      </c>
      <c r="L1343">
        <v>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500</v>
      </c>
      <c r="AH1343">
        <v>5</v>
      </c>
      <c r="AI1343">
        <v>0</v>
      </c>
      <c r="AJ1343">
        <v>0</v>
      </c>
      <c r="AK1343">
        <v>500</v>
      </c>
      <c r="AL1343">
        <v>0</v>
      </c>
      <c r="AM1343">
        <v>0</v>
      </c>
      <c r="AN1343">
        <v>0</v>
      </c>
      <c r="AO1343">
        <v>0</v>
      </c>
      <c r="AP1343"/>
      <c r="AQ1343">
        <v>0</v>
      </c>
      <c r="AR1343">
        <v>0</v>
      </c>
      <c r="AT1343">
        <v>0</v>
      </c>
      <c r="AU1343">
        <v>0</v>
      </c>
      <c r="AW1343">
        <v>0</v>
      </c>
      <c r="AX1343">
        <v>0</v>
      </c>
      <c r="AY1343">
        <v>350</v>
      </c>
      <c r="BC1343" t="str">
        <f t="shared" si="219"/>
        <v>9791137606975</v>
      </c>
      <c r="BE1343" t="str">
        <f t="shared" si="220"/>
        <v>BL 웹소설 &gt; 현대물</v>
      </c>
    </row>
    <row r="1344" spans="1:57" x14ac:dyDescent="0.3">
      <c r="A1344">
        <v>2313020594</v>
      </c>
      <c r="B1344">
        <v>2313020675</v>
      </c>
      <c r="C1344" t="str">
        <f>T("아카데미 속 궁술천재 82화")</f>
        <v>아카데미 속 궁술천재 82화</v>
      </c>
      <c r="D1344" t="str">
        <f>T("82")</f>
        <v>82</v>
      </c>
      <c r="E1344" t="str">
        <f t="shared" ref="E1344:E1352" si="221">T("깡펀치")</f>
        <v>깡펀치</v>
      </c>
      <c r="H1344" t="str">
        <f t="shared" ref="H1344:H1362" si="222">T("스토리위즈")</f>
        <v>스토리위즈</v>
      </c>
      <c r="I1344" t="str">
        <f t="shared" ref="I1344:I1352" si="223">T("아카데미 속 궁술천재")</f>
        <v>아카데미 속 궁술천재</v>
      </c>
      <c r="J1344">
        <v>100</v>
      </c>
      <c r="K1344">
        <v>500</v>
      </c>
      <c r="L1344">
        <v>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500</v>
      </c>
      <c r="AH1344">
        <v>5</v>
      </c>
      <c r="AI1344">
        <v>0</v>
      </c>
      <c r="AJ1344">
        <v>0</v>
      </c>
      <c r="AK1344">
        <v>500</v>
      </c>
      <c r="AL1344">
        <v>0</v>
      </c>
      <c r="AM1344">
        <v>0</v>
      </c>
      <c r="AN1344">
        <v>0</v>
      </c>
      <c r="AO1344">
        <v>0</v>
      </c>
      <c r="AP1344"/>
      <c r="AQ1344">
        <v>0</v>
      </c>
      <c r="AR1344">
        <v>0</v>
      </c>
      <c r="AT1344">
        <v>0</v>
      </c>
      <c r="AU1344">
        <v>0</v>
      </c>
      <c r="AW1344">
        <v>0</v>
      </c>
      <c r="AX1344">
        <v>0</v>
      </c>
      <c r="AY1344">
        <v>350</v>
      </c>
      <c r="BC1344" t="str">
        <f t="shared" ref="BC1344:BC1352" si="224">T("9791137602915")</f>
        <v>9791137602915</v>
      </c>
      <c r="BE1344" t="str">
        <f t="shared" ref="BE1344:BE1362" si="225">T("판타지 웹소설 &gt; 퓨전 판타지")</f>
        <v>판타지 웹소설 &gt; 퓨전 판타지</v>
      </c>
    </row>
    <row r="1345" spans="1:57" x14ac:dyDescent="0.3">
      <c r="A1345">
        <v>2313020594</v>
      </c>
      <c r="B1345">
        <v>2313020676</v>
      </c>
      <c r="C1345" t="str">
        <f>T("아카데미 속 궁술천재 83화")</f>
        <v>아카데미 속 궁술천재 83화</v>
      </c>
      <c r="D1345" t="str">
        <f>T("83")</f>
        <v>83</v>
      </c>
      <c r="E1345" t="str">
        <f t="shared" si="221"/>
        <v>깡펀치</v>
      </c>
      <c r="H1345" t="str">
        <f t="shared" si="222"/>
        <v>스토리위즈</v>
      </c>
      <c r="I1345" t="str">
        <f t="shared" si="223"/>
        <v>아카데미 속 궁술천재</v>
      </c>
      <c r="J1345">
        <v>100</v>
      </c>
      <c r="K1345">
        <v>500</v>
      </c>
      <c r="L1345">
        <v>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500</v>
      </c>
      <c r="AH1345">
        <v>5</v>
      </c>
      <c r="AI1345">
        <v>0</v>
      </c>
      <c r="AJ1345">
        <v>0</v>
      </c>
      <c r="AK1345">
        <v>500</v>
      </c>
      <c r="AL1345">
        <v>0</v>
      </c>
      <c r="AM1345">
        <v>0</v>
      </c>
      <c r="AN1345">
        <v>0</v>
      </c>
      <c r="AO1345">
        <v>0</v>
      </c>
      <c r="AP1345"/>
      <c r="AQ1345">
        <v>0</v>
      </c>
      <c r="AR1345">
        <v>0</v>
      </c>
      <c r="AT1345">
        <v>0</v>
      </c>
      <c r="AU1345">
        <v>0</v>
      </c>
      <c r="AW1345">
        <v>0</v>
      </c>
      <c r="AX1345">
        <v>0</v>
      </c>
      <c r="AY1345">
        <v>350</v>
      </c>
      <c r="BC1345" t="str">
        <f t="shared" si="224"/>
        <v>9791137602915</v>
      </c>
      <c r="BE1345" t="str">
        <f t="shared" si="225"/>
        <v>판타지 웹소설 &gt; 퓨전 판타지</v>
      </c>
    </row>
    <row r="1346" spans="1:57" x14ac:dyDescent="0.3">
      <c r="A1346">
        <v>2313020594</v>
      </c>
      <c r="B1346">
        <v>2313020678</v>
      </c>
      <c r="C1346" t="str">
        <f>T("아카데미 속 궁술천재 85화")</f>
        <v>아카데미 속 궁술천재 85화</v>
      </c>
      <c r="D1346" t="str">
        <f>T("85")</f>
        <v>85</v>
      </c>
      <c r="E1346" t="str">
        <f t="shared" si="221"/>
        <v>깡펀치</v>
      </c>
      <c r="H1346" t="str">
        <f t="shared" si="222"/>
        <v>스토리위즈</v>
      </c>
      <c r="I1346" t="str">
        <f t="shared" si="223"/>
        <v>아카데미 속 궁술천재</v>
      </c>
      <c r="J1346">
        <v>100</v>
      </c>
      <c r="K1346">
        <v>500</v>
      </c>
      <c r="L1346">
        <v>5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500</v>
      </c>
      <c r="AH1346">
        <v>5</v>
      </c>
      <c r="AI1346">
        <v>0</v>
      </c>
      <c r="AJ1346">
        <v>0</v>
      </c>
      <c r="AK1346">
        <v>500</v>
      </c>
      <c r="AL1346">
        <v>0</v>
      </c>
      <c r="AM1346">
        <v>0</v>
      </c>
      <c r="AN1346">
        <v>0</v>
      </c>
      <c r="AO1346">
        <v>0</v>
      </c>
      <c r="AP1346"/>
      <c r="AQ1346">
        <v>0</v>
      </c>
      <c r="AR1346">
        <v>0</v>
      </c>
      <c r="AT1346">
        <v>0</v>
      </c>
      <c r="AU1346">
        <v>0</v>
      </c>
      <c r="AW1346">
        <v>0</v>
      </c>
      <c r="AX1346">
        <v>0</v>
      </c>
      <c r="AY1346">
        <v>350</v>
      </c>
      <c r="BC1346" t="str">
        <f t="shared" si="224"/>
        <v>9791137602915</v>
      </c>
      <c r="BE1346" t="str">
        <f t="shared" si="225"/>
        <v>판타지 웹소설 &gt; 퓨전 판타지</v>
      </c>
    </row>
    <row r="1347" spans="1:57" x14ac:dyDescent="0.3">
      <c r="A1347">
        <v>2313020594</v>
      </c>
      <c r="B1347">
        <v>2313020679</v>
      </c>
      <c r="C1347" t="str">
        <f>T("아카데미 속 궁술천재 86화")</f>
        <v>아카데미 속 궁술천재 86화</v>
      </c>
      <c r="D1347" t="str">
        <f>T("86")</f>
        <v>86</v>
      </c>
      <c r="E1347" t="str">
        <f t="shared" si="221"/>
        <v>깡펀치</v>
      </c>
      <c r="H1347" t="str">
        <f t="shared" si="222"/>
        <v>스토리위즈</v>
      </c>
      <c r="I1347" t="str">
        <f t="shared" si="223"/>
        <v>아카데미 속 궁술천재</v>
      </c>
      <c r="J1347">
        <v>100</v>
      </c>
      <c r="K1347">
        <v>500</v>
      </c>
      <c r="L1347">
        <v>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500</v>
      </c>
      <c r="AH1347">
        <v>5</v>
      </c>
      <c r="AI1347">
        <v>0</v>
      </c>
      <c r="AJ1347">
        <v>0</v>
      </c>
      <c r="AK1347">
        <v>500</v>
      </c>
      <c r="AL1347">
        <v>0</v>
      </c>
      <c r="AM1347">
        <v>0</v>
      </c>
      <c r="AN1347">
        <v>0</v>
      </c>
      <c r="AO1347">
        <v>0</v>
      </c>
      <c r="AP1347"/>
      <c r="AQ1347">
        <v>0</v>
      </c>
      <c r="AR1347">
        <v>0</v>
      </c>
      <c r="AT1347">
        <v>0</v>
      </c>
      <c r="AU1347">
        <v>0</v>
      </c>
      <c r="AW1347">
        <v>0</v>
      </c>
      <c r="AX1347">
        <v>0</v>
      </c>
      <c r="AY1347">
        <v>350</v>
      </c>
      <c r="BC1347" t="str">
        <f t="shared" si="224"/>
        <v>9791137602915</v>
      </c>
      <c r="BE1347" t="str">
        <f t="shared" si="225"/>
        <v>판타지 웹소설 &gt; 퓨전 판타지</v>
      </c>
    </row>
    <row r="1348" spans="1:57" x14ac:dyDescent="0.3">
      <c r="A1348">
        <v>2313020594</v>
      </c>
      <c r="B1348">
        <v>2313020680</v>
      </c>
      <c r="C1348" t="str">
        <f>T("아카데미 속 궁술천재 87화")</f>
        <v>아카데미 속 궁술천재 87화</v>
      </c>
      <c r="D1348" t="str">
        <f>T("87")</f>
        <v>87</v>
      </c>
      <c r="E1348" t="str">
        <f t="shared" si="221"/>
        <v>깡펀치</v>
      </c>
      <c r="H1348" t="str">
        <f t="shared" si="222"/>
        <v>스토리위즈</v>
      </c>
      <c r="I1348" t="str">
        <f t="shared" si="223"/>
        <v>아카데미 속 궁술천재</v>
      </c>
      <c r="J1348">
        <v>100</v>
      </c>
      <c r="K1348">
        <v>500</v>
      </c>
      <c r="L1348">
        <v>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500</v>
      </c>
      <c r="AH1348">
        <v>5</v>
      </c>
      <c r="AI1348">
        <v>0</v>
      </c>
      <c r="AJ1348">
        <v>0</v>
      </c>
      <c r="AK1348">
        <v>500</v>
      </c>
      <c r="AL1348">
        <v>0</v>
      </c>
      <c r="AM1348">
        <v>0</v>
      </c>
      <c r="AN1348">
        <v>0</v>
      </c>
      <c r="AO1348">
        <v>0</v>
      </c>
      <c r="AP1348"/>
      <c r="AQ1348">
        <v>0</v>
      </c>
      <c r="AR1348">
        <v>0</v>
      </c>
      <c r="AT1348">
        <v>0</v>
      </c>
      <c r="AU1348">
        <v>0</v>
      </c>
      <c r="AW1348">
        <v>0</v>
      </c>
      <c r="AX1348">
        <v>0</v>
      </c>
      <c r="AY1348">
        <v>350</v>
      </c>
      <c r="BC1348" t="str">
        <f t="shared" si="224"/>
        <v>9791137602915</v>
      </c>
      <c r="BE1348" t="str">
        <f t="shared" si="225"/>
        <v>판타지 웹소설 &gt; 퓨전 판타지</v>
      </c>
    </row>
    <row r="1349" spans="1:57" x14ac:dyDescent="0.3">
      <c r="A1349">
        <v>2313020594</v>
      </c>
      <c r="B1349">
        <v>2313020681</v>
      </c>
      <c r="C1349" t="str">
        <f>T("아카데미 속 궁술천재 88화")</f>
        <v>아카데미 속 궁술천재 88화</v>
      </c>
      <c r="D1349" t="str">
        <f>T("88")</f>
        <v>88</v>
      </c>
      <c r="E1349" t="str">
        <f t="shared" si="221"/>
        <v>깡펀치</v>
      </c>
      <c r="H1349" t="str">
        <f t="shared" si="222"/>
        <v>스토리위즈</v>
      </c>
      <c r="I1349" t="str">
        <f t="shared" si="223"/>
        <v>아카데미 속 궁술천재</v>
      </c>
      <c r="J1349">
        <v>100</v>
      </c>
      <c r="K1349">
        <v>500</v>
      </c>
      <c r="L1349">
        <v>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500</v>
      </c>
      <c r="AH1349">
        <v>5</v>
      </c>
      <c r="AI1349">
        <v>0</v>
      </c>
      <c r="AJ1349">
        <v>0</v>
      </c>
      <c r="AK1349">
        <v>500</v>
      </c>
      <c r="AL1349">
        <v>0</v>
      </c>
      <c r="AM1349">
        <v>0</v>
      </c>
      <c r="AN1349">
        <v>0</v>
      </c>
      <c r="AO1349">
        <v>0</v>
      </c>
      <c r="AP1349"/>
      <c r="AQ1349">
        <v>0</v>
      </c>
      <c r="AR1349">
        <v>0</v>
      </c>
      <c r="AT1349">
        <v>0</v>
      </c>
      <c r="AU1349">
        <v>0</v>
      </c>
      <c r="AW1349">
        <v>0</v>
      </c>
      <c r="AX1349">
        <v>0</v>
      </c>
      <c r="AY1349">
        <v>350</v>
      </c>
      <c r="BC1349" t="str">
        <f t="shared" si="224"/>
        <v>9791137602915</v>
      </c>
      <c r="BE1349" t="str">
        <f t="shared" si="225"/>
        <v>판타지 웹소설 &gt; 퓨전 판타지</v>
      </c>
    </row>
    <row r="1350" spans="1:57" x14ac:dyDescent="0.3">
      <c r="A1350">
        <v>2313020594</v>
      </c>
      <c r="B1350">
        <v>2313020683</v>
      </c>
      <c r="C1350" t="str">
        <f>T("아카데미 속 궁술천재 90화")</f>
        <v>아카데미 속 궁술천재 90화</v>
      </c>
      <c r="D1350" t="str">
        <f>T("90")</f>
        <v>90</v>
      </c>
      <c r="E1350" t="str">
        <f t="shared" si="221"/>
        <v>깡펀치</v>
      </c>
      <c r="H1350" t="str">
        <f t="shared" si="222"/>
        <v>스토리위즈</v>
      </c>
      <c r="I1350" t="str">
        <f t="shared" si="223"/>
        <v>아카데미 속 궁술천재</v>
      </c>
      <c r="J1350">
        <v>100</v>
      </c>
      <c r="K1350">
        <v>500</v>
      </c>
      <c r="L1350">
        <v>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500</v>
      </c>
      <c r="AH1350">
        <v>5</v>
      </c>
      <c r="AI1350">
        <v>0</v>
      </c>
      <c r="AJ1350">
        <v>0</v>
      </c>
      <c r="AK1350">
        <v>500</v>
      </c>
      <c r="AL1350">
        <v>0</v>
      </c>
      <c r="AM1350">
        <v>0</v>
      </c>
      <c r="AN1350">
        <v>0</v>
      </c>
      <c r="AO1350">
        <v>0</v>
      </c>
      <c r="AP1350"/>
      <c r="AQ1350">
        <v>0</v>
      </c>
      <c r="AR1350">
        <v>0</v>
      </c>
      <c r="AT1350">
        <v>0</v>
      </c>
      <c r="AU1350">
        <v>0</v>
      </c>
      <c r="AW1350">
        <v>0</v>
      </c>
      <c r="AX1350">
        <v>0</v>
      </c>
      <c r="AY1350">
        <v>350</v>
      </c>
      <c r="BC1350" t="str">
        <f t="shared" si="224"/>
        <v>9791137602915</v>
      </c>
      <c r="BE1350" t="str">
        <f t="shared" si="225"/>
        <v>판타지 웹소설 &gt; 퓨전 판타지</v>
      </c>
    </row>
    <row r="1351" spans="1:57" x14ac:dyDescent="0.3">
      <c r="A1351">
        <v>2313020594</v>
      </c>
      <c r="B1351">
        <v>2313020684</v>
      </c>
      <c r="C1351" t="str">
        <f>T("아카데미 속 궁술천재 91화")</f>
        <v>아카데미 속 궁술천재 91화</v>
      </c>
      <c r="D1351" t="str">
        <f>T("91")</f>
        <v>91</v>
      </c>
      <c r="E1351" t="str">
        <f t="shared" si="221"/>
        <v>깡펀치</v>
      </c>
      <c r="H1351" t="str">
        <f t="shared" si="222"/>
        <v>스토리위즈</v>
      </c>
      <c r="I1351" t="str">
        <f t="shared" si="223"/>
        <v>아카데미 속 궁술천재</v>
      </c>
      <c r="J1351">
        <v>100</v>
      </c>
      <c r="K1351">
        <v>500</v>
      </c>
      <c r="L1351">
        <v>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500</v>
      </c>
      <c r="AH1351">
        <v>5</v>
      </c>
      <c r="AI1351">
        <v>0</v>
      </c>
      <c r="AJ1351">
        <v>0</v>
      </c>
      <c r="AK1351">
        <v>500</v>
      </c>
      <c r="AL1351">
        <v>0</v>
      </c>
      <c r="AM1351">
        <v>0</v>
      </c>
      <c r="AN1351">
        <v>0</v>
      </c>
      <c r="AO1351">
        <v>0</v>
      </c>
      <c r="AP1351"/>
      <c r="AQ1351">
        <v>0</v>
      </c>
      <c r="AR1351">
        <v>0</v>
      </c>
      <c r="AT1351">
        <v>0</v>
      </c>
      <c r="AU1351">
        <v>0</v>
      </c>
      <c r="AW1351">
        <v>0</v>
      </c>
      <c r="AX1351">
        <v>0</v>
      </c>
      <c r="AY1351">
        <v>350</v>
      </c>
      <c r="BC1351" t="str">
        <f t="shared" si="224"/>
        <v>9791137602915</v>
      </c>
      <c r="BE1351" t="str">
        <f t="shared" si="225"/>
        <v>판타지 웹소설 &gt; 퓨전 판타지</v>
      </c>
    </row>
    <row r="1352" spans="1:57" x14ac:dyDescent="0.3">
      <c r="A1352">
        <v>2313020594</v>
      </c>
      <c r="B1352">
        <v>2313020685</v>
      </c>
      <c r="C1352" t="str">
        <f>T("아카데미 속 궁술천재 92화")</f>
        <v>아카데미 속 궁술천재 92화</v>
      </c>
      <c r="D1352" t="str">
        <f>T("92")</f>
        <v>92</v>
      </c>
      <c r="E1352" t="str">
        <f t="shared" si="221"/>
        <v>깡펀치</v>
      </c>
      <c r="H1352" t="str">
        <f t="shared" si="222"/>
        <v>스토리위즈</v>
      </c>
      <c r="I1352" t="str">
        <f t="shared" si="223"/>
        <v>아카데미 속 궁술천재</v>
      </c>
      <c r="J1352">
        <v>100</v>
      </c>
      <c r="K1352">
        <v>500</v>
      </c>
      <c r="L1352">
        <v>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500</v>
      </c>
      <c r="AH1352">
        <v>5</v>
      </c>
      <c r="AI1352">
        <v>0</v>
      </c>
      <c r="AJ1352">
        <v>0</v>
      </c>
      <c r="AK1352">
        <v>500</v>
      </c>
      <c r="AL1352">
        <v>0</v>
      </c>
      <c r="AM1352">
        <v>0</v>
      </c>
      <c r="AN1352">
        <v>0</v>
      </c>
      <c r="AO1352">
        <v>0</v>
      </c>
      <c r="AP1352"/>
      <c r="AQ1352">
        <v>0</v>
      </c>
      <c r="AR1352">
        <v>0</v>
      </c>
      <c r="AT1352">
        <v>0</v>
      </c>
      <c r="AU1352">
        <v>0</v>
      </c>
      <c r="AW1352">
        <v>0</v>
      </c>
      <c r="AX1352">
        <v>0</v>
      </c>
      <c r="AY1352">
        <v>350</v>
      </c>
      <c r="BC1352" t="str">
        <f t="shared" si="224"/>
        <v>9791137602915</v>
      </c>
      <c r="BE1352" t="str">
        <f t="shared" si="225"/>
        <v>판타지 웹소설 &gt; 퓨전 판타지</v>
      </c>
    </row>
    <row r="1353" spans="1:57" x14ac:dyDescent="0.3">
      <c r="A1353">
        <v>2313020884</v>
      </c>
      <c r="B1353">
        <v>2313020912</v>
      </c>
      <c r="C1353" t="str">
        <f>T("회귀한 헌터가 너무 강함 29화")</f>
        <v>회귀한 헌터가 너무 강함 29화</v>
      </c>
      <c r="D1353" t="str">
        <f>T("29")</f>
        <v>29</v>
      </c>
      <c r="E1353" t="str">
        <f t="shared" ref="E1353:E1359" si="226">T("왕십리글쟁이")</f>
        <v>왕십리글쟁이</v>
      </c>
      <c r="H1353" t="str">
        <f t="shared" si="222"/>
        <v>스토리위즈</v>
      </c>
      <c r="I1353" t="str">
        <f t="shared" ref="I1353:I1359" si="227">T("회귀한 헌터가 너무 강함")</f>
        <v>회귀한 헌터가 너무 강함</v>
      </c>
      <c r="J1353">
        <v>100</v>
      </c>
      <c r="K1353">
        <v>500</v>
      </c>
      <c r="L1353">
        <v>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500</v>
      </c>
      <c r="AH1353">
        <v>5</v>
      </c>
      <c r="AI1353">
        <v>0</v>
      </c>
      <c r="AJ1353">
        <v>0</v>
      </c>
      <c r="AK1353">
        <v>500</v>
      </c>
      <c r="AL1353">
        <v>0</v>
      </c>
      <c r="AM1353">
        <v>0</v>
      </c>
      <c r="AN1353">
        <v>0</v>
      </c>
      <c r="AO1353">
        <v>0</v>
      </c>
      <c r="AP1353"/>
      <c r="AQ1353">
        <v>0</v>
      </c>
      <c r="AR1353">
        <v>0</v>
      </c>
      <c r="AT1353">
        <v>0</v>
      </c>
      <c r="AU1353">
        <v>0</v>
      </c>
      <c r="AW1353">
        <v>0</v>
      </c>
      <c r="AX1353">
        <v>0</v>
      </c>
      <c r="AY1353">
        <v>350</v>
      </c>
      <c r="BC1353" t="str">
        <f t="shared" ref="BC1353:BC1359" si="228">T("9791197332272")</f>
        <v>9791197332272</v>
      </c>
      <c r="BE1353" t="str">
        <f t="shared" si="225"/>
        <v>판타지 웹소설 &gt; 퓨전 판타지</v>
      </c>
    </row>
    <row r="1354" spans="1:57" x14ac:dyDescent="0.3">
      <c r="A1354">
        <v>2313020884</v>
      </c>
      <c r="B1354">
        <v>2313020913</v>
      </c>
      <c r="C1354" t="str">
        <f>T("회귀한 헌터가 너무 강함 30화")</f>
        <v>회귀한 헌터가 너무 강함 30화</v>
      </c>
      <c r="D1354" t="str">
        <f>T("30")</f>
        <v>30</v>
      </c>
      <c r="E1354" t="str">
        <f t="shared" si="226"/>
        <v>왕십리글쟁이</v>
      </c>
      <c r="H1354" t="str">
        <f t="shared" si="222"/>
        <v>스토리위즈</v>
      </c>
      <c r="I1354" t="str">
        <f t="shared" si="227"/>
        <v>회귀한 헌터가 너무 강함</v>
      </c>
      <c r="J1354">
        <v>100</v>
      </c>
      <c r="K1354">
        <v>500</v>
      </c>
      <c r="L1354">
        <v>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500</v>
      </c>
      <c r="AH1354">
        <v>5</v>
      </c>
      <c r="AI1354">
        <v>0</v>
      </c>
      <c r="AJ1354">
        <v>0</v>
      </c>
      <c r="AK1354">
        <v>500</v>
      </c>
      <c r="AL1354">
        <v>0</v>
      </c>
      <c r="AM1354">
        <v>0</v>
      </c>
      <c r="AN1354">
        <v>0</v>
      </c>
      <c r="AO1354">
        <v>0</v>
      </c>
      <c r="AP1354"/>
      <c r="AQ1354">
        <v>0</v>
      </c>
      <c r="AR1354">
        <v>0</v>
      </c>
      <c r="AT1354">
        <v>0</v>
      </c>
      <c r="AU1354">
        <v>0</v>
      </c>
      <c r="AW1354">
        <v>0</v>
      </c>
      <c r="AX1354">
        <v>0</v>
      </c>
      <c r="AY1354">
        <v>350</v>
      </c>
      <c r="BC1354" t="str">
        <f t="shared" si="228"/>
        <v>9791197332272</v>
      </c>
      <c r="BE1354" t="str">
        <f t="shared" si="225"/>
        <v>판타지 웹소설 &gt; 퓨전 판타지</v>
      </c>
    </row>
    <row r="1355" spans="1:57" x14ac:dyDescent="0.3">
      <c r="A1355">
        <v>2313020884</v>
      </c>
      <c r="B1355">
        <v>2313020914</v>
      </c>
      <c r="C1355" t="str">
        <f>T("회귀한 헌터가 너무 강함 31화")</f>
        <v>회귀한 헌터가 너무 강함 31화</v>
      </c>
      <c r="D1355" t="str">
        <f>T("31")</f>
        <v>31</v>
      </c>
      <c r="E1355" t="str">
        <f t="shared" si="226"/>
        <v>왕십리글쟁이</v>
      </c>
      <c r="H1355" t="str">
        <f t="shared" si="222"/>
        <v>스토리위즈</v>
      </c>
      <c r="I1355" t="str">
        <f t="shared" si="227"/>
        <v>회귀한 헌터가 너무 강함</v>
      </c>
      <c r="J1355">
        <v>100</v>
      </c>
      <c r="K1355">
        <v>500</v>
      </c>
      <c r="L1355">
        <v>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500</v>
      </c>
      <c r="AH1355">
        <v>5</v>
      </c>
      <c r="AI1355">
        <v>0</v>
      </c>
      <c r="AJ1355">
        <v>0</v>
      </c>
      <c r="AK1355">
        <v>500</v>
      </c>
      <c r="AL1355">
        <v>0</v>
      </c>
      <c r="AM1355">
        <v>0</v>
      </c>
      <c r="AN1355">
        <v>0</v>
      </c>
      <c r="AO1355">
        <v>0</v>
      </c>
      <c r="AP1355"/>
      <c r="AQ1355">
        <v>0</v>
      </c>
      <c r="AR1355">
        <v>0</v>
      </c>
      <c r="AT1355">
        <v>0</v>
      </c>
      <c r="AU1355">
        <v>0</v>
      </c>
      <c r="AW1355">
        <v>0</v>
      </c>
      <c r="AX1355">
        <v>0</v>
      </c>
      <c r="AY1355">
        <v>350</v>
      </c>
      <c r="BC1355" t="str">
        <f t="shared" si="228"/>
        <v>9791197332272</v>
      </c>
      <c r="BE1355" t="str">
        <f t="shared" si="225"/>
        <v>판타지 웹소설 &gt; 퓨전 판타지</v>
      </c>
    </row>
    <row r="1356" spans="1:57" x14ac:dyDescent="0.3">
      <c r="A1356">
        <v>2313020884</v>
      </c>
      <c r="B1356">
        <v>2313020920</v>
      </c>
      <c r="C1356" t="str">
        <f>T("회귀한 헌터가 너무 강함 37화")</f>
        <v>회귀한 헌터가 너무 강함 37화</v>
      </c>
      <c r="D1356" t="str">
        <f>T("37")</f>
        <v>37</v>
      </c>
      <c r="E1356" t="str">
        <f t="shared" si="226"/>
        <v>왕십리글쟁이</v>
      </c>
      <c r="H1356" t="str">
        <f t="shared" si="222"/>
        <v>스토리위즈</v>
      </c>
      <c r="I1356" t="str">
        <f t="shared" si="227"/>
        <v>회귀한 헌터가 너무 강함</v>
      </c>
      <c r="J1356">
        <v>100</v>
      </c>
      <c r="K1356">
        <v>500</v>
      </c>
      <c r="L1356">
        <v>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500</v>
      </c>
      <c r="AH1356">
        <v>5</v>
      </c>
      <c r="AI1356">
        <v>0</v>
      </c>
      <c r="AJ1356">
        <v>0</v>
      </c>
      <c r="AK1356">
        <v>500</v>
      </c>
      <c r="AL1356">
        <v>0</v>
      </c>
      <c r="AM1356">
        <v>0</v>
      </c>
      <c r="AN1356">
        <v>0</v>
      </c>
      <c r="AO1356">
        <v>0</v>
      </c>
      <c r="AP1356"/>
      <c r="AQ1356">
        <v>0</v>
      </c>
      <c r="AR1356">
        <v>0</v>
      </c>
      <c r="AT1356">
        <v>0</v>
      </c>
      <c r="AU1356">
        <v>0</v>
      </c>
      <c r="AW1356">
        <v>0</v>
      </c>
      <c r="AX1356">
        <v>0</v>
      </c>
      <c r="AY1356">
        <v>350</v>
      </c>
      <c r="BC1356" t="str">
        <f t="shared" si="228"/>
        <v>9791197332272</v>
      </c>
      <c r="BE1356" t="str">
        <f t="shared" si="225"/>
        <v>판타지 웹소설 &gt; 퓨전 판타지</v>
      </c>
    </row>
    <row r="1357" spans="1:57" x14ac:dyDescent="0.3">
      <c r="A1357">
        <v>2313020884</v>
      </c>
      <c r="B1357">
        <v>2313020921</v>
      </c>
      <c r="C1357" t="str">
        <f>T("회귀한 헌터가 너무 강함 38화")</f>
        <v>회귀한 헌터가 너무 강함 38화</v>
      </c>
      <c r="D1357" t="str">
        <f>T("38")</f>
        <v>38</v>
      </c>
      <c r="E1357" t="str">
        <f t="shared" si="226"/>
        <v>왕십리글쟁이</v>
      </c>
      <c r="H1357" t="str">
        <f t="shared" si="222"/>
        <v>스토리위즈</v>
      </c>
      <c r="I1357" t="str">
        <f t="shared" si="227"/>
        <v>회귀한 헌터가 너무 강함</v>
      </c>
      <c r="J1357">
        <v>100</v>
      </c>
      <c r="K1357">
        <v>500</v>
      </c>
      <c r="L1357">
        <v>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500</v>
      </c>
      <c r="AH1357">
        <v>5</v>
      </c>
      <c r="AI1357">
        <v>0</v>
      </c>
      <c r="AJ1357">
        <v>0</v>
      </c>
      <c r="AK1357">
        <v>500</v>
      </c>
      <c r="AL1357">
        <v>0</v>
      </c>
      <c r="AM1357">
        <v>0</v>
      </c>
      <c r="AN1357">
        <v>0</v>
      </c>
      <c r="AO1357">
        <v>0</v>
      </c>
      <c r="AP1357"/>
      <c r="AQ1357">
        <v>0</v>
      </c>
      <c r="AR1357">
        <v>0</v>
      </c>
      <c r="AT1357">
        <v>0</v>
      </c>
      <c r="AU1357">
        <v>0</v>
      </c>
      <c r="AW1357">
        <v>0</v>
      </c>
      <c r="AX1357">
        <v>0</v>
      </c>
      <c r="AY1357">
        <v>350</v>
      </c>
      <c r="BC1357" t="str">
        <f t="shared" si="228"/>
        <v>9791197332272</v>
      </c>
      <c r="BE1357" t="str">
        <f t="shared" si="225"/>
        <v>판타지 웹소설 &gt; 퓨전 판타지</v>
      </c>
    </row>
    <row r="1358" spans="1:57" x14ac:dyDescent="0.3">
      <c r="A1358">
        <v>2313020884</v>
      </c>
      <c r="B1358">
        <v>2313020922</v>
      </c>
      <c r="C1358" t="str">
        <f>T("회귀한 헌터가 너무 강함 39화")</f>
        <v>회귀한 헌터가 너무 강함 39화</v>
      </c>
      <c r="D1358" t="str">
        <f>T("39")</f>
        <v>39</v>
      </c>
      <c r="E1358" t="str">
        <f t="shared" si="226"/>
        <v>왕십리글쟁이</v>
      </c>
      <c r="H1358" t="str">
        <f t="shared" si="222"/>
        <v>스토리위즈</v>
      </c>
      <c r="I1358" t="str">
        <f t="shared" si="227"/>
        <v>회귀한 헌터가 너무 강함</v>
      </c>
      <c r="J1358">
        <v>100</v>
      </c>
      <c r="K1358">
        <v>500</v>
      </c>
      <c r="L1358">
        <v>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500</v>
      </c>
      <c r="AH1358">
        <v>5</v>
      </c>
      <c r="AI1358">
        <v>0</v>
      </c>
      <c r="AJ1358">
        <v>0</v>
      </c>
      <c r="AK1358">
        <v>500</v>
      </c>
      <c r="AL1358">
        <v>0</v>
      </c>
      <c r="AM1358">
        <v>0</v>
      </c>
      <c r="AN1358">
        <v>0</v>
      </c>
      <c r="AO1358">
        <v>0</v>
      </c>
      <c r="AP1358"/>
      <c r="AQ1358">
        <v>0</v>
      </c>
      <c r="AR1358">
        <v>0</v>
      </c>
      <c r="AT1358">
        <v>0</v>
      </c>
      <c r="AU1358">
        <v>0</v>
      </c>
      <c r="AW1358">
        <v>0</v>
      </c>
      <c r="AX1358">
        <v>0</v>
      </c>
      <c r="AY1358">
        <v>350</v>
      </c>
      <c r="BC1358" t="str">
        <f t="shared" si="228"/>
        <v>9791197332272</v>
      </c>
      <c r="BE1358" t="str">
        <f t="shared" si="225"/>
        <v>판타지 웹소설 &gt; 퓨전 판타지</v>
      </c>
    </row>
    <row r="1359" spans="1:57" x14ac:dyDescent="0.3">
      <c r="A1359">
        <v>2313020884</v>
      </c>
      <c r="B1359">
        <v>2313020923</v>
      </c>
      <c r="C1359" t="str">
        <f>T("회귀한 헌터가 너무 강함 40화")</f>
        <v>회귀한 헌터가 너무 강함 40화</v>
      </c>
      <c r="D1359" t="str">
        <f>T("40")</f>
        <v>40</v>
      </c>
      <c r="E1359" t="str">
        <f t="shared" si="226"/>
        <v>왕십리글쟁이</v>
      </c>
      <c r="H1359" t="str">
        <f t="shared" si="222"/>
        <v>스토리위즈</v>
      </c>
      <c r="I1359" t="str">
        <f t="shared" si="227"/>
        <v>회귀한 헌터가 너무 강함</v>
      </c>
      <c r="J1359">
        <v>100</v>
      </c>
      <c r="K1359">
        <v>500</v>
      </c>
      <c r="L1359">
        <v>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500</v>
      </c>
      <c r="AH1359">
        <v>5</v>
      </c>
      <c r="AI1359">
        <v>0</v>
      </c>
      <c r="AJ1359">
        <v>0</v>
      </c>
      <c r="AK1359">
        <v>500</v>
      </c>
      <c r="AL1359">
        <v>0</v>
      </c>
      <c r="AM1359">
        <v>0</v>
      </c>
      <c r="AN1359">
        <v>0</v>
      </c>
      <c r="AO1359">
        <v>0</v>
      </c>
      <c r="AP1359"/>
      <c r="AQ1359">
        <v>0</v>
      </c>
      <c r="AR1359">
        <v>0</v>
      </c>
      <c r="AT1359">
        <v>0</v>
      </c>
      <c r="AU1359">
        <v>0</v>
      </c>
      <c r="AW1359">
        <v>0</v>
      </c>
      <c r="AX1359">
        <v>0</v>
      </c>
      <c r="AY1359">
        <v>350</v>
      </c>
      <c r="BC1359" t="str">
        <f t="shared" si="228"/>
        <v>9791197332272</v>
      </c>
      <c r="BE1359" t="str">
        <f t="shared" si="225"/>
        <v>판타지 웹소설 &gt; 퓨전 판타지</v>
      </c>
    </row>
    <row r="1360" spans="1:57" x14ac:dyDescent="0.3">
      <c r="A1360">
        <v>2313008150</v>
      </c>
      <c r="B1360">
        <v>2313008187</v>
      </c>
      <c r="C1360" t="str">
        <f>T("기사가문 망나니는 10클래스 38화")</f>
        <v>기사가문 망나니는 10클래스 38화</v>
      </c>
      <c r="D1360" t="str">
        <f>T("38")</f>
        <v>38</v>
      </c>
      <c r="E1360" t="str">
        <f>T("예로나")</f>
        <v>예로나</v>
      </c>
      <c r="H1360" t="str">
        <f t="shared" si="222"/>
        <v>스토리위즈</v>
      </c>
      <c r="I1360" t="str">
        <f>T("기사가문 망나니는 10클래스")</f>
        <v>기사가문 망나니는 10클래스</v>
      </c>
      <c r="J1360">
        <v>100</v>
      </c>
      <c r="K1360">
        <v>400</v>
      </c>
      <c r="L1360">
        <v>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400</v>
      </c>
      <c r="AH1360">
        <v>4</v>
      </c>
      <c r="AI1360">
        <v>0</v>
      </c>
      <c r="AJ1360">
        <v>0</v>
      </c>
      <c r="AK1360">
        <v>300</v>
      </c>
      <c r="AL1360">
        <v>0</v>
      </c>
      <c r="AM1360">
        <v>120</v>
      </c>
      <c r="AN1360">
        <v>-36</v>
      </c>
      <c r="AO1360">
        <v>0</v>
      </c>
      <c r="AP1360">
        <v>120</v>
      </c>
      <c r="AQ1360">
        <v>-36</v>
      </c>
      <c r="AR1360">
        <v>0</v>
      </c>
      <c r="AT1360">
        <v>0</v>
      </c>
      <c r="AU1360">
        <v>0</v>
      </c>
      <c r="AW1360">
        <v>0</v>
      </c>
      <c r="AX1360">
        <v>0</v>
      </c>
      <c r="AY1360">
        <v>268.8</v>
      </c>
      <c r="BC1360" t="str">
        <f>T("9791165310370")</f>
        <v>9791165310370</v>
      </c>
      <c r="BE1360" t="str">
        <f t="shared" si="225"/>
        <v>판타지 웹소설 &gt; 퓨전 판타지</v>
      </c>
    </row>
    <row r="1361" spans="1:57" x14ac:dyDescent="0.3">
      <c r="A1361">
        <v>2313008150</v>
      </c>
      <c r="B1361">
        <v>2313008188</v>
      </c>
      <c r="C1361" t="str">
        <f>T("기사가문 망나니는 10클래스 39화")</f>
        <v>기사가문 망나니는 10클래스 39화</v>
      </c>
      <c r="D1361" t="str">
        <f>T("39")</f>
        <v>39</v>
      </c>
      <c r="E1361" t="str">
        <f>T("예로나")</f>
        <v>예로나</v>
      </c>
      <c r="H1361" t="str">
        <f t="shared" si="222"/>
        <v>스토리위즈</v>
      </c>
      <c r="I1361" t="str">
        <f>T("기사가문 망나니는 10클래스")</f>
        <v>기사가문 망나니는 10클래스</v>
      </c>
      <c r="J1361">
        <v>100</v>
      </c>
      <c r="K1361">
        <v>400</v>
      </c>
      <c r="L1361">
        <v>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400</v>
      </c>
      <c r="AH1361">
        <v>4</v>
      </c>
      <c r="AI1361">
        <v>0</v>
      </c>
      <c r="AJ1361">
        <v>0</v>
      </c>
      <c r="AK1361">
        <v>300</v>
      </c>
      <c r="AL1361">
        <v>0</v>
      </c>
      <c r="AM1361">
        <v>120</v>
      </c>
      <c r="AN1361">
        <v>-36</v>
      </c>
      <c r="AO1361">
        <v>0</v>
      </c>
      <c r="AP1361">
        <v>120</v>
      </c>
      <c r="AQ1361">
        <v>-36</v>
      </c>
      <c r="AR1361">
        <v>0</v>
      </c>
      <c r="AT1361">
        <v>0</v>
      </c>
      <c r="AU1361">
        <v>0</v>
      </c>
      <c r="AW1361">
        <v>0</v>
      </c>
      <c r="AX1361">
        <v>0</v>
      </c>
      <c r="AY1361">
        <v>268.8</v>
      </c>
      <c r="BC1361" t="str">
        <f>T("9791165310370")</f>
        <v>9791165310370</v>
      </c>
      <c r="BE1361" t="str">
        <f t="shared" si="225"/>
        <v>판타지 웹소설 &gt; 퓨전 판타지</v>
      </c>
    </row>
    <row r="1362" spans="1:57" x14ac:dyDescent="0.3">
      <c r="A1362">
        <v>2313008150</v>
      </c>
      <c r="B1362">
        <v>2313008189</v>
      </c>
      <c r="C1362" t="str">
        <f>T("기사가문 망나니는 10클래스 40화")</f>
        <v>기사가문 망나니는 10클래스 40화</v>
      </c>
      <c r="D1362" t="str">
        <f>T("40")</f>
        <v>40</v>
      </c>
      <c r="E1362" t="str">
        <f>T("예로나")</f>
        <v>예로나</v>
      </c>
      <c r="H1362" t="str">
        <f t="shared" si="222"/>
        <v>스토리위즈</v>
      </c>
      <c r="I1362" t="str">
        <f>T("기사가문 망나니는 10클래스")</f>
        <v>기사가문 망나니는 10클래스</v>
      </c>
      <c r="J1362">
        <v>100</v>
      </c>
      <c r="K1362">
        <v>400</v>
      </c>
      <c r="L1362">
        <v>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400</v>
      </c>
      <c r="AH1362">
        <v>4</v>
      </c>
      <c r="AI1362">
        <v>0</v>
      </c>
      <c r="AJ1362">
        <v>0</v>
      </c>
      <c r="AK1362">
        <v>300</v>
      </c>
      <c r="AL1362">
        <v>0</v>
      </c>
      <c r="AM1362">
        <v>120</v>
      </c>
      <c r="AN1362">
        <v>-36</v>
      </c>
      <c r="AO1362">
        <v>0</v>
      </c>
      <c r="AP1362">
        <v>120</v>
      </c>
      <c r="AQ1362">
        <v>-36</v>
      </c>
      <c r="AR1362">
        <v>0</v>
      </c>
      <c r="AT1362">
        <v>0</v>
      </c>
      <c r="AU1362">
        <v>0</v>
      </c>
      <c r="AW1362">
        <v>0</v>
      </c>
      <c r="AX1362">
        <v>0</v>
      </c>
      <c r="AY1362">
        <v>268.8</v>
      </c>
      <c r="BC1362" t="str">
        <f>T("9791165310370")</f>
        <v>9791165310370</v>
      </c>
      <c r="BE1362" t="str">
        <f t="shared" si="225"/>
        <v>판타지 웹소설 &gt; 퓨전 판타지</v>
      </c>
    </row>
    <row r="1363" spans="1:57" x14ac:dyDescent="0.3">
      <c r="A1363">
        <v>2313010290</v>
      </c>
      <c r="B1363">
        <v>2313010293</v>
      </c>
      <c r="C1363" t="str">
        <f>T("아저씨, 내 기분 왜 이래요? 4화")</f>
        <v>아저씨, 내 기분 왜 이래요? 4화</v>
      </c>
      <c r="D1363" t="str">
        <f>T("4")</f>
        <v>4</v>
      </c>
      <c r="E1363" t="str">
        <f t="shared" ref="E1363:E1372" si="229">T("Livingston")</f>
        <v>Livingston</v>
      </c>
      <c r="H1363" t="str">
        <f t="shared" ref="H1363:H1372" si="230">T("블레슈(Blesshuu)")</f>
        <v>블레슈(Blesshuu)</v>
      </c>
      <c r="I1363" t="str">
        <f t="shared" ref="I1363:I1372" si="231">T("아저씨, 내 기분 왜 이래요?")</f>
        <v>아저씨, 내 기분 왜 이래요?</v>
      </c>
      <c r="J1363">
        <v>100</v>
      </c>
      <c r="K1363">
        <v>400</v>
      </c>
      <c r="L1363">
        <v>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400</v>
      </c>
      <c r="AH1363">
        <v>4</v>
      </c>
      <c r="AI1363">
        <v>0</v>
      </c>
      <c r="AJ1363">
        <v>0</v>
      </c>
      <c r="AK1363">
        <v>300</v>
      </c>
      <c r="AL1363">
        <v>0</v>
      </c>
      <c r="AM1363">
        <v>120</v>
      </c>
      <c r="AN1363">
        <v>-36</v>
      </c>
      <c r="AO1363">
        <v>0</v>
      </c>
      <c r="AP1363"/>
      <c r="AQ1363">
        <v>0</v>
      </c>
      <c r="AR1363">
        <v>0</v>
      </c>
      <c r="AS1363">
        <v>120</v>
      </c>
      <c r="AT1363">
        <v>-36</v>
      </c>
      <c r="AU1363">
        <v>0</v>
      </c>
      <c r="AW1363">
        <v>0</v>
      </c>
      <c r="AX1363">
        <v>0</v>
      </c>
      <c r="AY1363">
        <v>268.8</v>
      </c>
      <c r="BC1363" t="str">
        <f t="shared" ref="BC1363:BC1372" si="232">T("9791166069482")</f>
        <v>9791166069482</v>
      </c>
      <c r="BE1363" t="str">
        <f t="shared" ref="BE1363:BE1372" si="233">T("로맨스 웹소설 &gt; 현대물")</f>
        <v>로맨스 웹소설 &gt; 현대물</v>
      </c>
    </row>
    <row r="1364" spans="1:57" x14ac:dyDescent="0.3">
      <c r="A1364">
        <v>2313010290</v>
      </c>
      <c r="B1364">
        <v>2313010294</v>
      </c>
      <c r="C1364" t="str">
        <f>T("아저씨, 내 기분 왜 이래요? 5화")</f>
        <v>아저씨, 내 기분 왜 이래요? 5화</v>
      </c>
      <c r="D1364" t="str">
        <f>T("5")</f>
        <v>5</v>
      </c>
      <c r="E1364" t="str">
        <f t="shared" si="229"/>
        <v>Livingston</v>
      </c>
      <c r="H1364" t="str">
        <f t="shared" si="230"/>
        <v>블레슈(Blesshuu)</v>
      </c>
      <c r="I1364" t="str">
        <f t="shared" si="231"/>
        <v>아저씨, 내 기분 왜 이래요?</v>
      </c>
      <c r="J1364">
        <v>100</v>
      </c>
      <c r="K1364">
        <v>400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400</v>
      </c>
      <c r="AH1364">
        <v>4</v>
      </c>
      <c r="AI1364">
        <v>0</v>
      </c>
      <c r="AJ1364">
        <v>0</v>
      </c>
      <c r="AK1364">
        <v>300</v>
      </c>
      <c r="AL1364">
        <v>0</v>
      </c>
      <c r="AM1364">
        <v>120</v>
      </c>
      <c r="AN1364">
        <v>-36</v>
      </c>
      <c r="AO1364">
        <v>0</v>
      </c>
      <c r="AP1364"/>
      <c r="AQ1364">
        <v>0</v>
      </c>
      <c r="AR1364">
        <v>0</v>
      </c>
      <c r="AS1364">
        <v>120</v>
      </c>
      <c r="AT1364">
        <v>-36</v>
      </c>
      <c r="AU1364">
        <v>0</v>
      </c>
      <c r="AW1364">
        <v>0</v>
      </c>
      <c r="AX1364">
        <v>0</v>
      </c>
      <c r="AY1364">
        <v>268.8</v>
      </c>
      <c r="BC1364" t="str">
        <f t="shared" si="232"/>
        <v>9791166069482</v>
      </c>
      <c r="BE1364" t="str">
        <f t="shared" si="233"/>
        <v>로맨스 웹소설 &gt; 현대물</v>
      </c>
    </row>
    <row r="1365" spans="1:57" x14ac:dyDescent="0.3">
      <c r="A1365">
        <v>2313010290</v>
      </c>
      <c r="B1365">
        <v>2313010295</v>
      </c>
      <c r="C1365" t="str">
        <f>T("아저씨, 내 기분 왜 이래요? 6화")</f>
        <v>아저씨, 내 기분 왜 이래요? 6화</v>
      </c>
      <c r="D1365" t="str">
        <f>T("6")</f>
        <v>6</v>
      </c>
      <c r="E1365" t="str">
        <f t="shared" si="229"/>
        <v>Livingston</v>
      </c>
      <c r="H1365" t="str">
        <f t="shared" si="230"/>
        <v>블레슈(Blesshuu)</v>
      </c>
      <c r="I1365" t="str">
        <f t="shared" si="231"/>
        <v>아저씨, 내 기분 왜 이래요?</v>
      </c>
      <c r="J1365">
        <v>100</v>
      </c>
      <c r="K1365">
        <v>400</v>
      </c>
      <c r="L1365">
        <v>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400</v>
      </c>
      <c r="AH1365">
        <v>4</v>
      </c>
      <c r="AI1365">
        <v>0</v>
      </c>
      <c r="AJ1365">
        <v>0</v>
      </c>
      <c r="AK1365">
        <v>300</v>
      </c>
      <c r="AL1365">
        <v>0</v>
      </c>
      <c r="AM1365">
        <v>120</v>
      </c>
      <c r="AN1365">
        <v>-36</v>
      </c>
      <c r="AO1365">
        <v>0</v>
      </c>
      <c r="AP1365"/>
      <c r="AQ1365">
        <v>0</v>
      </c>
      <c r="AR1365">
        <v>0</v>
      </c>
      <c r="AS1365">
        <v>120</v>
      </c>
      <c r="AT1365">
        <v>-36</v>
      </c>
      <c r="AU1365">
        <v>0</v>
      </c>
      <c r="AW1365">
        <v>0</v>
      </c>
      <c r="AX1365">
        <v>0</v>
      </c>
      <c r="AY1365">
        <v>268.8</v>
      </c>
      <c r="BC1365" t="str">
        <f t="shared" si="232"/>
        <v>9791166069482</v>
      </c>
      <c r="BE1365" t="str">
        <f t="shared" si="233"/>
        <v>로맨스 웹소설 &gt; 현대물</v>
      </c>
    </row>
    <row r="1366" spans="1:57" x14ac:dyDescent="0.3">
      <c r="A1366">
        <v>2313010290</v>
      </c>
      <c r="B1366">
        <v>2313010297</v>
      </c>
      <c r="C1366" t="str">
        <f>T("아저씨, 내 기분 왜 이래요? 8화")</f>
        <v>아저씨, 내 기분 왜 이래요? 8화</v>
      </c>
      <c r="D1366" t="str">
        <f>T("8")</f>
        <v>8</v>
      </c>
      <c r="E1366" t="str">
        <f t="shared" si="229"/>
        <v>Livingston</v>
      </c>
      <c r="H1366" t="str">
        <f t="shared" si="230"/>
        <v>블레슈(Blesshuu)</v>
      </c>
      <c r="I1366" t="str">
        <f t="shared" si="231"/>
        <v>아저씨, 내 기분 왜 이래요?</v>
      </c>
      <c r="J1366">
        <v>100</v>
      </c>
      <c r="K1366">
        <v>400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400</v>
      </c>
      <c r="AH1366">
        <v>4</v>
      </c>
      <c r="AI1366">
        <v>0</v>
      </c>
      <c r="AJ1366">
        <v>0</v>
      </c>
      <c r="AK1366">
        <v>400</v>
      </c>
      <c r="AL1366">
        <v>0</v>
      </c>
      <c r="AM1366">
        <v>0</v>
      </c>
      <c r="AN1366">
        <v>0</v>
      </c>
      <c r="AO1366">
        <v>0</v>
      </c>
      <c r="AP1366"/>
      <c r="AQ1366">
        <v>0</v>
      </c>
      <c r="AR1366">
        <v>0</v>
      </c>
      <c r="AT1366">
        <v>0</v>
      </c>
      <c r="AU1366">
        <v>0</v>
      </c>
      <c r="AW1366">
        <v>0</v>
      </c>
      <c r="AX1366">
        <v>0</v>
      </c>
      <c r="AY1366">
        <v>280</v>
      </c>
      <c r="BC1366" t="str">
        <f t="shared" si="232"/>
        <v>9791166069482</v>
      </c>
      <c r="BE1366" t="str">
        <f t="shared" si="233"/>
        <v>로맨스 웹소설 &gt; 현대물</v>
      </c>
    </row>
    <row r="1367" spans="1:57" x14ac:dyDescent="0.3">
      <c r="A1367">
        <v>2313010290</v>
      </c>
      <c r="B1367">
        <v>2313010298</v>
      </c>
      <c r="C1367" t="str">
        <f>T("아저씨, 내 기분 왜 이래요? 9화")</f>
        <v>아저씨, 내 기분 왜 이래요? 9화</v>
      </c>
      <c r="D1367" t="str">
        <f>T("9")</f>
        <v>9</v>
      </c>
      <c r="E1367" t="str">
        <f t="shared" si="229"/>
        <v>Livingston</v>
      </c>
      <c r="H1367" t="str">
        <f t="shared" si="230"/>
        <v>블레슈(Blesshuu)</v>
      </c>
      <c r="I1367" t="str">
        <f t="shared" si="231"/>
        <v>아저씨, 내 기분 왜 이래요?</v>
      </c>
      <c r="J1367">
        <v>100</v>
      </c>
      <c r="K1367">
        <v>400</v>
      </c>
      <c r="L1367">
        <v>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400</v>
      </c>
      <c r="AH1367">
        <v>4</v>
      </c>
      <c r="AI1367">
        <v>0</v>
      </c>
      <c r="AJ1367">
        <v>0</v>
      </c>
      <c r="AK1367">
        <v>400</v>
      </c>
      <c r="AL1367">
        <v>0</v>
      </c>
      <c r="AM1367">
        <v>0</v>
      </c>
      <c r="AN1367">
        <v>0</v>
      </c>
      <c r="AO1367">
        <v>0</v>
      </c>
      <c r="AP1367"/>
      <c r="AQ1367">
        <v>0</v>
      </c>
      <c r="AR1367">
        <v>0</v>
      </c>
      <c r="AT1367">
        <v>0</v>
      </c>
      <c r="AU1367">
        <v>0</v>
      </c>
      <c r="AW1367">
        <v>0</v>
      </c>
      <c r="AX1367">
        <v>0</v>
      </c>
      <c r="AY1367">
        <v>280</v>
      </c>
      <c r="BC1367" t="str">
        <f t="shared" si="232"/>
        <v>9791166069482</v>
      </c>
      <c r="BE1367" t="str">
        <f t="shared" si="233"/>
        <v>로맨스 웹소설 &gt; 현대물</v>
      </c>
    </row>
    <row r="1368" spans="1:57" x14ac:dyDescent="0.3">
      <c r="A1368">
        <v>2313010290</v>
      </c>
      <c r="B1368">
        <v>2313010299</v>
      </c>
      <c r="C1368" t="str">
        <f>T("아저씨, 내 기분 왜 이래요? 10화")</f>
        <v>아저씨, 내 기분 왜 이래요? 10화</v>
      </c>
      <c r="D1368" t="str">
        <f>T("10")</f>
        <v>10</v>
      </c>
      <c r="E1368" t="str">
        <f t="shared" si="229"/>
        <v>Livingston</v>
      </c>
      <c r="H1368" t="str">
        <f t="shared" si="230"/>
        <v>블레슈(Blesshuu)</v>
      </c>
      <c r="I1368" t="str">
        <f t="shared" si="231"/>
        <v>아저씨, 내 기분 왜 이래요?</v>
      </c>
      <c r="J1368">
        <v>100</v>
      </c>
      <c r="K1368">
        <v>400</v>
      </c>
      <c r="L1368">
        <v>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400</v>
      </c>
      <c r="AH1368">
        <v>4</v>
      </c>
      <c r="AI1368">
        <v>0</v>
      </c>
      <c r="AJ1368">
        <v>0</v>
      </c>
      <c r="AK1368">
        <v>400</v>
      </c>
      <c r="AL1368">
        <v>0</v>
      </c>
      <c r="AM1368">
        <v>0</v>
      </c>
      <c r="AN1368">
        <v>0</v>
      </c>
      <c r="AO1368">
        <v>0</v>
      </c>
      <c r="AP1368"/>
      <c r="AQ1368">
        <v>0</v>
      </c>
      <c r="AR1368">
        <v>0</v>
      </c>
      <c r="AT1368">
        <v>0</v>
      </c>
      <c r="AU1368">
        <v>0</v>
      </c>
      <c r="AW1368">
        <v>0</v>
      </c>
      <c r="AX1368">
        <v>0</v>
      </c>
      <c r="AY1368">
        <v>280</v>
      </c>
      <c r="BC1368" t="str">
        <f t="shared" si="232"/>
        <v>9791166069482</v>
      </c>
      <c r="BE1368" t="str">
        <f t="shared" si="233"/>
        <v>로맨스 웹소설 &gt; 현대물</v>
      </c>
    </row>
    <row r="1369" spans="1:57" x14ac:dyDescent="0.3">
      <c r="A1369">
        <v>2313010290</v>
      </c>
      <c r="B1369">
        <v>2313010300</v>
      </c>
      <c r="C1369" t="str">
        <f>T("아저씨, 내 기분 왜 이래요? 11화")</f>
        <v>아저씨, 내 기분 왜 이래요? 11화</v>
      </c>
      <c r="D1369" t="str">
        <f>T("11")</f>
        <v>11</v>
      </c>
      <c r="E1369" t="str">
        <f t="shared" si="229"/>
        <v>Livingston</v>
      </c>
      <c r="H1369" t="str">
        <f t="shared" si="230"/>
        <v>블레슈(Blesshuu)</v>
      </c>
      <c r="I1369" t="str">
        <f t="shared" si="231"/>
        <v>아저씨, 내 기분 왜 이래요?</v>
      </c>
      <c r="J1369">
        <v>100</v>
      </c>
      <c r="K1369">
        <v>400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400</v>
      </c>
      <c r="AH1369">
        <v>4</v>
      </c>
      <c r="AI1369">
        <v>0</v>
      </c>
      <c r="AJ1369">
        <v>0</v>
      </c>
      <c r="AK1369">
        <v>400</v>
      </c>
      <c r="AL1369">
        <v>0</v>
      </c>
      <c r="AM1369">
        <v>0</v>
      </c>
      <c r="AN1369">
        <v>0</v>
      </c>
      <c r="AO1369">
        <v>0</v>
      </c>
      <c r="AP1369"/>
      <c r="AQ1369">
        <v>0</v>
      </c>
      <c r="AR1369">
        <v>0</v>
      </c>
      <c r="AT1369">
        <v>0</v>
      </c>
      <c r="AU1369">
        <v>0</v>
      </c>
      <c r="AW1369">
        <v>0</v>
      </c>
      <c r="AX1369">
        <v>0</v>
      </c>
      <c r="AY1369">
        <v>280</v>
      </c>
      <c r="BC1369" t="str">
        <f t="shared" si="232"/>
        <v>9791166069482</v>
      </c>
      <c r="BE1369" t="str">
        <f t="shared" si="233"/>
        <v>로맨스 웹소설 &gt; 현대물</v>
      </c>
    </row>
    <row r="1370" spans="1:57" x14ac:dyDescent="0.3">
      <c r="A1370">
        <v>2313010290</v>
      </c>
      <c r="B1370">
        <v>2313010301</v>
      </c>
      <c r="C1370" t="str">
        <f>T("아저씨, 내 기분 왜 이래요? 12화")</f>
        <v>아저씨, 내 기분 왜 이래요? 12화</v>
      </c>
      <c r="D1370" t="str">
        <f>T("12")</f>
        <v>12</v>
      </c>
      <c r="E1370" t="str">
        <f t="shared" si="229"/>
        <v>Livingston</v>
      </c>
      <c r="H1370" t="str">
        <f t="shared" si="230"/>
        <v>블레슈(Blesshuu)</v>
      </c>
      <c r="I1370" t="str">
        <f t="shared" si="231"/>
        <v>아저씨, 내 기분 왜 이래요?</v>
      </c>
      <c r="J1370">
        <v>100</v>
      </c>
      <c r="K1370">
        <v>400</v>
      </c>
      <c r="L1370">
        <v>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400</v>
      </c>
      <c r="AH1370">
        <v>4</v>
      </c>
      <c r="AI1370">
        <v>0</v>
      </c>
      <c r="AJ1370">
        <v>0</v>
      </c>
      <c r="AK1370">
        <v>400</v>
      </c>
      <c r="AL1370">
        <v>0</v>
      </c>
      <c r="AM1370">
        <v>0</v>
      </c>
      <c r="AN1370">
        <v>0</v>
      </c>
      <c r="AO1370">
        <v>0</v>
      </c>
      <c r="AP1370"/>
      <c r="AQ1370">
        <v>0</v>
      </c>
      <c r="AR1370">
        <v>0</v>
      </c>
      <c r="AT1370">
        <v>0</v>
      </c>
      <c r="AU1370">
        <v>0</v>
      </c>
      <c r="AW1370">
        <v>0</v>
      </c>
      <c r="AX1370">
        <v>0</v>
      </c>
      <c r="AY1370">
        <v>280</v>
      </c>
      <c r="BC1370" t="str">
        <f t="shared" si="232"/>
        <v>9791166069482</v>
      </c>
      <c r="BE1370" t="str">
        <f t="shared" si="233"/>
        <v>로맨스 웹소설 &gt; 현대물</v>
      </c>
    </row>
    <row r="1371" spans="1:57" x14ac:dyDescent="0.3">
      <c r="A1371">
        <v>2313010290</v>
      </c>
      <c r="B1371">
        <v>2313010302</v>
      </c>
      <c r="C1371" t="str">
        <f>T("아저씨, 내 기분 왜 이래요? 13화")</f>
        <v>아저씨, 내 기분 왜 이래요? 13화</v>
      </c>
      <c r="D1371" t="str">
        <f>T("13")</f>
        <v>13</v>
      </c>
      <c r="E1371" t="str">
        <f t="shared" si="229"/>
        <v>Livingston</v>
      </c>
      <c r="H1371" t="str">
        <f t="shared" si="230"/>
        <v>블레슈(Blesshuu)</v>
      </c>
      <c r="I1371" t="str">
        <f t="shared" si="231"/>
        <v>아저씨, 내 기분 왜 이래요?</v>
      </c>
      <c r="J1371">
        <v>100</v>
      </c>
      <c r="K1371">
        <v>400</v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400</v>
      </c>
      <c r="AH1371">
        <v>4</v>
      </c>
      <c r="AI1371">
        <v>0</v>
      </c>
      <c r="AJ1371">
        <v>0</v>
      </c>
      <c r="AK1371">
        <v>400</v>
      </c>
      <c r="AL1371">
        <v>0</v>
      </c>
      <c r="AM1371">
        <v>0</v>
      </c>
      <c r="AN1371">
        <v>0</v>
      </c>
      <c r="AO1371">
        <v>0</v>
      </c>
      <c r="AP1371"/>
      <c r="AQ1371">
        <v>0</v>
      </c>
      <c r="AR1371">
        <v>0</v>
      </c>
      <c r="AT1371">
        <v>0</v>
      </c>
      <c r="AU1371">
        <v>0</v>
      </c>
      <c r="AW1371">
        <v>0</v>
      </c>
      <c r="AX1371">
        <v>0</v>
      </c>
      <c r="AY1371">
        <v>280</v>
      </c>
      <c r="BC1371" t="str">
        <f t="shared" si="232"/>
        <v>9791166069482</v>
      </c>
      <c r="BE1371" t="str">
        <f t="shared" si="233"/>
        <v>로맨스 웹소설 &gt; 현대물</v>
      </c>
    </row>
    <row r="1372" spans="1:57" x14ac:dyDescent="0.3">
      <c r="A1372">
        <v>2313010290</v>
      </c>
      <c r="B1372">
        <v>2313010303</v>
      </c>
      <c r="C1372" t="str">
        <f>T("아저씨, 내 기분 왜 이래요? 14화")</f>
        <v>아저씨, 내 기분 왜 이래요? 14화</v>
      </c>
      <c r="D1372" t="str">
        <f>T("14")</f>
        <v>14</v>
      </c>
      <c r="E1372" t="str">
        <f t="shared" si="229"/>
        <v>Livingston</v>
      </c>
      <c r="H1372" t="str">
        <f t="shared" si="230"/>
        <v>블레슈(Blesshuu)</v>
      </c>
      <c r="I1372" t="str">
        <f t="shared" si="231"/>
        <v>아저씨, 내 기분 왜 이래요?</v>
      </c>
      <c r="J1372">
        <v>100</v>
      </c>
      <c r="K1372">
        <v>400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400</v>
      </c>
      <c r="AH1372">
        <v>4</v>
      </c>
      <c r="AI1372">
        <v>0</v>
      </c>
      <c r="AJ1372">
        <v>0</v>
      </c>
      <c r="AK1372">
        <v>400</v>
      </c>
      <c r="AL1372">
        <v>0</v>
      </c>
      <c r="AM1372">
        <v>0</v>
      </c>
      <c r="AN1372">
        <v>0</v>
      </c>
      <c r="AO1372">
        <v>0</v>
      </c>
      <c r="AP1372"/>
      <c r="AQ1372">
        <v>0</v>
      </c>
      <c r="AR1372">
        <v>0</v>
      </c>
      <c r="AT1372">
        <v>0</v>
      </c>
      <c r="AU1372">
        <v>0</v>
      </c>
      <c r="AW1372">
        <v>0</v>
      </c>
      <c r="AX1372">
        <v>0</v>
      </c>
      <c r="AY1372">
        <v>280</v>
      </c>
      <c r="BC1372" t="str">
        <f t="shared" si="232"/>
        <v>9791166069482</v>
      </c>
      <c r="BE1372" t="str">
        <f t="shared" si="233"/>
        <v>로맨스 웹소설 &gt; 현대물</v>
      </c>
    </row>
    <row r="1373" spans="1:57" x14ac:dyDescent="0.3">
      <c r="A1373">
        <v>2313011400</v>
      </c>
      <c r="B1373">
        <v>2313011450</v>
      </c>
      <c r="C1373" t="str">
        <f>T("최종 보스 3권 6화")</f>
        <v>최종 보스 3권 6화</v>
      </c>
      <c r="D1373" t="str">
        <f>T("51")</f>
        <v>51</v>
      </c>
      <c r="E1373" t="str">
        <f t="shared" ref="E1373:E1436" si="234">T("무장")</f>
        <v>무장</v>
      </c>
      <c r="H1373" t="str">
        <f t="shared" ref="H1373:H1436" si="235">T("스토리위즈")</f>
        <v>스토리위즈</v>
      </c>
      <c r="I1373" t="str">
        <f t="shared" ref="I1373:I1418" si="236">T("최종 보스 : 빛을 향해 달리는 그림자")</f>
        <v>최종 보스 : 빛을 향해 달리는 그림자</v>
      </c>
      <c r="J1373">
        <v>100</v>
      </c>
      <c r="K1373">
        <v>400</v>
      </c>
      <c r="L1373">
        <v>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400</v>
      </c>
      <c r="AH1373">
        <v>4</v>
      </c>
      <c r="AI1373">
        <v>0</v>
      </c>
      <c r="AJ1373">
        <v>0</v>
      </c>
      <c r="AK1373">
        <v>300</v>
      </c>
      <c r="AL1373">
        <v>0</v>
      </c>
      <c r="AM1373">
        <v>120</v>
      </c>
      <c r="AN1373">
        <v>-12</v>
      </c>
      <c r="AO1373">
        <v>0</v>
      </c>
      <c r="AP1373"/>
      <c r="AQ1373">
        <v>0</v>
      </c>
      <c r="AR1373">
        <v>0</v>
      </c>
      <c r="AS1373">
        <v>120</v>
      </c>
      <c r="AT1373">
        <v>-12</v>
      </c>
      <c r="AU1373">
        <v>0</v>
      </c>
      <c r="AW1373">
        <v>0</v>
      </c>
      <c r="AX1373">
        <v>0</v>
      </c>
      <c r="AY1373">
        <v>285.60000000000002</v>
      </c>
      <c r="BC1373" t="str">
        <f t="shared" ref="BC1373:BC1418" si="237">T("9791166067563")</f>
        <v>9791166067563</v>
      </c>
      <c r="BE1373" t="str">
        <f t="shared" ref="BE1373:BE1436" si="238">T("판타지 웹소설 &gt; 현대 판타지")</f>
        <v>판타지 웹소설 &gt; 현대 판타지</v>
      </c>
    </row>
    <row r="1374" spans="1:57" x14ac:dyDescent="0.3">
      <c r="A1374">
        <v>2313011400</v>
      </c>
      <c r="B1374">
        <v>2313011451</v>
      </c>
      <c r="C1374" t="str">
        <f>T("최종 보스 3권 7화")</f>
        <v>최종 보스 3권 7화</v>
      </c>
      <c r="D1374" t="str">
        <f>T("52")</f>
        <v>52</v>
      </c>
      <c r="E1374" t="str">
        <f t="shared" si="234"/>
        <v>무장</v>
      </c>
      <c r="H1374" t="str">
        <f t="shared" si="235"/>
        <v>스토리위즈</v>
      </c>
      <c r="I1374" t="str">
        <f t="shared" si="236"/>
        <v>최종 보스 : 빛을 향해 달리는 그림자</v>
      </c>
      <c r="J1374">
        <v>100</v>
      </c>
      <c r="K1374">
        <v>400</v>
      </c>
      <c r="L1374">
        <v>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400</v>
      </c>
      <c r="AH1374">
        <v>4</v>
      </c>
      <c r="AI1374">
        <v>0</v>
      </c>
      <c r="AJ1374">
        <v>0</v>
      </c>
      <c r="AK1374">
        <v>300</v>
      </c>
      <c r="AL1374">
        <v>0</v>
      </c>
      <c r="AM1374">
        <v>120</v>
      </c>
      <c r="AN1374">
        <v>-12</v>
      </c>
      <c r="AO1374">
        <v>0</v>
      </c>
      <c r="AP1374"/>
      <c r="AQ1374">
        <v>0</v>
      </c>
      <c r="AR1374">
        <v>0</v>
      </c>
      <c r="AS1374">
        <v>120</v>
      </c>
      <c r="AT1374">
        <v>-12</v>
      </c>
      <c r="AU1374">
        <v>0</v>
      </c>
      <c r="AW1374">
        <v>0</v>
      </c>
      <c r="AX1374">
        <v>0</v>
      </c>
      <c r="AY1374">
        <v>285.60000000000002</v>
      </c>
      <c r="BC1374" t="str">
        <f t="shared" si="237"/>
        <v>9791166067563</v>
      </c>
      <c r="BE1374" t="str">
        <f t="shared" si="238"/>
        <v>판타지 웹소설 &gt; 현대 판타지</v>
      </c>
    </row>
    <row r="1375" spans="1:57" x14ac:dyDescent="0.3">
      <c r="A1375">
        <v>2313011400</v>
      </c>
      <c r="B1375">
        <v>2313011452</v>
      </c>
      <c r="C1375" t="str">
        <f>T("최종 보스 3권 8화")</f>
        <v>최종 보스 3권 8화</v>
      </c>
      <c r="D1375" t="str">
        <f>T("53")</f>
        <v>53</v>
      </c>
      <c r="E1375" t="str">
        <f t="shared" si="234"/>
        <v>무장</v>
      </c>
      <c r="H1375" t="str">
        <f t="shared" si="235"/>
        <v>스토리위즈</v>
      </c>
      <c r="I1375" t="str">
        <f t="shared" si="236"/>
        <v>최종 보스 : 빛을 향해 달리는 그림자</v>
      </c>
      <c r="J1375">
        <v>100</v>
      </c>
      <c r="K1375">
        <v>400</v>
      </c>
      <c r="L1375">
        <v>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400</v>
      </c>
      <c r="AH1375">
        <v>4</v>
      </c>
      <c r="AI1375">
        <v>0</v>
      </c>
      <c r="AJ1375">
        <v>0</v>
      </c>
      <c r="AK1375">
        <v>300</v>
      </c>
      <c r="AL1375">
        <v>0</v>
      </c>
      <c r="AM1375">
        <v>120</v>
      </c>
      <c r="AN1375">
        <v>-12</v>
      </c>
      <c r="AO1375">
        <v>0</v>
      </c>
      <c r="AP1375"/>
      <c r="AQ1375">
        <v>0</v>
      </c>
      <c r="AR1375">
        <v>0</v>
      </c>
      <c r="AS1375">
        <v>120</v>
      </c>
      <c r="AT1375">
        <v>-12</v>
      </c>
      <c r="AU1375">
        <v>0</v>
      </c>
      <c r="AW1375">
        <v>0</v>
      </c>
      <c r="AX1375">
        <v>0</v>
      </c>
      <c r="AY1375">
        <v>285.60000000000002</v>
      </c>
      <c r="BC1375" t="str">
        <f t="shared" si="237"/>
        <v>9791166067563</v>
      </c>
      <c r="BE1375" t="str">
        <f t="shared" si="238"/>
        <v>판타지 웹소설 &gt; 현대 판타지</v>
      </c>
    </row>
    <row r="1376" spans="1:57" x14ac:dyDescent="0.3">
      <c r="A1376">
        <v>2313011400</v>
      </c>
      <c r="B1376">
        <v>2313011453</v>
      </c>
      <c r="C1376" t="str">
        <f>T("최종 보스 3권 9화")</f>
        <v>최종 보스 3권 9화</v>
      </c>
      <c r="D1376" t="str">
        <f>T("54")</f>
        <v>54</v>
      </c>
      <c r="E1376" t="str">
        <f t="shared" si="234"/>
        <v>무장</v>
      </c>
      <c r="H1376" t="str">
        <f t="shared" si="235"/>
        <v>스토리위즈</v>
      </c>
      <c r="I1376" t="str">
        <f t="shared" si="236"/>
        <v>최종 보스 : 빛을 향해 달리는 그림자</v>
      </c>
      <c r="J1376">
        <v>100</v>
      </c>
      <c r="K1376">
        <v>400</v>
      </c>
      <c r="L1376">
        <v>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400</v>
      </c>
      <c r="AH1376">
        <v>4</v>
      </c>
      <c r="AI1376">
        <v>0</v>
      </c>
      <c r="AJ1376">
        <v>0</v>
      </c>
      <c r="AK1376">
        <v>300</v>
      </c>
      <c r="AL1376">
        <v>0</v>
      </c>
      <c r="AM1376">
        <v>120</v>
      </c>
      <c r="AN1376">
        <v>-12</v>
      </c>
      <c r="AO1376">
        <v>0</v>
      </c>
      <c r="AP1376"/>
      <c r="AQ1376">
        <v>0</v>
      </c>
      <c r="AR1376">
        <v>0</v>
      </c>
      <c r="AS1376">
        <v>120</v>
      </c>
      <c r="AT1376">
        <v>-12</v>
      </c>
      <c r="AU1376">
        <v>0</v>
      </c>
      <c r="AW1376">
        <v>0</v>
      </c>
      <c r="AX1376">
        <v>0</v>
      </c>
      <c r="AY1376">
        <v>285.60000000000002</v>
      </c>
      <c r="BC1376" t="str">
        <f t="shared" si="237"/>
        <v>9791166067563</v>
      </c>
      <c r="BE1376" t="str">
        <f t="shared" si="238"/>
        <v>판타지 웹소설 &gt; 현대 판타지</v>
      </c>
    </row>
    <row r="1377" spans="1:57" x14ac:dyDescent="0.3">
      <c r="A1377">
        <v>2313011400</v>
      </c>
      <c r="B1377">
        <v>2313011454</v>
      </c>
      <c r="C1377" t="str">
        <f>T("최종 보스 3권 10화")</f>
        <v>최종 보스 3권 10화</v>
      </c>
      <c r="D1377" t="str">
        <f>T("55")</f>
        <v>55</v>
      </c>
      <c r="E1377" t="str">
        <f t="shared" si="234"/>
        <v>무장</v>
      </c>
      <c r="H1377" t="str">
        <f t="shared" si="235"/>
        <v>스토리위즈</v>
      </c>
      <c r="I1377" t="str">
        <f t="shared" si="236"/>
        <v>최종 보스 : 빛을 향해 달리는 그림자</v>
      </c>
      <c r="J1377">
        <v>100</v>
      </c>
      <c r="K1377">
        <v>400</v>
      </c>
      <c r="L1377">
        <v>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400</v>
      </c>
      <c r="AH1377">
        <v>4</v>
      </c>
      <c r="AI1377">
        <v>0</v>
      </c>
      <c r="AJ1377">
        <v>0</v>
      </c>
      <c r="AK1377">
        <v>300</v>
      </c>
      <c r="AL1377">
        <v>0</v>
      </c>
      <c r="AM1377">
        <v>120</v>
      </c>
      <c r="AN1377">
        <v>-12</v>
      </c>
      <c r="AO1377">
        <v>0</v>
      </c>
      <c r="AP1377"/>
      <c r="AQ1377">
        <v>0</v>
      </c>
      <c r="AR1377">
        <v>0</v>
      </c>
      <c r="AS1377">
        <v>120</v>
      </c>
      <c r="AT1377">
        <v>-12</v>
      </c>
      <c r="AU1377">
        <v>0</v>
      </c>
      <c r="AW1377">
        <v>0</v>
      </c>
      <c r="AX1377">
        <v>0</v>
      </c>
      <c r="AY1377">
        <v>285.60000000000002</v>
      </c>
      <c r="BC1377" t="str">
        <f t="shared" si="237"/>
        <v>9791166067563</v>
      </c>
      <c r="BE1377" t="str">
        <f t="shared" si="238"/>
        <v>판타지 웹소설 &gt; 현대 판타지</v>
      </c>
    </row>
    <row r="1378" spans="1:57" x14ac:dyDescent="0.3">
      <c r="A1378">
        <v>2313011400</v>
      </c>
      <c r="B1378">
        <v>2313011455</v>
      </c>
      <c r="C1378" t="str">
        <f>T("최종 보스 3권 11화")</f>
        <v>최종 보스 3권 11화</v>
      </c>
      <c r="D1378" t="str">
        <f>T("56")</f>
        <v>56</v>
      </c>
      <c r="E1378" t="str">
        <f t="shared" si="234"/>
        <v>무장</v>
      </c>
      <c r="H1378" t="str">
        <f t="shared" si="235"/>
        <v>스토리위즈</v>
      </c>
      <c r="I1378" t="str">
        <f t="shared" si="236"/>
        <v>최종 보스 : 빛을 향해 달리는 그림자</v>
      </c>
      <c r="J1378">
        <v>100</v>
      </c>
      <c r="K1378">
        <v>400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400</v>
      </c>
      <c r="AH1378">
        <v>4</v>
      </c>
      <c r="AI1378">
        <v>0</v>
      </c>
      <c r="AJ1378">
        <v>0</v>
      </c>
      <c r="AK1378">
        <v>300</v>
      </c>
      <c r="AL1378">
        <v>0</v>
      </c>
      <c r="AM1378">
        <v>120</v>
      </c>
      <c r="AN1378">
        <v>-12</v>
      </c>
      <c r="AO1378">
        <v>0</v>
      </c>
      <c r="AP1378"/>
      <c r="AQ1378">
        <v>0</v>
      </c>
      <c r="AR1378">
        <v>0</v>
      </c>
      <c r="AS1378">
        <v>120</v>
      </c>
      <c r="AT1378">
        <v>-12</v>
      </c>
      <c r="AU1378">
        <v>0</v>
      </c>
      <c r="AW1378">
        <v>0</v>
      </c>
      <c r="AX1378">
        <v>0</v>
      </c>
      <c r="AY1378">
        <v>285.60000000000002</v>
      </c>
      <c r="BC1378" t="str">
        <f t="shared" si="237"/>
        <v>9791166067563</v>
      </c>
      <c r="BE1378" t="str">
        <f t="shared" si="238"/>
        <v>판타지 웹소설 &gt; 현대 판타지</v>
      </c>
    </row>
    <row r="1379" spans="1:57" x14ac:dyDescent="0.3">
      <c r="A1379">
        <v>2313011400</v>
      </c>
      <c r="B1379">
        <v>2313011456</v>
      </c>
      <c r="C1379" t="str">
        <f>T("최종 보스 3권 12화")</f>
        <v>최종 보스 3권 12화</v>
      </c>
      <c r="D1379" t="str">
        <f>T("57")</f>
        <v>57</v>
      </c>
      <c r="E1379" t="str">
        <f t="shared" si="234"/>
        <v>무장</v>
      </c>
      <c r="H1379" t="str">
        <f t="shared" si="235"/>
        <v>스토리위즈</v>
      </c>
      <c r="I1379" t="str">
        <f t="shared" si="236"/>
        <v>최종 보스 : 빛을 향해 달리는 그림자</v>
      </c>
      <c r="J1379">
        <v>100</v>
      </c>
      <c r="K1379">
        <v>400</v>
      </c>
      <c r="L1379">
        <v>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400</v>
      </c>
      <c r="AH1379">
        <v>4</v>
      </c>
      <c r="AI1379">
        <v>0</v>
      </c>
      <c r="AJ1379">
        <v>0</v>
      </c>
      <c r="AK1379">
        <v>300</v>
      </c>
      <c r="AL1379">
        <v>0</v>
      </c>
      <c r="AM1379">
        <v>120</v>
      </c>
      <c r="AN1379">
        <v>-12</v>
      </c>
      <c r="AO1379">
        <v>0</v>
      </c>
      <c r="AP1379"/>
      <c r="AQ1379">
        <v>0</v>
      </c>
      <c r="AR1379">
        <v>0</v>
      </c>
      <c r="AS1379">
        <v>120</v>
      </c>
      <c r="AT1379">
        <v>-12</v>
      </c>
      <c r="AU1379">
        <v>0</v>
      </c>
      <c r="AW1379">
        <v>0</v>
      </c>
      <c r="AX1379">
        <v>0</v>
      </c>
      <c r="AY1379">
        <v>285.60000000000002</v>
      </c>
      <c r="BC1379" t="str">
        <f t="shared" si="237"/>
        <v>9791166067563</v>
      </c>
      <c r="BE1379" t="str">
        <f t="shared" si="238"/>
        <v>판타지 웹소설 &gt; 현대 판타지</v>
      </c>
    </row>
    <row r="1380" spans="1:57" x14ac:dyDescent="0.3">
      <c r="A1380">
        <v>2313011400</v>
      </c>
      <c r="B1380">
        <v>2313011457</v>
      </c>
      <c r="C1380" t="str">
        <f>T("최종 보스 3권 13화")</f>
        <v>최종 보스 3권 13화</v>
      </c>
      <c r="D1380" t="str">
        <f>T("58")</f>
        <v>58</v>
      </c>
      <c r="E1380" t="str">
        <f t="shared" si="234"/>
        <v>무장</v>
      </c>
      <c r="H1380" t="str">
        <f t="shared" si="235"/>
        <v>스토리위즈</v>
      </c>
      <c r="I1380" t="str">
        <f t="shared" si="236"/>
        <v>최종 보스 : 빛을 향해 달리는 그림자</v>
      </c>
      <c r="J1380">
        <v>100</v>
      </c>
      <c r="K1380">
        <v>400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400</v>
      </c>
      <c r="AH1380">
        <v>4</v>
      </c>
      <c r="AI1380">
        <v>0</v>
      </c>
      <c r="AJ1380">
        <v>0</v>
      </c>
      <c r="AK1380">
        <v>300</v>
      </c>
      <c r="AL1380">
        <v>0</v>
      </c>
      <c r="AM1380">
        <v>120</v>
      </c>
      <c r="AN1380">
        <v>-12</v>
      </c>
      <c r="AO1380">
        <v>0</v>
      </c>
      <c r="AP1380"/>
      <c r="AQ1380">
        <v>0</v>
      </c>
      <c r="AR1380">
        <v>0</v>
      </c>
      <c r="AS1380">
        <v>120</v>
      </c>
      <c r="AT1380">
        <v>-12</v>
      </c>
      <c r="AU1380">
        <v>0</v>
      </c>
      <c r="AW1380">
        <v>0</v>
      </c>
      <c r="AX1380">
        <v>0</v>
      </c>
      <c r="AY1380">
        <v>285.60000000000002</v>
      </c>
      <c r="BC1380" t="str">
        <f t="shared" si="237"/>
        <v>9791166067563</v>
      </c>
      <c r="BE1380" t="str">
        <f t="shared" si="238"/>
        <v>판타지 웹소설 &gt; 현대 판타지</v>
      </c>
    </row>
    <row r="1381" spans="1:57" x14ac:dyDescent="0.3">
      <c r="A1381">
        <v>2313011400</v>
      </c>
      <c r="B1381">
        <v>2313011458</v>
      </c>
      <c r="C1381" t="str">
        <f>T("최종 보스 3권 14화")</f>
        <v>최종 보스 3권 14화</v>
      </c>
      <c r="D1381" t="str">
        <f>T("59")</f>
        <v>59</v>
      </c>
      <c r="E1381" t="str">
        <f t="shared" si="234"/>
        <v>무장</v>
      </c>
      <c r="H1381" t="str">
        <f t="shared" si="235"/>
        <v>스토리위즈</v>
      </c>
      <c r="I1381" t="str">
        <f t="shared" si="236"/>
        <v>최종 보스 : 빛을 향해 달리는 그림자</v>
      </c>
      <c r="J1381">
        <v>100</v>
      </c>
      <c r="K1381">
        <v>400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400</v>
      </c>
      <c r="AH1381">
        <v>4</v>
      </c>
      <c r="AI1381">
        <v>0</v>
      </c>
      <c r="AJ1381">
        <v>0</v>
      </c>
      <c r="AK1381">
        <v>300</v>
      </c>
      <c r="AL1381">
        <v>0</v>
      </c>
      <c r="AM1381">
        <v>120</v>
      </c>
      <c r="AN1381">
        <v>-12</v>
      </c>
      <c r="AO1381">
        <v>0</v>
      </c>
      <c r="AP1381"/>
      <c r="AQ1381">
        <v>0</v>
      </c>
      <c r="AR1381">
        <v>0</v>
      </c>
      <c r="AS1381">
        <v>120</v>
      </c>
      <c r="AT1381">
        <v>-12</v>
      </c>
      <c r="AU1381">
        <v>0</v>
      </c>
      <c r="AW1381">
        <v>0</v>
      </c>
      <c r="AX1381">
        <v>0</v>
      </c>
      <c r="AY1381">
        <v>285.60000000000002</v>
      </c>
      <c r="BC1381" t="str">
        <f t="shared" si="237"/>
        <v>9791166067563</v>
      </c>
      <c r="BE1381" t="str">
        <f t="shared" si="238"/>
        <v>판타지 웹소설 &gt; 현대 판타지</v>
      </c>
    </row>
    <row r="1382" spans="1:57" x14ac:dyDescent="0.3">
      <c r="A1382">
        <v>2313011400</v>
      </c>
      <c r="B1382">
        <v>2313011459</v>
      </c>
      <c r="C1382" t="str">
        <f>T("최종 보스 3권 15화")</f>
        <v>최종 보스 3권 15화</v>
      </c>
      <c r="D1382" t="str">
        <f>T("60")</f>
        <v>60</v>
      </c>
      <c r="E1382" t="str">
        <f t="shared" si="234"/>
        <v>무장</v>
      </c>
      <c r="H1382" t="str">
        <f t="shared" si="235"/>
        <v>스토리위즈</v>
      </c>
      <c r="I1382" t="str">
        <f t="shared" si="236"/>
        <v>최종 보스 : 빛을 향해 달리는 그림자</v>
      </c>
      <c r="J1382">
        <v>100</v>
      </c>
      <c r="K1382">
        <v>400</v>
      </c>
      <c r="L1382">
        <v>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400</v>
      </c>
      <c r="AH1382">
        <v>4</v>
      </c>
      <c r="AI1382">
        <v>0</v>
      </c>
      <c r="AJ1382">
        <v>0</v>
      </c>
      <c r="AK1382">
        <v>300</v>
      </c>
      <c r="AL1382">
        <v>0</v>
      </c>
      <c r="AM1382">
        <v>120</v>
      </c>
      <c r="AN1382">
        <v>-12</v>
      </c>
      <c r="AO1382">
        <v>0</v>
      </c>
      <c r="AP1382"/>
      <c r="AQ1382">
        <v>0</v>
      </c>
      <c r="AR1382">
        <v>0</v>
      </c>
      <c r="AS1382">
        <v>120</v>
      </c>
      <c r="AT1382">
        <v>-12</v>
      </c>
      <c r="AU1382">
        <v>0</v>
      </c>
      <c r="AW1382">
        <v>0</v>
      </c>
      <c r="AX1382">
        <v>0</v>
      </c>
      <c r="AY1382">
        <v>285.60000000000002</v>
      </c>
      <c r="BC1382" t="str">
        <f t="shared" si="237"/>
        <v>9791166067563</v>
      </c>
      <c r="BE1382" t="str">
        <f t="shared" si="238"/>
        <v>판타지 웹소설 &gt; 현대 판타지</v>
      </c>
    </row>
    <row r="1383" spans="1:57" x14ac:dyDescent="0.3">
      <c r="A1383">
        <v>2313011400</v>
      </c>
      <c r="B1383">
        <v>2313011460</v>
      </c>
      <c r="C1383" t="str">
        <f>T("최종 보스 3권 16화")</f>
        <v>최종 보스 3권 16화</v>
      </c>
      <c r="D1383" t="str">
        <f>T("61")</f>
        <v>61</v>
      </c>
      <c r="E1383" t="str">
        <f t="shared" si="234"/>
        <v>무장</v>
      </c>
      <c r="H1383" t="str">
        <f t="shared" si="235"/>
        <v>스토리위즈</v>
      </c>
      <c r="I1383" t="str">
        <f t="shared" si="236"/>
        <v>최종 보스 : 빛을 향해 달리는 그림자</v>
      </c>
      <c r="J1383">
        <v>100</v>
      </c>
      <c r="K1383">
        <v>400</v>
      </c>
      <c r="L1383">
        <v>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400</v>
      </c>
      <c r="AH1383">
        <v>4</v>
      </c>
      <c r="AI1383">
        <v>0</v>
      </c>
      <c r="AJ1383">
        <v>0</v>
      </c>
      <c r="AK1383">
        <v>300</v>
      </c>
      <c r="AL1383">
        <v>0</v>
      </c>
      <c r="AM1383">
        <v>120</v>
      </c>
      <c r="AN1383">
        <v>-12</v>
      </c>
      <c r="AO1383">
        <v>0</v>
      </c>
      <c r="AP1383"/>
      <c r="AQ1383">
        <v>0</v>
      </c>
      <c r="AR1383">
        <v>0</v>
      </c>
      <c r="AS1383">
        <v>120</v>
      </c>
      <c r="AT1383">
        <v>-12</v>
      </c>
      <c r="AU1383">
        <v>0</v>
      </c>
      <c r="AW1383">
        <v>0</v>
      </c>
      <c r="AX1383">
        <v>0</v>
      </c>
      <c r="AY1383">
        <v>285.60000000000002</v>
      </c>
      <c r="BC1383" t="str">
        <f t="shared" si="237"/>
        <v>9791166067563</v>
      </c>
      <c r="BE1383" t="str">
        <f t="shared" si="238"/>
        <v>판타지 웹소설 &gt; 현대 판타지</v>
      </c>
    </row>
    <row r="1384" spans="1:57" x14ac:dyDescent="0.3">
      <c r="A1384">
        <v>2313011400</v>
      </c>
      <c r="B1384">
        <v>2313011461</v>
      </c>
      <c r="C1384" t="str">
        <f>T("최종 보스 3권 17화")</f>
        <v>최종 보스 3권 17화</v>
      </c>
      <c r="D1384" t="str">
        <f>T("62")</f>
        <v>62</v>
      </c>
      <c r="E1384" t="str">
        <f t="shared" si="234"/>
        <v>무장</v>
      </c>
      <c r="H1384" t="str">
        <f t="shared" si="235"/>
        <v>스토리위즈</v>
      </c>
      <c r="I1384" t="str">
        <f t="shared" si="236"/>
        <v>최종 보스 : 빛을 향해 달리는 그림자</v>
      </c>
      <c r="J1384">
        <v>100</v>
      </c>
      <c r="K1384">
        <v>400</v>
      </c>
      <c r="L1384">
        <v>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400</v>
      </c>
      <c r="AH1384">
        <v>4</v>
      </c>
      <c r="AI1384">
        <v>0</v>
      </c>
      <c r="AJ1384">
        <v>0</v>
      </c>
      <c r="AK1384">
        <v>300</v>
      </c>
      <c r="AL1384">
        <v>0</v>
      </c>
      <c r="AM1384">
        <v>120</v>
      </c>
      <c r="AN1384">
        <v>-12</v>
      </c>
      <c r="AO1384">
        <v>0</v>
      </c>
      <c r="AP1384"/>
      <c r="AQ1384">
        <v>0</v>
      </c>
      <c r="AR1384">
        <v>0</v>
      </c>
      <c r="AS1384">
        <v>120</v>
      </c>
      <c r="AT1384">
        <v>-12</v>
      </c>
      <c r="AU1384">
        <v>0</v>
      </c>
      <c r="AW1384">
        <v>0</v>
      </c>
      <c r="AX1384">
        <v>0</v>
      </c>
      <c r="AY1384">
        <v>285.60000000000002</v>
      </c>
      <c r="BC1384" t="str">
        <f t="shared" si="237"/>
        <v>9791166067563</v>
      </c>
      <c r="BE1384" t="str">
        <f t="shared" si="238"/>
        <v>판타지 웹소설 &gt; 현대 판타지</v>
      </c>
    </row>
    <row r="1385" spans="1:57" x14ac:dyDescent="0.3">
      <c r="A1385">
        <v>2313011400</v>
      </c>
      <c r="B1385">
        <v>2313011462</v>
      </c>
      <c r="C1385" t="str">
        <f>T("최종 보스 3권 18화")</f>
        <v>최종 보스 3권 18화</v>
      </c>
      <c r="D1385" t="str">
        <f>T("63")</f>
        <v>63</v>
      </c>
      <c r="E1385" t="str">
        <f t="shared" si="234"/>
        <v>무장</v>
      </c>
      <c r="H1385" t="str">
        <f t="shared" si="235"/>
        <v>스토리위즈</v>
      </c>
      <c r="I1385" t="str">
        <f t="shared" si="236"/>
        <v>최종 보스 : 빛을 향해 달리는 그림자</v>
      </c>
      <c r="J1385">
        <v>100</v>
      </c>
      <c r="K1385">
        <v>400</v>
      </c>
      <c r="L1385">
        <v>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400</v>
      </c>
      <c r="AH1385">
        <v>4</v>
      </c>
      <c r="AI1385">
        <v>0</v>
      </c>
      <c r="AJ1385">
        <v>0</v>
      </c>
      <c r="AK1385">
        <v>300</v>
      </c>
      <c r="AL1385">
        <v>0</v>
      </c>
      <c r="AM1385">
        <v>120</v>
      </c>
      <c r="AN1385">
        <v>-12</v>
      </c>
      <c r="AO1385">
        <v>0</v>
      </c>
      <c r="AP1385"/>
      <c r="AQ1385">
        <v>0</v>
      </c>
      <c r="AR1385">
        <v>0</v>
      </c>
      <c r="AS1385">
        <v>120</v>
      </c>
      <c r="AT1385">
        <v>-12</v>
      </c>
      <c r="AU1385">
        <v>0</v>
      </c>
      <c r="AW1385">
        <v>0</v>
      </c>
      <c r="AX1385">
        <v>0</v>
      </c>
      <c r="AY1385">
        <v>285.60000000000002</v>
      </c>
      <c r="BC1385" t="str">
        <f t="shared" si="237"/>
        <v>9791166067563</v>
      </c>
      <c r="BE1385" t="str">
        <f t="shared" si="238"/>
        <v>판타지 웹소설 &gt; 현대 판타지</v>
      </c>
    </row>
    <row r="1386" spans="1:57" x14ac:dyDescent="0.3">
      <c r="A1386">
        <v>2313011400</v>
      </c>
      <c r="B1386">
        <v>2313011463</v>
      </c>
      <c r="C1386" t="str">
        <f>T("최종 보스 3권 19화")</f>
        <v>최종 보스 3권 19화</v>
      </c>
      <c r="D1386" t="str">
        <f>T("64")</f>
        <v>64</v>
      </c>
      <c r="E1386" t="str">
        <f t="shared" si="234"/>
        <v>무장</v>
      </c>
      <c r="H1386" t="str">
        <f t="shared" si="235"/>
        <v>스토리위즈</v>
      </c>
      <c r="I1386" t="str">
        <f t="shared" si="236"/>
        <v>최종 보스 : 빛을 향해 달리는 그림자</v>
      </c>
      <c r="J1386">
        <v>100</v>
      </c>
      <c r="K1386">
        <v>400</v>
      </c>
      <c r="L1386">
        <v>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400</v>
      </c>
      <c r="AH1386">
        <v>4</v>
      </c>
      <c r="AI1386">
        <v>0</v>
      </c>
      <c r="AJ1386">
        <v>0</v>
      </c>
      <c r="AK1386">
        <v>300</v>
      </c>
      <c r="AL1386">
        <v>0</v>
      </c>
      <c r="AM1386">
        <v>120</v>
      </c>
      <c r="AN1386">
        <v>-12</v>
      </c>
      <c r="AO1386">
        <v>0</v>
      </c>
      <c r="AP1386"/>
      <c r="AQ1386">
        <v>0</v>
      </c>
      <c r="AR1386">
        <v>0</v>
      </c>
      <c r="AS1386">
        <v>120</v>
      </c>
      <c r="AT1386">
        <v>-12</v>
      </c>
      <c r="AU1386">
        <v>0</v>
      </c>
      <c r="AW1386">
        <v>0</v>
      </c>
      <c r="AX1386">
        <v>0</v>
      </c>
      <c r="AY1386">
        <v>285.60000000000002</v>
      </c>
      <c r="BC1386" t="str">
        <f t="shared" si="237"/>
        <v>9791166067563</v>
      </c>
      <c r="BE1386" t="str">
        <f t="shared" si="238"/>
        <v>판타지 웹소설 &gt; 현대 판타지</v>
      </c>
    </row>
    <row r="1387" spans="1:57" x14ac:dyDescent="0.3">
      <c r="A1387">
        <v>2313011400</v>
      </c>
      <c r="B1387">
        <v>2313011464</v>
      </c>
      <c r="C1387" t="str">
        <f>T("최종 보스 3권 20화")</f>
        <v>최종 보스 3권 20화</v>
      </c>
      <c r="D1387" t="str">
        <f>T("65")</f>
        <v>65</v>
      </c>
      <c r="E1387" t="str">
        <f t="shared" si="234"/>
        <v>무장</v>
      </c>
      <c r="H1387" t="str">
        <f t="shared" si="235"/>
        <v>스토리위즈</v>
      </c>
      <c r="I1387" t="str">
        <f t="shared" si="236"/>
        <v>최종 보스 : 빛을 향해 달리는 그림자</v>
      </c>
      <c r="J1387">
        <v>100</v>
      </c>
      <c r="K1387">
        <v>400</v>
      </c>
      <c r="L1387">
        <v>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400</v>
      </c>
      <c r="AH1387">
        <v>4</v>
      </c>
      <c r="AI1387">
        <v>0</v>
      </c>
      <c r="AJ1387">
        <v>0</v>
      </c>
      <c r="AK1387">
        <v>300</v>
      </c>
      <c r="AL1387">
        <v>0</v>
      </c>
      <c r="AM1387">
        <v>120</v>
      </c>
      <c r="AN1387">
        <v>-12</v>
      </c>
      <c r="AO1387">
        <v>0</v>
      </c>
      <c r="AP1387"/>
      <c r="AQ1387">
        <v>0</v>
      </c>
      <c r="AR1387">
        <v>0</v>
      </c>
      <c r="AS1387">
        <v>120</v>
      </c>
      <c r="AT1387">
        <v>-12</v>
      </c>
      <c r="AU1387">
        <v>0</v>
      </c>
      <c r="AW1387">
        <v>0</v>
      </c>
      <c r="AX1387">
        <v>0</v>
      </c>
      <c r="AY1387">
        <v>285.60000000000002</v>
      </c>
      <c r="BC1387" t="str">
        <f t="shared" si="237"/>
        <v>9791166067563</v>
      </c>
      <c r="BE1387" t="str">
        <f t="shared" si="238"/>
        <v>판타지 웹소설 &gt; 현대 판타지</v>
      </c>
    </row>
    <row r="1388" spans="1:57" x14ac:dyDescent="0.3">
      <c r="A1388">
        <v>2313011400</v>
      </c>
      <c r="B1388">
        <v>2313011465</v>
      </c>
      <c r="C1388" t="str">
        <f>T("최종 보스 3권 21화")</f>
        <v>최종 보스 3권 21화</v>
      </c>
      <c r="D1388" t="str">
        <f>T("66")</f>
        <v>66</v>
      </c>
      <c r="E1388" t="str">
        <f t="shared" si="234"/>
        <v>무장</v>
      </c>
      <c r="H1388" t="str">
        <f t="shared" si="235"/>
        <v>스토리위즈</v>
      </c>
      <c r="I1388" t="str">
        <f t="shared" si="236"/>
        <v>최종 보스 : 빛을 향해 달리는 그림자</v>
      </c>
      <c r="J1388">
        <v>100</v>
      </c>
      <c r="K1388">
        <v>400</v>
      </c>
      <c r="L1388">
        <v>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400</v>
      </c>
      <c r="AH1388">
        <v>4</v>
      </c>
      <c r="AI1388">
        <v>0</v>
      </c>
      <c r="AJ1388">
        <v>0</v>
      </c>
      <c r="AK1388">
        <v>300</v>
      </c>
      <c r="AL1388">
        <v>0</v>
      </c>
      <c r="AM1388">
        <v>120</v>
      </c>
      <c r="AN1388">
        <v>-12</v>
      </c>
      <c r="AO1388">
        <v>0</v>
      </c>
      <c r="AP1388"/>
      <c r="AQ1388">
        <v>0</v>
      </c>
      <c r="AR1388">
        <v>0</v>
      </c>
      <c r="AS1388">
        <v>120</v>
      </c>
      <c r="AT1388">
        <v>-12</v>
      </c>
      <c r="AU1388">
        <v>0</v>
      </c>
      <c r="AW1388">
        <v>0</v>
      </c>
      <c r="AX1388">
        <v>0</v>
      </c>
      <c r="AY1388">
        <v>285.60000000000002</v>
      </c>
      <c r="BC1388" t="str">
        <f t="shared" si="237"/>
        <v>9791166067563</v>
      </c>
      <c r="BE1388" t="str">
        <f t="shared" si="238"/>
        <v>판타지 웹소설 &gt; 현대 판타지</v>
      </c>
    </row>
    <row r="1389" spans="1:57" x14ac:dyDescent="0.3">
      <c r="A1389">
        <v>2313011400</v>
      </c>
      <c r="B1389">
        <v>2313011466</v>
      </c>
      <c r="C1389" t="str">
        <f>T("최종 보스 4권 1화")</f>
        <v>최종 보스 4권 1화</v>
      </c>
      <c r="D1389" t="str">
        <f>T("67")</f>
        <v>67</v>
      </c>
      <c r="E1389" t="str">
        <f t="shared" si="234"/>
        <v>무장</v>
      </c>
      <c r="H1389" t="str">
        <f t="shared" si="235"/>
        <v>스토리위즈</v>
      </c>
      <c r="I1389" t="str">
        <f t="shared" si="236"/>
        <v>최종 보스 : 빛을 향해 달리는 그림자</v>
      </c>
      <c r="J1389">
        <v>100</v>
      </c>
      <c r="K1389">
        <v>400</v>
      </c>
      <c r="L1389">
        <v>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400</v>
      </c>
      <c r="AH1389">
        <v>4</v>
      </c>
      <c r="AI1389">
        <v>0</v>
      </c>
      <c r="AJ1389">
        <v>0</v>
      </c>
      <c r="AK1389">
        <v>300</v>
      </c>
      <c r="AL1389">
        <v>0</v>
      </c>
      <c r="AM1389">
        <v>120</v>
      </c>
      <c r="AN1389">
        <v>-12</v>
      </c>
      <c r="AO1389">
        <v>0</v>
      </c>
      <c r="AP1389"/>
      <c r="AQ1389">
        <v>0</v>
      </c>
      <c r="AR1389">
        <v>0</v>
      </c>
      <c r="AS1389">
        <v>120</v>
      </c>
      <c r="AT1389">
        <v>-12</v>
      </c>
      <c r="AU1389">
        <v>0</v>
      </c>
      <c r="AW1389">
        <v>0</v>
      </c>
      <c r="AX1389">
        <v>0</v>
      </c>
      <c r="AY1389">
        <v>285.60000000000002</v>
      </c>
      <c r="BC1389" t="str">
        <f t="shared" si="237"/>
        <v>9791166067563</v>
      </c>
      <c r="BE1389" t="str">
        <f t="shared" si="238"/>
        <v>판타지 웹소설 &gt; 현대 판타지</v>
      </c>
    </row>
    <row r="1390" spans="1:57" x14ac:dyDescent="0.3">
      <c r="A1390">
        <v>2313011400</v>
      </c>
      <c r="B1390">
        <v>2313011467</v>
      </c>
      <c r="C1390" t="str">
        <f>T("최종 보스 4권 2화")</f>
        <v>최종 보스 4권 2화</v>
      </c>
      <c r="D1390" t="str">
        <f>T("68")</f>
        <v>68</v>
      </c>
      <c r="E1390" t="str">
        <f t="shared" si="234"/>
        <v>무장</v>
      </c>
      <c r="H1390" t="str">
        <f t="shared" si="235"/>
        <v>스토리위즈</v>
      </c>
      <c r="I1390" t="str">
        <f t="shared" si="236"/>
        <v>최종 보스 : 빛을 향해 달리는 그림자</v>
      </c>
      <c r="J1390">
        <v>100</v>
      </c>
      <c r="K1390">
        <v>400</v>
      </c>
      <c r="L1390">
        <v>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400</v>
      </c>
      <c r="AH1390">
        <v>4</v>
      </c>
      <c r="AI1390">
        <v>0</v>
      </c>
      <c r="AJ1390">
        <v>0</v>
      </c>
      <c r="AK1390">
        <v>300</v>
      </c>
      <c r="AL1390">
        <v>0</v>
      </c>
      <c r="AM1390">
        <v>120</v>
      </c>
      <c r="AN1390">
        <v>-12</v>
      </c>
      <c r="AO1390">
        <v>0</v>
      </c>
      <c r="AP1390"/>
      <c r="AQ1390">
        <v>0</v>
      </c>
      <c r="AR1390">
        <v>0</v>
      </c>
      <c r="AS1390">
        <v>120</v>
      </c>
      <c r="AT1390">
        <v>-12</v>
      </c>
      <c r="AU1390">
        <v>0</v>
      </c>
      <c r="AW1390">
        <v>0</v>
      </c>
      <c r="AX1390">
        <v>0</v>
      </c>
      <c r="AY1390">
        <v>285.60000000000002</v>
      </c>
      <c r="BC1390" t="str">
        <f t="shared" si="237"/>
        <v>9791166067563</v>
      </c>
      <c r="BE1390" t="str">
        <f t="shared" si="238"/>
        <v>판타지 웹소설 &gt; 현대 판타지</v>
      </c>
    </row>
    <row r="1391" spans="1:57" x14ac:dyDescent="0.3">
      <c r="A1391">
        <v>2313011400</v>
      </c>
      <c r="B1391">
        <v>2313011468</v>
      </c>
      <c r="C1391" t="str">
        <f>T("최종 보스 4권 3화")</f>
        <v>최종 보스 4권 3화</v>
      </c>
      <c r="D1391" t="str">
        <f>T("69")</f>
        <v>69</v>
      </c>
      <c r="E1391" t="str">
        <f t="shared" si="234"/>
        <v>무장</v>
      </c>
      <c r="H1391" t="str">
        <f t="shared" si="235"/>
        <v>스토리위즈</v>
      </c>
      <c r="I1391" t="str">
        <f t="shared" si="236"/>
        <v>최종 보스 : 빛을 향해 달리는 그림자</v>
      </c>
      <c r="J1391">
        <v>100</v>
      </c>
      <c r="K1391">
        <v>400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400</v>
      </c>
      <c r="AH1391">
        <v>4</v>
      </c>
      <c r="AI1391">
        <v>0</v>
      </c>
      <c r="AJ1391">
        <v>0</v>
      </c>
      <c r="AK1391">
        <v>300</v>
      </c>
      <c r="AL1391">
        <v>0</v>
      </c>
      <c r="AM1391">
        <v>120</v>
      </c>
      <c r="AN1391">
        <v>-12</v>
      </c>
      <c r="AO1391">
        <v>0</v>
      </c>
      <c r="AP1391"/>
      <c r="AQ1391">
        <v>0</v>
      </c>
      <c r="AR1391">
        <v>0</v>
      </c>
      <c r="AS1391">
        <v>120</v>
      </c>
      <c r="AT1391">
        <v>-12</v>
      </c>
      <c r="AU1391">
        <v>0</v>
      </c>
      <c r="AW1391">
        <v>0</v>
      </c>
      <c r="AX1391">
        <v>0</v>
      </c>
      <c r="AY1391">
        <v>285.60000000000002</v>
      </c>
      <c r="BC1391" t="str">
        <f t="shared" si="237"/>
        <v>9791166067563</v>
      </c>
      <c r="BE1391" t="str">
        <f t="shared" si="238"/>
        <v>판타지 웹소설 &gt; 현대 판타지</v>
      </c>
    </row>
    <row r="1392" spans="1:57" x14ac:dyDescent="0.3">
      <c r="A1392">
        <v>2313011400</v>
      </c>
      <c r="B1392">
        <v>2313011469</v>
      </c>
      <c r="C1392" t="str">
        <f>T("최종 보스 4권 4화")</f>
        <v>최종 보스 4권 4화</v>
      </c>
      <c r="D1392" t="str">
        <f>T("70")</f>
        <v>70</v>
      </c>
      <c r="E1392" t="str">
        <f t="shared" si="234"/>
        <v>무장</v>
      </c>
      <c r="H1392" t="str">
        <f t="shared" si="235"/>
        <v>스토리위즈</v>
      </c>
      <c r="I1392" t="str">
        <f t="shared" si="236"/>
        <v>최종 보스 : 빛을 향해 달리는 그림자</v>
      </c>
      <c r="J1392">
        <v>100</v>
      </c>
      <c r="K1392">
        <v>400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400</v>
      </c>
      <c r="AH1392">
        <v>4</v>
      </c>
      <c r="AI1392">
        <v>0</v>
      </c>
      <c r="AJ1392">
        <v>0</v>
      </c>
      <c r="AK1392">
        <v>300</v>
      </c>
      <c r="AL1392">
        <v>0</v>
      </c>
      <c r="AM1392">
        <v>120</v>
      </c>
      <c r="AN1392">
        <v>-12</v>
      </c>
      <c r="AO1392">
        <v>0</v>
      </c>
      <c r="AP1392"/>
      <c r="AQ1392">
        <v>0</v>
      </c>
      <c r="AR1392">
        <v>0</v>
      </c>
      <c r="AS1392">
        <v>120</v>
      </c>
      <c r="AT1392">
        <v>-12</v>
      </c>
      <c r="AU1392">
        <v>0</v>
      </c>
      <c r="AW1392">
        <v>0</v>
      </c>
      <c r="AX1392">
        <v>0</v>
      </c>
      <c r="AY1392">
        <v>285.60000000000002</v>
      </c>
      <c r="BC1392" t="str">
        <f t="shared" si="237"/>
        <v>9791166067563</v>
      </c>
      <c r="BE1392" t="str">
        <f t="shared" si="238"/>
        <v>판타지 웹소설 &gt; 현대 판타지</v>
      </c>
    </row>
    <row r="1393" spans="1:57" x14ac:dyDescent="0.3">
      <c r="A1393">
        <v>2313011400</v>
      </c>
      <c r="B1393">
        <v>2313011470</v>
      </c>
      <c r="C1393" t="str">
        <f>T("최종 보스 4권 5화")</f>
        <v>최종 보스 4권 5화</v>
      </c>
      <c r="D1393" t="str">
        <f>T("71")</f>
        <v>71</v>
      </c>
      <c r="E1393" t="str">
        <f t="shared" si="234"/>
        <v>무장</v>
      </c>
      <c r="H1393" t="str">
        <f t="shared" si="235"/>
        <v>스토리위즈</v>
      </c>
      <c r="I1393" t="str">
        <f t="shared" si="236"/>
        <v>최종 보스 : 빛을 향해 달리는 그림자</v>
      </c>
      <c r="J1393">
        <v>100</v>
      </c>
      <c r="K1393">
        <v>400</v>
      </c>
      <c r="L1393">
        <v>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400</v>
      </c>
      <c r="AH1393">
        <v>4</v>
      </c>
      <c r="AI1393">
        <v>0</v>
      </c>
      <c r="AJ1393">
        <v>0</v>
      </c>
      <c r="AK1393">
        <v>300</v>
      </c>
      <c r="AL1393">
        <v>0</v>
      </c>
      <c r="AM1393">
        <v>120</v>
      </c>
      <c r="AN1393">
        <v>-12</v>
      </c>
      <c r="AO1393">
        <v>0</v>
      </c>
      <c r="AP1393"/>
      <c r="AQ1393">
        <v>0</v>
      </c>
      <c r="AR1393">
        <v>0</v>
      </c>
      <c r="AS1393">
        <v>120</v>
      </c>
      <c r="AT1393">
        <v>-12</v>
      </c>
      <c r="AU1393">
        <v>0</v>
      </c>
      <c r="AW1393">
        <v>0</v>
      </c>
      <c r="AX1393">
        <v>0</v>
      </c>
      <c r="AY1393">
        <v>285.60000000000002</v>
      </c>
      <c r="BC1393" t="str">
        <f t="shared" si="237"/>
        <v>9791166067563</v>
      </c>
      <c r="BE1393" t="str">
        <f t="shared" si="238"/>
        <v>판타지 웹소설 &gt; 현대 판타지</v>
      </c>
    </row>
    <row r="1394" spans="1:57" x14ac:dyDescent="0.3">
      <c r="A1394">
        <v>2313011400</v>
      </c>
      <c r="B1394">
        <v>2313011471</v>
      </c>
      <c r="C1394" t="str">
        <f>T("최종 보스 4권 6화")</f>
        <v>최종 보스 4권 6화</v>
      </c>
      <c r="D1394" t="str">
        <f>T("72")</f>
        <v>72</v>
      </c>
      <c r="E1394" t="str">
        <f t="shared" si="234"/>
        <v>무장</v>
      </c>
      <c r="H1394" t="str">
        <f t="shared" si="235"/>
        <v>스토리위즈</v>
      </c>
      <c r="I1394" t="str">
        <f t="shared" si="236"/>
        <v>최종 보스 : 빛을 향해 달리는 그림자</v>
      </c>
      <c r="J1394">
        <v>100</v>
      </c>
      <c r="K1394">
        <v>400</v>
      </c>
      <c r="L1394">
        <v>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400</v>
      </c>
      <c r="AH1394">
        <v>4</v>
      </c>
      <c r="AI1394">
        <v>0</v>
      </c>
      <c r="AJ1394">
        <v>0</v>
      </c>
      <c r="AK1394">
        <v>300</v>
      </c>
      <c r="AL1394">
        <v>0</v>
      </c>
      <c r="AM1394">
        <v>120</v>
      </c>
      <c r="AN1394">
        <v>-12</v>
      </c>
      <c r="AO1394">
        <v>0</v>
      </c>
      <c r="AP1394"/>
      <c r="AQ1394">
        <v>0</v>
      </c>
      <c r="AR1394">
        <v>0</v>
      </c>
      <c r="AS1394">
        <v>120</v>
      </c>
      <c r="AT1394">
        <v>-12</v>
      </c>
      <c r="AU1394">
        <v>0</v>
      </c>
      <c r="AW1394">
        <v>0</v>
      </c>
      <c r="AX1394">
        <v>0</v>
      </c>
      <c r="AY1394">
        <v>285.60000000000002</v>
      </c>
      <c r="BC1394" t="str">
        <f t="shared" si="237"/>
        <v>9791166067563</v>
      </c>
      <c r="BE1394" t="str">
        <f t="shared" si="238"/>
        <v>판타지 웹소설 &gt; 현대 판타지</v>
      </c>
    </row>
    <row r="1395" spans="1:57" x14ac:dyDescent="0.3">
      <c r="A1395">
        <v>2313011400</v>
      </c>
      <c r="B1395">
        <v>2313011472</v>
      </c>
      <c r="C1395" t="str">
        <f>T("최종 보스 4권 7화")</f>
        <v>최종 보스 4권 7화</v>
      </c>
      <c r="D1395" t="str">
        <f>T("73")</f>
        <v>73</v>
      </c>
      <c r="E1395" t="str">
        <f t="shared" si="234"/>
        <v>무장</v>
      </c>
      <c r="H1395" t="str">
        <f t="shared" si="235"/>
        <v>스토리위즈</v>
      </c>
      <c r="I1395" t="str">
        <f t="shared" si="236"/>
        <v>최종 보스 : 빛을 향해 달리는 그림자</v>
      </c>
      <c r="J1395">
        <v>100</v>
      </c>
      <c r="K1395">
        <v>400</v>
      </c>
      <c r="L1395">
        <v>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400</v>
      </c>
      <c r="AH1395">
        <v>4</v>
      </c>
      <c r="AI1395">
        <v>0</v>
      </c>
      <c r="AJ1395">
        <v>0</v>
      </c>
      <c r="AK1395">
        <v>300</v>
      </c>
      <c r="AL1395">
        <v>0</v>
      </c>
      <c r="AM1395">
        <v>120</v>
      </c>
      <c r="AN1395">
        <v>-12</v>
      </c>
      <c r="AO1395">
        <v>0</v>
      </c>
      <c r="AP1395"/>
      <c r="AQ1395">
        <v>0</v>
      </c>
      <c r="AR1395">
        <v>0</v>
      </c>
      <c r="AS1395">
        <v>120</v>
      </c>
      <c r="AT1395">
        <v>-12</v>
      </c>
      <c r="AU1395">
        <v>0</v>
      </c>
      <c r="AW1395">
        <v>0</v>
      </c>
      <c r="AX1395">
        <v>0</v>
      </c>
      <c r="AY1395">
        <v>285.60000000000002</v>
      </c>
      <c r="BC1395" t="str">
        <f t="shared" si="237"/>
        <v>9791166067563</v>
      </c>
      <c r="BE1395" t="str">
        <f t="shared" si="238"/>
        <v>판타지 웹소설 &gt; 현대 판타지</v>
      </c>
    </row>
    <row r="1396" spans="1:57" x14ac:dyDescent="0.3">
      <c r="A1396">
        <v>2313011400</v>
      </c>
      <c r="B1396">
        <v>2313011473</v>
      </c>
      <c r="C1396" t="str">
        <f>T("최종 보스 4권 8화")</f>
        <v>최종 보스 4권 8화</v>
      </c>
      <c r="D1396" t="str">
        <f>T("74")</f>
        <v>74</v>
      </c>
      <c r="E1396" t="str">
        <f t="shared" si="234"/>
        <v>무장</v>
      </c>
      <c r="H1396" t="str">
        <f t="shared" si="235"/>
        <v>스토리위즈</v>
      </c>
      <c r="I1396" t="str">
        <f t="shared" si="236"/>
        <v>최종 보스 : 빛을 향해 달리는 그림자</v>
      </c>
      <c r="J1396">
        <v>100</v>
      </c>
      <c r="K1396">
        <v>400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400</v>
      </c>
      <c r="AH1396">
        <v>4</v>
      </c>
      <c r="AI1396">
        <v>0</v>
      </c>
      <c r="AJ1396">
        <v>0</v>
      </c>
      <c r="AK1396">
        <v>300</v>
      </c>
      <c r="AL1396">
        <v>0</v>
      </c>
      <c r="AM1396">
        <v>120</v>
      </c>
      <c r="AN1396">
        <v>-12</v>
      </c>
      <c r="AO1396">
        <v>0</v>
      </c>
      <c r="AP1396"/>
      <c r="AQ1396">
        <v>0</v>
      </c>
      <c r="AR1396">
        <v>0</v>
      </c>
      <c r="AS1396">
        <v>120</v>
      </c>
      <c r="AT1396">
        <v>-12</v>
      </c>
      <c r="AU1396">
        <v>0</v>
      </c>
      <c r="AW1396">
        <v>0</v>
      </c>
      <c r="AX1396">
        <v>0</v>
      </c>
      <c r="AY1396">
        <v>285.60000000000002</v>
      </c>
      <c r="BC1396" t="str">
        <f t="shared" si="237"/>
        <v>9791166067563</v>
      </c>
      <c r="BE1396" t="str">
        <f t="shared" si="238"/>
        <v>판타지 웹소설 &gt; 현대 판타지</v>
      </c>
    </row>
    <row r="1397" spans="1:57" x14ac:dyDescent="0.3">
      <c r="A1397">
        <v>2313011400</v>
      </c>
      <c r="B1397">
        <v>2313011474</v>
      </c>
      <c r="C1397" t="str">
        <f>T("최종 보스 4권 9화")</f>
        <v>최종 보스 4권 9화</v>
      </c>
      <c r="D1397" t="str">
        <f>T("75")</f>
        <v>75</v>
      </c>
      <c r="E1397" t="str">
        <f t="shared" si="234"/>
        <v>무장</v>
      </c>
      <c r="H1397" t="str">
        <f t="shared" si="235"/>
        <v>스토리위즈</v>
      </c>
      <c r="I1397" t="str">
        <f t="shared" si="236"/>
        <v>최종 보스 : 빛을 향해 달리는 그림자</v>
      </c>
      <c r="J1397">
        <v>100</v>
      </c>
      <c r="K1397">
        <v>400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400</v>
      </c>
      <c r="AH1397">
        <v>4</v>
      </c>
      <c r="AI1397">
        <v>0</v>
      </c>
      <c r="AJ1397">
        <v>0</v>
      </c>
      <c r="AK1397">
        <v>300</v>
      </c>
      <c r="AL1397">
        <v>0</v>
      </c>
      <c r="AM1397">
        <v>120</v>
      </c>
      <c r="AN1397">
        <v>-12</v>
      </c>
      <c r="AO1397">
        <v>0</v>
      </c>
      <c r="AP1397"/>
      <c r="AQ1397">
        <v>0</v>
      </c>
      <c r="AR1397">
        <v>0</v>
      </c>
      <c r="AS1397">
        <v>120</v>
      </c>
      <c r="AT1397">
        <v>-12</v>
      </c>
      <c r="AU1397">
        <v>0</v>
      </c>
      <c r="AW1397">
        <v>0</v>
      </c>
      <c r="AX1397">
        <v>0</v>
      </c>
      <c r="AY1397">
        <v>285.60000000000002</v>
      </c>
      <c r="BC1397" t="str">
        <f t="shared" si="237"/>
        <v>9791166067563</v>
      </c>
      <c r="BE1397" t="str">
        <f t="shared" si="238"/>
        <v>판타지 웹소설 &gt; 현대 판타지</v>
      </c>
    </row>
    <row r="1398" spans="1:57" x14ac:dyDescent="0.3">
      <c r="A1398">
        <v>2313011400</v>
      </c>
      <c r="B1398">
        <v>2313011475</v>
      </c>
      <c r="C1398" t="str">
        <f>T("최종 보스 4권 10화")</f>
        <v>최종 보스 4권 10화</v>
      </c>
      <c r="D1398" t="str">
        <f>T("76")</f>
        <v>76</v>
      </c>
      <c r="E1398" t="str">
        <f t="shared" si="234"/>
        <v>무장</v>
      </c>
      <c r="H1398" t="str">
        <f t="shared" si="235"/>
        <v>스토리위즈</v>
      </c>
      <c r="I1398" t="str">
        <f t="shared" si="236"/>
        <v>최종 보스 : 빛을 향해 달리는 그림자</v>
      </c>
      <c r="J1398">
        <v>100</v>
      </c>
      <c r="K1398">
        <v>400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400</v>
      </c>
      <c r="AH1398">
        <v>4</v>
      </c>
      <c r="AI1398">
        <v>0</v>
      </c>
      <c r="AJ1398">
        <v>0</v>
      </c>
      <c r="AK1398">
        <v>300</v>
      </c>
      <c r="AL1398">
        <v>0</v>
      </c>
      <c r="AM1398">
        <v>120</v>
      </c>
      <c r="AN1398">
        <v>-12</v>
      </c>
      <c r="AO1398">
        <v>0</v>
      </c>
      <c r="AP1398"/>
      <c r="AQ1398">
        <v>0</v>
      </c>
      <c r="AR1398">
        <v>0</v>
      </c>
      <c r="AS1398">
        <v>120</v>
      </c>
      <c r="AT1398">
        <v>-12</v>
      </c>
      <c r="AU1398">
        <v>0</v>
      </c>
      <c r="AW1398">
        <v>0</v>
      </c>
      <c r="AX1398">
        <v>0</v>
      </c>
      <c r="AY1398">
        <v>285.60000000000002</v>
      </c>
      <c r="BC1398" t="str">
        <f t="shared" si="237"/>
        <v>9791166067563</v>
      </c>
      <c r="BE1398" t="str">
        <f t="shared" si="238"/>
        <v>판타지 웹소설 &gt; 현대 판타지</v>
      </c>
    </row>
    <row r="1399" spans="1:57" x14ac:dyDescent="0.3">
      <c r="A1399">
        <v>2313011400</v>
      </c>
      <c r="B1399">
        <v>2313011476</v>
      </c>
      <c r="C1399" t="str">
        <f>T("최종 보스 4권 11화")</f>
        <v>최종 보스 4권 11화</v>
      </c>
      <c r="D1399" t="str">
        <f>T("77")</f>
        <v>77</v>
      </c>
      <c r="E1399" t="str">
        <f t="shared" si="234"/>
        <v>무장</v>
      </c>
      <c r="H1399" t="str">
        <f t="shared" si="235"/>
        <v>스토리위즈</v>
      </c>
      <c r="I1399" t="str">
        <f t="shared" si="236"/>
        <v>최종 보스 : 빛을 향해 달리는 그림자</v>
      </c>
      <c r="J1399">
        <v>100</v>
      </c>
      <c r="K1399">
        <v>400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400</v>
      </c>
      <c r="AH1399">
        <v>4</v>
      </c>
      <c r="AI1399">
        <v>0</v>
      </c>
      <c r="AJ1399">
        <v>0</v>
      </c>
      <c r="AK1399">
        <v>300</v>
      </c>
      <c r="AL1399">
        <v>0</v>
      </c>
      <c r="AM1399">
        <v>120</v>
      </c>
      <c r="AN1399">
        <v>-12</v>
      </c>
      <c r="AO1399">
        <v>0</v>
      </c>
      <c r="AP1399"/>
      <c r="AQ1399">
        <v>0</v>
      </c>
      <c r="AR1399">
        <v>0</v>
      </c>
      <c r="AS1399">
        <v>120</v>
      </c>
      <c r="AT1399">
        <v>-12</v>
      </c>
      <c r="AU1399">
        <v>0</v>
      </c>
      <c r="AW1399">
        <v>0</v>
      </c>
      <c r="AX1399">
        <v>0</v>
      </c>
      <c r="AY1399">
        <v>285.60000000000002</v>
      </c>
      <c r="BC1399" t="str">
        <f t="shared" si="237"/>
        <v>9791166067563</v>
      </c>
      <c r="BE1399" t="str">
        <f t="shared" si="238"/>
        <v>판타지 웹소설 &gt; 현대 판타지</v>
      </c>
    </row>
    <row r="1400" spans="1:57" x14ac:dyDescent="0.3">
      <c r="A1400">
        <v>2313011400</v>
      </c>
      <c r="B1400">
        <v>2313011477</v>
      </c>
      <c r="C1400" t="str">
        <f>T("최종 보스 4권 12화")</f>
        <v>최종 보스 4권 12화</v>
      </c>
      <c r="D1400" t="str">
        <f>T("78")</f>
        <v>78</v>
      </c>
      <c r="E1400" t="str">
        <f t="shared" si="234"/>
        <v>무장</v>
      </c>
      <c r="H1400" t="str">
        <f t="shared" si="235"/>
        <v>스토리위즈</v>
      </c>
      <c r="I1400" t="str">
        <f t="shared" si="236"/>
        <v>최종 보스 : 빛을 향해 달리는 그림자</v>
      </c>
      <c r="J1400">
        <v>100</v>
      </c>
      <c r="K1400">
        <v>400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400</v>
      </c>
      <c r="AH1400">
        <v>4</v>
      </c>
      <c r="AI1400">
        <v>0</v>
      </c>
      <c r="AJ1400">
        <v>0</v>
      </c>
      <c r="AK1400">
        <v>300</v>
      </c>
      <c r="AL1400">
        <v>0</v>
      </c>
      <c r="AM1400">
        <v>120</v>
      </c>
      <c r="AN1400">
        <v>-12</v>
      </c>
      <c r="AO1400">
        <v>0</v>
      </c>
      <c r="AP1400"/>
      <c r="AQ1400">
        <v>0</v>
      </c>
      <c r="AR1400">
        <v>0</v>
      </c>
      <c r="AS1400">
        <v>120</v>
      </c>
      <c r="AT1400">
        <v>-12</v>
      </c>
      <c r="AU1400">
        <v>0</v>
      </c>
      <c r="AW1400">
        <v>0</v>
      </c>
      <c r="AX1400">
        <v>0</v>
      </c>
      <c r="AY1400">
        <v>285.60000000000002</v>
      </c>
      <c r="BC1400" t="str">
        <f t="shared" si="237"/>
        <v>9791166067563</v>
      </c>
      <c r="BE1400" t="str">
        <f t="shared" si="238"/>
        <v>판타지 웹소설 &gt; 현대 판타지</v>
      </c>
    </row>
    <row r="1401" spans="1:57" x14ac:dyDescent="0.3">
      <c r="A1401">
        <v>2313011400</v>
      </c>
      <c r="B1401">
        <v>2313011478</v>
      </c>
      <c r="C1401" t="str">
        <f>T("최종 보스 4권 13화")</f>
        <v>최종 보스 4권 13화</v>
      </c>
      <c r="D1401" t="str">
        <f>T("79")</f>
        <v>79</v>
      </c>
      <c r="E1401" t="str">
        <f t="shared" si="234"/>
        <v>무장</v>
      </c>
      <c r="H1401" t="str">
        <f t="shared" si="235"/>
        <v>스토리위즈</v>
      </c>
      <c r="I1401" t="str">
        <f t="shared" si="236"/>
        <v>최종 보스 : 빛을 향해 달리는 그림자</v>
      </c>
      <c r="J1401">
        <v>100</v>
      </c>
      <c r="K1401">
        <v>400</v>
      </c>
      <c r="L1401">
        <v>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400</v>
      </c>
      <c r="AH1401">
        <v>4</v>
      </c>
      <c r="AI1401">
        <v>0</v>
      </c>
      <c r="AJ1401">
        <v>0</v>
      </c>
      <c r="AK1401">
        <v>300</v>
      </c>
      <c r="AL1401">
        <v>0</v>
      </c>
      <c r="AM1401">
        <v>120</v>
      </c>
      <c r="AN1401">
        <v>-12</v>
      </c>
      <c r="AO1401">
        <v>0</v>
      </c>
      <c r="AP1401"/>
      <c r="AQ1401">
        <v>0</v>
      </c>
      <c r="AR1401">
        <v>0</v>
      </c>
      <c r="AS1401">
        <v>120</v>
      </c>
      <c r="AT1401">
        <v>-12</v>
      </c>
      <c r="AU1401">
        <v>0</v>
      </c>
      <c r="AW1401">
        <v>0</v>
      </c>
      <c r="AX1401">
        <v>0</v>
      </c>
      <c r="AY1401">
        <v>285.60000000000002</v>
      </c>
      <c r="BC1401" t="str">
        <f t="shared" si="237"/>
        <v>9791166067563</v>
      </c>
      <c r="BE1401" t="str">
        <f t="shared" si="238"/>
        <v>판타지 웹소설 &gt; 현대 판타지</v>
      </c>
    </row>
    <row r="1402" spans="1:57" x14ac:dyDescent="0.3">
      <c r="A1402">
        <v>2313011400</v>
      </c>
      <c r="B1402">
        <v>2313011479</v>
      </c>
      <c r="C1402" t="str">
        <f>T("최종 보스 4권 14화")</f>
        <v>최종 보스 4권 14화</v>
      </c>
      <c r="D1402" t="str">
        <f>T("80")</f>
        <v>80</v>
      </c>
      <c r="E1402" t="str">
        <f t="shared" si="234"/>
        <v>무장</v>
      </c>
      <c r="H1402" t="str">
        <f t="shared" si="235"/>
        <v>스토리위즈</v>
      </c>
      <c r="I1402" t="str">
        <f t="shared" si="236"/>
        <v>최종 보스 : 빛을 향해 달리는 그림자</v>
      </c>
      <c r="J1402">
        <v>100</v>
      </c>
      <c r="K1402">
        <v>400</v>
      </c>
      <c r="L1402">
        <v>4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400</v>
      </c>
      <c r="AH1402">
        <v>4</v>
      </c>
      <c r="AI1402">
        <v>0</v>
      </c>
      <c r="AJ1402">
        <v>0</v>
      </c>
      <c r="AK1402">
        <v>300</v>
      </c>
      <c r="AL1402">
        <v>0</v>
      </c>
      <c r="AM1402">
        <v>120</v>
      </c>
      <c r="AN1402">
        <v>-12</v>
      </c>
      <c r="AO1402">
        <v>0</v>
      </c>
      <c r="AP1402"/>
      <c r="AQ1402">
        <v>0</v>
      </c>
      <c r="AR1402">
        <v>0</v>
      </c>
      <c r="AS1402">
        <v>120</v>
      </c>
      <c r="AT1402">
        <v>-12</v>
      </c>
      <c r="AU1402">
        <v>0</v>
      </c>
      <c r="AW1402">
        <v>0</v>
      </c>
      <c r="AX1402">
        <v>0</v>
      </c>
      <c r="AY1402">
        <v>285.60000000000002</v>
      </c>
      <c r="BC1402" t="str">
        <f t="shared" si="237"/>
        <v>9791166067563</v>
      </c>
      <c r="BE1402" t="str">
        <f t="shared" si="238"/>
        <v>판타지 웹소설 &gt; 현대 판타지</v>
      </c>
    </row>
    <row r="1403" spans="1:57" x14ac:dyDescent="0.3">
      <c r="A1403">
        <v>2313011400</v>
      </c>
      <c r="B1403">
        <v>2313011480</v>
      </c>
      <c r="C1403" t="str">
        <f>T("최종 보스 4권 15화")</f>
        <v>최종 보스 4권 15화</v>
      </c>
      <c r="D1403" t="str">
        <f>T("81")</f>
        <v>81</v>
      </c>
      <c r="E1403" t="str">
        <f t="shared" si="234"/>
        <v>무장</v>
      </c>
      <c r="H1403" t="str">
        <f t="shared" si="235"/>
        <v>스토리위즈</v>
      </c>
      <c r="I1403" t="str">
        <f t="shared" si="236"/>
        <v>최종 보스 : 빛을 향해 달리는 그림자</v>
      </c>
      <c r="J1403">
        <v>100</v>
      </c>
      <c r="K1403">
        <v>400</v>
      </c>
      <c r="L1403">
        <v>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400</v>
      </c>
      <c r="AH1403">
        <v>4</v>
      </c>
      <c r="AI1403">
        <v>0</v>
      </c>
      <c r="AJ1403">
        <v>0</v>
      </c>
      <c r="AK1403">
        <v>300</v>
      </c>
      <c r="AL1403">
        <v>0</v>
      </c>
      <c r="AM1403">
        <v>120</v>
      </c>
      <c r="AN1403">
        <v>-12</v>
      </c>
      <c r="AO1403">
        <v>0</v>
      </c>
      <c r="AP1403"/>
      <c r="AQ1403">
        <v>0</v>
      </c>
      <c r="AR1403">
        <v>0</v>
      </c>
      <c r="AS1403">
        <v>120</v>
      </c>
      <c r="AT1403">
        <v>-12</v>
      </c>
      <c r="AU1403">
        <v>0</v>
      </c>
      <c r="AW1403">
        <v>0</v>
      </c>
      <c r="AX1403">
        <v>0</v>
      </c>
      <c r="AY1403">
        <v>285.60000000000002</v>
      </c>
      <c r="BC1403" t="str">
        <f t="shared" si="237"/>
        <v>9791166067563</v>
      </c>
      <c r="BE1403" t="str">
        <f t="shared" si="238"/>
        <v>판타지 웹소설 &gt; 현대 판타지</v>
      </c>
    </row>
    <row r="1404" spans="1:57" x14ac:dyDescent="0.3">
      <c r="A1404">
        <v>2313011400</v>
      </c>
      <c r="B1404">
        <v>2313011481</v>
      </c>
      <c r="C1404" t="str">
        <f>T("최종 보스 4권 16화")</f>
        <v>최종 보스 4권 16화</v>
      </c>
      <c r="D1404" t="str">
        <f>T("82")</f>
        <v>82</v>
      </c>
      <c r="E1404" t="str">
        <f t="shared" si="234"/>
        <v>무장</v>
      </c>
      <c r="H1404" t="str">
        <f t="shared" si="235"/>
        <v>스토리위즈</v>
      </c>
      <c r="I1404" t="str">
        <f t="shared" si="236"/>
        <v>최종 보스 : 빛을 향해 달리는 그림자</v>
      </c>
      <c r="J1404">
        <v>100</v>
      </c>
      <c r="K1404">
        <v>400</v>
      </c>
      <c r="L1404">
        <v>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400</v>
      </c>
      <c r="AH1404">
        <v>4</v>
      </c>
      <c r="AI1404">
        <v>0</v>
      </c>
      <c r="AJ1404">
        <v>0</v>
      </c>
      <c r="AK1404">
        <v>300</v>
      </c>
      <c r="AL1404">
        <v>0</v>
      </c>
      <c r="AM1404">
        <v>120</v>
      </c>
      <c r="AN1404">
        <v>-12</v>
      </c>
      <c r="AO1404">
        <v>0</v>
      </c>
      <c r="AP1404"/>
      <c r="AQ1404">
        <v>0</v>
      </c>
      <c r="AR1404">
        <v>0</v>
      </c>
      <c r="AS1404">
        <v>120</v>
      </c>
      <c r="AT1404">
        <v>-12</v>
      </c>
      <c r="AU1404">
        <v>0</v>
      </c>
      <c r="AW1404">
        <v>0</v>
      </c>
      <c r="AX1404">
        <v>0</v>
      </c>
      <c r="AY1404">
        <v>285.60000000000002</v>
      </c>
      <c r="BC1404" t="str">
        <f t="shared" si="237"/>
        <v>9791166067563</v>
      </c>
      <c r="BE1404" t="str">
        <f t="shared" si="238"/>
        <v>판타지 웹소설 &gt; 현대 판타지</v>
      </c>
    </row>
    <row r="1405" spans="1:57" x14ac:dyDescent="0.3">
      <c r="A1405">
        <v>2313011400</v>
      </c>
      <c r="B1405">
        <v>2313011482</v>
      </c>
      <c r="C1405" t="str">
        <f>T("최종 보스 4권 17화")</f>
        <v>최종 보스 4권 17화</v>
      </c>
      <c r="D1405" t="str">
        <f>T("83")</f>
        <v>83</v>
      </c>
      <c r="E1405" t="str">
        <f t="shared" si="234"/>
        <v>무장</v>
      </c>
      <c r="H1405" t="str">
        <f t="shared" si="235"/>
        <v>스토리위즈</v>
      </c>
      <c r="I1405" t="str">
        <f t="shared" si="236"/>
        <v>최종 보스 : 빛을 향해 달리는 그림자</v>
      </c>
      <c r="J1405">
        <v>100</v>
      </c>
      <c r="K1405">
        <v>400</v>
      </c>
      <c r="L1405">
        <v>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400</v>
      </c>
      <c r="AH1405">
        <v>4</v>
      </c>
      <c r="AI1405">
        <v>0</v>
      </c>
      <c r="AJ1405">
        <v>0</v>
      </c>
      <c r="AK1405">
        <v>300</v>
      </c>
      <c r="AL1405">
        <v>0</v>
      </c>
      <c r="AM1405">
        <v>120</v>
      </c>
      <c r="AN1405">
        <v>-12</v>
      </c>
      <c r="AO1405">
        <v>0</v>
      </c>
      <c r="AP1405"/>
      <c r="AQ1405">
        <v>0</v>
      </c>
      <c r="AR1405">
        <v>0</v>
      </c>
      <c r="AS1405">
        <v>120</v>
      </c>
      <c r="AT1405">
        <v>-12</v>
      </c>
      <c r="AU1405">
        <v>0</v>
      </c>
      <c r="AW1405">
        <v>0</v>
      </c>
      <c r="AX1405">
        <v>0</v>
      </c>
      <c r="AY1405">
        <v>285.60000000000002</v>
      </c>
      <c r="BC1405" t="str">
        <f t="shared" si="237"/>
        <v>9791166067563</v>
      </c>
      <c r="BE1405" t="str">
        <f t="shared" si="238"/>
        <v>판타지 웹소설 &gt; 현대 판타지</v>
      </c>
    </row>
    <row r="1406" spans="1:57" x14ac:dyDescent="0.3">
      <c r="A1406">
        <v>2313011400</v>
      </c>
      <c r="B1406">
        <v>2313011483</v>
      </c>
      <c r="C1406" t="str">
        <f>T("최종 보스 4권 18화")</f>
        <v>최종 보스 4권 18화</v>
      </c>
      <c r="D1406" t="str">
        <f>T("84")</f>
        <v>84</v>
      </c>
      <c r="E1406" t="str">
        <f t="shared" si="234"/>
        <v>무장</v>
      </c>
      <c r="H1406" t="str">
        <f t="shared" si="235"/>
        <v>스토리위즈</v>
      </c>
      <c r="I1406" t="str">
        <f t="shared" si="236"/>
        <v>최종 보스 : 빛을 향해 달리는 그림자</v>
      </c>
      <c r="J1406">
        <v>100</v>
      </c>
      <c r="K1406">
        <v>400</v>
      </c>
      <c r="L1406">
        <v>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400</v>
      </c>
      <c r="AH1406">
        <v>4</v>
      </c>
      <c r="AI1406">
        <v>0</v>
      </c>
      <c r="AJ1406">
        <v>0</v>
      </c>
      <c r="AK1406">
        <v>300</v>
      </c>
      <c r="AL1406">
        <v>0</v>
      </c>
      <c r="AM1406">
        <v>120</v>
      </c>
      <c r="AN1406">
        <v>-12</v>
      </c>
      <c r="AO1406">
        <v>0</v>
      </c>
      <c r="AP1406"/>
      <c r="AQ1406">
        <v>0</v>
      </c>
      <c r="AR1406">
        <v>0</v>
      </c>
      <c r="AS1406">
        <v>120</v>
      </c>
      <c r="AT1406">
        <v>-12</v>
      </c>
      <c r="AU1406">
        <v>0</v>
      </c>
      <c r="AW1406">
        <v>0</v>
      </c>
      <c r="AX1406">
        <v>0</v>
      </c>
      <c r="AY1406">
        <v>285.60000000000002</v>
      </c>
      <c r="BC1406" t="str">
        <f t="shared" si="237"/>
        <v>9791166067563</v>
      </c>
      <c r="BE1406" t="str">
        <f t="shared" si="238"/>
        <v>판타지 웹소설 &gt; 현대 판타지</v>
      </c>
    </row>
    <row r="1407" spans="1:57" x14ac:dyDescent="0.3">
      <c r="A1407">
        <v>2313011400</v>
      </c>
      <c r="B1407">
        <v>2313011484</v>
      </c>
      <c r="C1407" t="str">
        <f>T("최종 보스 4권 19화")</f>
        <v>최종 보스 4권 19화</v>
      </c>
      <c r="D1407" t="str">
        <f>T("85")</f>
        <v>85</v>
      </c>
      <c r="E1407" t="str">
        <f t="shared" si="234"/>
        <v>무장</v>
      </c>
      <c r="H1407" t="str">
        <f t="shared" si="235"/>
        <v>스토리위즈</v>
      </c>
      <c r="I1407" t="str">
        <f t="shared" si="236"/>
        <v>최종 보스 : 빛을 향해 달리는 그림자</v>
      </c>
      <c r="J1407">
        <v>100</v>
      </c>
      <c r="K1407">
        <v>400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400</v>
      </c>
      <c r="AH1407">
        <v>4</v>
      </c>
      <c r="AI1407">
        <v>0</v>
      </c>
      <c r="AJ1407">
        <v>0</v>
      </c>
      <c r="AK1407">
        <v>300</v>
      </c>
      <c r="AL1407">
        <v>0</v>
      </c>
      <c r="AM1407">
        <v>120</v>
      </c>
      <c r="AN1407">
        <v>-12</v>
      </c>
      <c r="AO1407">
        <v>0</v>
      </c>
      <c r="AP1407"/>
      <c r="AQ1407">
        <v>0</v>
      </c>
      <c r="AR1407">
        <v>0</v>
      </c>
      <c r="AS1407">
        <v>120</v>
      </c>
      <c r="AT1407">
        <v>-12</v>
      </c>
      <c r="AU1407">
        <v>0</v>
      </c>
      <c r="AW1407">
        <v>0</v>
      </c>
      <c r="AX1407">
        <v>0</v>
      </c>
      <c r="AY1407">
        <v>285.60000000000002</v>
      </c>
      <c r="BC1407" t="str">
        <f t="shared" si="237"/>
        <v>9791166067563</v>
      </c>
      <c r="BE1407" t="str">
        <f t="shared" si="238"/>
        <v>판타지 웹소설 &gt; 현대 판타지</v>
      </c>
    </row>
    <row r="1408" spans="1:57" x14ac:dyDescent="0.3">
      <c r="A1408">
        <v>2313011400</v>
      </c>
      <c r="B1408">
        <v>2313011487</v>
      </c>
      <c r="C1408" t="str">
        <f>T("최종 보스 5권 1화")</f>
        <v>최종 보스 5권 1화</v>
      </c>
      <c r="D1408" t="str">
        <f>T("88")</f>
        <v>88</v>
      </c>
      <c r="E1408" t="str">
        <f t="shared" si="234"/>
        <v>무장</v>
      </c>
      <c r="H1408" t="str">
        <f t="shared" si="235"/>
        <v>스토리위즈</v>
      </c>
      <c r="I1408" t="str">
        <f t="shared" si="236"/>
        <v>최종 보스 : 빛을 향해 달리는 그림자</v>
      </c>
      <c r="J1408">
        <v>100</v>
      </c>
      <c r="K1408">
        <v>400</v>
      </c>
      <c r="L1408">
        <v>4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400</v>
      </c>
      <c r="AH1408">
        <v>4</v>
      </c>
      <c r="AI1408">
        <v>0</v>
      </c>
      <c r="AJ1408">
        <v>0</v>
      </c>
      <c r="AK1408">
        <v>400</v>
      </c>
      <c r="AL1408">
        <v>0</v>
      </c>
      <c r="AM1408">
        <v>0</v>
      </c>
      <c r="AN1408">
        <v>0</v>
      </c>
      <c r="AO1408">
        <v>0</v>
      </c>
      <c r="AP1408"/>
      <c r="AQ1408">
        <v>0</v>
      </c>
      <c r="AR1408">
        <v>0</v>
      </c>
      <c r="AT1408">
        <v>0</v>
      </c>
      <c r="AU1408">
        <v>0</v>
      </c>
      <c r="AW1408">
        <v>0</v>
      </c>
      <c r="AX1408">
        <v>0</v>
      </c>
      <c r="AY1408">
        <v>280</v>
      </c>
      <c r="BC1408" t="str">
        <f t="shared" si="237"/>
        <v>9791166067563</v>
      </c>
      <c r="BE1408" t="str">
        <f t="shared" si="238"/>
        <v>판타지 웹소설 &gt; 현대 판타지</v>
      </c>
    </row>
    <row r="1409" spans="1:57" x14ac:dyDescent="0.3">
      <c r="A1409">
        <v>2313011400</v>
      </c>
      <c r="B1409">
        <v>2313011488</v>
      </c>
      <c r="C1409" t="str">
        <f>T("최종 보스 5권 2화")</f>
        <v>최종 보스 5권 2화</v>
      </c>
      <c r="D1409" t="str">
        <f>T("89")</f>
        <v>89</v>
      </c>
      <c r="E1409" t="str">
        <f t="shared" si="234"/>
        <v>무장</v>
      </c>
      <c r="H1409" t="str">
        <f t="shared" si="235"/>
        <v>스토리위즈</v>
      </c>
      <c r="I1409" t="str">
        <f t="shared" si="236"/>
        <v>최종 보스 : 빛을 향해 달리는 그림자</v>
      </c>
      <c r="J1409">
        <v>100</v>
      </c>
      <c r="K1409">
        <v>400</v>
      </c>
      <c r="L1409">
        <v>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400</v>
      </c>
      <c r="AH1409">
        <v>4</v>
      </c>
      <c r="AI1409">
        <v>0</v>
      </c>
      <c r="AJ1409">
        <v>0</v>
      </c>
      <c r="AK1409">
        <v>300</v>
      </c>
      <c r="AL1409">
        <v>0</v>
      </c>
      <c r="AM1409">
        <v>120</v>
      </c>
      <c r="AN1409">
        <v>-12</v>
      </c>
      <c r="AO1409">
        <v>0</v>
      </c>
      <c r="AP1409"/>
      <c r="AQ1409">
        <v>0</v>
      </c>
      <c r="AR1409">
        <v>0</v>
      </c>
      <c r="AS1409">
        <v>120</v>
      </c>
      <c r="AT1409">
        <v>-12</v>
      </c>
      <c r="AU1409">
        <v>0</v>
      </c>
      <c r="AW1409">
        <v>0</v>
      </c>
      <c r="AX1409">
        <v>0</v>
      </c>
      <c r="AY1409">
        <v>285.60000000000002</v>
      </c>
      <c r="BC1409" t="str">
        <f t="shared" si="237"/>
        <v>9791166067563</v>
      </c>
      <c r="BE1409" t="str">
        <f t="shared" si="238"/>
        <v>판타지 웹소설 &gt; 현대 판타지</v>
      </c>
    </row>
    <row r="1410" spans="1:57" x14ac:dyDescent="0.3">
      <c r="A1410">
        <v>2313011400</v>
      </c>
      <c r="B1410">
        <v>2313011489</v>
      </c>
      <c r="C1410" t="str">
        <f>T("최종 보스 5권 3화")</f>
        <v>최종 보스 5권 3화</v>
      </c>
      <c r="D1410" t="str">
        <f>T("90")</f>
        <v>90</v>
      </c>
      <c r="E1410" t="str">
        <f t="shared" si="234"/>
        <v>무장</v>
      </c>
      <c r="H1410" t="str">
        <f t="shared" si="235"/>
        <v>스토리위즈</v>
      </c>
      <c r="I1410" t="str">
        <f t="shared" si="236"/>
        <v>최종 보스 : 빛을 향해 달리는 그림자</v>
      </c>
      <c r="J1410">
        <v>100</v>
      </c>
      <c r="K1410">
        <v>400</v>
      </c>
      <c r="L1410">
        <v>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400</v>
      </c>
      <c r="AH1410">
        <v>4</v>
      </c>
      <c r="AI1410">
        <v>0</v>
      </c>
      <c r="AJ1410">
        <v>0</v>
      </c>
      <c r="AK1410">
        <v>300</v>
      </c>
      <c r="AL1410">
        <v>0</v>
      </c>
      <c r="AM1410">
        <v>120</v>
      </c>
      <c r="AN1410">
        <v>-12</v>
      </c>
      <c r="AO1410">
        <v>0</v>
      </c>
      <c r="AP1410"/>
      <c r="AQ1410">
        <v>0</v>
      </c>
      <c r="AR1410">
        <v>0</v>
      </c>
      <c r="AS1410">
        <v>120</v>
      </c>
      <c r="AT1410">
        <v>-12</v>
      </c>
      <c r="AU1410">
        <v>0</v>
      </c>
      <c r="AW1410">
        <v>0</v>
      </c>
      <c r="AX1410">
        <v>0</v>
      </c>
      <c r="AY1410">
        <v>285.60000000000002</v>
      </c>
      <c r="BC1410" t="str">
        <f t="shared" si="237"/>
        <v>9791166067563</v>
      </c>
      <c r="BE1410" t="str">
        <f t="shared" si="238"/>
        <v>판타지 웹소설 &gt; 현대 판타지</v>
      </c>
    </row>
    <row r="1411" spans="1:57" x14ac:dyDescent="0.3">
      <c r="A1411">
        <v>2313011400</v>
      </c>
      <c r="B1411">
        <v>2313011490</v>
      </c>
      <c r="C1411" t="str">
        <f>T("최종 보스 5권 4화")</f>
        <v>최종 보스 5권 4화</v>
      </c>
      <c r="D1411" t="str">
        <f>T("91")</f>
        <v>91</v>
      </c>
      <c r="E1411" t="str">
        <f t="shared" si="234"/>
        <v>무장</v>
      </c>
      <c r="H1411" t="str">
        <f t="shared" si="235"/>
        <v>스토리위즈</v>
      </c>
      <c r="I1411" t="str">
        <f t="shared" si="236"/>
        <v>최종 보스 : 빛을 향해 달리는 그림자</v>
      </c>
      <c r="J1411">
        <v>100</v>
      </c>
      <c r="K1411">
        <v>400</v>
      </c>
      <c r="L1411">
        <v>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400</v>
      </c>
      <c r="AH1411">
        <v>4</v>
      </c>
      <c r="AI1411">
        <v>0</v>
      </c>
      <c r="AJ1411">
        <v>0</v>
      </c>
      <c r="AK1411">
        <v>300</v>
      </c>
      <c r="AL1411">
        <v>0</v>
      </c>
      <c r="AM1411">
        <v>120</v>
      </c>
      <c r="AN1411">
        <v>-12</v>
      </c>
      <c r="AO1411">
        <v>0</v>
      </c>
      <c r="AP1411"/>
      <c r="AQ1411">
        <v>0</v>
      </c>
      <c r="AR1411">
        <v>0</v>
      </c>
      <c r="AS1411">
        <v>120</v>
      </c>
      <c r="AT1411">
        <v>-12</v>
      </c>
      <c r="AU1411">
        <v>0</v>
      </c>
      <c r="AW1411">
        <v>0</v>
      </c>
      <c r="AX1411">
        <v>0</v>
      </c>
      <c r="AY1411">
        <v>285.60000000000002</v>
      </c>
      <c r="BC1411" t="str">
        <f t="shared" si="237"/>
        <v>9791166067563</v>
      </c>
      <c r="BE1411" t="str">
        <f t="shared" si="238"/>
        <v>판타지 웹소설 &gt; 현대 판타지</v>
      </c>
    </row>
    <row r="1412" spans="1:57" x14ac:dyDescent="0.3">
      <c r="A1412">
        <v>2313011400</v>
      </c>
      <c r="B1412">
        <v>2313011491</v>
      </c>
      <c r="C1412" t="str">
        <f>T("최종 보스 5권 5화")</f>
        <v>최종 보스 5권 5화</v>
      </c>
      <c r="D1412" t="str">
        <f>T("92")</f>
        <v>92</v>
      </c>
      <c r="E1412" t="str">
        <f t="shared" si="234"/>
        <v>무장</v>
      </c>
      <c r="H1412" t="str">
        <f t="shared" si="235"/>
        <v>스토리위즈</v>
      </c>
      <c r="I1412" t="str">
        <f t="shared" si="236"/>
        <v>최종 보스 : 빛을 향해 달리는 그림자</v>
      </c>
      <c r="J1412">
        <v>100</v>
      </c>
      <c r="K1412">
        <v>400</v>
      </c>
      <c r="L1412">
        <v>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400</v>
      </c>
      <c r="AH1412">
        <v>4</v>
      </c>
      <c r="AI1412">
        <v>0</v>
      </c>
      <c r="AJ1412">
        <v>0</v>
      </c>
      <c r="AK1412">
        <v>300</v>
      </c>
      <c r="AL1412">
        <v>0</v>
      </c>
      <c r="AM1412">
        <v>120</v>
      </c>
      <c r="AN1412">
        <v>-12</v>
      </c>
      <c r="AO1412">
        <v>0</v>
      </c>
      <c r="AP1412"/>
      <c r="AQ1412">
        <v>0</v>
      </c>
      <c r="AR1412">
        <v>0</v>
      </c>
      <c r="AS1412">
        <v>120</v>
      </c>
      <c r="AT1412">
        <v>-12</v>
      </c>
      <c r="AU1412">
        <v>0</v>
      </c>
      <c r="AW1412">
        <v>0</v>
      </c>
      <c r="AX1412">
        <v>0</v>
      </c>
      <c r="AY1412">
        <v>285.60000000000002</v>
      </c>
      <c r="BC1412" t="str">
        <f t="shared" si="237"/>
        <v>9791166067563</v>
      </c>
      <c r="BE1412" t="str">
        <f t="shared" si="238"/>
        <v>판타지 웹소설 &gt; 현대 판타지</v>
      </c>
    </row>
    <row r="1413" spans="1:57" x14ac:dyDescent="0.3">
      <c r="A1413">
        <v>2313011400</v>
      </c>
      <c r="B1413">
        <v>2313011492</v>
      </c>
      <c r="C1413" t="str">
        <f>T("최종 보스 5권 6화")</f>
        <v>최종 보스 5권 6화</v>
      </c>
      <c r="D1413" t="str">
        <f>T("93")</f>
        <v>93</v>
      </c>
      <c r="E1413" t="str">
        <f t="shared" si="234"/>
        <v>무장</v>
      </c>
      <c r="H1413" t="str">
        <f t="shared" si="235"/>
        <v>스토리위즈</v>
      </c>
      <c r="I1413" t="str">
        <f t="shared" si="236"/>
        <v>최종 보스 : 빛을 향해 달리는 그림자</v>
      </c>
      <c r="J1413">
        <v>100</v>
      </c>
      <c r="K1413">
        <v>400</v>
      </c>
      <c r="L1413">
        <v>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400</v>
      </c>
      <c r="AH1413">
        <v>4</v>
      </c>
      <c r="AI1413">
        <v>0</v>
      </c>
      <c r="AJ1413">
        <v>0</v>
      </c>
      <c r="AK1413">
        <v>300</v>
      </c>
      <c r="AL1413">
        <v>0</v>
      </c>
      <c r="AM1413">
        <v>120</v>
      </c>
      <c r="AN1413">
        <v>-12</v>
      </c>
      <c r="AO1413">
        <v>0</v>
      </c>
      <c r="AP1413"/>
      <c r="AQ1413">
        <v>0</v>
      </c>
      <c r="AR1413">
        <v>0</v>
      </c>
      <c r="AS1413">
        <v>120</v>
      </c>
      <c r="AT1413">
        <v>-12</v>
      </c>
      <c r="AU1413">
        <v>0</v>
      </c>
      <c r="AW1413">
        <v>0</v>
      </c>
      <c r="AX1413">
        <v>0</v>
      </c>
      <c r="AY1413">
        <v>285.60000000000002</v>
      </c>
      <c r="BC1413" t="str">
        <f t="shared" si="237"/>
        <v>9791166067563</v>
      </c>
      <c r="BE1413" t="str">
        <f t="shared" si="238"/>
        <v>판타지 웹소설 &gt; 현대 판타지</v>
      </c>
    </row>
    <row r="1414" spans="1:57" x14ac:dyDescent="0.3">
      <c r="A1414">
        <v>2313011400</v>
      </c>
      <c r="B1414">
        <v>2313011493</v>
      </c>
      <c r="C1414" t="str">
        <f>T("최종 보스 5권 7화")</f>
        <v>최종 보스 5권 7화</v>
      </c>
      <c r="D1414" t="str">
        <f>T("94")</f>
        <v>94</v>
      </c>
      <c r="E1414" t="str">
        <f t="shared" si="234"/>
        <v>무장</v>
      </c>
      <c r="H1414" t="str">
        <f t="shared" si="235"/>
        <v>스토리위즈</v>
      </c>
      <c r="I1414" t="str">
        <f t="shared" si="236"/>
        <v>최종 보스 : 빛을 향해 달리는 그림자</v>
      </c>
      <c r="J1414">
        <v>100</v>
      </c>
      <c r="K1414">
        <v>400</v>
      </c>
      <c r="L1414">
        <v>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400</v>
      </c>
      <c r="AH1414">
        <v>4</v>
      </c>
      <c r="AI1414">
        <v>0</v>
      </c>
      <c r="AJ1414">
        <v>0</v>
      </c>
      <c r="AK1414">
        <v>300</v>
      </c>
      <c r="AL1414">
        <v>0</v>
      </c>
      <c r="AM1414">
        <v>120</v>
      </c>
      <c r="AN1414">
        <v>-12</v>
      </c>
      <c r="AO1414">
        <v>0</v>
      </c>
      <c r="AP1414"/>
      <c r="AQ1414">
        <v>0</v>
      </c>
      <c r="AR1414">
        <v>0</v>
      </c>
      <c r="AS1414">
        <v>120</v>
      </c>
      <c r="AT1414">
        <v>-12</v>
      </c>
      <c r="AU1414">
        <v>0</v>
      </c>
      <c r="AW1414">
        <v>0</v>
      </c>
      <c r="AX1414">
        <v>0</v>
      </c>
      <c r="AY1414">
        <v>285.60000000000002</v>
      </c>
      <c r="BC1414" t="str">
        <f t="shared" si="237"/>
        <v>9791166067563</v>
      </c>
      <c r="BE1414" t="str">
        <f t="shared" si="238"/>
        <v>판타지 웹소설 &gt; 현대 판타지</v>
      </c>
    </row>
    <row r="1415" spans="1:57" x14ac:dyDescent="0.3">
      <c r="A1415">
        <v>2313011400</v>
      </c>
      <c r="B1415">
        <v>2313011494</v>
      </c>
      <c r="C1415" t="str">
        <f>T("최종 보스 5권 8화")</f>
        <v>최종 보스 5권 8화</v>
      </c>
      <c r="D1415" t="str">
        <f>T("95")</f>
        <v>95</v>
      </c>
      <c r="E1415" t="str">
        <f t="shared" si="234"/>
        <v>무장</v>
      </c>
      <c r="H1415" t="str">
        <f t="shared" si="235"/>
        <v>스토리위즈</v>
      </c>
      <c r="I1415" t="str">
        <f t="shared" si="236"/>
        <v>최종 보스 : 빛을 향해 달리는 그림자</v>
      </c>
      <c r="J1415">
        <v>100</v>
      </c>
      <c r="K1415">
        <v>400</v>
      </c>
      <c r="L1415">
        <v>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400</v>
      </c>
      <c r="AH1415">
        <v>4</v>
      </c>
      <c r="AI1415">
        <v>0</v>
      </c>
      <c r="AJ1415">
        <v>0</v>
      </c>
      <c r="AK1415">
        <v>300</v>
      </c>
      <c r="AL1415">
        <v>0</v>
      </c>
      <c r="AM1415">
        <v>120</v>
      </c>
      <c r="AN1415">
        <v>-12</v>
      </c>
      <c r="AO1415">
        <v>0</v>
      </c>
      <c r="AP1415"/>
      <c r="AQ1415">
        <v>0</v>
      </c>
      <c r="AR1415">
        <v>0</v>
      </c>
      <c r="AS1415">
        <v>120</v>
      </c>
      <c r="AT1415">
        <v>-12</v>
      </c>
      <c r="AU1415">
        <v>0</v>
      </c>
      <c r="AW1415">
        <v>0</v>
      </c>
      <c r="AX1415">
        <v>0</v>
      </c>
      <c r="AY1415">
        <v>285.60000000000002</v>
      </c>
      <c r="BC1415" t="str">
        <f t="shared" si="237"/>
        <v>9791166067563</v>
      </c>
      <c r="BE1415" t="str">
        <f t="shared" si="238"/>
        <v>판타지 웹소설 &gt; 현대 판타지</v>
      </c>
    </row>
    <row r="1416" spans="1:57" x14ac:dyDescent="0.3">
      <c r="A1416">
        <v>2313011400</v>
      </c>
      <c r="B1416">
        <v>2313011495</v>
      </c>
      <c r="C1416" t="str">
        <f>T("최종 보스 5권 9화")</f>
        <v>최종 보스 5권 9화</v>
      </c>
      <c r="D1416" t="str">
        <f>T("96")</f>
        <v>96</v>
      </c>
      <c r="E1416" t="str">
        <f t="shared" si="234"/>
        <v>무장</v>
      </c>
      <c r="H1416" t="str">
        <f t="shared" si="235"/>
        <v>스토리위즈</v>
      </c>
      <c r="I1416" t="str">
        <f t="shared" si="236"/>
        <v>최종 보스 : 빛을 향해 달리는 그림자</v>
      </c>
      <c r="J1416">
        <v>100</v>
      </c>
      <c r="K1416">
        <v>400</v>
      </c>
      <c r="L1416">
        <v>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400</v>
      </c>
      <c r="AH1416">
        <v>4</v>
      </c>
      <c r="AI1416">
        <v>0</v>
      </c>
      <c r="AJ1416">
        <v>0</v>
      </c>
      <c r="AK1416">
        <v>300</v>
      </c>
      <c r="AL1416">
        <v>0</v>
      </c>
      <c r="AM1416">
        <v>120</v>
      </c>
      <c r="AN1416">
        <v>-12</v>
      </c>
      <c r="AO1416">
        <v>0</v>
      </c>
      <c r="AP1416"/>
      <c r="AQ1416">
        <v>0</v>
      </c>
      <c r="AR1416">
        <v>0</v>
      </c>
      <c r="AS1416">
        <v>120</v>
      </c>
      <c r="AT1416">
        <v>-12</v>
      </c>
      <c r="AU1416">
        <v>0</v>
      </c>
      <c r="AW1416">
        <v>0</v>
      </c>
      <c r="AX1416">
        <v>0</v>
      </c>
      <c r="AY1416">
        <v>285.60000000000002</v>
      </c>
      <c r="BC1416" t="str">
        <f t="shared" si="237"/>
        <v>9791166067563</v>
      </c>
      <c r="BE1416" t="str">
        <f t="shared" si="238"/>
        <v>판타지 웹소설 &gt; 현대 판타지</v>
      </c>
    </row>
    <row r="1417" spans="1:57" x14ac:dyDescent="0.3">
      <c r="A1417">
        <v>2313011400</v>
      </c>
      <c r="B1417">
        <v>2313011496</v>
      </c>
      <c r="C1417" t="str">
        <f>T("최종 보스 5권 10화")</f>
        <v>최종 보스 5권 10화</v>
      </c>
      <c r="D1417" t="str">
        <f>T("97")</f>
        <v>97</v>
      </c>
      <c r="E1417" t="str">
        <f t="shared" si="234"/>
        <v>무장</v>
      </c>
      <c r="H1417" t="str">
        <f t="shared" si="235"/>
        <v>스토리위즈</v>
      </c>
      <c r="I1417" t="str">
        <f t="shared" si="236"/>
        <v>최종 보스 : 빛을 향해 달리는 그림자</v>
      </c>
      <c r="J1417">
        <v>100</v>
      </c>
      <c r="K1417">
        <v>400</v>
      </c>
      <c r="L1417">
        <v>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400</v>
      </c>
      <c r="AH1417">
        <v>4</v>
      </c>
      <c r="AI1417">
        <v>0</v>
      </c>
      <c r="AJ1417">
        <v>0</v>
      </c>
      <c r="AK1417">
        <v>300</v>
      </c>
      <c r="AL1417">
        <v>0</v>
      </c>
      <c r="AM1417">
        <v>120</v>
      </c>
      <c r="AN1417">
        <v>-12</v>
      </c>
      <c r="AO1417">
        <v>0</v>
      </c>
      <c r="AP1417"/>
      <c r="AQ1417">
        <v>0</v>
      </c>
      <c r="AR1417">
        <v>0</v>
      </c>
      <c r="AS1417">
        <v>120</v>
      </c>
      <c r="AT1417">
        <v>-12</v>
      </c>
      <c r="AU1417">
        <v>0</v>
      </c>
      <c r="AW1417">
        <v>0</v>
      </c>
      <c r="AX1417">
        <v>0</v>
      </c>
      <c r="AY1417">
        <v>285.60000000000002</v>
      </c>
      <c r="BC1417" t="str">
        <f t="shared" si="237"/>
        <v>9791166067563</v>
      </c>
      <c r="BE1417" t="str">
        <f t="shared" si="238"/>
        <v>판타지 웹소설 &gt; 현대 판타지</v>
      </c>
    </row>
    <row r="1418" spans="1:57" x14ac:dyDescent="0.3">
      <c r="A1418">
        <v>2313011400</v>
      </c>
      <c r="B1418">
        <v>2313011497</v>
      </c>
      <c r="C1418" t="str">
        <f>T("최종 보스 5권 11화")</f>
        <v>최종 보스 5권 11화</v>
      </c>
      <c r="D1418" t="str">
        <f>T("98")</f>
        <v>98</v>
      </c>
      <c r="E1418" t="str">
        <f t="shared" si="234"/>
        <v>무장</v>
      </c>
      <c r="H1418" t="str">
        <f t="shared" si="235"/>
        <v>스토리위즈</v>
      </c>
      <c r="I1418" t="str">
        <f t="shared" si="236"/>
        <v>최종 보스 : 빛을 향해 달리는 그림자</v>
      </c>
      <c r="J1418">
        <v>100</v>
      </c>
      <c r="K1418">
        <v>400</v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400</v>
      </c>
      <c r="AH1418">
        <v>4</v>
      </c>
      <c r="AI1418">
        <v>0</v>
      </c>
      <c r="AJ1418">
        <v>0</v>
      </c>
      <c r="AK1418">
        <v>300</v>
      </c>
      <c r="AL1418">
        <v>0</v>
      </c>
      <c r="AM1418">
        <v>120</v>
      </c>
      <c r="AN1418">
        <v>-12</v>
      </c>
      <c r="AO1418">
        <v>0</v>
      </c>
      <c r="AP1418"/>
      <c r="AQ1418">
        <v>0</v>
      </c>
      <c r="AR1418">
        <v>0</v>
      </c>
      <c r="AS1418">
        <v>120</v>
      </c>
      <c r="AT1418">
        <v>-12</v>
      </c>
      <c r="AU1418">
        <v>0</v>
      </c>
      <c r="AW1418">
        <v>0</v>
      </c>
      <c r="AX1418">
        <v>0</v>
      </c>
      <c r="AY1418">
        <v>285.60000000000002</v>
      </c>
      <c r="BC1418" t="str">
        <f t="shared" si="237"/>
        <v>9791166067563</v>
      </c>
      <c r="BE1418" t="str">
        <f t="shared" si="238"/>
        <v>판타지 웹소설 &gt; 현대 판타지</v>
      </c>
    </row>
    <row r="1419" spans="1:57" x14ac:dyDescent="0.3">
      <c r="A1419">
        <v>2313011955</v>
      </c>
      <c r="B1419">
        <v>2313011987</v>
      </c>
      <c r="C1419" t="str">
        <f>T("갓 오브 블랙필드 33화")</f>
        <v>갓 오브 블랙필드 33화</v>
      </c>
      <c r="D1419" t="str">
        <f>T("33")</f>
        <v>33</v>
      </c>
      <c r="E1419" t="str">
        <f t="shared" si="234"/>
        <v>무장</v>
      </c>
      <c r="H1419" t="str">
        <f t="shared" si="235"/>
        <v>스토리위즈</v>
      </c>
      <c r="I1419" t="str">
        <f t="shared" ref="I1419:I1460" si="239">T("갓 오브 블랙필드")</f>
        <v>갓 오브 블랙필드</v>
      </c>
      <c r="J1419">
        <v>100</v>
      </c>
      <c r="K1419">
        <v>400</v>
      </c>
      <c r="L1419">
        <v>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400</v>
      </c>
      <c r="AH1419">
        <v>4</v>
      </c>
      <c r="AI1419">
        <v>0</v>
      </c>
      <c r="AJ1419">
        <v>0</v>
      </c>
      <c r="AK1419">
        <v>300</v>
      </c>
      <c r="AL1419">
        <v>0</v>
      </c>
      <c r="AM1419">
        <v>120</v>
      </c>
      <c r="AN1419">
        <v>-36</v>
      </c>
      <c r="AO1419">
        <v>0</v>
      </c>
      <c r="AP1419">
        <v>120</v>
      </c>
      <c r="AQ1419">
        <v>-36</v>
      </c>
      <c r="AR1419">
        <v>0</v>
      </c>
      <c r="AT1419">
        <v>0</v>
      </c>
      <c r="AU1419">
        <v>0</v>
      </c>
      <c r="AW1419">
        <v>0</v>
      </c>
      <c r="AX1419">
        <v>0</v>
      </c>
      <c r="AY1419">
        <v>268.8</v>
      </c>
      <c r="BC1419" t="str">
        <f t="shared" ref="BC1419:BC1460" si="240">T("9791137602113")</f>
        <v>9791137602113</v>
      </c>
      <c r="BE1419" t="str">
        <f t="shared" si="238"/>
        <v>판타지 웹소설 &gt; 현대 판타지</v>
      </c>
    </row>
    <row r="1420" spans="1:57" x14ac:dyDescent="0.3">
      <c r="A1420">
        <v>2313011955</v>
      </c>
      <c r="B1420">
        <v>2313011988</v>
      </c>
      <c r="C1420" t="str">
        <f>T("갓 오브 블랙필드 34화")</f>
        <v>갓 오브 블랙필드 34화</v>
      </c>
      <c r="D1420" t="str">
        <f>T("34")</f>
        <v>34</v>
      </c>
      <c r="E1420" t="str">
        <f t="shared" si="234"/>
        <v>무장</v>
      </c>
      <c r="H1420" t="str">
        <f t="shared" si="235"/>
        <v>스토리위즈</v>
      </c>
      <c r="I1420" t="str">
        <f t="shared" si="239"/>
        <v>갓 오브 블랙필드</v>
      </c>
      <c r="J1420">
        <v>100</v>
      </c>
      <c r="K1420">
        <v>400</v>
      </c>
      <c r="L1420">
        <v>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400</v>
      </c>
      <c r="AH1420">
        <v>4</v>
      </c>
      <c r="AI1420">
        <v>0</v>
      </c>
      <c r="AJ1420">
        <v>0</v>
      </c>
      <c r="AK1420">
        <v>300</v>
      </c>
      <c r="AL1420">
        <v>0</v>
      </c>
      <c r="AM1420">
        <v>120</v>
      </c>
      <c r="AN1420">
        <v>-36</v>
      </c>
      <c r="AO1420">
        <v>0</v>
      </c>
      <c r="AP1420">
        <v>120</v>
      </c>
      <c r="AQ1420">
        <v>-36</v>
      </c>
      <c r="AR1420">
        <v>0</v>
      </c>
      <c r="AT1420">
        <v>0</v>
      </c>
      <c r="AU1420">
        <v>0</v>
      </c>
      <c r="AW1420">
        <v>0</v>
      </c>
      <c r="AX1420">
        <v>0</v>
      </c>
      <c r="AY1420">
        <v>268.8</v>
      </c>
      <c r="BC1420" t="str">
        <f t="shared" si="240"/>
        <v>9791137602113</v>
      </c>
      <c r="BE1420" t="str">
        <f t="shared" si="238"/>
        <v>판타지 웹소설 &gt; 현대 판타지</v>
      </c>
    </row>
    <row r="1421" spans="1:57" x14ac:dyDescent="0.3">
      <c r="A1421">
        <v>2313011955</v>
      </c>
      <c r="B1421">
        <v>2313011989</v>
      </c>
      <c r="C1421" t="str">
        <f>T("갓 오브 블랙필드 35화")</f>
        <v>갓 오브 블랙필드 35화</v>
      </c>
      <c r="D1421" t="str">
        <f>T("35")</f>
        <v>35</v>
      </c>
      <c r="E1421" t="str">
        <f t="shared" si="234"/>
        <v>무장</v>
      </c>
      <c r="H1421" t="str">
        <f t="shared" si="235"/>
        <v>스토리위즈</v>
      </c>
      <c r="I1421" t="str">
        <f t="shared" si="239"/>
        <v>갓 오브 블랙필드</v>
      </c>
      <c r="J1421">
        <v>100</v>
      </c>
      <c r="K1421">
        <v>400</v>
      </c>
      <c r="L1421">
        <v>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400</v>
      </c>
      <c r="AH1421">
        <v>4</v>
      </c>
      <c r="AI1421">
        <v>0</v>
      </c>
      <c r="AJ1421">
        <v>0</v>
      </c>
      <c r="AK1421">
        <v>300</v>
      </c>
      <c r="AL1421">
        <v>0</v>
      </c>
      <c r="AM1421">
        <v>120</v>
      </c>
      <c r="AN1421">
        <v>-36</v>
      </c>
      <c r="AO1421">
        <v>0</v>
      </c>
      <c r="AP1421">
        <v>120</v>
      </c>
      <c r="AQ1421">
        <v>-36</v>
      </c>
      <c r="AR1421">
        <v>0</v>
      </c>
      <c r="AT1421">
        <v>0</v>
      </c>
      <c r="AU1421">
        <v>0</v>
      </c>
      <c r="AW1421">
        <v>0</v>
      </c>
      <c r="AX1421">
        <v>0</v>
      </c>
      <c r="AY1421">
        <v>268.8</v>
      </c>
      <c r="BC1421" t="str">
        <f t="shared" si="240"/>
        <v>9791137602113</v>
      </c>
      <c r="BE1421" t="str">
        <f t="shared" si="238"/>
        <v>판타지 웹소설 &gt; 현대 판타지</v>
      </c>
    </row>
    <row r="1422" spans="1:57" x14ac:dyDescent="0.3">
      <c r="A1422">
        <v>2313011955</v>
      </c>
      <c r="B1422">
        <v>2313011990</v>
      </c>
      <c r="C1422" t="str">
        <f>T("갓 오브 블랙필드 36화")</f>
        <v>갓 오브 블랙필드 36화</v>
      </c>
      <c r="D1422" t="str">
        <f>T("36")</f>
        <v>36</v>
      </c>
      <c r="E1422" t="str">
        <f t="shared" si="234"/>
        <v>무장</v>
      </c>
      <c r="H1422" t="str">
        <f t="shared" si="235"/>
        <v>스토리위즈</v>
      </c>
      <c r="I1422" t="str">
        <f t="shared" si="239"/>
        <v>갓 오브 블랙필드</v>
      </c>
      <c r="J1422">
        <v>100</v>
      </c>
      <c r="K1422">
        <v>400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400</v>
      </c>
      <c r="AH1422">
        <v>4</v>
      </c>
      <c r="AI1422">
        <v>0</v>
      </c>
      <c r="AJ1422">
        <v>0</v>
      </c>
      <c r="AK1422">
        <v>300</v>
      </c>
      <c r="AL1422">
        <v>0</v>
      </c>
      <c r="AM1422">
        <v>120</v>
      </c>
      <c r="AN1422">
        <v>-36</v>
      </c>
      <c r="AO1422">
        <v>0</v>
      </c>
      <c r="AP1422">
        <v>120</v>
      </c>
      <c r="AQ1422">
        <v>-36</v>
      </c>
      <c r="AR1422">
        <v>0</v>
      </c>
      <c r="AT1422">
        <v>0</v>
      </c>
      <c r="AU1422">
        <v>0</v>
      </c>
      <c r="AW1422">
        <v>0</v>
      </c>
      <c r="AX1422">
        <v>0</v>
      </c>
      <c r="AY1422">
        <v>268.8</v>
      </c>
      <c r="BC1422" t="str">
        <f t="shared" si="240"/>
        <v>9791137602113</v>
      </c>
      <c r="BE1422" t="str">
        <f t="shared" si="238"/>
        <v>판타지 웹소설 &gt; 현대 판타지</v>
      </c>
    </row>
    <row r="1423" spans="1:57" x14ac:dyDescent="0.3">
      <c r="A1423">
        <v>2313011955</v>
      </c>
      <c r="B1423">
        <v>2313011991</v>
      </c>
      <c r="C1423" t="str">
        <f>T("갓 오브 블랙필드 37화")</f>
        <v>갓 오브 블랙필드 37화</v>
      </c>
      <c r="D1423" t="str">
        <f>T("37")</f>
        <v>37</v>
      </c>
      <c r="E1423" t="str">
        <f t="shared" si="234"/>
        <v>무장</v>
      </c>
      <c r="H1423" t="str">
        <f t="shared" si="235"/>
        <v>스토리위즈</v>
      </c>
      <c r="I1423" t="str">
        <f t="shared" si="239"/>
        <v>갓 오브 블랙필드</v>
      </c>
      <c r="J1423">
        <v>100</v>
      </c>
      <c r="K1423">
        <v>400</v>
      </c>
      <c r="L1423">
        <v>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400</v>
      </c>
      <c r="AH1423">
        <v>4</v>
      </c>
      <c r="AI1423">
        <v>0</v>
      </c>
      <c r="AJ1423">
        <v>0</v>
      </c>
      <c r="AK1423">
        <v>300</v>
      </c>
      <c r="AL1423">
        <v>0</v>
      </c>
      <c r="AM1423">
        <v>120</v>
      </c>
      <c r="AN1423">
        <v>-36</v>
      </c>
      <c r="AO1423">
        <v>0</v>
      </c>
      <c r="AP1423">
        <v>120</v>
      </c>
      <c r="AQ1423">
        <v>-36</v>
      </c>
      <c r="AR1423">
        <v>0</v>
      </c>
      <c r="AT1423">
        <v>0</v>
      </c>
      <c r="AU1423">
        <v>0</v>
      </c>
      <c r="AW1423">
        <v>0</v>
      </c>
      <c r="AX1423">
        <v>0</v>
      </c>
      <c r="AY1423">
        <v>268.8</v>
      </c>
      <c r="BC1423" t="str">
        <f t="shared" si="240"/>
        <v>9791137602113</v>
      </c>
      <c r="BE1423" t="str">
        <f t="shared" si="238"/>
        <v>판타지 웹소설 &gt; 현대 판타지</v>
      </c>
    </row>
    <row r="1424" spans="1:57" x14ac:dyDescent="0.3">
      <c r="A1424">
        <v>2313011955</v>
      </c>
      <c r="B1424">
        <v>2313011992</v>
      </c>
      <c r="C1424" t="str">
        <f>T("갓 오브 블랙필드 38화")</f>
        <v>갓 오브 블랙필드 38화</v>
      </c>
      <c r="D1424" t="str">
        <f>T("38")</f>
        <v>38</v>
      </c>
      <c r="E1424" t="str">
        <f t="shared" si="234"/>
        <v>무장</v>
      </c>
      <c r="H1424" t="str">
        <f t="shared" si="235"/>
        <v>스토리위즈</v>
      </c>
      <c r="I1424" t="str">
        <f t="shared" si="239"/>
        <v>갓 오브 블랙필드</v>
      </c>
      <c r="J1424">
        <v>100</v>
      </c>
      <c r="K1424">
        <v>400</v>
      </c>
      <c r="L1424">
        <v>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400</v>
      </c>
      <c r="AH1424">
        <v>4</v>
      </c>
      <c r="AI1424">
        <v>0</v>
      </c>
      <c r="AJ1424">
        <v>0</v>
      </c>
      <c r="AK1424">
        <v>300</v>
      </c>
      <c r="AL1424">
        <v>0</v>
      </c>
      <c r="AM1424">
        <v>120</v>
      </c>
      <c r="AN1424">
        <v>-36</v>
      </c>
      <c r="AO1424">
        <v>0</v>
      </c>
      <c r="AP1424">
        <v>120</v>
      </c>
      <c r="AQ1424">
        <v>-36</v>
      </c>
      <c r="AR1424">
        <v>0</v>
      </c>
      <c r="AT1424">
        <v>0</v>
      </c>
      <c r="AU1424">
        <v>0</v>
      </c>
      <c r="AW1424">
        <v>0</v>
      </c>
      <c r="AX1424">
        <v>0</v>
      </c>
      <c r="AY1424">
        <v>268.8</v>
      </c>
      <c r="BC1424" t="str">
        <f t="shared" si="240"/>
        <v>9791137602113</v>
      </c>
      <c r="BE1424" t="str">
        <f t="shared" si="238"/>
        <v>판타지 웹소설 &gt; 현대 판타지</v>
      </c>
    </row>
    <row r="1425" spans="1:57" x14ac:dyDescent="0.3">
      <c r="A1425">
        <v>2313011955</v>
      </c>
      <c r="B1425">
        <v>2313011993</v>
      </c>
      <c r="C1425" t="str">
        <f>T("갓 오브 블랙필드 39화")</f>
        <v>갓 오브 블랙필드 39화</v>
      </c>
      <c r="D1425" t="str">
        <f>T("39")</f>
        <v>39</v>
      </c>
      <c r="E1425" t="str">
        <f t="shared" si="234"/>
        <v>무장</v>
      </c>
      <c r="H1425" t="str">
        <f t="shared" si="235"/>
        <v>스토리위즈</v>
      </c>
      <c r="I1425" t="str">
        <f t="shared" si="239"/>
        <v>갓 오브 블랙필드</v>
      </c>
      <c r="J1425">
        <v>100</v>
      </c>
      <c r="K1425">
        <v>400</v>
      </c>
      <c r="L1425">
        <v>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400</v>
      </c>
      <c r="AH1425">
        <v>4</v>
      </c>
      <c r="AI1425">
        <v>0</v>
      </c>
      <c r="AJ1425">
        <v>0</v>
      </c>
      <c r="AK1425">
        <v>300</v>
      </c>
      <c r="AL1425">
        <v>0</v>
      </c>
      <c r="AM1425">
        <v>120</v>
      </c>
      <c r="AN1425">
        <v>-36</v>
      </c>
      <c r="AO1425">
        <v>0</v>
      </c>
      <c r="AP1425">
        <v>120</v>
      </c>
      <c r="AQ1425">
        <v>-36</v>
      </c>
      <c r="AR1425">
        <v>0</v>
      </c>
      <c r="AT1425">
        <v>0</v>
      </c>
      <c r="AU1425">
        <v>0</v>
      </c>
      <c r="AW1425">
        <v>0</v>
      </c>
      <c r="AX1425">
        <v>0</v>
      </c>
      <c r="AY1425">
        <v>268.8</v>
      </c>
      <c r="BC1425" t="str">
        <f t="shared" si="240"/>
        <v>9791137602113</v>
      </c>
      <c r="BE1425" t="str">
        <f t="shared" si="238"/>
        <v>판타지 웹소설 &gt; 현대 판타지</v>
      </c>
    </row>
    <row r="1426" spans="1:57" x14ac:dyDescent="0.3">
      <c r="A1426">
        <v>2313011955</v>
      </c>
      <c r="B1426">
        <v>2313011994</v>
      </c>
      <c r="C1426" t="str">
        <f>T("갓 오브 블랙필드 40화")</f>
        <v>갓 오브 블랙필드 40화</v>
      </c>
      <c r="D1426" t="str">
        <f>T("40")</f>
        <v>40</v>
      </c>
      <c r="E1426" t="str">
        <f t="shared" si="234"/>
        <v>무장</v>
      </c>
      <c r="H1426" t="str">
        <f t="shared" si="235"/>
        <v>스토리위즈</v>
      </c>
      <c r="I1426" t="str">
        <f t="shared" si="239"/>
        <v>갓 오브 블랙필드</v>
      </c>
      <c r="J1426">
        <v>100</v>
      </c>
      <c r="K1426">
        <v>400</v>
      </c>
      <c r="L1426">
        <v>4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400</v>
      </c>
      <c r="AH1426">
        <v>4</v>
      </c>
      <c r="AI1426">
        <v>0</v>
      </c>
      <c r="AJ1426">
        <v>0</v>
      </c>
      <c r="AK1426">
        <v>300</v>
      </c>
      <c r="AL1426">
        <v>0</v>
      </c>
      <c r="AM1426">
        <v>120</v>
      </c>
      <c r="AN1426">
        <v>-36</v>
      </c>
      <c r="AO1426">
        <v>0</v>
      </c>
      <c r="AP1426">
        <v>120</v>
      </c>
      <c r="AQ1426">
        <v>-36</v>
      </c>
      <c r="AR1426">
        <v>0</v>
      </c>
      <c r="AT1426">
        <v>0</v>
      </c>
      <c r="AU1426">
        <v>0</v>
      </c>
      <c r="AW1426">
        <v>0</v>
      </c>
      <c r="AX1426">
        <v>0</v>
      </c>
      <c r="AY1426">
        <v>268.8</v>
      </c>
      <c r="BC1426" t="str">
        <f t="shared" si="240"/>
        <v>9791137602113</v>
      </c>
      <c r="BE1426" t="str">
        <f t="shared" si="238"/>
        <v>판타지 웹소설 &gt; 현대 판타지</v>
      </c>
    </row>
    <row r="1427" spans="1:57" x14ac:dyDescent="0.3">
      <c r="A1427">
        <v>2313011955</v>
      </c>
      <c r="B1427">
        <v>2313011995</v>
      </c>
      <c r="C1427" t="str">
        <f>T("갓 오브 블랙필드 41화")</f>
        <v>갓 오브 블랙필드 41화</v>
      </c>
      <c r="D1427" t="str">
        <f>T("41")</f>
        <v>41</v>
      </c>
      <c r="E1427" t="str">
        <f t="shared" si="234"/>
        <v>무장</v>
      </c>
      <c r="H1427" t="str">
        <f t="shared" si="235"/>
        <v>스토리위즈</v>
      </c>
      <c r="I1427" t="str">
        <f t="shared" si="239"/>
        <v>갓 오브 블랙필드</v>
      </c>
      <c r="J1427">
        <v>100</v>
      </c>
      <c r="K1427">
        <v>400</v>
      </c>
      <c r="L1427">
        <v>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400</v>
      </c>
      <c r="AH1427">
        <v>4</v>
      </c>
      <c r="AI1427">
        <v>0</v>
      </c>
      <c r="AJ1427">
        <v>0</v>
      </c>
      <c r="AK1427">
        <v>300</v>
      </c>
      <c r="AL1427">
        <v>0</v>
      </c>
      <c r="AM1427">
        <v>120</v>
      </c>
      <c r="AN1427">
        <v>-36</v>
      </c>
      <c r="AO1427">
        <v>0</v>
      </c>
      <c r="AP1427">
        <v>120</v>
      </c>
      <c r="AQ1427">
        <v>-36</v>
      </c>
      <c r="AR1427">
        <v>0</v>
      </c>
      <c r="AT1427">
        <v>0</v>
      </c>
      <c r="AU1427">
        <v>0</v>
      </c>
      <c r="AW1427">
        <v>0</v>
      </c>
      <c r="AX1427">
        <v>0</v>
      </c>
      <c r="AY1427">
        <v>268.8</v>
      </c>
      <c r="BC1427" t="str">
        <f t="shared" si="240"/>
        <v>9791137602113</v>
      </c>
      <c r="BE1427" t="str">
        <f t="shared" si="238"/>
        <v>판타지 웹소설 &gt; 현대 판타지</v>
      </c>
    </row>
    <row r="1428" spans="1:57" x14ac:dyDescent="0.3">
      <c r="A1428">
        <v>2313011955</v>
      </c>
      <c r="B1428">
        <v>2313012106</v>
      </c>
      <c r="C1428" t="str">
        <f>T("갓 오브 블랙필드 152화")</f>
        <v>갓 오브 블랙필드 152화</v>
      </c>
      <c r="D1428" t="str">
        <f>T("152")</f>
        <v>152</v>
      </c>
      <c r="E1428" t="str">
        <f t="shared" si="234"/>
        <v>무장</v>
      </c>
      <c r="H1428" t="str">
        <f t="shared" si="235"/>
        <v>스토리위즈</v>
      </c>
      <c r="I1428" t="str">
        <f t="shared" si="239"/>
        <v>갓 오브 블랙필드</v>
      </c>
      <c r="J1428">
        <v>100</v>
      </c>
      <c r="K1428">
        <v>400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400</v>
      </c>
      <c r="AH1428">
        <v>4</v>
      </c>
      <c r="AI1428">
        <v>0</v>
      </c>
      <c r="AJ1428">
        <v>0</v>
      </c>
      <c r="AK1428">
        <v>300</v>
      </c>
      <c r="AL1428">
        <v>0</v>
      </c>
      <c r="AM1428">
        <v>120</v>
      </c>
      <c r="AN1428">
        <v>-36</v>
      </c>
      <c r="AO1428">
        <v>0</v>
      </c>
      <c r="AP1428">
        <v>120</v>
      </c>
      <c r="AQ1428">
        <v>-36</v>
      </c>
      <c r="AR1428">
        <v>0</v>
      </c>
      <c r="AT1428">
        <v>0</v>
      </c>
      <c r="AU1428">
        <v>0</v>
      </c>
      <c r="AW1428">
        <v>0</v>
      </c>
      <c r="AX1428">
        <v>0</v>
      </c>
      <c r="AY1428">
        <v>268.8</v>
      </c>
      <c r="BC1428" t="str">
        <f t="shared" si="240"/>
        <v>9791137602113</v>
      </c>
      <c r="BE1428" t="str">
        <f t="shared" si="238"/>
        <v>판타지 웹소설 &gt; 현대 판타지</v>
      </c>
    </row>
    <row r="1429" spans="1:57" x14ac:dyDescent="0.3">
      <c r="A1429">
        <v>2313011955</v>
      </c>
      <c r="B1429">
        <v>2313012107</v>
      </c>
      <c r="C1429" t="str">
        <f>T("갓 오브 블랙필드 153화")</f>
        <v>갓 오브 블랙필드 153화</v>
      </c>
      <c r="D1429" t="str">
        <f>T("153")</f>
        <v>153</v>
      </c>
      <c r="E1429" t="str">
        <f t="shared" si="234"/>
        <v>무장</v>
      </c>
      <c r="H1429" t="str">
        <f t="shared" si="235"/>
        <v>스토리위즈</v>
      </c>
      <c r="I1429" t="str">
        <f t="shared" si="239"/>
        <v>갓 오브 블랙필드</v>
      </c>
      <c r="J1429">
        <v>100</v>
      </c>
      <c r="K1429">
        <v>400</v>
      </c>
      <c r="L1429">
        <v>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400</v>
      </c>
      <c r="AH1429">
        <v>4</v>
      </c>
      <c r="AI1429">
        <v>0</v>
      </c>
      <c r="AJ1429">
        <v>0</v>
      </c>
      <c r="AK1429">
        <v>350</v>
      </c>
      <c r="AL1429">
        <v>0</v>
      </c>
      <c r="AM1429">
        <v>60</v>
      </c>
      <c r="AN1429">
        <v>-18</v>
      </c>
      <c r="AO1429">
        <v>0</v>
      </c>
      <c r="AP1429">
        <v>60</v>
      </c>
      <c r="AQ1429">
        <v>-18</v>
      </c>
      <c r="AR1429">
        <v>0</v>
      </c>
      <c r="AT1429">
        <v>0</v>
      </c>
      <c r="AU1429">
        <v>0</v>
      </c>
      <c r="AW1429">
        <v>0</v>
      </c>
      <c r="AX1429">
        <v>0</v>
      </c>
      <c r="AY1429">
        <v>274.39999999999998</v>
      </c>
      <c r="BC1429" t="str">
        <f t="shared" si="240"/>
        <v>9791137602113</v>
      </c>
      <c r="BE1429" t="str">
        <f t="shared" si="238"/>
        <v>판타지 웹소설 &gt; 현대 판타지</v>
      </c>
    </row>
    <row r="1430" spans="1:57" x14ac:dyDescent="0.3">
      <c r="A1430">
        <v>2313011955</v>
      </c>
      <c r="B1430">
        <v>2313012108</v>
      </c>
      <c r="C1430" t="str">
        <f>T("갓 오브 블랙필드 154화")</f>
        <v>갓 오브 블랙필드 154화</v>
      </c>
      <c r="D1430" t="str">
        <f>T("154")</f>
        <v>154</v>
      </c>
      <c r="E1430" t="str">
        <f t="shared" si="234"/>
        <v>무장</v>
      </c>
      <c r="H1430" t="str">
        <f t="shared" si="235"/>
        <v>스토리위즈</v>
      </c>
      <c r="I1430" t="str">
        <f t="shared" si="239"/>
        <v>갓 오브 블랙필드</v>
      </c>
      <c r="J1430">
        <v>100</v>
      </c>
      <c r="K1430">
        <v>400</v>
      </c>
      <c r="L1430"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400</v>
      </c>
      <c r="AH1430">
        <v>4</v>
      </c>
      <c r="AI1430">
        <v>0</v>
      </c>
      <c r="AJ1430">
        <v>0</v>
      </c>
      <c r="AK1430">
        <v>300</v>
      </c>
      <c r="AL1430">
        <v>0</v>
      </c>
      <c r="AM1430">
        <v>120</v>
      </c>
      <c r="AN1430">
        <v>-36</v>
      </c>
      <c r="AO1430">
        <v>0</v>
      </c>
      <c r="AP1430">
        <v>120</v>
      </c>
      <c r="AQ1430">
        <v>-36</v>
      </c>
      <c r="AR1430">
        <v>0</v>
      </c>
      <c r="AT1430">
        <v>0</v>
      </c>
      <c r="AU1430">
        <v>0</v>
      </c>
      <c r="AW1430">
        <v>0</v>
      </c>
      <c r="AX1430">
        <v>0</v>
      </c>
      <c r="AY1430">
        <v>268.8</v>
      </c>
      <c r="BC1430" t="str">
        <f t="shared" si="240"/>
        <v>9791137602113</v>
      </c>
      <c r="BE1430" t="str">
        <f t="shared" si="238"/>
        <v>판타지 웹소설 &gt; 현대 판타지</v>
      </c>
    </row>
    <row r="1431" spans="1:57" x14ac:dyDescent="0.3">
      <c r="A1431">
        <v>2313011955</v>
      </c>
      <c r="B1431">
        <v>2313012109</v>
      </c>
      <c r="C1431" t="str">
        <f>T("갓 오브 블랙필드 155화")</f>
        <v>갓 오브 블랙필드 155화</v>
      </c>
      <c r="D1431" t="str">
        <f>T("155")</f>
        <v>155</v>
      </c>
      <c r="E1431" t="str">
        <f t="shared" si="234"/>
        <v>무장</v>
      </c>
      <c r="H1431" t="str">
        <f t="shared" si="235"/>
        <v>스토리위즈</v>
      </c>
      <c r="I1431" t="str">
        <f t="shared" si="239"/>
        <v>갓 오브 블랙필드</v>
      </c>
      <c r="J1431">
        <v>100</v>
      </c>
      <c r="K1431">
        <v>400</v>
      </c>
      <c r="L1431">
        <v>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400</v>
      </c>
      <c r="AH1431">
        <v>4</v>
      </c>
      <c r="AI1431">
        <v>0</v>
      </c>
      <c r="AJ1431">
        <v>0</v>
      </c>
      <c r="AK1431">
        <v>300</v>
      </c>
      <c r="AL1431">
        <v>0</v>
      </c>
      <c r="AM1431">
        <v>120</v>
      </c>
      <c r="AN1431">
        <v>-36</v>
      </c>
      <c r="AO1431">
        <v>0</v>
      </c>
      <c r="AP1431">
        <v>120</v>
      </c>
      <c r="AQ1431">
        <v>-36</v>
      </c>
      <c r="AR1431">
        <v>0</v>
      </c>
      <c r="AT1431">
        <v>0</v>
      </c>
      <c r="AU1431">
        <v>0</v>
      </c>
      <c r="AW1431">
        <v>0</v>
      </c>
      <c r="AX1431">
        <v>0</v>
      </c>
      <c r="AY1431">
        <v>268.8</v>
      </c>
      <c r="BC1431" t="str">
        <f t="shared" si="240"/>
        <v>9791137602113</v>
      </c>
      <c r="BE1431" t="str">
        <f t="shared" si="238"/>
        <v>판타지 웹소설 &gt; 현대 판타지</v>
      </c>
    </row>
    <row r="1432" spans="1:57" x14ac:dyDescent="0.3">
      <c r="A1432">
        <v>2313011955</v>
      </c>
      <c r="B1432">
        <v>2313012110</v>
      </c>
      <c r="C1432" t="str">
        <f>T("갓 오브 블랙필드 156화")</f>
        <v>갓 오브 블랙필드 156화</v>
      </c>
      <c r="D1432" t="str">
        <f>T("156")</f>
        <v>156</v>
      </c>
      <c r="E1432" t="str">
        <f t="shared" si="234"/>
        <v>무장</v>
      </c>
      <c r="H1432" t="str">
        <f t="shared" si="235"/>
        <v>스토리위즈</v>
      </c>
      <c r="I1432" t="str">
        <f t="shared" si="239"/>
        <v>갓 오브 블랙필드</v>
      </c>
      <c r="J1432">
        <v>100</v>
      </c>
      <c r="K1432">
        <v>400</v>
      </c>
      <c r="L1432">
        <v>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400</v>
      </c>
      <c r="AH1432">
        <v>4</v>
      </c>
      <c r="AI1432">
        <v>0</v>
      </c>
      <c r="AJ1432">
        <v>0</v>
      </c>
      <c r="AK1432">
        <v>300</v>
      </c>
      <c r="AL1432">
        <v>0</v>
      </c>
      <c r="AM1432">
        <v>120</v>
      </c>
      <c r="AN1432">
        <v>-36</v>
      </c>
      <c r="AO1432">
        <v>0</v>
      </c>
      <c r="AP1432">
        <v>120</v>
      </c>
      <c r="AQ1432">
        <v>-36</v>
      </c>
      <c r="AR1432">
        <v>0</v>
      </c>
      <c r="AT1432">
        <v>0</v>
      </c>
      <c r="AU1432">
        <v>0</v>
      </c>
      <c r="AW1432">
        <v>0</v>
      </c>
      <c r="AX1432">
        <v>0</v>
      </c>
      <c r="AY1432">
        <v>268.8</v>
      </c>
      <c r="BC1432" t="str">
        <f t="shared" si="240"/>
        <v>9791137602113</v>
      </c>
      <c r="BE1432" t="str">
        <f t="shared" si="238"/>
        <v>판타지 웹소설 &gt; 현대 판타지</v>
      </c>
    </row>
    <row r="1433" spans="1:57" x14ac:dyDescent="0.3">
      <c r="A1433">
        <v>2313011955</v>
      </c>
      <c r="B1433">
        <v>2313012111</v>
      </c>
      <c r="C1433" t="str">
        <f>T("갓 오브 블랙필드 157화")</f>
        <v>갓 오브 블랙필드 157화</v>
      </c>
      <c r="D1433" t="str">
        <f>T("157")</f>
        <v>157</v>
      </c>
      <c r="E1433" t="str">
        <f t="shared" si="234"/>
        <v>무장</v>
      </c>
      <c r="H1433" t="str">
        <f t="shared" si="235"/>
        <v>스토리위즈</v>
      </c>
      <c r="I1433" t="str">
        <f t="shared" si="239"/>
        <v>갓 오브 블랙필드</v>
      </c>
      <c r="J1433">
        <v>100</v>
      </c>
      <c r="K1433">
        <v>400</v>
      </c>
      <c r="L1433">
        <v>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400</v>
      </c>
      <c r="AH1433">
        <v>4</v>
      </c>
      <c r="AI1433">
        <v>0</v>
      </c>
      <c r="AJ1433">
        <v>0</v>
      </c>
      <c r="AK1433">
        <v>300</v>
      </c>
      <c r="AL1433">
        <v>0</v>
      </c>
      <c r="AM1433">
        <v>120</v>
      </c>
      <c r="AN1433">
        <v>-36</v>
      </c>
      <c r="AO1433">
        <v>0</v>
      </c>
      <c r="AP1433">
        <v>120</v>
      </c>
      <c r="AQ1433">
        <v>-36</v>
      </c>
      <c r="AR1433">
        <v>0</v>
      </c>
      <c r="AT1433">
        <v>0</v>
      </c>
      <c r="AU1433">
        <v>0</v>
      </c>
      <c r="AW1433">
        <v>0</v>
      </c>
      <c r="AX1433">
        <v>0</v>
      </c>
      <c r="AY1433">
        <v>268.8</v>
      </c>
      <c r="BC1433" t="str">
        <f t="shared" si="240"/>
        <v>9791137602113</v>
      </c>
      <c r="BE1433" t="str">
        <f t="shared" si="238"/>
        <v>판타지 웹소설 &gt; 현대 판타지</v>
      </c>
    </row>
    <row r="1434" spans="1:57" x14ac:dyDescent="0.3">
      <c r="A1434">
        <v>2313011955</v>
      </c>
      <c r="B1434">
        <v>2313012112</v>
      </c>
      <c r="C1434" t="str">
        <f>T("갓 오브 블랙필드 158화")</f>
        <v>갓 오브 블랙필드 158화</v>
      </c>
      <c r="D1434" t="str">
        <f>T("158")</f>
        <v>158</v>
      </c>
      <c r="E1434" t="str">
        <f t="shared" si="234"/>
        <v>무장</v>
      </c>
      <c r="H1434" t="str">
        <f t="shared" si="235"/>
        <v>스토리위즈</v>
      </c>
      <c r="I1434" t="str">
        <f t="shared" si="239"/>
        <v>갓 오브 블랙필드</v>
      </c>
      <c r="J1434">
        <v>100</v>
      </c>
      <c r="K1434">
        <v>400</v>
      </c>
      <c r="L1434">
        <v>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400</v>
      </c>
      <c r="AH1434">
        <v>4</v>
      </c>
      <c r="AI1434">
        <v>0</v>
      </c>
      <c r="AJ1434">
        <v>0</v>
      </c>
      <c r="AK1434">
        <v>300</v>
      </c>
      <c r="AL1434">
        <v>0</v>
      </c>
      <c r="AM1434">
        <v>120</v>
      </c>
      <c r="AN1434">
        <v>-36</v>
      </c>
      <c r="AO1434">
        <v>0</v>
      </c>
      <c r="AP1434">
        <v>120</v>
      </c>
      <c r="AQ1434">
        <v>-36</v>
      </c>
      <c r="AR1434">
        <v>0</v>
      </c>
      <c r="AT1434">
        <v>0</v>
      </c>
      <c r="AU1434">
        <v>0</v>
      </c>
      <c r="AW1434">
        <v>0</v>
      </c>
      <c r="AX1434">
        <v>0</v>
      </c>
      <c r="AY1434">
        <v>268.8</v>
      </c>
      <c r="BC1434" t="str">
        <f t="shared" si="240"/>
        <v>9791137602113</v>
      </c>
      <c r="BE1434" t="str">
        <f t="shared" si="238"/>
        <v>판타지 웹소설 &gt; 현대 판타지</v>
      </c>
    </row>
    <row r="1435" spans="1:57" x14ac:dyDescent="0.3">
      <c r="A1435">
        <v>2313011955</v>
      </c>
      <c r="B1435">
        <v>2313012113</v>
      </c>
      <c r="C1435" t="str">
        <f>T("갓 오브 블랙필드 159화")</f>
        <v>갓 오브 블랙필드 159화</v>
      </c>
      <c r="D1435" t="str">
        <f>T("159")</f>
        <v>159</v>
      </c>
      <c r="E1435" t="str">
        <f t="shared" si="234"/>
        <v>무장</v>
      </c>
      <c r="H1435" t="str">
        <f t="shared" si="235"/>
        <v>스토리위즈</v>
      </c>
      <c r="I1435" t="str">
        <f t="shared" si="239"/>
        <v>갓 오브 블랙필드</v>
      </c>
      <c r="J1435">
        <v>100</v>
      </c>
      <c r="K1435">
        <v>400</v>
      </c>
      <c r="L1435">
        <v>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400</v>
      </c>
      <c r="AH1435">
        <v>4</v>
      </c>
      <c r="AI1435">
        <v>0</v>
      </c>
      <c r="AJ1435">
        <v>0</v>
      </c>
      <c r="AK1435">
        <v>300</v>
      </c>
      <c r="AL1435">
        <v>0</v>
      </c>
      <c r="AM1435">
        <v>120</v>
      </c>
      <c r="AN1435">
        <v>-36</v>
      </c>
      <c r="AO1435">
        <v>0</v>
      </c>
      <c r="AP1435">
        <v>120</v>
      </c>
      <c r="AQ1435">
        <v>-36</v>
      </c>
      <c r="AR1435">
        <v>0</v>
      </c>
      <c r="AT1435">
        <v>0</v>
      </c>
      <c r="AU1435">
        <v>0</v>
      </c>
      <c r="AW1435">
        <v>0</v>
      </c>
      <c r="AX1435">
        <v>0</v>
      </c>
      <c r="AY1435">
        <v>268.8</v>
      </c>
      <c r="BC1435" t="str">
        <f t="shared" si="240"/>
        <v>9791137602113</v>
      </c>
      <c r="BE1435" t="str">
        <f t="shared" si="238"/>
        <v>판타지 웹소설 &gt; 현대 판타지</v>
      </c>
    </row>
    <row r="1436" spans="1:57" x14ac:dyDescent="0.3">
      <c r="A1436">
        <v>2313011955</v>
      </c>
      <c r="B1436">
        <v>2313012115</v>
      </c>
      <c r="C1436" t="str">
        <f>T("갓 오브 블랙필드 161화")</f>
        <v>갓 오브 블랙필드 161화</v>
      </c>
      <c r="D1436" t="str">
        <f>T("161")</f>
        <v>161</v>
      </c>
      <c r="E1436" t="str">
        <f t="shared" si="234"/>
        <v>무장</v>
      </c>
      <c r="H1436" t="str">
        <f t="shared" si="235"/>
        <v>스토리위즈</v>
      </c>
      <c r="I1436" t="str">
        <f t="shared" si="239"/>
        <v>갓 오브 블랙필드</v>
      </c>
      <c r="J1436">
        <v>100</v>
      </c>
      <c r="K1436">
        <v>400</v>
      </c>
      <c r="L1436">
        <v>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400</v>
      </c>
      <c r="AH1436">
        <v>4</v>
      </c>
      <c r="AI1436">
        <v>0</v>
      </c>
      <c r="AJ1436">
        <v>0</v>
      </c>
      <c r="AK1436">
        <v>300</v>
      </c>
      <c r="AL1436">
        <v>0</v>
      </c>
      <c r="AM1436">
        <v>120</v>
      </c>
      <c r="AN1436">
        <v>-36</v>
      </c>
      <c r="AO1436">
        <v>0</v>
      </c>
      <c r="AP1436">
        <v>120</v>
      </c>
      <c r="AQ1436">
        <v>-36</v>
      </c>
      <c r="AR1436">
        <v>0</v>
      </c>
      <c r="AT1436">
        <v>0</v>
      </c>
      <c r="AU1436">
        <v>0</v>
      </c>
      <c r="AW1436">
        <v>0</v>
      </c>
      <c r="AX1436">
        <v>0</v>
      </c>
      <c r="AY1436">
        <v>268.8</v>
      </c>
      <c r="BC1436" t="str">
        <f t="shared" si="240"/>
        <v>9791137602113</v>
      </c>
      <c r="BE1436" t="str">
        <f t="shared" si="238"/>
        <v>판타지 웹소설 &gt; 현대 판타지</v>
      </c>
    </row>
    <row r="1437" spans="1:57" x14ac:dyDescent="0.3">
      <c r="A1437">
        <v>2313011955</v>
      </c>
      <c r="B1437">
        <v>2313012116</v>
      </c>
      <c r="C1437" t="str">
        <f>T("갓 오브 블랙필드 162화")</f>
        <v>갓 오브 블랙필드 162화</v>
      </c>
      <c r="D1437" t="str">
        <f>T("162")</f>
        <v>162</v>
      </c>
      <c r="E1437" t="str">
        <f t="shared" ref="E1437:E1460" si="241">T("무장")</f>
        <v>무장</v>
      </c>
      <c r="H1437" t="str">
        <f t="shared" ref="H1437:H1460" si="242">T("스토리위즈")</f>
        <v>스토리위즈</v>
      </c>
      <c r="I1437" t="str">
        <f t="shared" si="239"/>
        <v>갓 오브 블랙필드</v>
      </c>
      <c r="J1437">
        <v>100</v>
      </c>
      <c r="K1437">
        <v>400</v>
      </c>
      <c r="L1437">
        <v>4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400</v>
      </c>
      <c r="AH1437">
        <v>4</v>
      </c>
      <c r="AI1437">
        <v>0</v>
      </c>
      <c r="AJ1437">
        <v>0</v>
      </c>
      <c r="AK1437">
        <v>300</v>
      </c>
      <c r="AL1437">
        <v>0</v>
      </c>
      <c r="AM1437">
        <v>120</v>
      </c>
      <c r="AN1437">
        <v>-36</v>
      </c>
      <c r="AO1437">
        <v>0</v>
      </c>
      <c r="AP1437">
        <v>120</v>
      </c>
      <c r="AQ1437">
        <v>-36</v>
      </c>
      <c r="AR1437">
        <v>0</v>
      </c>
      <c r="AT1437">
        <v>0</v>
      </c>
      <c r="AU1437">
        <v>0</v>
      </c>
      <c r="AW1437">
        <v>0</v>
      </c>
      <c r="AX1437">
        <v>0</v>
      </c>
      <c r="AY1437">
        <v>268.8</v>
      </c>
      <c r="BC1437" t="str">
        <f t="shared" si="240"/>
        <v>9791137602113</v>
      </c>
      <c r="BE1437" t="str">
        <f t="shared" ref="BE1437:BE1460" si="243">T("판타지 웹소설 &gt; 현대 판타지")</f>
        <v>판타지 웹소설 &gt; 현대 판타지</v>
      </c>
    </row>
    <row r="1438" spans="1:57" x14ac:dyDescent="0.3">
      <c r="A1438">
        <v>2313011955</v>
      </c>
      <c r="B1438">
        <v>2313012117</v>
      </c>
      <c r="C1438" t="str">
        <f>T("갓 오브 블랙필드 163화")</f>
        <v>갓 오브 블랙필드 163화</v>
      </c>
      <c r="D1438" t="str">
        <f>T("163")</f>
        <v>163</v>
      </c>
      <c r="E1438" t="str">
        <f t="shared" si="241"/>
        <v>무장</v>
      </c>
      <c r="H1438" t="str">
        <f t="shared" si="242"/>
        <v>스토리위즈</v>
      </c>
      <c r="I1438" t="str">
        <f t="shared" si="239"/>
        <v>갓 오브 블랙필드</v>
      </c>
      <c r="J1438">
        <v>100</v>
      </c>
      <c r="K1438">
        <v>400</v>
      </c>
      <c r="L1438">
        <v>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400</v>
      </c>
      <c r="AH1438">
        <v>4</v>
      </c>
      <c r="AI1438">
        <v>0</v>
      </c>
      <c r="AJ1438">
        <v>0</v>
      </c>
      <c r="AK1438">
        <v>300</v>
      </c>
      <c r="AL1438">
        <v>0</v>
      </c>
      <c r="AM1438">
        <v>120</v>
      </c>
      <c r="AN1438">
        <v>-36</v>
      </c>
      <c r="AO1438">
        <v>0</v>
      </c>
      <c r="AP1438">
        <v>120</v>
      </c>
      <c r="AQ1438">
        <v>-36</v>
      </c>
      <c r="AR1438">
        <v>0</v>
      </c>
      <c r="AT1438">
        <v>0</v>
      </c>
      <c r="AU1438">
        <v>0</v>
      </c>
      <c r="AW1438">
        <v>0</v>
      </c>
      <c r="AX1438">
        <v>0</v>
      </c>
      <c r="AY1438">
        <v>268.8</v>
      </c>
      <c r="BC1438" t="str">
        <f t="shared" si="240"/>
        <v>9791137602113</v>
      </c>
      <c r="BE1438" t="str">
        <f t="shared" si="243"/>
        <v>판타지 웹소설 &gt; 현대 판타지</v>
      </c>
    </row>
    <row r="1439" spans="1:57" x14ac:dyDescent="0.3">
      <c r="A1439">
        <v>2313011955</v>
      </c>
      <c r="B1439">
        <v>2313012119</v>
      </c>
      <c r="C1439" t="str">
        <f>T("갓 오브 블랙필드 165화")</f>
        <v>갓 오브 블랙필드 165화</v>
      </c>
      <c r="D1439" t="str">
        <f>T("165")</f>
        <v>165</v>
      </c>
      <c r="E1439" t="str">
        <f t="shared" si="241"/>
        <v>무장</v>
      </c>
      <c r="H1439" t="str">
        <f t="shared" si="242"/>
        <v>스토리위즈</v>
      </c>
      <c r="I1439" t="str">
        <f t="shared" si="239"/>
        <v>갓 오브 블랙필드</v>
      </c>
      <c r="J1439">
        <v>100</v>
      </c>
      <c r="K1439">
        <v>400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400</v>
      </c>
      <c r="AH1439">
        <v>4</v>
      </c>
      <c r="AI1439">
        <v>0</v>
      </c>
      <c r="AJ1439">
        <v>0</v>
      </c>
      <c r="AK1439">
        <v>300</v>
      </c>
      <c r="AL1439">
        <v>0</v>
      </c>
      <c r="AM1439">
        <v>120</v>
      </c>
      <c r="AN1439">
        <v>-36</v>
      </c>
      <c r="AO1439">
        <v>0</v>
      </c>
      <c r="AP1439">
        <v>120</v>
      </c>
      <c r="AQ1439">
        <v>-36</v>
      </c>
      <c r="AR1439">
        <v>0</v>
      </c>
      <c r="AT1439">
        <v>0</v>
      </c>
      <c r="AU1439">
        <v>0</v>
      </c>
      <c r="AW1439">
        <v>0</v>
      </c>
      <c r="AX1439">
        <v>0</v>
      </c>
      <c r="AY1439">
        <v>268.8</v>
      </c>
      <c r="BC1439" t="str">
        <f t="shared" si="240"/>
        <v>9791137602113</v>
      </c>
      <c r="BE1439" t="str">
        <f t="shared" si="243"/>
        <v>판타지 웹소설 &gt; 현대 판타지</v>
      </c>
    </row>
    <row r="1440" spans="1:57" x14ac:dyDescent="0.3">
      <c r="A1440">
        <v>2313011955</v>
      </c>
      <c r="B1440">
        <v>2313012121</v>
      </c>
      <c r="C1440" t="str">
        <f>T("갓 오브 블랙필드 167화")</f>
        <v>갓 오브 블랙필드 167화</v>
      </c>
      <c r="D1440" t="str">
        <f>T("167")</f>
        <v>167</v>
      </c>
      <c r="E1440" t="str">
        <f t="shared" si="241"/>
        <v>무장</v>
      </c>
      <c r="H1440" t="str">
        <f t="shared" si="242"/>
        <v>스토리위즈</v>
      </c>
      <c r="I1440" t="str">
        <f t="shared" si="239"/>
        <v>갓 오브 블랙필드</v>
      </c>
      <c r="J1440">
        <v>100</v>
      </c>
      <c r="K1440">
        <v>400</v>
      </c>
      <c r="L1440">
        <v>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400</v>
      </c>
      <c r="AH1440">
        <v>4</v>
      </c>
      <c r="AI1440">
        <v>0</v>
      </c>
      <c r="AJ1440">
        <v>0</v>
      </c>
      <c r="AK1440">
        <v>300</v>
      </c>
      <c r="AL1440">
        <v>0</v>
      </c>
      <c r="AM1440">
        <v>120</v>
      </c>
      <c r="AN1440">
        <v>-36</v>
      </c>
      <c r="AO1440">
        <v>0</v>
      </c>
      <c r="AP1440">
        <v>120</v>
      </c>
      <c r="AQ1440">
        <v>-36</v>
      </c>
      <c r="AR1440">
        <v>0</v>
      </c>
      <c r="AT1440">
        <v>0</v>
      </c>
      <c r="AU1440">
        <v>0</v>
      </c>
      <c r="AW1440">
        <v>0</v>
      </c>
      <c r="AX1440">
        <v>0</v>
      </c>
      <c r="AY1440">
        <v>268.8</v>
      </c>
      <c r="BC1440" t="str">
        <f t="shared" si="240"/>
        <v>9791137602113</v>
      </c>
      <c r="BE1440" t="str">
        <f t="shared" si="243"/>
        <v>판타지 웹소설 &gt; 현대 판타지</v>
      </c>
    </row>
    <row r="1441" spans="1:57" x14ac:dyDescent="0.3">
      <c r="A1441">
        <v>2313011955</v>
      </c>
      <c r="B1441">
        <v>2313012131</v>
      </c>
      <c r="C1441" t="str">
        <f>T("갓 오브 블랙필드 177화")</f>
        <v>갓 오브 블랙필드 177화</v>
      </c>
      <c r="D1441" t="str">
        <f>T("177")</f>
        <v>177</v>
      </c>
      <c r="E1441" t="str">
        <f t="shared" si="241"/>
        <v>무장</v>
      </c>
      <c r="H1441" t="str">
        <f t="shared" si="242"/>
        <v>스토리위즈</v>
      </c>
      <c r="I1441" t="str">
        <f t="shared" si="239"/>
        <v>갓 오브 블랙필드</v>
      </c>
      <c r="J1441">
        <v>100</v>
      </c>
      <c r="K1441">
        <v>400</v>
      </c>
      <c r="L1441">
        <v>4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400</v>
      </c>
      <c r="AH1441">
        <v>4</v>
      </c>
      <c r="AI1441">
        <v>0</v>
      </c>
      <c r="AJ1441">
        <v>0</v>
      </c>
      <c r="AK1441">
        <v>300</v>
      </c>
      <c r="AL1441">
        <v>0</v>
      </c>
      <c r="AM1441">
        <v>120</v>
      </c>
      <c r="AN1441">
        <v>-36</v>
      </c>
      <c r="AO1441">
        <v>0</v>
      </c>
      <c r="AP1441">
        <v>120</v>
      </c>
      <c r="AQ1441">
        <v>-36</v>
      </c>
      <c r="AR1441">
        <v>0</v>
      </c>
      <c r="AT1441">
        <v>0</v>
      </c>
      <c r="AU1441">
        <v>0</v>
      </c>
      <c r="AW1441">
        <v>0</v>
      </c>
      <c r="AX1441">
        <v>0</v>
      </c>
      <c r="AY1441">
        <v>268.8</v>
      </c>
      <c r="BC1441" t="str">
        <f t="shared" si="240"/>
        <v>9791137602113</v>
      </c>
      <c r="BE1441" t="str">
        <f t="shared" si="243"/>
        <v>판타지 웹소설 &gt; 현대 판타지</v>
      </c>
    </row>
    <row r="1442" spans="1:57" x14ac:dyDescent="0.3">
      <c r="A1442">
        <v>2313011955</v>
      </c>
      <c r="B1442">
        <v>2313012133</v>
      </c>
      <c r="C1442" t="str">
        <f>T("갓 오브 블랙필드 179화")</f>
        <v>갓 오브 블랙필드 179화</v>
      </c>
      <c r="D1442" t="str">
        <f>T("179")</f>
        <v>179</v>
      </c>
      <c r="E1442" t="str">
        <f t="shared" si="241"/>
        <v>무장</v>
      </c>
      <c r="H1442" t="str">
        <f t="shared" si="242"/>
        <v>스토리위즈</v>
      </c>
      <c r="I1442" t="str">
        <f t="shared" si="239"/>
        <v>갓 오브 블랙필드</v>
      </c>
      <c r="J1442">
        <v>100</v>
      </c>
      <c r="K1442">
        <v>400</v>
      </c>
      <c r="L1442">
        <v>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400</v>
      </c>
      <c r="AH1442">
        <v>4</v>
      </c>
      <c r="AI1442">
        <v>0</v>
      </c>
      <c r="AJ1442">
        <v>0</v>
      </c>
      <c r="AK1442">
        <v>300</v>
      </c>
      <c r="AL1442">
        <v>0</v>
      </c>
      <c r="AM1442">
        <v>120</v>
      </c>
      <c r="AN1442">
        <v>-36</v>
      </c>
      <c r="AO1442">
        <v>0</v>
      </c>
      <c r="AP1442">
        <v>120</v>
      </c>
      <c r="AQ1442">
        <v>-36</v>
      </c>
      <c r="AR1442">
        <v>0</v>
      </c>
      <c r="AT1442">
        <v>0</v>
      </c>
      <c r="AU1442">
        <v>0</v>
      </c>
      <c r="AW1442">
        <v>0</v>
      </c>
      <c r="AX1442">
        <v>0</v>
      </c>
      <c r="AY1442">
        <v>268.8</v>
      </c>
      <c r="BC1442" t="str">
        <f t="shared" si="240"/>
        <v>9791137602113</v>
      </c>
      <c r="BE1442" t="str">
        <f t="shared" si="243"/>
        <v>판타지 웹소설 &gt; 현대 판타지</v>
      </c>
    </row>
    <row r="1443" spans="1:57" x14ac:dyDescent="0.3">
      <c r="A1443">
        <v>2313011955</v>
      </c>
      <c r="B1443">
        <v>2313012135</v>
      </c>
      <c r="C1443" t="str">
        <f>T("갓 오브 블랙필드 181화")</f>
        <v>갓 오브 블랙필드 181화</v>
      </c>
      <c r="D1443" t="str">
        <f>T("181")</f>
        <v>181</v>
      </c>
      <c r="E1443" t="str">
        <f t="shared" si="241"/>
        <v>무장</v>
      </c>
      <c r="H1443" t="str">
        <f t="shared" si="242"/>
        <v>스토리위즈</v>
      </c>
      <c r="I1443" t="str">
        <f t="shared" si="239"/>
        <v>갓 오브 블랙필드</v>
      </c>
      <c r="J1443">
        <v>100</v>
      </c>
      <c r="K1443">
        <v>400</v>
      </c>
      <c r="L1443">
        <v>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400</v>
      </c>
      <c r="AH1443">
        <v>4</v>
      </c>
      <c r="AI1443">
        <v>0</v>
      </c>
      <c r="AJ1443">
        <v>0</v>
      </c>
      <c r="AK1443">
        <v>300</v>
      </c>
      <c r="AL1443">
        <v>0</v>
      </c>
      <c r="AM1443">
        <v>120</v>
      </c>
      <c r="AN1443">
        <v>-36</v>
      </c>
      <c r="AO1443">
        <v>0</v>
      </c>
      <c r="AP1443">
        <v>120</v>
      </c>
      <c r="AQ1443">
        <v>-36</v>
      </c>
      <c r="AR1443">
        <v>0</v>
      </c>
      <c r="AT1443">
        <v>0</v>
      </c>
      <c r="AU1443">
        <v>0</v>
      </c>
      <c r="AW1443">
        <v>0</v>
      </c>
      <c r="AX1443">
        <v>0</v>
      </c>
      <c r="AY1443">
        <v>268.8</v>
      </c>
      <c r="BC1443" t="str">
        <f t="shared" si="240"/>
        <v>9791137602113</v>
      </c>
      <c r="BE1443" t="str">
        <f t="shared" si="243"/>
        <v>판타지 웹소설 &gt; 현대 판타지</v>
      </c>
    </row>
    <row r="1444" spans="1:57" x14ac:dyDescent="0.3">
      <c r="A1444">
        <v>2313011955</v>
      </c>
      <c r="B1444">
        <v>2313012137</v>
      </c>
      <c r="C1444" t="str">
        <f>T("갓 오브 블랙필드 183화")</f>
        <v>갓 오브 블랙필드 183화</v>
      </c>
      <c r="D1444" t="str">
        <f>T("183")</f>
        <v>183</v>
      </c>
      <c r="E1444" t="str">
        <f t="shared" si="241"/>
        <v>무장</v>
      </c>
      <c r="H1444" t="str">
        <f t="shared" si="242"/>
        <v>스토리위즈</v>
      </c>
      <c r="I1444" t="str">
        <f t="shared" si="239"/>
        <v>갓 오브 블랙필드</v>
      </c>
      <c r="J1444">
        <v>100</v>
      </c>
      <c r="K1444">
        <v>400</v>
      </c>
      <c r="L1444">
        <v>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400</v>
      </c>
      <c r="AH1444">
        <v>4</v>
      </c>
      <c r="AI1444">
        <v>0</v>
      </c>
      <c r="AJ1444">
        <v>0</v>
      </c>
      <c r="AK1444">
        <v>300</v>
      </c>
      <c r="AL1444">
        <v>0</v>
      </c>
      <c r="AM1444">
        <v>120</v>
      </c>
      <c r="AN1444">
        <v>-36</v>
      </c>
      <c r="AO1444">
        <v>0</v>
      </c>
      <c r="AP1444">
        <v>120</v>
      </c>
      <c r="AQ1444">
        <v>-36</v>
      </c>
      <c r="AR1444">
        <v>0</v>
      </c>
      <c r="AT1444">
        <v>0</v>
      </c>
      <c r="AU1444">
        <v>0</v>
      </c>
      <c r="AW1444">
        <v>0</v>
      </c>
      <c r="AX1444">
        <v>0</v>
      </c>
      <c r="AY1444">
        <v>268.8</v>
      </c>
      <c r="BC1444" t="str">
        <f t="shared" si="240"/>
        <v>9791137602113</v>
      </c>
      <c r="BE1444" t="str">
        <f t="shared" si="243"/>
        <v>판타지 웹소설 &gt; 현대 판타지</v>
      </c>
    </row>
    <row r="1445" spans="1:57" x14ac:dyDescent="0.3">
      <c r="A1445">
        <v>2313011955</v>
      </c>
      <c r="B1445">
        <v>2313012138</v>
      </c>
      <c r="C1445" t="str">
        <f>T("갓 오브 블랙필드 184화")</f>
        <v>갓 오브 블랙필드 184화</v>
      </c>
      <c r="D1445" t="str">
        <f>T("184")</f>
        <v>184</v>
      </c>
      <c r="E1445" t="str">
        <f t="shared" si="241"/>
        <v>무장</v>
      </c>
      <c r="H1445" t="str">
        <f t="shared" si="242"/>
        <v>스토리위즈</v>
      </c>
      <c r="I1445" t="str">
        <f t="shared" si="239"/>
        <v>갓 오브 블랙필드</v>
      </c>
      <c r="J1445">
        <v>100</v>
      </c>
      <c r="K1445">
        <v>400</v>
      </c>
      <c r="L1445">
        <v>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400</v>
      </c>
      <c r="AH1445">
        <v>4</v>
      </c>
      <c r="AI1445">
        <v>0</v>
      </c>
      <c r="AJ1445">
        <v>0</v>
      </c>
      <c r="AK1445">
        <v>300</v>
      </c>
      <c r="AL1445">
        <v>0</v>
      </c>
      <c r="AM1445">
        <v>120</v>
      </c>
      <c r="AN1445">
        <v>-36</v>
      </c>
      <c r="AO1445">
        <v>0</v>
      </c>
      <c r="AP1445">
        <v>120</v>
      </c>
      <c r="AQ1445">
        <v>-36</v>
      </c>
      <c r="AR1445">
        <v>0</v>
      </c>
      <c r="AT1445">
        <v>0</v>
      </c>
      <c r="AU1445">
        <v>0</v>
      </c>
      <c r="AW1445">
        <v>0</v>
      </c>
      <c r="AX1445">
        <v>0</v>
      </c>
      <c r="AY1445">
        <v>268.8</v>
      </c>
      <c r="BC1445" t="str">
        <f t="shared" si="240"/>
        <v>9791137602113</v>
      </c>
      <c r="BE1445" t="str">
        <f t="shared" si="243"/>
        <v>판타지 웹소설 &gt; 현대 판타지</v>
      </c>
    </row>
    <row r="1446" spans="1:57" x14ac:dyDescent="0.3">
      <c r="A1446">
        <v>2313011955</v>
      </c>
      <c r="B1446">
        <v>2313012145</v>
      </c>
      <c r="C1446" t="str">
        <f>T("갓 오브 블랙필드 191화")</f>
        <v>갓 오브 블랙필드 191화</v>
      </c>
      <c r="D1446" t="str">
        <f>T("191")</f>
        <v>191</v>
      </c>
      <c r="E1446" t="str">
        <f t="shared" si="241"/>
        <v>무장</v>
      </c>
      <c r="H1446" t="str">
        <f t="shared" si="242"/>
        <v>스토리위즈</v>
      </c>
      <c r="I1446" t="str">
        <f t="shared" si="239"/>
        <v>갓 오브 블랙필드</v>
      </c>
      <c r="J1446">
        <v>100</v>
      </c>
      <c r="K1446">
        <v>400</v>
      </c>
      <c r="L1446">
        <v>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400</v>
      </c>
      <c r="AH1446">
        <v>4</v>
      </c>
      <c r="AI1446">
        <v>0</v>
      </c>
      <c r="AJ1446">
        <v>0</v>
      </c>
      <c r="AK1446">
        <v>300</v>
      </c>
      <c r="AL1446">
        <v>0</v>
      </c>
      <c r="AM1446">
        <v>120</v>
      </c>
      <c r="AN1446">
        <v>-36</v>
      </c>
      <c r="AO1446">
        <v>0</v>
      </c>
      <c r="AP1446">
        <v>120</v>
      </c>
      <c r="AQ1446">
        <v>-36</v>
      </c>
      <c r="AR1446">
        <v>0</v>
      </c>
      <c r="AT1446">
        <v>0</v>
      </c>
      <c r="AU1446">
        <v>0</v>
      </c>
      <c r="AW1446">
        <v>0</v>
      </c>
      <c r="AX1446">
        <v>0</v>
      </c>
      <c r="AY1446">
        <v>268.8</v>
      </c>
      <c r="BC1446" t="str">
        <f t="shared" si="240"/>
        <v>9791137602113</v>
      </c>
      <c r="BE1446" t="str">
        <f t="shared" si="243"/>
        <v>판타지 웹소설 &gt; 현대 판타지</v>
      </c>
    </row>
    <row r="1447" spans="1:57" x14ac:dyDescent="0.3">
      <c r="A1447">
        <v>2313011955</v>
      </c>
      <c r="B1447">
        <v>2313012148</v>
      </c>
      <c r="C1447" t="str">
        <f>T("갓 오브 블랙필드 194화")</f>
        <v>갓 오브 블랙필드 194화</v>
      </c>
      <c r="D1447" t="str">
        <f>T("194")</f>
        <v>194</v>
      </c>
      <c r="E1447" t="str">
        <f t="shared" si="241"/>
        <v>무장</v>
      </c>
      <c r="H1447" t="str">
        <f t="shared" si="242"/>
        <v>스토리위즈</v>
      </c>
      <c r="I1447" t="str">
        <f t="shared" si="239"/>
        <v>갓 오브 블랙필드</v>
      </c>
      <c r="J1447">
        <v>100</v>
      </c>
      <c r="K1447">
        <v>400</v>
      </c>
      <c r="L1447">
        <v>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400</v>
      </c>
      <c r="AH1447">
        <v>4</v>
      </c>
      <c r="AI1447">
        <v>0</v>
      </c>
      <c r="AJ1447">
        <v>0</v>
      </c>
      <c r="AK1447">
        <v>300</v>
      </c>
      <c r="AL1447">
        <v>0</v>
      </c>
      <c r="AM1447">
        <v>120</v>
      </c>
      <c r="AN1447">
        <v>-36</v>
      </c>
      <c r="AO1447">
        <v>0</v>
      </c>
      <c r="AP1447">
        <v>120</v>
      </c>
      <c r="AQ1447">
        <v>-36</v>
      </c>
      <c r="AR1447">
        <v>0</v>
      </c>
      <c r="AT1447">
        <v>0</v>
      </c>
      <c r="AU1447">
        <v>0</v>
      </c>
      <c r="AW1447">
        <v>0</v>
      </c>
      <c r="AX1447">
        <v>0</v>
      </c>
      <c r="AY1447">
        <v>268.8</v>
      </c>
      <c r="BC1447" t="str">
        <f t="shared" si="240"/>
        <v>9791137602113</v>
      </c>
      <c r="BE1447" t="str">
        <f t="shared" si="243"/>
        <v>판타지 웹소설 &gt; 현대 판타지</v>
      </c>
    </row>
    <row r="1448" spans="1:57" x14ac:dyDescent="0.3">
      <c r="A1448">
        <v>2313011955</v>
      </c>
      <c r="B1448">
        <v>2313012149</v>
      </c>
      <c r="C1448" t="str">
        <f>T("갓 오브 블랙필드 195화")</f>
        <v>갓 오브 블랙필드 195화</v>
      </c>
      <c r="D1448" t="str">
        <f>T("195")</f>
        <v>195</v>
      </c>
      <c r="E1448" t="str">
        <f t="shared" si="241"/>
        <v>무장</v>
      </c>
      <c r="H1448" t="str">
        <f t="shared" si="242"/>
        <v>스토리위즈</v>
      </c>
      <c r="I1448" t="str">
        <f t="shared" si="239"/>
        <v>갓 오브 블랙필드</v>
      </c>
      <c r="J1448">
        <v>100</v>
      </c>
      <c r="K1448">
        <v>400</v>
      </c>
      <c r="L1448">
        <v>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400</v>
      </c>
      <c r="AH1448">
        <v>4</v>
      </c>
      <c r="AI1448">
        <v>0</v>
      </c>
      <c r="AJ1448">
        <v>0</v>
      </c>
      <c r="AK1448">
        <v>300</v>
      </c>
      <c r="AL1448">
        <v>0</v>
      </c>
      <c r="AM1448">
        <v>120</v>
      </c>
      <c r="AN1448">
        <v>-36</v>
      </c>
      <c r="AO1448">
        <v>0</v>
      </c>
      <c r="AP1448">
        <v>120</v>
      </c>
      <c r="AQ1448">
        <v>-36</v>
      </c>
      <c r="AR1448">
        <v>0</v>
      </c>
      <c r="AT1448">
        <v>0</v>
      </c>
      <c r="AU1448">
        <v>0</v>
      </c>
      <c r="AW1448">
        <v>0</v>
      </c>
      <c r="AX1448">
        <v>0</v>
      </c>
      <c r="AY1448">
        <v>268.8</v>
      </c>
      <c r="BC1448" t="str">
        <f t="shared" si="240"/>
        <v>9791137602113</v>
      </c>
      <c r="BE1448" t="str">
        <f t="shared" si="243"/>
        <v>판타지 웹소설 &gt; 현대 판타지</v>
      </c>
    </row>
    <row r="1449" spans="1:57" x14ac:dyDescent="0.3">
      <c r="A1449">
        <v>2313011955</v>
      </c>
      <c r="B1449">
        <v>2313012150</v>
      </c>
      <c r="C1449" t="str">
        <f>T("갓 오브 블랙필드 196화")</f>
        <v>갓 오브 블랙필드 196화</v>
      </c>
      <c r="D1449" t="str">
        <f>T("196")</f>
        <v>196</v>
      </c>
      <c r="E1449" t="str">
        <f t="shared" si="241"/>
        <v>무장</v>
      </c>
      <c r="H1449" t="str">
        <f t="shared" si="242"/>
        <v>스토리위즈</v>
      </c>
      <c r="I1449" t="str">
        <f t="shared" si="239"/>
        <v>갓 오브 블랙필드</v>
      </c>
      <c r="J1449">
        <v>100</v>
      </c>
      <c r="K1449">
        <v>400</v>
      </c>
      <c r="L1449">
        <v>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400</v>
      </c>
      <c r="AH1449">
        <v>4</v>
      </c>
      <c r="AI1449">
        <v>0</v>
      </c>
      <c r="AJ1449">
        <v>0</v>
      </c>
      <c r="AK1449">
        <v>300</v>
      </c>
      <c r="AL1449">
        <v>0</v>
      </c>
      <c r="AM1449">
        <v>120</v>
      </c>
      <c r="AN1449">
        <v>-36</v>
      </c>
      <c r="AO1449">
        <v>0</v>
      </c>
      <c r="AP1449">
        <v>120</v>
      </c>
      <c r="AQ1449">
        <v>-36</v>
      </c>
      <c r="AR1449">
        <v>0</v>
      </c>
      <c r="AT1449">
        <v>0</v>
      </c>
      <c r="AU1449">
        <v>0</v>
      </c>
      <c r="AW1449">
        <v>0</v>
      </c>
      <c r="AX1449">
        <v>0</v>
      </c>
      <c r="AY1449">
        <v>268.8</v>
      </c>
      <c r="BC1449" t="str">
        <f t="shared" si="240"/>
        <v>9791137602113</v>
      </c>
      <c r="BE1449" t="str">
        <f t="shared" si="243"/>
        <v>판타지 웹소설 &gt; 현대 판타지</v>
      </c>
    </row>
    <row r="1450" spans="1:57" x14ac:dyDescent="0.3">
      <c r="A1450">
        <v>2313011955</v>
      </c>
      <c r="B1450">
        <v>2313012166</v>
      </c>
      <c r="C1450" t="str">
        <f>T("갓 오브 블랙필드 212화")</f>
        <v>갓 오브 블랙필드 212화</v>
      </c>
      <c r="D1450" t="str">
        <f>T("212")</f>
        <v>212</v>
      </c>
      <c r="E1450" t="str">
        <f t="shared" si="241"/>
        <v>무장</v>
      </c>
      <c r="H1450" t="str">
        <f t="shared" si="242"/>
        <v>스토리위즈</v>
      </c>
      <c r="I1450" t="str">
        <f t="shared" si="239"/>
        <v>갓 오브 블랙필드</v>
      </c>
      <c r="J1450">
        <v>100</v>
      </c>
      <c r="K1450">
        <v>400</v>
      </c>
      <c r="L1450">
        <v>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400</v>
      </c>
      <c r="AH1450">
        <v>4</v>
      </c>
      <c r="AI1450">
        <v>0</v>
      </c>
      <c r="AJ1450">
        <v>0</v>
      </c>
      <c r="AK1450">
        <v>400</v>
      </c>
      <c r="AL1450">
        <v>0</v>
      </c>
      <c r="AM1450">
        <v>0</v>
      </c>
      <c r="AN1450">
        <v>0</v>
      </c>
      <c r="AO1450">
        <v>0</v>
      </c>
      <c r="AP1450"/>
      <c r="AQ1450">
        <v>0</v>
      </c>
      <c r="AR1450">
        <v>0</v>
      </c>
      <c r="AT1450">
        <v>0</v>
      </c>
      <c r="AU1450">
        <v>0</v>
      </c>
      <c r="AW1450">
        <v>0</v>
      </c>
      <c r="AX1450">
        <v>0</v>
      </c>
      <c r="AY1450">
        <v>280</v>
      </c>
      <c r="BC1450" t="str">
        <f t="shared" si="240"/>
        <v>9791137602113</v>
      </c>
      <c r="BE1450" t="str">
        <f t="shared" si="243"/>
        <v>판타지 웹소설 &gt; 현대 판타지</v>
      </c>
    </row>
    <row r="1451" spans="1:57" x14ac:dyDescent="0.3">
      <c r="A1451">
        <v>2313011955</v>
      </c>
      <c r="B1451">
        <v>2313012167</v>
      </c>
      <c r="C1451" t="str">
        <f>T("갓 오브 블랙필드 213화")</f>
        <v>갓 오브 블랙필드 213화</v>
      </c>
      <c r="D1451" t="str">
        <f>T("213")</f>
        <v>213</v>
      </c>
      <c r="E1451" t="str">
        <f t="shared" si="241"/>
        <v>무장</v>
      </c>
      <c r="H1451" t="str">
        <f t="shared" si="242"/>
        <v>스토리위즈</v>
      </c>
      <c r="I1451" t="str">
        <f t="shared" si="239"/>
        <v>갓 오브 블랙필드</v>
      </c>
      <c r="J1451">
        <v>100</v>
      </c>
      <c r="K1451">
        <v>400</v>
      </c>
      <c r="L1451">
        <v>4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400</v>
      </c>
      <c r="AH1451">
        <v>4</v>
      </c>
      <c r="AI1451">
        <v>0</v>
      </c>
      <c r="AJ1451">
        <v>0</v>
      </c>
      <c r="AK1451">
        <v>400</v>
      </c>
      <c r="AL1451">
        <v>0</v>
      </c>
      <c r="AM1451">
        <v>0</v>
      </c>
      <c r="AN1451">
        <v>0</v>
      </c>
      <c r="AO1451">
        <v>0</v>
      </c>
      <c r="AP1451"/>
      <c r="AQ1451">
        <v>0</v>
      </c>
      <c r="AR1451">
        <v>0</v>
      </c>
      <c r="AT1451">
        <v>0</v>
      </c>
      <c r="AU1451">
        <v>0</v>
      </c>
      <c r="AW1451">
        <v>0</v>
      </c>
      <c r="AX1451">
        <v>0</v>
      </c>
      <c r="AY1451">
        <v>280</v>
      </c>
      <c r="BC1451" t="str">
        <f t="shared" si="240"/>
        <v>9791137602113</v>
      </c>
      <c r="BE1451" t="str">
        <f t="shared" si="243"/>
        <v>판타지 웹소설 &gt; 현대 판타지</v>
      </c>
    </row>
    <row r="1452" spans="1:57" x14ac:dyDescent="0.3">
      <c r="A1452">
        <v>2313011955</v>
      </c>
      <c r="B1452">
        <v>2313012170</v>
      </c>
      <c r="C1452" t="str">
        <f>T("갓 오브 블랙필드 216화")</f>
        <v>갓 오브 블랙필드 216화</v>
      </c>
      <c r="D1452" t="str">
        <f>T("216")</f>
        <v>216</v>
      </c>
      <c r="E1452" t="str">
        <f t="shared" si="241"/>
        <v>무장</v>
      </c>
      <c r="H1452" t="str">
        <f t="shared" si="242"/>
        <v>스토리위즈</v>
      </c>
      <c r="I1452" t="str">
        <f t="shared" si="239"/>
        <v>갓 오브 블랙필드</v>
      </c>
      <c r="J1452">
        <v>100</v>
      </c>
      <c r="K1452">
        <v>400</v>
      </c>
      <c r="L1452">
        <v>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400</v>
      </c>
      <c r="AH1452">
        <v>4</v>
      </c>
      <c r="AI1452">
        <v>0</v>
      </c>
      <c r="AJ1452">
        <v>0</v>
      </c>
      <c r="AK1452">
        <v>400</v>
      </c>
      <c r="AL1452">
        <v>0</v>
      </c>
      <c r="AM1452">
        <v>0</v>
      </c>
      <c r="AN1452">
        <v>0</v>
      </c>
      <c r="AO1452">
        <v>0</v>
      </c>
      <c r="AP1452"/>
      <c r="AQ1452">
        <v>0</v>
      </c>
      <c r="AR1452">
        <v>0</v>
      </c>
      <c r="AT1452">
        <v>0</v>
      </c>
      <c r="AU1452">
        <v>0</v>
      </c>
      <c r="AW1452">
        <v>0</v>
      </c>
      <c r="AX1452">
        <v>0</v>
      </c>
      <c r="AY1452">
        <v>280</v>
      </c>
      <c r="BC1452" t="str">
        <f t="shared" si="240"/>
        <v>9791137602113</v>
      </c>
      <c r="BE1452" t="str">
        <f t="shared" si="243"/>
        <v>판타지 웹소설 &gt; 현대 판타지</v>
      </c>
    </row>
    <row r="1453" spans="1:57" x14ac:dyDescent="0.3">
      <c r="A1453">
        <v>2313011955</v>
      </c>
      <c r="B1453">
        <v>2313012171</v>
      </c>
      <c r="C1453" t="str">
        <f>T("갓 오브 블랙필드 217화")</f>
        <v>갓 오브 블랙필드 217화</v>
      </c>
      <c r="D1453" t="str">
        <f>T("217")</f>
        <v>217</v>
      </c>
      <c r="E1453" t="str">
        <f t="shared" si="241"/>
        <v>무장</v>
      </c>
      <c r="H1453" t="str">
        <f t="shared" si="242"/>
        <v>스토리위즈</v>
      </c>
      <c r="I1453" t="str">
        <f t="shared" si="239"/>
        <v>갓 오브 블랙필드</v>
      </c>
      <c r="J1453">
        <v>100</v>
      </c>
      <c r="K1453">
        <v>400</v>
      </c>
      <c r="L1453">
        <v>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400</v>
      </c>
      <c r="AH1453">
        <v>4</v>
      </c>
      <c r="AI1453">
        <v>0</v>
      </c>
      <c r="AJ1453">
        <v>0</v>
      </c>
      <c r="AK1453">
        <v>400</v>
      </c>
      <c r="AL1453">
        <v>0</v>
      </c>
      <c r="AM1453">
        <v>0</v>
      </c>
      <c r="AN1453">
        <v>0</v>
      </c>
      <c r="AO1453">
        <v>0</v>
      </c>
      <c r="AP1453"/>
      <c r="AQ1453">
        <v>0</v>
      </c>
      <c r="AR1453">
        <v>0</v>
      </c>
      <c r="AT1453">
        <v>0</v>
      </c>
      <c r="AU1453">
        <v>0</v>
      </c>
      <c r="AW1453">
        <v>0</v>
      </c>
      <c r="AX1453">
        <v>0</v>
      </c>
      <c r="AY1453">
        <v>280</v>
      </c>
      <c r="BC1453" t="str">
        <f t="shared" si="240"/>
        <v>9791137602113</v>
      </c>
      <c r="BE1453" t="str">
        <f t="shared" si="243"/>
        <v>판타지 웹소설 &gt; 현대 판타지</v>
      </c>
    </row>
    <row r="1454" spans="1:57" x14ac:dyDescent="0.3">
      <c r="A1454">
        <v>2313011955</v>
      </c>
      <c r="B1454">
        <v>2313012173</v>
      </c>
      <c r="C1454" t="str">
        <f>T("갓 오브 블랙필드 219화")</f>
        <v>갓 오브 블랙필드 219화</v>
      </c>
      <c r="D1454" t="str">
        <f>T("219")</f>
        <v>219</v>
      </c>
      <c r="E1454" t="str">
        <f t="shared" si="241"/>
        <v>무장</v>
      </c>
      <c r="H1454" t="str">
        <f t="shared" si="242"/>
        <v>스토리위즈</v>
      </c>
      <c r="I1454" t="str">
        <f t="shared" si="239"/>
        <v>갓 오브 블랙필드</v>
      </c>
      <c r="J1454">
        <v>100</v>
      </c>
      <c r="K1454">
        <v>400</v>
      </c>
      <c r="L1454">
        <v>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400</v>
      </c>
      <c r="AH1454">
        <v>4</v>
      </c>
      <c r="AI1454">
        <v>0</v>
      </c>
      <c r="AJ1454">
        <v>0</v>
      </c>
      <c r="AK1454">
        <v>400</v>
      </c>
      <c r="AL1454">
        <v>0</v>
      </c>
      <c r="AM1454">
        <v>0</v>
      </c>
      <c r="AN1454">
        <v>0</v>
      </c>
      <c r="AO1454">
        <v>0</v>
      </c>
      <c r="AP1454"/>
      <c r="AQ1454">
        <v>0</v>
      </c>
      <c r="AR1454">
        <v>0</v>
      </c>
      <c r="AT1454">
        <v>0</v>
      </c>
      <c r="AU1454">
        <v>0</v>
      </c>
      <c r="AW1454">
        <v>0</v>
      </c>
      <c r="AX1454">
        <v>0</v>
      </c>
      <c r="AY1454">
        <v>280</v>
      </c>
      <c r="BC1454" t="str">
        <f t="shared" si="240"/>
        <v>9791137602113</v>
      </c>
      <c r="BE1454" t="str">
        <f t="shared" si="243"/>
        <v>판타지 웹소설 &gt; 현대 판타지</v>
      </c>
    </row>
    <row r="1455" spans="1:57" x14ac:dyDescent="0.3">
      <c r="A1455">
        <v>2313011955</v>
      </c>
      <c r="B1455">
        <v>2313012175</v>
      </c>
      <c r="C1455" t="str">
        <f>T("갓 오브 블랙필드 221화")</f>
        <v>갓 오브 블랙필드 221화</v>
      </c>
      <c r="D1455" t="str">
        <f>T("221")</f>
        <v>221</v>
      </c>
      <c r="E1455" t="str">
        <f t="shared" si="241"/>
        <v>무장</v>
      </c>
      <c r="H1455" t="str">
        <f t="shared" si="242"/>
        <v>스토리위즈</v>
      </c>
      <c r="I1455" t="str">
        <f t="shared" si="239"/>
        <v>갓 오브 블랙필드</v>
      </c>
      <c r="J1455">
        <v>100</v>
      </c>
      <c r="K1455">
        <v>400</v>
      </c>
      <c r="L1455">
        <v>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400</v>
      </c>
      <c r="AH1455">
        <v>4</v>
      </c>
      <c r="AI1455">
        <v>0</v>
      </c>
      <c r="AJ1455">
        <v>0</v>
      </c>
      <c r="AK1455">
        <v>400</v>
      </c>
      <c r="AL1455">
        <v>0</v>
      </c>
      <c r="AM1455">
        <v>0</v>
      </c>
      <c r="AN1455">
        <v>0</v>
      </c>
      <c r="AO1455">
        <v>0</v>
      </c>
      <c r="AP1455"/>
      <c r="AQ1455">
        <v>0</v>
      </c>
      <c r="AR1455">
        <v>0</v>
      </c>
      <c r="AT1455">
        <v>0</v>
      </c>
      <c r="AU1455">
        <v>0</v>
      </c>
      <c r="AW1455">
        <v>0</v>
      </c>
      <c r="AX1455">
        <v>0</v>
      </c>
      <c r="AY1455">
        <v>280</v>
      </c>
      <c r="BC1455" t="str">
        <f t="shared" si="240"/>
        <v>9791137602113</v>
      </c>
      <c r="BE1455" t="str">
        <f t="shared" si="243"/>
        <v>판타지 웹소설 &gt; 현대 판타지</v>
      </c>
    </row>
    <row r="1456" spans="1:57" x14ac:dyDescent="0.3">
      <c r="A1456">
        <v>2313011955</v>
      </c>
      <c r="B1456">
        <v>2313012176</v>
      </c>
      <c r="C1456" t="str">
        <f>T("갓 오브 블랙필드 222화")</f>
        <v>갓 오브 블랙필드 222화</v>
      </c>
      <c r="D1456" t="str">
        <f>T("222")</f>
        <v>222</v>
      </c>
      <c r="E1456" t="str">
        <f t="shared" si="241"/>
        <v>무장</v>
      </c>
      <c r="H1456" t="str">
        <f t="shared" si="242"/>
        <v>스토리위즈</v>
      </c>
      <c r="I1456" t="str">
        <f t="shared" si="239"/>
        <v>갓 오브 블랙필드</v>
      </c>
      <c r="J1456">
        <v>100</v>
      </c>
      <c r="K1456">
        <v>400</v>
      </c>
      <c r="L1456">
        <v>4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400</v>
      </c>
      <c r="AH1456">
        <v>4</v>
      </c>
      <c r="AI1456">
        <v>0</v>
      </c>
      <c r="AJ1456">
        <v>0</v>
      </c>
      <c r="AK1456">
        <v>400</v>
      </c>
      <c r="AL1456">
        <v>0</v>
      </c>
      <c r="AM1456">
        <v>0</v>
      </c>
      <c r="AN1456">
        <v>0</v>
      </c>
      <c r="AO1456">
        <v>0</v>
      </c>
      <c r="AP1456"/>
      <c r="AQ1456">
        <v>0</v>
      </c>
      <c r="AR1456">
        <v>0</v>
      </c>
      <c r="AT1456">
        <v>0</v>
      </c>
      <c r="AU1456">
        <v>0</v>
      </c>
      <c r="AW1456">
        <v>0</v>
      </c>
      <c r="AX1456">
        <v>0</v>
      </c>
      <c r="AY1456">
        <v>280</v>
      </c>
      <c r="BC1456" t="str">
        <f t="shared" si="240"/>
        <v>9791137602113</v>
      </c>
      <c r="BE1456" t="str">
        <f t="shared" si="243"/>
        <v>판타지 웹소설 &gt; 현대 판타지</v>
      </c>
    </row>
    <row r="1457" spans="1:58" x14ac:dyDescent="0.3">
      <c r="A1457">
        <v>2313011955</v>
      </c>
      <c r="B1457">
        <v>2313012177</v>
      </c>
      <c r="C1457" t="str">
        <f>T("갓 오브 블랙필드 223화")</f>
        <v>갓 오브 블랙필드 223화</v>
      </c>
      <c r="D1457" t="str">
        <f>T("223")</f>
        <v>223</v>
      </c>
      <c r="E1457" t="str">
        <f t="shared" si="241"/>
        <v>무장</v>
      </c>
      <c r="H1457" t="str">
        <f t="shared" si="242"/>
        <v>스토리위즈</v>
      </c>
      <c r="I1457" t="str">
        <f t="shared" si="239"/>
        <v>갓 오브 블랙필드</v>
      </c>
      <c r="J1457">
        <v>100</v>
      </c>
      <c r="K1457">
        <v>400</v>
      </c>
      <c r="L1457">
        <v>4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400</v>
      </c>
      <c r="AH1457">
        <v>4</v>
      </c>
      <c r="AI1457">
        <v>0</v>
      </c>
      <c r="AJ1457">
        <v>0</v>
      </c>
      <c r="AK1457">
        <v>400</v>
      </c>
      <c r="AL1457">
        <v>0</v>
      </c>
      <c r="AM1457">
        <v>0</v>
      </c>
      <c r="AN1457">
        <v>0</v>
      </c>
      <c r="AO1457">
        <v>0</v>
      </c>
      <c r="AP1457"/>
      <c r="AQ1457">
        <v>0</v>
      </c>
      <c r="AR1457">
        <v>0</v>
      </c>
      <c r="AT1457">
        <v>0</v>
      </c>
      <c r="AU1457">
        <v>0</v>
      </c>
      <c r="AW1457">
        <v>0</v>
      </c>
      <c r="AX1457">
        <v>0</v>
      </c>
      <c r="AY1457">
        <v>280</v>
      </c>
      <c r="BC1457" t="str">
        <f t="shared" si="240"/>
        <v>9791137602113</v>
      </c>
      <c r="BE1457" t="str">
        <f t="shared" si="243"/>
        <v>판타지 웹소설 &gt; 현대 판타지</v>
      </c>
    </row>
    <row r="1458" spans="1:58" x14ac:dyDescent="0.3">
      <c r="A1458">
        <v>2313011955</v>
      </c>
      <c r="B1458">
        <v>2313012178</v>
      </c>
      <c r="C1458" t="str">
        <f>T("갓 오브 블랙필드 224화")</f>
        <v>갓 오브 블랙필드 224화</v>
      </c>
      <c r="D1458" t="str">
        <f>T("224")</f>
        <v>224</v>
      </c>
      <c r="E1458" t="str">
        <f t="shared" si="241"/>
        <v>무장</v>
      </c>
      <c r="H1458" t="str">
        <f t="shared" si="242"/>
        <v>스토리위즈</v>
      </c>
      <c r="I1458" t="str">
        <f t="shared" si="239"/>
        <v>갓 오브 블랙필드</v>
      </c>
      <c r="J1458">
        <v>100</v>
      </c>
      <c r="K1458">
        <v>400</v>
      </c>
      <c r="L1458">
        <v>4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400</v>
      </c>
      <c r="AH1458">
        <v>4</v>
      </c>
      <c r="AI1458">
        <v>0</v>
      </c>
      <c r="AJ1458">
        <v>0</v>
      </c>
      <c r="AK1458">
        <v>400</v>
      </c>
      <c r="AL1458">
        <v>0</v>
      </c>
      <c r="AM1458">
        <v>0</v>
      </c>
      <c r="AN1458">
        <v>0</v>
      </c>
      <c r="AO1458">
        <v>0</v>
      </c>
      <c r="AP1458"/>
      <c r="AQ1458">
        <v>0</v>
      </c>
      <c r="AR1458">
        <v>0</v>
      </c>
      <c r="AT1458">
        <v>0</v>
      </c>
      <c r="AU1458">
        <v>0</v>
      </c>
      <c r="AW1458">
        <v>0</v>
      </c>
      <c r="AX1458">
        <v>0</v>
      </c>
      <c r="AY1458">
        <v>280</v>
      </c>
      <c r="BC1458" t="str">
        <f t="shared" si="240"/>
        <v>9791137602113</v>
      </c>
      <c r="BE1458" t="str">
        <f t="shared" si="243"/>
        <v>판타지 웹소설 &gt; 현대 판타지</v>
      </c>
    </row>
    <row r="1459" spans="1:58" x14ac:dyDescent="0.3">
      <c r="A1459">
        <v>2313011955</v>
      </c>
      <c r="B1459">
        <v>2313012179</v>
      </c>
      <c r="C1459" t="str">
        <f>T("갓 오브 블랙필드 225화")</f>
        <v>갓 오브 블랙필드 225화</v>
      </c>
      <c r="D1459" t="str">
        <f>T("225")</f>
        <v>225</v>
      </c>
      <c r="E1459" t="str">
        <f t="shared" si="241"/>
        <v>무장</v>
      </c>
      <c r="H1459" t="str">
        <f t="shared" si="242"/>
        <v>스토리위즈</v>
      </c>
      <c r="I1459" t="str">
        <f t="shared" si="239"/>
        <v>갓 오브 블랙필드</v>
      </c>
      <c r="J1459">
        <v>100</v>
      </c>
      <c r="K1459">
        <v>400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400</v>
      </c>
      <c r="AH1459">
        <v>4</v>
      </c>
      <c r="AI1459">
        <v>0</v>
      </c>
      <c r="AJ1459">
        <v>0</v>
      </c>
      <c r="AK1459">
        <v>400</v>
      </c>
      <c r="AL1459">
        <v>0</v>
      </c>
      <c r="AM1459">
        <v>0</v>
      </c>
      <c r="AN1459">
        <v>0</v>
      </c>
      <c r="AO1459">
        <v>0</v>
      </c>
      <c r="AP1459"/>
      <c r="AQ1459">
        <v>0</v>
      </c>
      <c r="AR1459">
        <v>0</v>
      </c>
      <c r="AT1459">
        <v>0</v>
      </c>
      <c r="AU1459">
        <v>0</v>
      </c>
      <c r="AW1459">
        <v>0</v>
      </c>
      <c r="AX1459">
        <v>0</v>
      </c>
      <c r="AY1459">
        <v>280</v>
      </c>
      <c r="BC1459" t="str">
        <f t="shared" si="240"/>
        <v>9791137602113</v>
      </c>
      <c r="BE1459" t="str">
        <f t="shared" si="243"/>
        <v>판타지 웹소설 &gt; 현대 판타지</v>
      </c>
    </row>
    <row r="1460" spans="1:58" x14ac:dyDescent="0.3">
      <c r="A1460">
        <v>2313011955</v>
      </c>
      <c r="B1460">
        <v>2313012181</v>
      </c>
      <c r="C1460" t="str">
        <f>T("갓 오브 블랙필드 227화")</f>
        <v>갓 오브 블랙필드 227화</v>
      </c>
      <c r="D1460" t="str">
        <f>T("227")</f>
        <v>227</v>
      </c>
      <c r="E1460" t="str">
        <f t="shared" si="241"/>
        <v>무장</v>
      </c>
      <c r="H1460" t="str">
        <f t="shared" si="242"/>
        <v>스토리위즈</v>
      </c>
      <c r="I1460" t="str">
        <f t="shared" si="239"/>
        <v>갓 오브 블랙필드</v>
      </c>
      <c r="J1460">
        <v>100</v>
      </c>
      <c r="K1460">
        <v>400</v>
      </c>
      <c r="L1460">
        <v>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400</v>
      </c>
      <c r="AH1460">
        <v>4</v>
      </c>
      <c r="AI1460">
        <v>0</v>
      </c>
      <c r="AJ1460">
        <v>0</v>
      </c>
      <c r="AK1460">
        <v>400</v>
      </c>
      <c r="AL1460">
        <v>0</v>
      </c>
      <c r="AM1460">
        <v>0</v>
      </c>
      <c r="AN1460">
        <v>0</v>
      </c>
      <c r="AO1460">
        <v>0</v>
      </c>
      <c r="AP1460"/>
      <c r="AQ1460">
        <v>0</v>
      </c>
      <c r="AR1460">
        <v>0</v>
      </c>
      <c r="AT1460">
        <v>0</v>
      </c>
      <c r="AU1460">
        <v>0</v>
      </c>
      <c r="AW1460">
        <v>0</v>
      </c>
      <c r="AX1460">
        <v>0</v>
      </c>
      <c r="AY1460">
        <v>280</v>
      </c>
      <c r="BC1460" t="str">
        <f t="shared" si="240"/>
        <v>9791137602113</v>
      </c>
      <c r="BE1460" t="str">
        <f t="shared" si="243"/>
        <v>판타지 웹소설 &gt; 현대 판타지</v>
      </c>
    </row>
    <row r="1461" spans="1:58" x14ac:dyDescent="0.3">
      <c r="A1461">
        <v>2313017039</v>
      </c>
      <c r="B1461">
        <v>2313016996</v>
      </c>
      <c r="C1461" t="str">
        <f>T("[e북]데빌 나이츠(DEVIL NIGHTS) (외전)")</f>
        <v>[e북]데빌 나이츠(DEVIL NIGHTS) (외전)</v>
      </c>
      <c r="D1461" t="str">
        <f>T("3")</f>
        <v>3</v>
      </c>
      <c r="E1461" t="str">
        <f>T("펌킨몬")</f>
        <v>펌킨몬</v>
      </c>
      <c r="H1461" t="str">
        <f>T("도서출판 태랑")</f>
        <v>도서출판 태랑</v>
      </c>
      <c r="I1461" t="str">
        <f>T("[e북]데빌 나이츠(DEVIL NIGHTS)")</f>
        <v>[e북]데빌 나이츠(DEVIL NIGHTS)</v>
      </c>
      <c r="J1461">
        <v>400</v>
      </c>
      <c r="K1461">
        <v>400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400</v>
      </c>
      <c r="AH1461">
        <v>1</v>
      </c>
      <c r="AI1461">
        <v>0</v>
      </c>
      <c r="AJ1461">
        <v>0</v>
      </c>
      <c r="AK1461">
        <v>400</v>
      </c>
      <c r="AL1461">
        <v>0</v>
      </c>
      <c r="AM1461">
        <v>0</v>
      </c>
      <c r="AN1461">
        <v>0</v>
      </c>
      <c r="AO1461">
        <v>0</v>
      </c>
      <c r="AP1461"/>
      <c r="AQ1461">
        <v>0</v>
      </c>
      <c r="AR1461">
        <v>0</v>
      </c>
      <c r="AT1461">
        <v>0</v>
      </c>
      <c r="AU1461">
        <v>0</v>
      </c>
      <c r="AW1461">
        <v>0</v>
      </c>
      <c r="AX1461">
        <v>0</v>
      </c>
      <c r="AY1461">
        <v>280</v>
      </c>
      <c r="BC1461" t="str">
        <f>T("9791164372034")</f>
        <v>9791164372034</v>
      </c>
      <c r="BE1461" t="str">
        <f>T("BL 소설 e북 &gt; 판타지물")</f>
        <v>BL 소설 e북 &gt; 판타지물</v>
      </c>
      <c r="BF1461" t="str">
        <f>T("BL 소설 e북 &gt; 역사/시대물")</f>
        <v>BL 소설 e북 &gt; 역사/시대물</v>
      </c>
    </row>
    <row r="1462" spans="1:58" x14ac:dyDescent="0.3">
      <c r="A1462">
        <v>2313017163</v>
      </c>
      <c r="B1462">
        <v>2313017167</v>
      </c>
      <c r="C1462" t="str">
        <f>T("친절하기는 얼어 죽을 4화")</f>
        <v>친절하기는 얼어 죽을 4화</v>
      </c>
      <c r="D1462" t="str">
        <f>T("5")</f>
        <v>5</v>
      </c>
      <c r="E1462" t="str">
        <f t="shared" ref="E1462:E1480" si="244">T("솜목화")</f>
        <v>솜목화</v>
      </c>
      <c r="H1462" t="str">
        <f t="shared" ref="H1462:H1480" si="245">T("블레슈(Blesshuu)")</f>
        <v>블레슈(Blesshuu)</v>
      </c>
      <c r="I1462" t="str">
        <f t="shared" ref="I1462:I1480" si="246">T("친절하기는 얼어 죽을")</f>
        <v>친절하기는 얼어 죽을</v>
      </c>
      <c r="J1462">
        <v>100</v>
      </c>
      <c r="K1462">
        <v>400</v>
      </c>
      <c r="L1462">
        <v>4</v>
      </c>
      <c r="M1462">
        <v>0</v>
      </c>
      <c r="N1462">
        <v>0</v>
      </c>
      <c r="O1462">
        <v>0</v>
      </c>
      <c r="P1462">
        <v>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400</v>
      </c>
      <c r="AH1462">
        <v>7</v>
      </c>
      <c r="AI1462">
        <v>0</v>
      </c>
      <c r="AJ1462">
        <v>0</v>
      </c>
      <c r="AK1462">
        <v>300</v>
      </c>
      <c r="AL1462">
        <v>0</v>
      </c>
      <c r="AM1462">
        <v>120</v>
      </c>
      <c r="AN1462">
        <v>-12</v>
      </c>
      <c r="AO1462">
        <v>0</v>
      </c>
      <c r="AP1462"/>
      <c r="AQ1462">
        <v>0</v>
      </c>
      <c r="AR1462">
        <v>0</v>
      </c>
      <c r="AS1462">
        <v>120</v>
      </c>
      <c r="AT1462">
        <v>-12</v>
      </c>
      <c r="AU1462">
        <v>0</v>
      </c>
      <c r="AW1462">
        <v>0</v>
      </c>
      <c r="AX1462">
        <v>0</v>
      </c>
      <c r="AY1462">
        <v>244.8</v>
      </c>
      <c r="BA1462" t="str">
        <f t="shared" ref="BA1462:BA1480" si="247">T("0000000000000")</f>
        <v>0000000000000</v>
      </c>
      <c r="BC1462" t="str">
        <f t="shared" ref="BC1462:BC1480" si="248">T("9791137604131")</f>
        <v>9791137604131</v>
      </c>
      <c r="BE1462" t="str">
        <f t="shared" ref="BE1462:BE1480" si="249">T("로맨스 웹소설 &gt; 현대물")</f>
        <v>로맨스 웹소설 &gt; 현대물</v>
      </c>
    </row>
    <row r="1463" spans="1:58" x14ac:dyDescent="0.3">
      <c r="A1463">
        <v>2313017163</v>
      </c>
      <c r="B1463">
        <v>2313017185</v>
      </c>
      <c r="C1463" t="str">
        <f>T("친절하기는 얼어 죽을 22화")</f>
        <v>친절하기는 얼어 죽을 22화</v>
      </c>
      <c r="D1463" t="str">
        <f>T("23")</f>
        <v>23</v>
      </c>
      <c r="E1463" t="str">
        <f t="shared" si="244"/>
        <v>솜목화</v>
      </c>
      <c r="H1463" t="str">
        <f t="shared" si="245"/>
        <v>블레슈(Blesshuu)</v>
      </c>
      <c r="I1463" t="str">
        <f t="shared" si="246"/>
        <v>친절하기는 얼어 죽을</v>
      </c>
      <c r="J1463">
        <v>100</v>
      </c>
      <c r="K1463">
        <v>400</v>
      </c>
      <c r="L1463">
        <v>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400</v>
      </c>
      <c r="AH1463">
        <v>4</v>
      </c>
      <c r="AI1463">
        <v>0</v>
      </c>
      <c r="AJ1463">
        <v>0</v>
      </c>
      <c r="AK1463">
        <v>400</v>
      </c>
      <c r="AL1463">
        <v>0</v>
      </c>
      <c r="AM1463">
        <v>0</v>
      </c>
      <c r="AN1463">
        <v>0</v>
      </c>
      <c r="AO1463">
        <v>0</v>
      </c>
      <c r="AP1463"/>
      <c r="AQ1463">
        <v>0</v>
      </c>
      <c r="AR1463">
        <v>0</v>
      </c>
      <c r="AT1463">
        <v>0</v>
      </c>
      <c r="AU1463">
        <v>0</v>
      </c>
      <c r="AW1463">
        <v>0</v>
      </c>
      <c r="AX1463">
        <v>0</v>
      </c>
      <c r="AY1463">
        <v>240</v>
      </c>
      <c r="BA1463" t="str">
        <f t="shared" si="247"/>
        <v>0000000000000</v>
      </c>
      <c r="BC1463" t="str">
        <f t="shared" si="248"/>
        <v>9791137604131</v>
      </c>
      <c r="BE1463" t="str">
        <f t="shared" si="249"/>
        <v>로맨스 웹소설 &gt; 현대물</v>
      </c>
    </row>
    <row r="1464" spans="1:58" x14ac:dyDescent="0.3">
      <c r="A1464">
        <v>2313017163</v>
      </c>
      <c r="B1464">
        <v>2313017186</v>
      </c>
      <c r="C1464" t="str">
        <f>T("친절하기는 얼어 죽을 23화")</f>
        <v>친절하기는 얼어 죽을 23화</v>
      </c>
      <c r="D1464" t="str">
        <f>T("24")</f>
        <v>24</v>
      </c>
      <c r="E1464" t="str">
        <f t="shared" si="244"/>
        <v>솜목화</v>
      </c>
      <c r="H1464" t="str">
        <f t="shared" si="245"/>
        <v>블레슈(Blesshuu)</v>
      </c>
      <c r="I1464" t="str">
        <f t="shared" si="246"/>
        <v>친절하기는 얼어 죽을</v>
      </c>
      <c r="J1464">
        <v>100</v>
      </c>
      <c r="K1464">
        <v>400</v>
      </c>
      <c r="L1464">
        <v>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400</v>
      </c>
      <c r="AH1464">
        <v>4</v>
      </c>
      <c r="AI1464">
        <v>0</v>
      </c>
      <c r="AJ1464">
        <v>0</v>
      </c>
      <c r="AK1464">
        <v>400</v>
      </c>
      <c r="AL1464">
        <v>0</v>
      </c>
      <c r="AM1464">
        <v>0</v>
      </c>
      <c r="AN1464">
        <v>0</v>
      </c>
      <c r="AO1464">
        <v>0</v>
      </c>
      <c r="AP1464"/>
      <c r="AQ1464">
        <v>0</v>
      </c>
      <c r="AR1464">
        <v>0</v>
      </c>
      <c r="AT1464">
        <v>0</v>
      </c>
      <c r="AU1464">
        <v>0</v>
      </c>
      <c r="AW1464">
        <v>0</v>
      </c>
      <c r="AX1464">
        <v>0</v>
      </c>
      <c r="AY1464">
        <v>240</v>
      </c>
      <c r="BA1464" t="str">
        <f t="shared" si="247"/>
        <v>0000000000000</v>
      </c>
      <c r="BC1464" t="str">
        <f t="shared" si="248"/>
        <v>9791137604131</v>
      </c>
      <c r="BE1464" t="str">
        <f t="shared" si="249"/>
        <v>로맨스 웹소설 &gt; 현대물</v>
      </c>
    </row>
    <row r="1465" spans="1:58" x14ac:dyDescent="0.3">
      <c r="A1465">
        <v>2313017163</v>
      </c>
      <c r="B1465">
        <v>2313017187</v>
      </c>
      <c r="C1465" t="str">
        <f>T("친절하기는 얼어 죽을 24화")</f>
        <v>친절하기는 얼어 죽을 24화</v>
      </c>
      <c r="D1465" t="str">
        <f>T("25")</f>
        <v>25</v>
      </c>
      <c r="E1465" t="str">
        <f t="shared" si="244"/>
        <v>솜목화</v>
      </c>
      <c r="H1465" t="str">
        <f t="shared" si="245"/>
        <v>블레슈(Blesshuu)</v>
      </c>
      <c r="I1465" t="str">
        <f t="shared" si="246"/>
        <v>친절하기는 얼어 죽을</v>
      </c>
      <c r="J1465">
        <v>100</v>
      </c>
      <c r="K1465">
        <v>400</v>
      </c>
      <c r="L1465">
        <v>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400</v>
      </c>
      <c r="AH1465">
        <v>4</v>
      </c>
      <c r="AI1465">
        <v>0</v>
      </c>
      <c r="AJ1465">
        <v>0</v>
      </c>
      <c r="AK1465">
        <v>400</v>
      </c>
      <c r="AL1465">
        <v>0</v>
      </c>
      <c r="AM1465">
        <v>0</v>
      </c>
      <c r="AN1465">
        <v>0</v>
      </c>
      <c r="AO1465">
        <v>0</v>
      </c>
      <c r="AP1465"/>
      <c r="AQ1465">
        <v>0</v>
      </c>
      <c r="AR1465">
        <v>0</v>
      </c>
      <c r="AT1465">
        <v>0</v>
      </c>
      <c r="AU1465">
        <v>0</v>
      </c>
      <c r="AW1465">
        <v>0</v>
      </c>
      <c r="AX1465">
        <v>0</v>
      </c>
      <c r="AY1465">
        <v>240</v>
      </c>
      <c r="BA1465" t="str">
        <f t="shared" si="247"/>
        <v>0000000000000</v>
      </c>
      <c r="BC1465" t="str">
        <f t="shared" si="248"/>
        <v>9791137604131</v>
      </c>
      <c r="BE1465" t="str">
        <f t="shared" si="249"/>
        <v>로맨스 웹소설 &gt; 현대물</v>
      </c>
    </row>
    <row r="1466" spans="1:58" x14ac:dyDescent="0.3">
      <c r="A1466">
        <v>2313017163</v>
      </c>
      <c r="B1466">
        <v>2313017188</v>
      </c>
      <c r="C1466" t="str">
        <f>T("친절하기는 얼어 죽을 25화")</f>
        <v>친절하기는 얼어 죽을 25화</v>
      </c>
      <c r="D1466" t="str">
        <f>T("26")</f>
        <v>26</v>
      </c>
      <c r="E1466" t="str">
        <f t="shared" si="244"/>
        <v>솜목화</v>
      </c>
      <c r="H1466" t="str">
        <f t="shared" si="245"/>
        <v>블레슈(Blesshuu)</v>
      </c>
      <c r="I1466" t="str">
        <f t="shared" si="246"/>
        <v>친절하기는 얼어 죽을</v>
      </c>
      <c r="J1466">
        <v>100</v>
      </c>
      <c r="K1466">
        <v>400</v>
      </c>
      <c r="L1466">
        <v>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400</v>
      </c>
      <c r="AH1466">
        <v>4</v>
      </c>
      <c r="AI1466">
        <v>0</v>
      </c>
      <c r="AJ1466">
        <v>0</v>
      </c>
      <c r="AK1466">
        <v>400</v>
      </c>
      <c r="AL1466">
        <v>0</v>
      </c>
      <c r="AM1466">
        <v>0</v>
      </c>
      <c r="AN1466">
        <v>0</v>
      </c>
      <c r="AO1466">
        <v>0</v>
      </c>
      <c r="AP1466"/>
      <c r="AQ1466">
        <v>0</v>
      </c>
      <c r="AR1466">
        <v>0</v>
      </c>
      <c r="AT1466">
        <v>0</v>
      </c>
      <c r="AU1466">
        <v>0</v>
      </c>
      <c r="AW1466">
        <v>0</v>
      </c>
      <c r="AX1466">
        <v>0</v>
      </c>
      <c r="AY1466">
        <v>240</v>
      </c>
      <c r="BA1466" t="str">
        <f t="shared" si="247"/>
        <v>0000000000000</v>
      </c>
      <c r="BC1466" t="str">
        <f t="shared" si="248"/>
        <v>9791137604131</v>
      </c>
      <c r="BE1466" t="str">
        <f t="shared" si="249"/>
        <v>로맨스 웹소설 &gt; 현대물</v>
      </c>
    </row>
    <row r="1467" spans="1:58" x14ac:dyDescent="0.3">
      <c r="A1467">
        <v>2313017163</v>
      </c>
      <c r="B1467">
        <v>2313017194</v>
      </c>
      <c r="C1467" t="str">
        <f>T("친절하기는 얼어 죽을 31화")</f>
        <v>친절하기는 얼어 죽을 31화</v>
      </c>
      <c r="D1467" t="str">
        <f>T("32")</f>
        <v>32</v>
      </c>
      <c r="E1467" t="str">
        <f t="shared" si="244"/>
        <v>솜목화</v>
      </c>
      <c r="H1467" t="str">
        <f t="shared" si="245"/>
        <v>블레슈(Blesshuu)</v>
      </c>
      <c r="I1467" t="str">
        <f t="shared" si="246"/>
        <v>친절하기는 얼어 죽을</v>
      </c>
      <c r="J1467">
        <v>100</v>
      </c>
      <c r="K1467">
        <v>400</v>
      </c>
      <c r="L1467">
        <v>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400</v>
      </c>
      <c r="AH1467">
        <v>4</v>
      </c>
      <c r="AI1467">
        <v>0</v>
      </c>
      <c r="AJ1467">
        <v>0</v>
      </c>
      <c r="AK1467">
        <v>400</v>
      </c>
      <c r="AL1467">
        <v>0</v>
      </c>
      <c r="AM1467">
        <v>0</v>
      </c>
      <c r="AN1467">
        <v>0</v>
      </c>
      <c r="AO1467">
        <v>0</v>
      </c>
      <c r="AP1467"/>
      <c r="AQ1467">
        <v>0</v>
      </c>
      <c r="AR1467">
        <v>0</v>
      </c>
      <c r="AT1467">
        <v>0</v>
      </c>
      <c r="AU1467">
        <v>0</v>
      </c>
      <c r="AW1467">
        <v>0</v>
      </c>
      <c r="AX1467">
        <v>0</v>
      </c>
      <c r="AY1467">
        <v>240</v>
      </c>
      <c r="BA1467" t="str">
        <f t="shared" si="247"/>
        <v>0000000000000</v>
      </c>
      <c r="BC1467" t="str">
        <f t="shared" si="248"/>
        <v>9791137604131</v>
      </c>
      <c r="BE1467" t="str">
        <f t="shared" si="249"/>
        <v>로맨스 웹소설 &gt; 현대물</v>
      </c>
    </row>
    <row r="1468" spans="1:58" x14ac:dyDescent="0.3">
      <c r="A1468">
        <v>2313017163</v>
      </c>
      <c r="B1468">
        <v>2313017222</v>
      </c>
      <c r="C1468" t="str">
        <f>T("친절하기는 얼어 죽을 59화")</f>
        <v>친절하기는 얼어 죽을 59화</v>
      </c>
      <c r="D1468" t="str">
        <f>T("60")</f>
        <v>60</v>
      </c>
      <c r="E1468" t="str">
        <f t="shared" si="244"/>
        <v>솜목화</v>
      </c>
      <c r="H1468" t="str">
        <f t="shared" si="245"/>
        <v>블레슈(Blesshuu)</v>
      </c>
      <c r="I1468" t="str">
        <f t="shared" si="246"/>
        <v>친절하기는 얼어 죽을</v>
      </c>
      <c r="J1468">
        <v>100</v>
      </c>
      <c r="K1468">
        <v>400</v>
      </c>
      <c r="L1468">
        <v>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400</v>
      </c>
      <c r="AH1468">
        <v>4</v>
      </c>
      <c r="AI1468">
        <v>0</v>
      </c>
      <c r="AJ1468">
        <v>0</v>
      </c>
      <c r="AK1468">
        <v>300</v>
      </c>
      <c r="AL1468">
        <v>0</v>
      </c>
      <c r="AM1468">
        <v>120</v>
      </c>
      <c r="AN1468">
        <v>-12</v>
      </c>
      <c r="AO1468">
        <v>0</v>
      </c>
      <c r="AP1468"/>
      <c r="AQ1468">
        <v>0</v>
      </c>
      <c r="AR1468">
        <v>0</v>
      </c>
      <c r="AS1468">
        <v>120</v>
      </c>
      <c r="AT1468">
        <v>-12</v>
      </c>
      <c r="AU1468">
        <v>0</v>
      </c>
      <c r="AW1468">
        <v>0</v>
      </c>
      <c r="AX1468">
        <v>0</v>
      </c>
      <c r="AY1468">
        <v>244.8</v>
      </c>
      <c r="BA1468" t="str">
        <f t="shared" si="247"/>
        <v>0000000000000</v>
      </c>
      <c r="BC1468" t="str">
        <f t="shared" si="248"/>
        <v>9791137604131</v>
      </c>
      <c r="BE1468" t="str">
        <f t="shared" si="249"/>
        <v>로맨스 웹소설 &gt; 현대물</v>
      </c>
    </row>
    <row r="1469" spans="1:58" x14ac:dyDescent="0.3">
      <c r="A1469">
        <v>2313017163</v>
      </c>
      <c r="B1469">
        <v>2313017223</v>
      </c>
      <c r="C1469" t="str">
        <f>T("친절하기는 얼어 죽을 60화")</f>
        <v>친절하기는 얼어 죽을 60화</v>
      </c>
      <c r="D1469" t="str">
        <f>T("61")</f>
        <v>61</v>
      </c>
      <c r="E1469" t="str">
        <f t="shared" si="244"/>
        <v>솜목화</v>
      </c>
      <c r="H1469" t="str">
        <f t="shared" si="245"/>
        <v>블레슈(Blesshuu)</v>
      </c>
      <c r="I1469" t="str">
        <f t="shared" si="246"/>
        <v>친절하기는 얼어 죽을</v>
      </c>
      <c r="J1469">
        <v>100</v>
      </c>
      <c r="K1469">
        <v>400</v>
      </c>
      <c r="L1469">
        <v>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400</v>
      </c>
      <c r="AH1469">
        <v>4</v>
      </c>
      <c r="AI1469">
        <v>0</v>
      </c>
      <c r="AJ1469">
        <v>0</v>
      </c>
      <c r="AK1469">
        <v>300</v>
      </c>
      <c r="AL1469">
        <v>0</v>
      </c>
      <c r="AM1469">
        <v>120</v>
      </c>
      <c r="AN1469">
        <v>-12</v>
      </c>
      <c r="AO1469">
        <v>0</v>
      </c>
      <c r="AP1469"/>
      <c r="AQ1469">
        <v>0</v>
      </c>
      <c r="AR1469">
        <v>0</v>
      </c>
      <c r="AS1469">
        <v>120</v>
      </c>
      <c r="AT1469">
        <v>-12</v>
      </c>
      <c r="AU1469">
        <v>0</v>
      </c>
      <c r="AW1469">
        <v>0</v>
      </c>
      <c r="AX1469">
        <v>0</v>
      </c>
      <c r="AY1469">
        <v>244.8</v>
      </c>
      <c r="BA1469" t="str">
        <f t="shared" si="247"/>
        <v>0000000000000</v>
      </c>
      <c r="BC1469" t="str">
        <f t="shared" si="248"/>
        <v>9791137604131</v>
      </c>
      <c r="BE1469" t="str">
        <f t="shared" si="249"/>
        <v>로맨스 웹소설 &gt; 현대물</v>
      </c>
    </row>
    <row r="1470" spans="1:58" x14ac:dyDescent="0.3">
      <c r="A1470">
        <v>2313017163</v>
      </c>
      <c r="B1470">
        <v>2313017226</v>
      </c>
      <c r="C1470" t="str">
        <f>T("친절하기는 얼어 죽을 63화")</f>
        <v>친절하기는 얼어 죽을 63화</v>
      </c>
      <c r="D1470" t="str">
        <f>T("64")</f>
        <v>64</v>
      </c>
      <c r="E1470" t="str">
        <f t="shared" si="244"/>
        <v>솜목화</v>
      </c>
      <c r="H1470" t="str">
        <f t="shared" si="245"/>
        <v>블레슈(Blesshuu)</v>
      </c>
      <c r="I1470" t="str">
        <f t="shared" si="246"/>
        <v>친절하기는 얼어 죽을</v>
      </c>
      <c r="J1470">
        <v>100</v>
      </c>
      <c r="K1470">
        <v>400</v>
      </c>
      <c r="L1470">
        <v>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400</v>
      </c>
      <c r="AH1470">
        <v>4</v>
      </c>
      <c r="AI1470">
        <v>0</v>
      </c>
      <c r="AJ1470">
        <v>0</v>
      </c>
      <c r="AK1470">
        <v>300</v>
      </c>
      <c r="AL1470">
        <v>0</v>
      </c>
      <c r="AM1470">
        <v>120</v>
      </c>
      <c r="AN1470">
        <v>-12</v>
      </c>
      <c r="AO1470">
        <v>0</v>
      </c>
      <c r="AP1470"/>
      <c r="AQ1470">
        <v>0</v>
      </c>
      <c r="AR1470">
        <v>0</v>
      </c>
      <c r="AS1470">
        <v>120</v>
      </c>
      <c r="AT1470">
        <v>-12</v>
      </c>
      <c r="AU1470">
        <v>0</v>
      </c>
      <c r="AW1470">
        <v>0</v>
      </c>
      <c r="AX1470">
        <v>0</v>
      </c>
      <c r="AY1470">
        <v>244.8</v>
      </c>
      <c r="BA1470" t="str">
        <f t="shared" si="247"/>
        <v>0000000000000</v>
      </c>
      <c r="BC1470" t="str">
        <f t="shared" si="248"/>
        <v>9791137604131</v>
      </c>
      <c r="BE1470" t="str">
        <f t="shared" si="249"/>
        <v>로맨스 웹소설 &gt; 현대물</v>
      </c>
    </row>
    <row r="1471" spans="1:58" x14ac:dyDescent="0.3">
      <c r="A1471">
        <v>2313017163</v>
      </c>
      <c r="B1471">
        <v>2313017227</v>
      </c>
      <c r="C1471" t="str">
        <f>T("친절하기는 얼어 죽을 64화")</f>
        <v>친절하기는 얼어 죽을 64화</v>
      </c>
      <c r="D1471" t="str">
        <f>T("65")</f>
        <v>65</v>
      </c>
      <c r="E1471" t="str">
        <f t="shared" si="244"/>
        <v>솜목화</v>
      </c>
      <c r="H1471" t="str">
        <f t="shared" si="245"/>
        <v>블레슈(Blesshuu)</v>
      </c>
      <c r="I1471" t="str">
        <f t="shared" si="246"/>
        <v>친절하기는 얼어 죽을</v>
      </c>
      <c r="J1471">
        <v>100</v>
      </c>
      <c r="K1471">
        <v>400</v>
      </c>
      <c r="L1471">
        <v>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400</v>
      </c>
      <c r="AH1471">
        <v>4</v>
      </c>
      <c r="AI1471">
        <v>0</v>
      </c>
      <c r="AJ1471">
        <v>0</v>
      </c>
      <c r="AK1471">
        <v>300</v>
      </c>
      <c r="AL1471">
        <v>0</v>
      </c>
      <c r="AM1471">
        <v>120</v>
      </c>
      <c r="AN1471">
        <v>-12</v>
      </c>
      <c r="AO1471">
        <v>0</v>
      </c>
      <c r="AP1471"/>
      <c r="AQ1471">
        <v>0</v>
      </c>
      <c r="AR1471">
        <v>0</v>
      </c>
      <c r="AS1471">
        <v>120</v>
      </c>
      <c r="AT1471">
        <v>-12</v>
      </c>
      <c r="AU1471">
        <v>0</v>
      </c>
      <c r="AW1471">
        <v>0</v>
      </c>
      <c r="AX1471">
        <v>0</v>
      </c>
      <c r="AY1471">
        <v>244.8</v>
      </c>
      <c r="BA1471" t="str">
        <f t="shared" si="247"/>
        <v>0000000000000</v>
      </c>
      <c r="BC1471" t="str">
        <f t="shared" si="248"/>
        <v>9791137604131</v>
      </c>
      <c r="BE1471" t="str">
        <f t="shared" si="249"/>
        <v>로맨스 웹소설 &gt; 현대물</v>
      </c>
    </row>
    <row r="1472" spans="1:58" x14ac:dyDescent="0.3">
      <c r="A1472">
        <v>2313017163</v>
      </c>
      <c r="B1472">
        <v>2313017228</v>
      </c>
      <c r="C1472" t="str">
        <f>T("친절하기는 얼어 죽을 65화")</f>
        <v>친절하기는 얼어 죽을 65화</v>
      </c>
      <c r="D1472" t="str">
        <f>T("66")</f>
        <v>66</v>
      </c>
      <c r="E1472" t="str">
        <f t="shared" si="244"/>
        <v>솜목화</v>
      </c>
      <c r="H1472" t="str">
        <f t="shared" si="245"/>
        <v>블레슈(Blesshuu)</v>
      </c>
      <c r="I1472" t="str">
        <f t="shared" si="246"/>
        <v>친절하기는 얼어 죽을</v>
      </c>
      <c r="J1472">
        <v>100</v>
      </c>
      <c r="K1472">
        <v>400</v>
      </c>
      <c r="L1472">
        <v>4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400</v>
      </c>
      <c r="AH1472">
        <v>4</v>
      </c>
      <c r="AI1472">
        <v>0</v>
      </c>
      <c r="AJ1472">
        <v>0</v>
      </c>
      <c r="AK1472">
        <v>300</v>
      </c>
      <c r="AL1472">
        <v>0</v>
      </c>
      <c r="AM1472">
        <v>120</v>
      </c>
      <c r="AN1472">
        <v>-12</v>
      </c>
      <c r="AO1472">
        <v>0</v>
      </c>
      <c r="AP1472"/>
      <c r="AQ1472">
        <v>0</v>
      </c>
      <c r="AR1472">
        <v>0</v>
      </c>
      <c r="AS1472">
        <v>120</v>
      </c>
      <c r="AT1472">
        <v>-12</v>
      </c>
      <c r="AU1472">
        <v>0</v>
      </c>
      <c r="AW1472">
        <v>0</v>
      </c>
      <c r="AX1472">
        <v>0</v>
      </c>
      <c r="AY1472">
        <v>244.8</v>
      </c>
      <c r="BA1472" t="str">
        <f t="shared" si="247"/>
        <v>0000000000000</v>
      </c>
      <c r="BC1472" t="str">
        <f t="shared" si="248"/>
        <v>9791137604131</v>
      </c>
      <c r="BE1472" t="str">
        <f t="shared" si="249"/>
        <v>로맨스 웹소설 &gt; 현대물</v>
      </c>
    </row>
    <row r="1473" spans="1:57" x14ac:dyDescent="0.3">
      <c r="A1473">
        <v>2313017163</v>
      </c>
      <c r="B1473">
        <v>2313017229</v>
      </c>
      <c r="C1473" t="str">
        <f>T("친절하기는 얼어 죽을 66화")</f>
        <v>친절하기는 얼어 죽을 66화</v>
      </c>
      <c r="D1473" t="str">
        <f>T("67")</f>
        <v>67</v>
      </c>
      <c r="E1473" t="str">
        <f t="shared" si="244"/>
        <v>솜목화</v>
      </c>
      <c r="H1473" t="str">
        <f t="shared" si="245"/>
        <v>블레슈(Blesshuu)</v>
      </c>
      <c r="I1473" t="str">
        <f t="shared" si="246"/>
        <v>친절하기는 얼어 죽을</v>
      </c>
      <c r="J1473">
        <v>100</v>
      </c>
      <c r="K1473">
        <v>400</v>
      </c>
      <c r="L1473">
        <v>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400</v>
      </c>
      <c r="AH1473">
        <v>4</v>
      </c>
      <c r="AI1473">
        <v>0</v>
      </c>
      <c r="AJ1473">
        <v>0</v>
      </c>
      <c r="AK1473">
        <v>300</v>
      </c>
      <c r="AL1473">
        <v>0</v>
      </c>
      <c r="AM1473">
        <v>120</v>
      </c>
      <c r="AN1473">
        <v>-12</v>
      </c>
      <c r="AO1473">
        <v>0</v>
      </c>
      <c r="AP1473"/>
      <c r="AQ1473">
        <v>0</v>
      </c>
      <c r="AR1473">
        <v>0</v>
      </c>
      <c r="AS1473">
        <v>120</v>
      </c>
      <c r="AT1473">
        <v>-12</v>
      </c>
      <c r="AU1473">
        <v>0</v>
      </c>
      <c r="AW1473">
        <v>0</v>
      </c>
      <c r="AX1473">
        <v>0</v>
      </c>
      <c r="AY1473">
        <v>244.8</v>
      </c>
      <c r="BA1473" t="str">
        <f t="shared" si="247"/>
        <v>0000000000000</v>
      </c>
      <c r="BC1473" t="str">
        <f t="shared" si="248"/>
        <v>9791137604131</v>
      </c>
      <c r="BE1473" t="str">
        <f t="shared" si="249"/>
        <v>로맨스 웹소설 &gt; 현대물</v>
      </c>
    </row>
    <row r="1474" spans="1:57" x14ac:dyDescent="0.3">
      <c r="A1474">
        <v>2313017163</v>
      </c>
      <c r="B1474">
        <v>2313017230</v>
      </c>
      <c r="C1474" t="str">
        <f>T("친절하기는 얼어 죽을 67화")</f>
        <v>친절하기는 얼어 죽을 67화</v>
      </c>
      <c r="D1474" t="str">
        <f>T("68")</f>
        <v>68</v>
      </c>
      <c r="E1474" t="str">
        <f t="shared" si="244"/>
        <v>솜목화</v>
      </c>
      <c r="H1474" t="str">
        <f t="shared" si="245"/>
        <v>블레슈(Blesshuu)</v>
      </c>
      <c r="I1474" t="str">
        <f t="shared" si="246"/>
        <v>친절하기는 얼어 죽을</v>
      </c>
      <c r="J1474">
        <v>100</v>
      </c>
      <c r="K1474">
        <v>400</v>
      </c>
      <c r="L1474">
        <v>4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400</v>
      </c>
      <c r="AH1474">
        <v>4</v>
      </c>
      <c r="AI1474">
        <v>0</v>
      </c>
      <c r="AJ1474">
        <v>0</v>
      </c>
      <c r="AK1474">
        <v>300</v>
      </c>
      <c r="AL1474">
        <v>0</v>
      </c>
      <c r="AM1474">
        <v>120</v>
      </c>
      <c r="AN1474">
        <v>-12</v>
      </c>
      <c r="AO1474">
        <v>0</v>
      </c>
      <c r="AP1474"/>
      <c r="AQ1474">
        <v>0</v>
      </c>
      <c r="AR1474">
        <v>0</v>
      </c>
      <c r="AS1474">
        <v>120</v>
      </c>
      <c r="AT1474">
        <v>-12</v>
      </c>
      <c r="AU1474">
        <v>0</v>
      </c>
      <c r="AW1474">
        <v>0</v>
      </c>
      <c r="AX1474">
        <v>0</v>
      </c>
      <c r="AY1474">
        <v>244.8</v>
      </c>
      <c r="BA1474" t="str">
        <f t="shared" si="247"/>
        <v>0000000000000</v>
      </c>
      <c r="BC1474" t="str">
        <f t="shared" si="248"/>
        <v>9791137604131</v>
      </c>
      <c r="BE1474" t="str">
        <f t="shared" si="249"/>
        <v>로맨스 웹소설 &gt; 현대물</v>
      </c>
    </row>
    <row r="1475" spans="1:57" x14ac:dyDescent="0.3">
      <c r="A1475">
        <v>2313017163</v>
      </c>
      <c r="B1475">
        <v>2313017231</v>
      </c>
      <c r="C1475" t="str">
        <f>T("친절하기는 얼어 죽을 68화")</f>
        <v>친절하기는 얼어 죽을 68화</v>
      </c>
      <c r="D1475" t="str">
        <f>T("69")</f>
        <v>69</v>
      </c>
      <c r="E1475" t="str">
        <f t="shared" si="244"/>
        <v>솜목화</v>
      </c>
      <c r="H1475" t="str">
        <f t="shared" si="245"/>
        <v>블레슈(Blesshuu)</v>
      </c>
      <c r="I1475" t="str">
        <f t="shared" si="246"/>
        <v>친절하기는 얼어 죽을</v>
      </c>
      <c r="J1475">
        <v>100</v>
      </c>
      <c r="K1475">
        <v>400</v>
      </c>
      <c r="L1475">
        <v>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400</v>
      </c>
      <c r="AH1475">
        <v>4</v>
      </c>
      <c r="AI1475">
        <v>0</v>
      </c>
      <c r="AJ1475">
        <v>0</v>
      </c>
      <c r="AK1475">
        <v>300</v>
      </c>
      <c r="AL1475">
        <v>0</v>
      </c>
      <c r="AM1475">
        <v>120</v>
      </c>
      <c r="AN1475">
        <v>-12</v>
      </c>
      <c r="AO1475">
        <v>0</v>
      </c>
      <c r="AP1475"/>
      <c r="AQ1475">
        <v>0</v>
      </c>
      <c r="AR1475">
        <v>0</v>
      </c>
      <c r="AS1475">
        <v>120</v>
      </c>
      <c r="AT1475">
        <v>-12</v>
      </c>
      <c r="AU1475">
        <v>0</v>
      </c>
      <c r="AW1475">
        <v>0</v>
      </c>
      <c r="AX1475">
        <v>0</v>
      </c>
      <c r="AY1475">
        <v>244.8</v>
      </c>
      <c r="BA1475" t="str">
        <f t="shared" si="247"/>
        <v>0000000000000</v>
      </c>
      <c r="BC1475" t="str">
        <f t="shared" si="248"/>
        <v>9791137604131</v>
      </c>
      <c r="BE1475" t="str">
        <f t="shared" si="249"/>
        <v>로맨스 웹소설 &gt; 현대물</v>
      </c>
    </row>
    <row r="1476" spans="1:57" x14ac:dyDescent="0.3">
      <c r="A1476">
        <v>2313017163</v>
      </c>
      <c r="B1476">
        <v>2313017232</v>
      </c>
      <c r="C1476" t="str">
        <f>T("친절하기는 얼어 죽을 69화")</f>
        <v>친절하기는 얼어 죽을 69화</v>
      </c>
      <c r="D1476" t="str">
        <f>T("70")</f>
        <v>70</v>
      </c>
      <c r="E1476" t="str">
        <f t="shared" si="244"/>
        <v>솜목화</v>
      </c>
      <c r="H1476" t="str">
        <f t="shared" si="245"/>
        <v>블레슈(Blesshuu)</v>
      </c>
      <c r="I1476" t="str">
        <f t="shared" si="246"/>
        <v>친절하기는 얼어 죽을</v>
      </c>
      <c r="J1476">
        <v>100</v>
      </c>
      <c r="K1476">
        <v>400</v>
      </c>
      <c r="L1476">
        <v>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400</v>
      </c>
      <c r="AH1476">
        <v>4</v>
      </c>
      <c r="AI1476">
        <v>0</v>
      </c>
      <c r="AJ1476">
        <v>0</v>
      </c>
      <c r="AK1476">
        <v>300</v>
      </c>
      <c r="AL1476">
        <v>0</v>
      </c>
      <c r="AM1476">
        <v>120</v>
      </c>
      <c r="AN1476">
        <v>-12</v>
      </c>
      <c r="AO1476">
        <v>0</v>
      </c>
      <c r="AP1476"/>
      <c r="AQ1476">
        <v>0</v>
      </c>
      <c r="AR1476">
        <v>0</v>
      </c>
      <c r="AS1476">
        <v>120</v>
      </c>
      <c r="AT1476">
        <v>-12</v>
      </c>
      <c r="AU1476">
        <v>0</v>
      </c>
      <c r="AW1476">
        <v>0</v>
      </c>
      <c r="AX1476">
        <v>0</v>
      </c>
      <c r="AY1476">
        <v>244.8</v>
      </c>
      <c r="BA1476" t="str">
        <f t="shared" si="247"/>
        <v>0000000000000</v>
      </c>
      <c r="BC1476" t="str">
        <f t="shared" si="248"/>
        <v>9791137604131</v>
      </c>
      <c r="BE1476" t="str">
        <f t="shared" si="249"/>
        <v>로맨스 웹소설 &gt; 현대물</v>
      </c>
    </row>
    <row r="1477" spans="1:57" x14ac:dyDescent="0.3">
      <c r="A1477">
        <v>2313017163</v>
      </c>
      <c r="B1477">
        <v>2313017233</v>
      </c>
      <c r="C1477" t="str">
        <f>T("친절하기는 얼어 죽을 70화")</f>
        <v>친절하기는 얼어 죽을 70화</v>
      </c>
      <c r="D1477" t="str">
        <f>T("71")</f>
        <v>71</v>
      </c>
      <c r="E1477" t="str">
        <f t="shared" si="244"/>
        <v>솜목화</v>
      </c>
      <c r="H1477" t="str">
        <f t="shared" si="245"/>
        <v>블레슈(Blesshuu)</v>
      </c>
      <c r="I1477" t="str">
        <f t="shared" si="246"/>
        <v>친절하기는 얼어 죽을</v>
      </c>
      <c r="J1477">
        <v>100</v>
      </c>
      <c r="K1477">
        <v>400</v>
      </c>
      <c r="L1477">
        <v>4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400</v>
      </c>
      <c r="AH1477">
        <v>4</v>
      </c>
      <c r="AI1477">
        <v>0</v>
      </c>
      <c r="AJ1477">
        <v>0</v>
      </c>
      <c r="AK1477">
        <v>300</v>
      </c>
      <c r="AL1477">
        <v>0</v>
      </c>
      <c r="AM1477">
        <v>120</v>
      </c>
      <c r="AN1477">
        <v>-12</v>
      </c>
      <c r="AO1477">
        <v>0</v>
      </c>
      <c r="AP1477"/>
      <c r="AQ1477">
        <v>0</v>
      </c>
      <c r="AR1477">
        <v>0</v>
      </c>
      <c r="AS1477">
        <v>120</v>
      </c>
      <c r="AT1477">
        <v>-12</v>
      </c>
      <c r="AU1477">
        <v>0</v>
      </c>
      <c r="AW1477">
        <v>0</v>
      </c>
      <c r="AX1477">
        <v>0</v>
      </c>
      <c r="AY1477">
        <v>244.8</v>
      </c>
      <c r="BA1477" t="str">
        <f t="shared" si="247"/>
        <v>0000000000000</v>
      </c>
      <c r="BC1477" t="str">
        <f t="shared" si="248"/>
        <v>9791137604131</v>
      </c>
      <c r="BE1477" t="str">
        <f t="shared" si="249"/>
        <v>로맨스 웹소설 &gt; 현대물</v>
      </c>
    </row>
    <row r="1478" spans="1:57" x14ac:dyDescent="0.3">
      <c r="A1478">
        <v>2313017163</v>
      </c>
      <c r="B1478">
        <v>2313017238</v>
      </c>
      <c r="C1478" t="str">
        <f>T("친절하기는 얼어 죽을 75화")</f>
        <v>친절하기는 얼어 죽을 75화</v>
      </c>
      <c r="D1478" t="str">
        <f>T("76")</f>
        <v>76</v>
      </c>
      <c r="E1478" t="str">
        <f t="shared" si="244"/>
        <v>솜목화</v>
      </c>
      <c r="H1478" t="str">
        <f t="shared" si="245"/>
        <v>블레슈(Blesshuu)</v>
      </c>
      <c r="I1478" t="str">
        <f t="shared" si="246"/>
        <v>친절하기는 얼어 죽을</v>
      </c>
      <c r="J1478">
        <v>100</v>
      </c>
      <c r="K1478">
        <v>400</v>
      </c>
      <c r="L1478">
        <v>4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400</v>
      </c>
      <c r="AH1478">
        <v>4</v>
      </c>
      <c r="AI1478">
        <v>0</v>
      </c>
      <c r="AJ1478">
        <v>0</v>
      </c>
      <c r="AK1478">
        <v>300</v>
      </c>
      <c r="AL1478">
        <v>0</v>
      </c>
      <c r="AM1478">
        <v>120</v>
      </c>
      <c r="AN1478">
        <v>-12</v>
      </c>
      <c r="AO1478">
        <v>0</v>
      </c>
      <c r="AP1478"/>
      <c r="AQ1478">
        <v>0</v>
      </c>
      <c r="AR1478">
        <v>0</v>
      </c>
      <c r="AS1478">
        <v>120</v>
      </c>
      <c r="AT1478">
        <v>-12</v>
      </c>
      <c r="AU1478">
        <v>0</v>
      </c>
      <c r="AW1478">
        <v>0</v>
      </c>
      <c r="AX1478">
        <v>0</v>
      </c>
      <c r="AY1478">
        <v>244.8</v>
      </c>
      <c r="BA1478" t="str">
        <f t="shared" si="247"/>
        <v>0000000000000</v>
      </c>
      <c r="BC1478" t="str">
        <f t="shared" si="248"/>
        <v>9791137604131</v>
      </c>
      <c r="BE1478" t="str">
        <f t="shared" si="249"/>
        <v>로맨스 웹소설 &gt; 현대물</v>
      </c>
    </row>
    <row r="1479" spans="1:57" x14ac:dyDescent="0.3">
      <c r="A1479">
        <v>2313017163</v>
      </c>
      <c r="B1479">
        <v>2313017239</v>
      </c>
      <c r="C1479" t="str">
        <f>T("친절하기는 얼어 죽을 76화")</f>
        <v>친절하기는 얼어 죽을 76화</v>
      </c>
      <c r="D1479" t="str">
        <f>T("77")</f>
        <v>77</v>
      </c>
      <c r="E1479" t="str">
        <f t="shared" si="244"/>
        <v>솜목화</v>
      </c>
      <c r="H1479" t="str">
        <f t="shared" si="245"/>
        <v>블레슈(Blesshuu)</v>
      </c>
      <c r="I1479" t="str">
        <f t="shared" si="246"/>
        <v>친절하기는 얼어 죽을</v>
      </c>
      <c r="J1479">
        <v>100</v>
      </c>
      <c r="K1479">
        <v>400</v>
      </c>
      <c r="L1479">
        <v>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400</v>
      </c>
      <c r="AH1479">
        <v>4</v>
      </c>
      <c r="AI1479">
        <v>0</v>
      </c>
      <c r="AJ1479">
        <v>0</v>
      </c>
      <c r="AK1479">
        <v>300</v>
      </c>
      <c r="AL1479">
        <v>0</v>
      </c>
      <c r="AM1479">
        <v>120</v>
      </c>
      <c r="AN1479">
        <v>-12</v>
      </c>
      <c r="AO1479">
        <v>0</v>
      </c>
      <c r="AP1479"/>
      <c r="AQ1479">
        <v>0</v>
      </c>
      <c r="AR1479">
        <v>0</v>
      </c>
      <c r="AS1479">
        <v>120</v>
      </c>
      <c r="AT1479">
        <v>-12</v>
      </c>
      <c r="AU1479">
        <v>0</v>
      </c>
      <c r="AW1479">
        <v>0</v>
      </c>
      <c r="AX1479">
        <v>0</v>
      </c>
      <c r="AY1479">
        <v>244.8</v>
      </c>
      <c r="BA1479" t="str">
        <f t="shared" si="247"/>
        <v>0000000000000</v>
      </c>
      <c r="BC1479" t="str">
        <f t="shared" si="248"/>
        <v>9791137604131</v>
      </c>
      <c r="BE1479" t="str">
        <f t="shared" si="249"/>
        <v>로맨스 웹소설 &gt; 현대물</v>
      </c>
    </row>
    <row r="1480" spans="1:57" x14ac:dyDescent="0.3">
      <c r="A1480">
        <v>2313017163</v>
      </c>
      <c r="B1480">
        <v>2313017243</v>
      </c>
      <c r="C1480" t="str">
        <f>T("친절하기는 얼어 죽을 80화")</f>
        <v>친절하기는 얼어 죽을 80화</v>
      </c>
      <c r="D1480" t="str">
        <f>T("81")</f>
        <v>81</v>
      </c>
      <c r="E1480" t="str">
        <f t="shared" si="244"/>
        <v>솜목화</v>
      </c>
      <c r="H1480" t="str">
        <f t="shared" si="245"/>
        <v>블레슈(Blesshuu)</v>
      </c>
      <c r="I1480" t="str">
        <f t="shared" si="246"/>
        <v>친절하기는 얼어 죽을</v>
      </c>
      <c r="J1480">
        <v>100</v>
      </c>
      <c r="K1480">
        <v>400</v>
      </c>
      <c r="L1480">
        <v>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400</v>
      </c>
      <c r="AH1480">
        <v>4</v>
      </c>
      <c r="AI1480">
        <v>0</v>
      </c>
      <c r="AJ1480">
        <v>0</v>
      </c>
      <c r="AK1480">
        <v>400</v>
      </c>
      <c r="AL1480">
        <v>0</v>
      </c>
      <c r="AM1480">
        <v>0</v>
      </c>
      <c r="AN1480">
        <v>0</v>
      </c>
      <c r="AO1480">
        <v>0</v>
      </c>
      <c r="AP1480"/>
      <c r="AQ1480">
        <v>0</v>
      </c>
      <c r="AR1480">
        <v>0</v>
      </c>
      <c r="AT1480">
        <v>0</v>
      </c>
      <c r="AU1480">
        <v>0</v>
      </c>
      <c r="AW1480">
        <v>0</v>
      </c>
      <c r="AX1480">
        <v>0</v>
      </c>
      <c r="AY1480">
        <v>240</v>
      </c>
      <c r="BA1480" t="str">
        <f t="shared" si="247"/>
        <v>0000000000000</v>
      </c>
      <c r="BC1480" t="str">
        <f t="shared" si="248"/>
        <v>9791137604131</v>
      </c>
      <c r="BE1480" t="str">
        <f t="shared" si="249"/>
        <v>로맨스 웹소설 &gt; 현대물</v>
      </c>
    </row>
    <row r="1481" spans="1:57" x14ac:dyDescent="0.3">
      <c r="A1481">
        <v>2313019814</v>
      </c>
      <c r="B1481">
        <v>2313019817</v>
      </c>
      <c r="C1481" t="str">
        <f>T("친구 졸업 4화")</f>
        <v>친구 졸업 4화</v>
      </c>
      <c r="D1481" t="str">
        <f>T("4")</f>
        <v>4</v>
      </c>
      <c r="E1481" t="str">
        <f t="shared" ref="E1481:E1489" si="250">T("세상")</f>
        <v>세상</v>
      </c>
      <c r="H1481" t="str">
        <f t="shared" ref="H1481:H1489" si="251">T("앰퍼샌드B")</f>
        <v>앰퍼샌드B</v>
      </c>
      <c r="I1481" t="str">
        <f t="shared" ref="I1481:I1489" si="252">T("친구 졸업")</f>
        <v>친구 졸업</v>
      </c>
      <c r="J1481">
        <v>100</v>
      </c>
      <c r="K1481">
        <v>400</v>
      </c>
      <c r="L1481">
        <v>4</v>
      </c>
      <c r="M1481">
        <v>0</v>
      </c>
      <c r="N1481">
        <v>100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500</v>
      </c>
      <c r="AH1481">
        <v>5</v>
      </c>
      <c r="AI1481">
        <v>0</v>
      </c>
      <c r="AJ1481">
        <v>0</v>
      </c>
      <c r="AK1481">
        <v>400</v>
      </c>
      <c r="AL1481">
        <v>0</v>
      </c>
      <c r="AM1481">
        <v>120</v>
      </c>
      <c r="AN1481">
        <v>-12</v>
      </c>
      <c r="AO1481">
        <v>0</v>
      </c>
      <c r="AP1481"/>
      <c r="AQ1481">
        <v>0</v>
      </c>
      <c r="AR1481">
        <v>0</v>
      </c>
      <c r="AS1481">
        <v>120</v>
      </c>
      <c r="AT1481">
        <v>-12</v>
      </c>
      <c r="AU1481">
        <v>0</v>
      </c>
      <c r="AW1481">
        <v>0</v>
      </c>
      <c r="AX1481">
        <v>0</v>
      </c>
      <c r="AY1481">
        <v>355.6</v>
      </c>
      <c r="BC1481" t="str">
        <f t="shared" ref="BC1481:BC1489" si="253">T("9791137606975")</f>
        <v>9791137606975</v>
      </c>
      <c r="BE1481" t="str">
        <f t="shared" ref="BE1481:BE1489" si="254">T("BL 웹소설 &gt; 현대물")</f>
        <v>BL 웹소설 &gt; 현대물</v>
      </c>
    </row>
    <row r="1482" spans="1:57" x14ac:dyDescent="0.3">
      <c r="A1482">
        <v>2313019814</v>
      </c>
      <c r="B1482">
        <v>2313019818</v>
      </c>
      <c r="C1482" t="str">
        <f>T("친구 졸업 5화")</f>
        <v>친구 졸업 5화</v>
      </c>
      <c r="D1482" t="str">
        <f>T("5")</f>
        <v>5</v>
      </c>
      <c r="E1482" t="str">
        <f t="shared" si="250"/>
        <v>세상</v>
      </c>
      <c r="H1482" t="str">
        <f t="shared" si="251"/>
        <v>앰퍼샌드B</v>
      </c>
      <c r="I1482" t="str">
        <f t="shared" si="252"/>
        <v>친구 졸업</v>
      </c>
      <c r="J1482">
        <v>100</v>
      </c>
      <c r="K1482">
        <v>400</v>
      </c>
      <c r="L1482">
        <v>4</v>
      </c>
      <c r="M1482">
        <v>0</v>
      </c>
      <c r="N1482">
        <v>100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500</v>
      </c>
      <c r="AH1482">
        <v>5</v>
      </c>
      <c r="AI1482">
        <v>0</v>
      </c>
      <c r="AJ1482">
        <v>0</v>
      </c>
      <c r="AK1482">
        <v>400</v>
      </c>
      <c r="AL1482">
        <v>0</v>
      </c>
      <c r="AM1482">
        <v>120</v>
      </c>
      <c r="AN1482">
        <v>-12</v>
      </c>
      <c r="AO1482">
        <v>0</v>
      </c>
      <c r="AP1482"/>
      <c r="AQ1482">
        <v>0</v>
      </c>
      <c r="AR1482">
        <v>0</v>
      </c>
      <c r="AS1482">
        <v>120</v>
      </c>
      <c r="AT1482">
        <v>-12</v>
      </c>
      <c r="AU1482">
        <v>0</v>
      </c>
      <c r="AW1482">
        <v>0</v>
      </c>
      <c r="AX1482">
        <v>0</v>
      </c>
      <c r="AY1482">
        <v>355.6</v>
      </c>
      <c r="BC1482" t="str">
        <f t="shared" si="253"/>
        <v>9791137606975</v>
      </c>
      <c r="BE1482" t="str">
        <f t="shared" si="254"/>
        <v>BL 웹소설 &gt; 현대물</v>
      </c>
    </row>
    <row r="1483" spans="1:57" x14ac:dyDescent="0.3">
      <c r="A1483">
        <v>2313019814</v>
      </c>
      <c r="B1483">
        <v>2313019819</v>
      </c>
      <c r="C1483" t="str">
        <f>T("친구 졸업 6화")</f>
        <v>친구 졸업 6화</v>
      </c>
      <c r="D1483" t="str">
        <f>T("6")</f>
        <v>6</v>
      </c>
      <c r="E1483" t="str">
        <f t="shared" si="250"/>
        <v>세상</v>
      </c>
      <c r="H1483" t="str">
        <f t="shared" si="251"/>
        <v>앰퍼샌드B</v>
      </c>
      <c r="I1483" t="str">
        <f t="shared" si="252"/>
        <v>친구 졸업</v>
      </c>
      <c r="J1483">
        <v>100</v>
      </c>
      <c r="K1483">
        <v>400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400</v>
      </c>
      <c r="AH1483">
        <v>4</v>
      </c>
      <c r="AI1483">
        <v>0</v>
      </c>
      <c r="AJ1483">
        <v>0</v>
      </c>
      <c r="AK1483">
        <v>300</v>
      </c>
      <c r="AL1483">
        <v>0</v>
      </c>
      <c r="AM1483">
        <v>120</v>
      </c>
      <c r="AN1483">
        <v>-12</v>
      </c>
      <c r="AO1483">
        <v>0</v>
      </c>
      <c r="AP1483"/>
      <c r="AQ1483">
        <v>0</v>
      </c>
      <c r="AR1483">
        <v>0</v>
      </c>
      <c r="AS1483">
        <v>120</v>
      </c>
      <c r="AT1483">
        <v>-12</v>
      </c>
      <c r="AU1483">
        <v>0</v>
      </c>
      <c r="AW1483">
        <v>0</v>
      </c>
      <c r="AX1483">
        <v>0</v>
      </c>
      <c r="AY1483">
        <v>285.60000000000002</v>
      </c>
      <c r="BC1483" t="str">
        <f t="shared" si="253"/>
        <v>9791137606975</v>
      </c>
      <c r="BE1483" t="str">
        <f t="shared" si="254"/>
        <v>BL 웹소설 &gt; 현대물</v>
      </c>
    </row>
    <row r="1484" spans="1:57" x14ac:dyDescent="0.3">
      <c r="A1484">
        <v>2313019814</v>
      </c>
      <c r="B1484">
        <v>2313019820</v>
      </c>
      <c r="C1484" t="str">
        <f>T("친구 졸업 7화")</f>
        <v>친구 졸업 7화</v>
      </c>
      <c r="D1484" t="str">
        <f>T("7")</f>
        <v>7</v>
      </c>
      <c r="E1484" t="str">
        <f t="shared" si="250"/>
        <v>세상</v>
      </c>
      <c r="H1484" t="str">
        <f t="shared" si="251"/>
        <v>앰퍼샌드B</v>
      </c>
      <c r="I1484" t="str">
        <f t="shared" si="252"/>
        <v>친구 졸업</v>
      </c>
      <c r="J1484">
        <v>100</v>
      </c>
      <c r="K1484">
        <v>400</v>
      </c>
      <c r="L1484">
        <v>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400</v>
      </c>
      <c r="AH1484">
        <v>4</v>
      </c>
      <c r="AI1484">
        <v>0</v>
      </c>
      <c r="AJ1484">
        <v>0</v>
      </c>
      <c r="AK1484">
        <v>300</v>
      </c>
      <c r="AL1484">
        <v>0</v>
      </c>
      <c r="AM1484">
        <v>120</v>
      </c>
      <c r="AN1484">
        <v>-12</v>
      </c>
      <c r="AO1484">
        <v>0</v>
      </c>
      <c r="AP1484"/>
      <c r="AQ1484">
        <v>0</v>
      </c>
      <c r="AR1484">
        <v>0</v>
      </c>
      <c r="AS1484">
        <v>120</v>
      </c>
      <c r="AT1484">
        <v>-12</v>
      </c>
      <c r="AU1484">
        <v>0</v>
      </c>
      <c r="AW1484">
        <v>0</v>
      </c>
      <c r="AX1484">
        <v>0</v>
      </c>
      <c r="AY1484">
        <v>285.60000000000002</v>
      </c>
      <c r="BC1484" t="str">
        <f t="shared" si="253"/>
        <v>9791137606975</v>
      </c>
      <c r="BE1484" t="str">
        <f t="shared" si="254"/>
        <v>BL 웹소설 &gt; 현대물</v>
      </c>
    </row>
    <row r="1485" spans="1:57" x14ac:dyDescent="0.3">
      <c r="A1485">
        <v>2313019814</v>
      </c>
      <c r="B1485">
        <v>2313019821</v>
      </c>
      <c r="C1485" t="str">
        <f>T("친구 졸업 8화")</f>
        <v>친구 졸업 8화</v>
      </c>
      <c r="D1485" t="str">
        <f>T("8")</f>
        <v>8</v>
      </c>
      <c r="E1485" t="str">
        <f t="shared" si="250"/>
        <v>세상</v>
      </c>
      <c r="H1485" t="str">
        <f t="shared" si="251"/>
        <v>앰퍼샌드B</v>
      </c>
      <c r="I1485" t="str">
        <f t="shared" si="252"/>
        <v>친구 졸업</v>
      </c>
      <c r="J1485">
        <v>100</v>
      </c>
      <c r="K1485">
        <v>400</v>
      </c>
      <c r="L1485">
        <v>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400</v>
      </c>
      <c r="AH1485">
        <v>4</v>
      </c>
      <c r="AI1485">
        <v>0</v>
      </c>
      <c r="AJ1485">
        <v>0</v>
      </c>
      <c r="AK1485">
        <v>300</v>
      </c>
      <c r="AL1485">
        <v>0</v>
      </c>
      <c r="AM1485">
        <v>120</v>
      </c>
      <c r="AN1485">
        <v>-12</v>
      </c>
      <c r="AO1485">
        <v>0</v>
      </c>
      <c r="AP1485"/>
      <c r="AQ1485">
        <v>0</v>
      </c>
      <c r="AR1485">
        <v>0</v>
      </c>
      <c r="AS1485">
        <v>120</v>
      </c>
      <c r="AT1485">
        <v>-12</v>
      </c>
      <c r="AU1485">
        <v>0</v>
      </c>
      <c r="AW1485">
        <v>0</v>
      </c>
      <c r="AX1485">
        <v>0</v>
      </c>
      <c r="AY1485">
        <v>285.60000000000002</v>
      </c>
      <c r="BC1485" t="str">
        <f t="shared" si="253"/>
        <v>9791137606975</v>
      </c>
      <c r="BE1485" t="str">
        <f t="shared" si="254"/>
        <v>BL 웹소설 &gt; 현대물</v>
      </c>
    </row>
    <row r="1486" spans="1:57" x14ac:dyDescent="0.3">
      <c r="A1486">
        <v>2313019814</v>
      </c>
      <c r="B1486">
        <v>2313019822</v>
      </c>
      <c r="C1486" t="str">
        <f>T("친구 졸업 9화")</f>
        <v>친구 졸업 9화</v>
      </c>
      <c r="D1486" t="str">
        <f>T("9")</f>
        <v>9</v>
      </c>
      <c r="E1486" t="str">
        <f t="shared" si="250"/>
        <v>세상</v>
      </c>
      <c r="H1486" t="str">
        <f t="shared" si="251"/>
        <v>앰퍼샌드B</v>
      </c>
      <c r="I1486" t="str">
        <f t="shared" si="252"/>
        <v>친구 졸업</v>
      </c>
      <c r="J1486">
        <v>100</v>
      </c>
      <c r="K1486">
        <v>400</v>
      </c>
      <c r="L1486">
        <v>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400</v>
      </c>
      <c r="AH1486">
        <v>4</v>
      </c>
      <c r="AI1486">
        <v>0</v>
      </c>
      <c r="AJ1486">
        <v>0</v>
      </c>
      <c r="AK1486">
        <v>300</v>
      </c>
      <c r="AL1486">
        <v>0</v>
      </c>
      <c r="AM1486">
        <v>120</v>
      </c>
      <c r="AN1486">
        <v>-12</v>
      </c>
      <c r="AO1486">
        <v>0</v>
      </c>
      <c r="AP1486"/>
      <c r="AQ1486">
        <v>0</v>
      </c>
      <c r="AR1486">
        <v>0</v>
      </c>
      <c r="AS1486">
        <v>120</v>
      </c>
      <c r="AT1486">
        <v>-12</v>
      </c>
      <c r="AU1486">
        <v>0</v>
      </c>
      <c r="AW1486">
        <v>0</v>
      </c>
      <c r="AX1486">
        <v>0</v>
      </c>
      <c r="AY1486">
        <v>285.60000000000002</v>
      </c>
      <c r="BC1486" t="str">
        <f t="shared" si="253"/>
        <v>9791137606975</v>
      </c>
      <c r="BE1486" t="str">
        <f t="shared" si="254"/>
        <v>BL 웹소설 &gt; 현대물</v>
      </c>
    </row>
    <row r="1487" spans="1:57" x14ac:dyDescent="0.3">
      <c r="A1487">
        <v>2313019814</v>
      </c>
      <c r="B1487">
        <v>2313020081</v>
      </c>
      <c r="C1487" t="str">
        <f>T("친구 졸업 94화")</f>
        <v>친구 졸업 94화</v>
      </c>
      <c r="D1487" t="str">
        <f>T("94")</f>
        <v>94</v>
      </c>
      <c r="E1487" t="str">
        <f t="shared" si="250"/>
        <v>세상</v>
      </c>
      <c r="H1487" t="str">
        <f t="shared" si="251"/>
        <v>앰퍼샌드B</v>
      </c>
      <c r="I1487" t="str">
        <f t="shared" si="252"/>
        <v>친구 졸업</v>
      </c>
      <c r="J1487">
        <v>100</v>
      </c>
      <c r="K1487">
        <v>400</v>
      </c>
      <c r="L1487">
        <v>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400</v>
      </c>
      <c r="AH1487">
        <v>4</v>
      </c>
      <c r="AI1487">
        <v>0</v>
      </c>
      <c r="AJ1487">
        <v>0</v>
      </c>
      <c r="AK1487">
        <v>400</v>
      </c>
      <c r="AL1487">
        <v>0</v>
      </c>
      <c r="AM1487">
        <v>0</v>
      </c>
      <c r="AN1487">
        <v>0</v>
      </c>
      <c r="AO1487">
        <v>0</v>
      </c>
      <c r="AP1487"/>
      <c r="AQ1487">
        <v>0</v>
      </c>
      <c r="AR1487">
        <v>0</v>
      </c>
      <c r="AT1487">
        <v>0</v>
      </c>
      <c r="AU1487">
        <v>0</v>
      </c>
      <c r="AW1487">
        <v>0</v>
      </c>
      <c r="AX1487">
        <v>0</v>
      </c>
      <c r="AY1487">
        <v>280</v>
      </c>
      <c r="BC1487" t="str">
        <f t="shared" si="253"/>
        <v>9791137606975</v>
      </c>
      <c r="BE1487" t="str">
        <f t="shared" si="254"/>
        <v>BL 웹소설 &gt; 현대물</v>
      </c>
    </row>
    <row r="1488" spans="1:57" x14ac:dyDescent="0.3">
      <c r="A1488">
        <v>2313019814</v>
      </c>
      <c r="B1488">
        <v>2313020082</v>
      </c>
      <c r="C1488" t="str">
        <f>T("친구 졸업 95화")</f>
        <v>친구 졸업 95화</v>
      </c>
      <c r="D1488" t="str">
        <f>T("95")</f>
        <v>95</v>
      </c>
      <c r="E1488" t="str">
        <f t="shared" si="250"/>
        <v>세상</v>
      </c>
      <c r="H1488" t="str">
        <f t="shared" si="251"/>
        <v>앰퍼샌드B</v>
      </c>
      <c r="I1488" t="str">
        <f t="shared" si="252"/>
        <v>친구 졸업</v>
      </c>
      <c r="J1488">
        <v>100</v>
      </c>
      <c r="K1488">
        <v>400</v>
      </c>
      <c r="L1488">
        <v>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400</v>
      </c>
      <c r="AH1488">
        <v>4</v>
      </c>
      <c r="AI1488">
        <v>0</v>
      </c>
      <c r="AJ1488">
        <v>0</v>
      </c>
      <c r="AK1488">
        <v>400</v>
      </c>
      <c r="AL1488">
        <v>0</v>
      </c>
      <c r="AM1488">
        <v>0</v>
      </c>
      <c r="AN1488">
        <v>0</v>
      </c>
      <c r="AO1488">
        <v>0</v>
      </c>
      <c r="AP1488"/>
      <c r="AQ1488">
        <v>0</v>
      </c>
      <c r="AR1488">
        <v>0</v>
      </c>
      <c r="AT1488">
        <v>0</v>
      </c>
      <c r="AU1488">
        <v>0</v>
      </c>
      <c r="AW1488">
        <v>0</v>
      </c>
      <c r="AX1488">
        <v>0</v>
      </c>
      <c r="AY1488">
        <v>280</v>
      </c>
      <c r="BC1488" t="str">
        <f t="shared" si="253"/>
        <v>9791137606975</v>
      </c>
      <c r="BE1488" t="str">
        <f t="shared" si="254"/>
        <v>BL 웹소설 &gt; 현대물</v>
      </c>
    </row>
    <row r="1489" spans="1:57" x14ac:dyDescent="0.3">
      <c r="A1489">
        <v>2313019814</v>
      </c>
      <c r="B1489">
        <v>2313020088</v>
      </c>
      <c r="C1489" t="str">
        <f>T("친구 졸업 101화")</f>
        <v>친구 졸업 101화</v>
      </c>
      <c r="D1489" t="str">
        <f>T("101")</f>
        <v>101</v>
      </c>
      <c r="E1489" t="str">
        <f t="shared" si="250"/>
        <v>세상</v>
      </c>
      <c r="H1489" t="str">
        <f t="shared" si="251"/>
        <v>앰퍼샌드B</v>
      </c>
      <c r="I1489" t="str">
        <f t="shared" si="252"/>
        <v>친구 졸업</v>
      </c>
      <c r="J1489">
        <v>100</v>
      </c>
      <c r="K1489">
        <v>400</v>
      </c>
      <c r="L1489">
        <v>4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400</v>
      </c>
      <c r="AH1489">
        <v>4</v>
      </c>
      <c r="AI1489">
        <v>0</v>
      </c>
      <c r="AJ1489">
        <v>0</v>
      </c>
      <c r="AK1489">
        <v>400</v>
      </c>
      <c r="AL1489">
        <v>0</v>
      </c>
      <c r="AM1489">
        <v>0</v>
      </c>
      <c r="AN1489">
        <v>0</v>
      </c>
      <c r="AO1489">
        <v>0</v>
      </c>
      <c r="AP1489"/>
      <c r="AQ1489">
        <v>0</v>
      </c>
      <c r="AR1489">
        <v>0</v>
      </c>
      <c r="AT1489">
        <v>0</v>
      </c>
      <c r="AU1489">
        <v>0</v>
      </c>
      <c r="AW1489">
        <v>0</v>
      </c>
      <c r="AX1489">
        <v>0</v>
      </c>
      <c r="AY1489">
        <v>280</v>
      </c>
      <c r="BC1489" t="str">
        <f t="shared" si="253"/>
        <v>9791137606975</v>
      </c>
      <c r="BE1489" t="str">
        <f t="shared" si="254"/>
        <v>BL 웹소설 &gt; 현대물</v>
      </c>
    </row>
    <row r="1490" spans="1:57" x14ac:dyDescent="0.3">
      <c r="A1490">
        <v>2313020594</v>
      </c>
      <c r="B1490">
        <v>2313020677</v>
      </c>
      <c r="C1490" t="str">
        <f>T("아카데미 속 궁술천재 84화")</f>
        <v>아카데미 속 궁술천재 84화</v>
      </c>
      <c r="D1490" t="str">
        <f>T("84")</f>
        <v>84</v>
      </c>
      <c r="E1490" t="str">
        <f t="shared" ref="E1490:E1499" si="255">T("깡펀치")</f>
        <v>깡펀치</v>
      </c>
      <c r="H1490" t="str">
        <f t="shared" ref="H1490:H1545" si="256">T("스토리위즈")</f>
        <v>스토리위즈</v>
      </c>
      <c r="I1490" t="str">
        <f t="shared" ref="I1490:I1499" si="257">T("아카데미 속 궁술천재")</f>
        <v>아카데미 속 궁술천재</v>
      </c>
      <c r="J1490">
        <v>100</v>
      </c>
      <c r="K1490">
        <v>400</v>
      </c>
      <c r="L1490">
        <v>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400</v>
      </c>
      <c r="AH1490">
        <v>4</v>
      </c>
      <c r="AI1490">
        <v>0</v>
      </c>
      <c r="AJ1490">
        <v>0</v>
      </c>
      <c r="AK1490">
        <v>400</v>
      </c>
      <c r="AL1490">
        <v>0</v>
      </c>
      <c r="AM1490">
        <v>0</v>
      </c>
      <c r="AN1490">
        <v>0</v>
      </c>
      <c r="AO1490">
        <v>0</v>
      </c>
      <c r="AP1490"/>
      <c r="AQ1490">
        <v>0</v>
      </c>
      <c r="AR1490">
        <v>0</v>
      </c>
      <c r="AT1490">
        <v>0</v>
      </c>
      <c r="AU1490">
        <v>0</v>
      </c>
      <c r="AW1490">
        <v>0</v>
      </c>
      <c r="AX1490">
        <v>0</v>
      </c>
      <c r="AY1490">
        <v>280</v>
      </c>
      <c r="BC1490" t="str">
        <f t="shared" ref="BC1490:BC1499" si="258">T("9791137602915")</f>
        <v>9791137602915</v>
      </c>
      <c r="BE1490" t="str">
        <f t="shared" ref="BE1490:BE1500" si="259">T("판타지 웹소설 &gt; 퓨전 판타지")</f>
        <v>판타지 웹소설 &gt; 퓨전 판타지</v>
      </c>
    </row>
    <row r="1491" spans="1:57" x14ac:dyDescent="0.3">
      <c r="A1491">
        <v>2313020594</v>
      </c>
      <c r="B1491">
        <v>2313020682</v>
      </c>
      <c r="C1491" t="str">
        <f>T("아카데미 속 궁술천재 89화")</f>
        <v>아카데미 속 궁술천재 89화</v>
      </c>
      <c r="D1491" t="str">
        <f>T("89")</f>
        <v>89</v>
      </c>
      <c r="E1491" t="str">
        <f t="shared" si="255"/>
        <v>깡펀치</v>
      </c>
      <c r="H1491" t="str">
        <f t="shared" si="256"/>
        <v>스토리위즈</v>
      </c>
      <c r="I1491" t="str">
        <f t="shared" si="257"/>
        <v>아카데미 속 궁술천재</v>
      </c>
      <c r="J1491">
        <v>100</v>
      </c>
      <c r="K1491">
        <v>400</v>
      </c>
      <c r="L1491">
        <v>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400</v>
      </c>
      <c r="AH1491">
        <v>4</v>
      </c>
      <c r="AI1491">
        <v>0</v>
      </c>
      <c r="AJ1491">
        <v>0</v>
      </c>
      <c r="AK1491">
        <v>400</v>
      </c>
      <c r="AL1491">
        <v>0</v>
      </c>
      <c r="AM1491">
        <v>0</v>
      </c>
      <c r="AN1491">
        <v>0</v>
      </c>
      <c r="AO1491">
        <v>0</v>
      </c>
      <c r="AP1491"/>
      <c r="AQ1491">
        <v>0</v>
      </c>
      <c r="AR1491">
        <v>0</v>
      </c>
      <c r="AT1491">
        <v>0</v>
      </c>
      <c r="AU1491">
        <v>0</v>
      </c>
      <c r="AW1491">
        <v>0</v>
      </c>
      <c r="AX1491">
        <v>0</v>
      </c>
      <c r="AY1491">
        <v>280</v>
      </c>
      <c r="BC1491" t="str">
        <f t="shared" si="258"/>
        <v>9791137602915</v>
      </c>
      <c r="BE1491" t="str">
        <f t="shared" si="259"/>
        <v>판타지 웹소설 &gt; 퓨전 판타지</v>
      </c>
    </row>
    <row r="1492" spans="1:57" x14ac:dyDescent="0.3">
      <c r="A1492">
        <v>2313020594</v>
      </c>
      <c r="B1492">
        <v>2313020686</v>
      </c>
      <c r="C1492" t="str">
        <f>T("아카데미 속 궁술천재 93화")</f>
        <v>아카데미 속 궁술천재 93화</v>
      </c>
      <c r="D1492" t="str">
        <f>T("93")</f>
        <v>93</v>
      </c>
      <c r="E1492" t="str">
        <f t="shared" si="255"/>
        <v>깡펀치</v>
      </c>
      <c r="H1492" t="str">
        <f t="shared" si="256"/>
        <v>스토리위즈</v>
      </c>
      <c r="I1492" t="str">
        <f t="shared" si="257"/>
        <v>아카데미 속 궁술천재</v>
      </c>
      <c r="J1492">
        <v>100</v>
      </c>
      <c r="K1492">
        <v>400</v>
      </c>
      <c r="L1492">
        <v>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400</v>
      </c>
      <c r="AH1492">
        <v>4</v>
      </c>
      <c r="AI1492">
        <v>0</v>
      </c>
      <c r="AJ1492">
        <v>0</v>
      </c>
      <c r="AK1492">
        <v>400</v>
      </c>
      <c r="AL1492">
        <v>0</v>
      </c>
      <c r="AM1492">
        <v>0</v>
      </c>
      <c r="AN1492">
        <v>0</v>
      </c>
      <c r="AO1492">
        <v>0</v>
      </c>
      <c r="AP1492"/>
      <c r="AQ1492">
        <v>0</v>
      </c>
      <c r="AR1492">
        <v>0</v>
      </c>
      <c r="AT1492">
        <v>0</v>
      </c>
      <c r="AU1492">
        <v>0</v>
      </c>
      <c r="AW1492">
        <v>0</v>
      </c>
      <c r="AX1492">
        <v>0</v>
      </c>
      <c r="AY1492">
        <v>280</v>
      </c>
      <c r="BC1492" t="str">
        <f t="shared" si="258"/>
        <v>9791137602915</v>
      </c>
      <c r="BE1492" t="str">
        <f t="shared" si="259"/>
        <v>판타지 웹소설 &gt; 퓨전 판타지</v>
      </c>
    </row>
    <row r="1493" spans="1:57" x14ac:dyDescent="0.3">
      <c r="A1493">
        <v>2313020594</v>
      </c>
      <c r="B1493">
        <v>2313020687</v>
      </c>
      <c r="C1493" t="str">
        <f>T("아카데미 속 궁술천재 94화")</f>
        <v>아카데미 속 궁술천재 94화</v>
      </c>
      <c r="D1493" t="str">
        <f>T("94")</f>
        <v>94</v>
      </c>
      <c r="E1493" t="str">
        <f t="shared" si="255"/>
        <v>깡펀치</v>
      </c>
      <c r="H1493" t="str">
        <f t="shared" si="256"/>
        <v>스토리위즈</v>
      </c>
      <c r="I1493" t="str">
        <f t="shared" si="257"/>
        <v>아카데미 속 궁술천재</v>
      </c>
      <c r="J1493">
        <v>100</v>
      </c>
      <c r="K1493">
        <v>400</v>
      </c>
      <c r="L1493">
        <v>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400</v>
      </c>
      <c r="AH1493">
        <v>4</v>
      </c>
      <c r="AI1493">
        <v>0</v>
      </c>
      <c r="AJ1493">
        <v>0</v>
      </c>
      <c r="AK1493">
        <v>400</v>
      </c>
      <c r="AL1493">
        <v>0</v>
      </c>
      <c r="AM1493">
        <v>0</v>
      </c>
      <c r="AN1493">
        <v>0</v>
      </c>
      <c r="AO1493">
        <v>0</v>
      </c>
      <c r="AP1493"/>
      <c r="AQ1493">
        <v>0</v>
      </c>
      <c r="AR1493">
        <v>0</v>
      </c>
      <c r="AT1493">
        <v>0</v>
      </c>
      <c r="AU1493">
        <v>0</v>
      </c>
      <c r="AW1493">
        <v>0</v>
      </c>
      <c r="AX1493">
        <v>0</v>
      </c>
      <c r="AY1493">
        <v>280</v>
      </c>
      <c r="BC1493" t="str">
        <f t="shared" si="258"/>
        <v>9791137602915</v>
      </c>
      <c r="BE1493" t="str">
        <f t="shared" si="259"/>
        <v>판타지 웹소설 &gt; 퓨전 판타지</v>
      </c>
    </row>
    <row r="1494" spans="1:57" x14ac:dyDescent="0.3">
      <c r="A1494">
        <v>2313020594</v>
      </c>
      <c r="B1494">
        <v>2313020688</v>
      </c>
      <c r="C1494" t="str">
        <f>T("아카데미 속 궁술천재 95화")</f>
        <v>아카데미 속 궁술천재 95화</v>
      </c>
      <c r="D1494" t="str">
        <f>T("95")</f>
        <v>95</v>
      </c>
      <c r="E1494" t="str">
        <f t="shared" si="255"/>
        <v>깡펀치</v>
      </c>
      <c r="H1494" t="str">
        <f t="shared" si="256"/>
        <v>스토리위즈</v>
      </c>
      <c r="I1494" t="str">
        <f t="shared" si="257"/>
        <v>아카데미 속 궁술천재</v>
      </c>
      <c r="J1494">
        <v>100</v>
      </c>
      <c r="K1494">
        <v>400</v>
      </c>
      <c r="L1494">
        <v>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400</v>
      </c>
      <c r="AH1494">
        <v>4</v>
      </c>
      <c r="AI1494">
        <v>0</v>
      </c>
      <c r="AJ1494">
        <v>0</v>
      </c>
      <c r="AK1494">
        <v>400</v>
      </c>
      <c r="AL1494">
        <v>0</v>
      </c>
      <c r="AM1494">
        <v>0</v>
      </c>
      <c r="AN1494">
        <v>0</v>
      </c>
      <c r="AO1494">
        <v>0</v>
      </c>
      <c r="AP1494"/>
      <c r="AQ1494">
        <v>0</v>
      </c>
      <c r="AR1494">
        <v>0</v>
      </c>
      <c r="AT1494">
        <v>0</v>
      </c>
      <c r="AU1494">
        <v>0</v>
      </c>
      <c r="AW1494">
        <v>0</v>
      </c>
      <c r="AX1494">
        <v>0</v>
      </c>
      <c r="AY1494">
        <v>280</v>
      </c>
      <c r="BC1494" t="str">
        <f t="shared" si="258"/>
        <v>9791137602915</v>
      </c>
      <c r="BE1494" t="str">
        <f t="shared" si="259"/>
        <v>판타지 웹소설 &gt; 퓨전 판타지</v>
      </c>
    </row>
    <row r="1495" spans="1:57" x14ac:dyDescent="0.3">
      <c r="A1495">
        <v>2313020594</v>
      </c>
      <c r="B1495">
        <v>2313020689</v>
      </c>
      <c r="C1495" t="str">
        <f>T("아카데미 속 궁술천재 96화")</f>
        <v>아카데미 속 궁술천재 96화</v>
      </c>
      <c r="D1495" t="str">
        <f>T("96")</f>
        <v>96</v>
      </c>
      <c r="E1495" t="str">
        <f t="shared" si="255"/>
        <v>깡펀치</v>
      </c>
      <c r="H1495" t="str">
        <f t="shared" si="256"/>
        <v>스토리위즈</v>
      </c>
      <c r="I1495" t="str">
        <f t="shared" si="257"/>
        <v>아카데미 속 궁술천재</v>
      </c>
      <c r="J1495">
        <v>100</v>
      </c>
      <c r="K1495">
        <v>400</v>
      </c>
      <c r="L1495">
        <v>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400</v>
      </c>
      <c r="AH1495">
        <v>4</v>
      </c>
      <c r="AI1495">
        <v>0</v>
      </c>
      <c r="AJ1495">
        <v>0</v>
      </c>
      <c r="AK1495">
        <v>400</v>
      </c>
      <c r="AL1495">
        <v>0</v>
      </c>
      <c r="AM1495">
        <v>0</v>
      </c>
      <c r="AN1495">
        <v>0</v>
      </c>
      <c r="AO1495">
        <v>0</v>
      </c>
      <c r="AP1495"/>
      <c r="AQ1495">
        <v>0</v>
      </c>
      <c r="AR1495">
        <v>0</v>
      </c>
      <c r="AT1495">
        <v>0</v>
      </c>
      <c r="AU1495">
        <v>0</v>
      </c>
      <c r="AW1495">
        <v>0</v>
      </c>
      <c r="AX1495">
        <v>0</v>
      </c>
      <c r="AY1495">
        <v>280</v>
      </c>
      <c r="BC1495" t="str">
        <f t="shared" si="258"/>
        <v>9791137602915</v>
      </c>
      <c r="BE1495" t="str">
        <f t="shared" si="259"/>
        <v>판타지 웹소설 &gt; 퓨전 판타지</v>
      </c>
    </row>
    <row r="1496" spans="1:57" x14ac:dyDescent="0.3">
      <c r="A1496">
        <v>2313020594</v>
      </c>
      <c r="B1496">
        <v>2313020690</v>
      </c>
      <c r="C1496" t="str">
        <f>T("아카데미 속 궁술천재 97화")</f>
        <v>아카데미 속 궁술천재 97화</v>
      </c>
      <c r="D1496" t="str">
        <f>T("97")</f>
        <v>97</v>
      </c>
      <c r="E1496" t="str">
        <f t="shared" si="255"/>
        <v>깡펀치</v>
      </c>
      <c r="H1496" t="str">
        <f t="shared" si="256"/>
        <v>스토리위즈</v>
      </c>
      <c r="I1496" t="str">
        <f t="shared" si="257"/>
        <v>아카데미 속 궁술천재</v>
      </c>
      <c r="J1496">
        <v>100</v>
      </c>
      <c r="K1496">
        <v>400</v>
      </c>
      <c r="L1496">
        <v>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400</v>
      </c>
      <c r="AH1496">
        <v>4</v>
      </c>
      <c r="AI1496">
        <v>0</v>
      </c>
      <c r="AJ1496">
        <v>0</v>
      </c>
      <c r="AK1496">
        <v>400</v>
      </c>
      <c r="AL1496">
        <v>0</v>
      </c>
      <c r="AM1496">
        <v>0</v>
      </c>
      <c r="AN1496">
        <v>0</v>
      </c>
      <c r="AO1496">
        <v>0</v>
      </c>
      <c r="AP1496"/>
      <c r="AQ1496">
        <v>0</v>
      </c>
      <c r="AR1496">
        <v>0</v>
      </c>
      <c r="AT1496">
        <v>0</v>
      </c>
      <c r="AU1496">
        <v>0</v>
      </c>
      <c r="AW1496">
        <v>0</v>
      </c>
      <c r="AX1496">
        <v>0</v>
      </c>
      <c r="AY1496">
        <v>280</v>
      </c>
      <c r="BC1496" t="str">
        <f t="shared" si="258"/>
        <v>9791137602915</v>
      </c>
      <c r="BE1496" t="str">
        <f t="shared" si="259"/>
        <v>판타지 웹소설 &gt; 퓨전 판타지</v>
      </c>
    </row>
    <row r="1497" spans="1:57" x14ac:dyDescent="0.3">
      <c r="A1497">
        <v>2313020594</v>
      </c>
      <c r="B1497">
        <v>2313020692</v>
      </c>
      <c r="C1497" t="str">
        <f>T("아카데미 속 궁술천재 99화")</f>
        <v>아카데미 속 궁술천재 99화</v>
      </c>
      <c r="D1497" t="str">
        <f>T("99")</f>
        <v>99</v>
      </c>
      <c r="E1497" t="str">
        <f t="shared" si="255"/>
        <v>깡펀치</v>
      </c>
      <c r="H1497" t="str">
        <f t="shared" si="256"/>
        <v>스토리위즈</v>
      </c>
      <c r="I1497" t="str">
        <f t="shared" si="257"/>
        <v>아카데미 속 궁술천재</v>
      </c>
      <c r="J1497">
        <v>100</v>
      </c>
      <c r="K1497">
        <v>400</v>
      </c>
      <c r="L1497">
        <v>4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400</v>
      </c>
      <c r="AH1497">
        <v>4</v>
      </c>
      <c r="AI1497">
        <v>0</v>
      </c>
      <c r="AJ1497">
        <v>0</v>
      </c>
      <c r="AK1497">
        <v>400</v>
      </c>
      <c r="AL1497">
        <v>0</v>
      </c>
      <c r="AM1497">
        <v>0</v>
      </c>
      <c r="AN1497">
        <v>0</v>
      </c>
      <c r="AO1497">
        <v>0</v>
      </c>
      <c r="AP1497"/>
      <c r="AQ1497">
        <v>0</v>
      </c>
      <c r="AR1497">
        <v>0</v>
      </c>
      <c r="AT1497">
        <v>0</v>
      </c>
      <c r="AU1497">
        <v>0</v>
      </c>
      <c r="AW1497">
        <v>0</v>
      </c>
      <c r="AX1497">
        <v>0</v>
      </c>
      <c r="AY1497">
        <v>280</v>
      </c>
      <c r="BC1497" t="str">
        <f t="shared" si="258"/>
        <v>9791137602915</v>
      </c>
      <c r="BE1497" t="str">
        <f t="shared" si="259"/>
        <v>판타지 웹소설 &gt; 퓨전 판타지</v>
      </c>
    </row>
    <row r="1498" spans="1:57" x14ac:dyDescent="0.3">
      <c r="A1498">
        <v>2313020594</v>
      </c>
      <c r="B1498">
        <v>2313020693</v>
      </c>
      <c r="C1498" t="str">
        <f>T("아카데미 속 궁술천재 100화")</f>
        <v>아카데미 속 궁술천재 100화</v>
      </c>
      <c r="D1498" t="str">
        <f>T("100")</f>
        <v>100</v>
      </c>
      <c r="E1498" t="str">
        <f t="shared" si="255"/>
        <v>깡펀치</v>
      </c>
      <c r="H1498" t="str">
        <f t="shared" si="256"/>
        <v>스토리위즈</v>
      </c>
      <c r="I1498" t="str">
        <f t="shared" si="257"/>
        <v>아카데미 속 궁술천재</v>
      </c>
      <c r="J1498">
        <v>100</v>
      </c>
      <c r="K1498">
        <v>400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400</v>
      </c>
      <c r="AH1498">
        <v>4</v>
      </c>
      <c r="AI1498">
        <v>0</v>
      </c>
      <c r="AJ1498">
        <v>0</v>
      </c>
      <c r="AK1498">
        <v>400</v>
      </c>
      <c r="AL1498">
        <v>0</v>
      </c>
      <c r="AM1498">
        <v>0</v>
      </c>
      <c r="AN1498">
        <v>0</v>
      </c>
      <c r="AO1498">
        <v>0</v>
      </c>
      <c r="AP1498"/>
      <c r="AQ1498">
        <v>0</v>
      </c>
      <c r="AR1498">
        <v>0</v>
      </c>
      <c r="AT1498">
        <v>0</v>
      </c>
      <c r="AU1498">
        <v>0</v>
      </c>
      <c r="AW1498">
        <v>0</v>
      </c>
      <c r="AX1498">
        <v>0</v>
      </c>
      <c r="AY1498">
        <v>280</v>
      </c>
      <c r="BC1498" t="str">
        <f t="shared" si="258"/>
        <v>9791137602915</v>
      </c>
      <c r="BE1498" t="str">
        <f t="shared" si="259"/>
        <v>판타지 웹소설 &gt; 퓨전 판타지</v>
      </c>
    </row>
    <row r="1499" spans="1:57" x14ac:dyDescent="0.3">
      <c r="A1499">
        <v>2313020594</v>
      </c>
      <c r="B1499">
        <v>2313020752</v>
      </c>
      <c r="C1499" t="str">
        <f>T("아카데미 속 궁술천재 159화")</f>
        <v>아카데미 속 궁술천재 159화</v>
      </c>
      <c r="D1499" t="str">
        <f>T("159")</f>
        <v>159</v>
      </c>
      <c r="E1499" t="str">
        <f t="shared" si="255"/>
        <v>깡펀치</v>
      </c>
      <c r="H1499" t="str">
        <f t="shared" si="256"/>
        <v>스토리위즈</v>
      </c>
      <c r="I1499" t="str">
        <f t="shared" si="257"/>
        <v>아카데미 속 궁술천재</v>
      </c>
      <c r="J1499">
        <v>100</v>
      </c>
      <c r="K1499">
        <v>400</v>
      </c>
      <c r="L1499">
        <v>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400</v>
      </c>
      <c r="AH1499">
        <v>4</v>
      </c>
      <c r="AI1499">
        <v>0</v>
      </c>
      <c r="AJ1499">
        <v>0</v>
      </c>
      <c r="AK1499">
        <v>300</v>
      </c>
      <c r="AL1499">
        <v>0</v>
      </c>
      <c r="AM1499">
        <v>120</v>
      </c>
      <c r="AN1499">
        <v>-36</v>
      </c>
      <c r="AO1499">
        <v>0</v>
      </c>
      <c r="AP1499"/>
      <c r="AQ1499">
        <v>0</v>
      </c>
      <c r="AR1499">
        <v>0</v>
      </c>
      <c r="AS1499">
        <v>120</v>
      </c>
      <c r="AT1499">
        <v>-36</v>
      </c>
      <c r="AU1499">
        <v>0</v>
      </c>
      <c r="AW1499">
        <v>0</v>
      </c>
      <c r="AX1499">
        <v>0</v>
      </c>
      <c r="AY1499">
        <v>268.8</v>
      </c>
      <c r="BC1499" t="str">
        <f t="shared" si="258"/>
        <v>9791137602915</v>
      </c>
      <c r="BE1499" t="str">
        <f t="shared" si="259"/>
        <v>판타지 웹소설 &gt; 퓨전 판타지</v>
      </c>
    </row>
    <row r="1500" spans="1:57" x14ac:dyDescent="0.3">
      <c r="A1500">
        <v>2313020884</v>
      </c>
      <c r="B1500">
        <v>2313020924</v>
      </c>
      <c r="C1500" t="str">
        <f>T("회귀한 헌터가 너무 강함 41화")</f>
        <v>회귀한 헌터가 너무 강함 41화</v>
      </c>
      <c r="D1500" t="str">
        <f>T("41")</f>
        <v>41</v>
      </c>
      <c r="E1500" t="str">
        <f>T("왕십리글쟁이")</f>
        <v>왕십리글쟁이</v>
      </c>
      <c r="H1500" t="str">
        <f t="shared" si="256"/>
        <v>스토리위즈</v>
      </c>
      <c r="I1500" t="str">
        <f>T("회귀한 헌터가 너무 강함")</f>
        <v>회귀한 헌터가 너무 강함</v>
      </c>
      <c r="J1500">
        <v>100</v>
      </c>
      <c r="K1500">
        <v>400</v>
      </c>
      <c r="L1500">
        <v>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400</v>
      </c>
      <c r="AH1500">
        <v>4</v>
      </c>
      <c r="AI1500">
        <v>0</v>
      </c>
      <c r="AJ1500">
        <v>0</v>
      </c>
      <c r="AK1500">
        <v>400</v>
      </c>
      <c r="AL1500">
        <v>0</v>
      </c>
      <c r="AM1500">
        <v>0</v>
      </c>
      <c r="AN1500">
        <v>0</v>
      </c>
      <c r="AO1500">
        <v>0</v>
      </c>
      <c r="AP1500"/>
      <c r="AQ1500">
        <v>0</v>
      </c>
      <c r="AR1500">
        <v>0</v>
      </c>
      <c r="AT1500">
        <v>0</v>
      </c>
      <c r="AU1500">
        <v>0</v>
      </c>
      <c r="AW1500">
        <v>0</v>
      </c>
      <c r="AX1500">
        <v>0</v>
      </c>
      <c r="AY1500">
        <v>280</v>
      </c>
      <c r="BC1500" t="str">
        <f>T("9791197332272")</f>
        <v>9791197332272</v>
      </c>
      <c r="BE1500" t="str">
        <f t="shared" si="259"/>
        <v>판타지 웹소설 &gt; 퓨전 판타지</v>
      </c>
    </row>
    <row r="1501" spans="1:57" x14ac:dyDescent="0.3">
      <c r="A1501">
        <v>2313003101</v>
      </c>
      <c r="B1501">
        <v>2313003228</v>
      </c>
      <c r="C1501" t="str">
        <f>T("로드 오브 머니 128화")</f>
        <v>로드 오브 머니 128화</v>
      </c>
      <c r="D1501" t="str">
        <f>T("128")</f>
        <v>128</v>
      </c>
      <c r="E1501" t="str">
        <f t="shared" ref="E1501:E1509" si="260">T("무장")</f>
        <v>무장</v>
      </c>
      <c r="H1501" t="str">
        <f t="shared" si="256"/>
        <v>스토리위즈</v>
      </c>
      <c r="I1501" t="str">
        <f t="shared" ref="I1501:I1509" si="261">T("로드 오브 머니")</f>
        <v>로드 오브 머니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300</v>
      </c>
      <c r="AH1501">
        <v>3</v>
      </c>
      <c r="AI1501">
        <v>0</v>
      </c>
      <c r="AJ1501">
        <v>0</v>
      </c>
      <c r="AK1501">
        <v>200</v>
      </c>
      <c r="AL1501">
        <v>0</v>
      </c>
      <c r="AM1501">
        <v>120</v>
      </c>
      <c r="AN1501">
        <v>-12</v>
      </c>
      <c r="AO1501">
        <v>0</v>
      </c>
      <c r="AP1501"/>
      <c r="AQ1501">
        <v>0</v>
      </c>
      <c r="AR1501">
        <v>0</v>
      </c>
      <c r="AS1501">
        <v>120</v>
      </c>
      <c r="AT1501">
        <v>-12</v>
      </c>
      <c r="AU1501">
        <v>0</v>
      </c>
      <c r="AW1501">
        <v>0</v>
      </c>
      <c r="AX1501">
        <v>0</v>
      </c>
      <c r="AY1501">
        <v>215.6</v>
      </c>
      <c r="BC1501" t="str">
        <f t="shared" ref="BC1501:BC1509" si="262">T("9791188630066")</f>
        <v>9791188630066</v>
      </c>
      <c r="BE1501" t="str">
        <f t="shared" ref="BE1501:BE1509" si="263">T("판타지 웹소설 &gt; 현대 판타지")</f>
        <v>판타지 웹소설 &gt; 현대 판타지</v>
      </c>
    </row>
    <row r="1502" spans="1:57" x14ac:dyDescent="0.3">
      <c r="A1502">
        <v>2313003101</v>
      </c>
      <c r="B1502">
        <v>2313003229</v>
      </c>
      <c r="C1502" t="str">
        <f>T("로드 오브 머니 129화")</f>
        <v>로드 오브 머니 129화</v>
      </c>
      <c r="D1502" t="str">
        <f>T("129")</f>
        <v>129</v>
      </c>
      <c r="E1502" t="str">
        <f t="shared" si="260"/>
        <v>무장</v>
      </c>
      <c r="H1502" t="str">
        <f t="shared" si="256"/>
        <v>스토리위즈</v>
      </c>
      <c r="I1502" t="str">
        <f t="shared" si="261"/>
        <v>로드 오브 머니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300</v>
      </c>
      <c r="AH1502">
        <v>3</v>
      </c>
      <c r="AI1502">
        <v>0</v>
      </c>
      <c r="AJ1502">
        <v>0</v>
      </c>
      <c r="AK1502">
        <v>200</v>
      </c>
      <c r="AL1502">
        <v>0</v>
      </c>
      <c r="AM1502">
        <v>120</v>
      </c>
      <c r="AN1502">
        <v>-12</v>
      </c>
      <c r="AO1502">
        <v>0</v>
      </c>
      <c r="AP1502"/>
      <c r="AQ1502">
        <v>0</v>
      </c>
      <c r="AR1502">
        <v>0</v>
      </c>
      <c r="AS1502">
        <v>120</v>
      </c>
      <c r="AT1502">
        <v>-12</v>
      </c>
      <c r="AU1502">
        <v>0</v>
      </c>
      <c r="AW1502">
        <v>0</v>
      </c>
      <c r="AX1502">
        <v>0</v>
      </c>
      <c r="AY1502">
        <v>215.6</v>
      </c>
      <c r="BC1502" t="str">
        <f t="shared" si="262"/>
        <v>9791188630066</v>
      </c>
      <c r="BE1502" t="str">
        <f t="shared" si="263"/>
        <v>판타지 웹소설 &gt; 현대 판타지</v>
      </c>
    </row>
    <row r="1503" spans="1:57" x14ac:dyDescent="0.3">
      <c r="A1503">
        <v>2313003101</v>
      </c>
      <c r="B1503">
        <v>2313003230</v>
      </c>
      <c r="C1503" t="str">
        <f>T("로드 오브 머니 130화")</f>
        <v>로드 오브 머니 130화</v>
      </c>
      <c r="D1503" t="str">
        <f>T("130")</f>
        <v>130</v>
      </c>
      <c r="E1503" t="str">
        <f t="shared" si="260"/>
        <v>무장</v>
      </c>
      <c r="H1503" t="str">
        <f t="shared" si="256"/>
        <v>스토리위즈</v>
      </c>
      <c r="I1503" t="str">
        <f t="shared" si="261"/>
        <v>로드 오브 머니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300</v>
      </c>
      <c r="AH1503">
        <v>3</v>
      </c>
      <c r="AI1503">
        <v>0</v>
      </c>
      <c r="AJ1503">
        <v>0</v>
      </c>
      <c r="AK1503">
        <v>200</v>
      </c>
      <c r="AL1503">
        <v>0</v>
      </c>
      <c r="AM1503">
        <v>120</v>
      </c>
      <c r="AN1503">
        <v>-12</v>
      </c>
      <c r="AO1503">
        <v>0</v>
      </c>
      <c r="AP1503"/>
      <c r="AQ1503">
        <v>0</v>
      </c>
      <c r="AR1503">
        <v>0</v>
      </c>
      <c r="AS1503">
        <v>120</v>
      </c>
      <c r="AT1503">
        <v>-12</v>
      </c>
      <c r="AU1503">
        <v>0</v>
      </c>
      <c r="AW1503">
        <v>0</v>
      </c>
      <c r="AX1503">
        <v>0</v>
      </c>
      <c r="AY1503">
        <v>215.6</v>
      </c>
      <c r="BC1503" t="str">
        <f t="shared" si="262"/>
        <v>9791188630066</v>
      </c>
      <c r="BE1503" t="str">
        <f t="shared" si="263"/>
        <v>판타지 웹소설 &gt; 현대 판타지</v>
      </c>
    </row>
    <row r="1504" spans="1:57" x14ac:dyDescent="0.3">
      <c r="A1504">
        <v>2313003101</v>
      </c>
      <c r="B1504">
        <v>2313003231</v>
      </c>
      <c r="C1504" t="str">
        <f>T("로드 오브 머니 131화")</f>
        <v>로드 오브 머니 131화</v>
      </c>
      <c r="D1504" t="str">
        <f>T("131")</f>
        <v>131</v>
      </c>
      <c r="E1504" t="str">
        <f t="shared" si="260"/>
        <v>무장</v>
      </c>
      <c r="H1504" t="str">
        <f t="shared" si="256"/>
        <v>스토리위즈</v>
      </c>
      <c r="I1504" t="str">
        <f t="shared" si="261"/>
        <v>로드 오브 머니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300</v>
      </c>
      <c r="AH1504">
        <v>3</v>
      </c>
      <c r="AI1504">
        <v>0</v>
      </c>
      <c r="AJ1504">
        <v>0</v>
      </c>
      <c r="AK1504">
        <v>200</v>
      </c>
      <c r="AL1504">
        <v>0</v>
      </c>
      <c r="AM1504">
        <v>120</v>
      </c>
      <c r="AN1504">
        <v>-12</v>
      </c>
      <c r="AO1504">
        <v>0</v>
      </c>
      <c r="AP1504"/>
      <c r="AQ1504">
        <v>0</v>
      </c>
      <c r="AR1504">
        <v>0</v>
      </c>
      <c r="AS1504">
        <v>120</v>
      </c>
      <c r="AT1504">
        <v>-12</v>
      </c>
      <c r="AU1504">
        <v>0</v>
      </c>
      <c r="AW1504">
        <v>0</v>
      </c>
      <c r="AX1504">
        <v>0</v>
      </c>
      <c r="AY1504">
        <v>215.6</v>
      </c>
      <c r="BC1504" t="str">
        <f t="shared" si="262"/>
        <v>9791188630066</v>
      </c>
      <c r="BE1504" t="str">
        <f t="shared" si="263"/>
        <v>판타지 웹소설 &gt; 현대 판타지</v>
      </c>
    </row>
    <row r="1505" spans="1:57" x14ac:dyDescent="0.3">
      <c r="A1505">
        <v>2313003101</v>
      </c>
      <c r="B1505">
        <v>2313003232</v>
      </c>
      <c r="C1505" t="str">
        <f>T("로드 오브 머니 132화")</f>
        <v>로드 오브 머니 132화</v>
      </c>
      <c r="D1505" t="str">
        <f>T("132")</f>
        <v>132</v>
      </c>
      <c r="E1505" t="str">
        <f t="shared" si="260"/>
        <v>무장</v>
      </c>
      <c r="H1505" t="str">
        <f t="shared" si="256"/>
        <v>스토리위즈</v>
      </c>
      <c r="I1505" t="str">
        <f t="shared" si="261"/>
        <v>로드 오브 머니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300</v>
      </c>
      <c r="AH1505">
        <v>3</v>
      </c>
      <c r="AI1505">
        <v>0</v>
      </c>
      <c r="AJ1505">
        <v>0</v>
      </c>
      <c r="AK1505">
        <v>200</v>
      </c>
      <c r="AL1505">
        <v>0</v>
      </c>
      <c r="AM1505">
        <v>120</v>
      </c>
      <c r="AN1505">
        <v>-12</v>
      </c>
      <c r="AO1505">
        <v>0</v>
      </c>
      <c r="AP1505"/>
      <c r="AQ1505">
        <v>0</v>
      </c>
      <c r="AR1505">
        <v>0</v>
      </c>
      <c r="AS1505">
        <v>120</v>
      </c>
      <c r="AT1505">
        <v>-12</v>
      </c>
      <c r="AU1505">
        <v>0</v>
      </c>
      <c r="AW1505">
        <v>0</v>
      </c>
      <c r="AX1505">
        <v>0</v>
      </c>
      <c r="AY1505">
        <v>215.6</v>
      </c>
      <c r="BC1505" t="str">
        <f t="shared" si="262"/>
        <v>9791188630066</v>
      </c>
      <c r="BE1505" t="str">
        <f t="shared" si="263"/>
        <v>판타지 웹소설 &gt; 현대 판타지</v>
      </c>
    </row>
    <row r="1506" spans="1:57" x14ac:dyDescent="0.3">
      <c r="A1506">
        <v>2313003101</v>
      </c>
      <c r="B1506">
        <v>2313003233</v>
      </c>
      <c r="C1506" t="str">
        <f>T("로드 오브 머니 133화")</f>
        <v>로드 오브 머니 133화</v>
      </c>
      <c r="D1506" t="str">
        <f>T("133")</f>
        <v>133</v>
      </c>
      <c r="E1506" t="str">
        <f t="shared" si="260"/>
        <v>무장</v>
      </c>
      <c r="H1506" t="str">
        <f t="shared" si="256"/>
        <v>스토리위즈</v>
      </c>
      <c r="I1506" t="str">
        <f t="shared" si="261"/>
        <v>로드 오브 머니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300</v>
      </c>
      <c r="AH1506">
        <v>3</v>
      </c>
      <c r="AI1506">
        <v>0</v>
      </c>
      <c r="AJ1506">
        <v>0</v>
      </c>
      <c r="AK1506">
        <v>200</v>
      </c>
      <c r="AL1506">
        <v>0</v>
      </c>
      <c r="AM1506">
        <v>120</v>
      </c>
      <c r="AN1506">
        <v>-12</v>
      </c>
      <c r="AO1506">
        <v>0</v>
      </c>
      <c r="AP1506"/>
      <c r="AQ1506">
        <v>0</v>
      </c>
      <c r="AR1506">
        <v>0</v>
      </c>
      <c r="AS1506">
        <v>120</v>
      </c>
      <c r="AT1506">
        <v>-12</v>
      </c>
      <c r="AU1506">
        <v>0</v>
      </c>
      <c r="AW1506">
        <v>0</v>
      </c>
      <c r="AX1506">
        <v>0</v>
      </c>
      <c r="AY1506">
        <v>215.6</v>
      </c>
      <c r="BC1506" t="str">
        <f t="shared" si="262"/>
        <v>9791188630066</v>
      </c>
      <c r="BE1506" t="str">
        <f t="shared" si="263"/>
        <v>판타지 웹소설 &gt; 현대 판타지</v>
      </c>
    </row>
    <row r="1507" spans="1:57" x14ac:dyDescent="0.3">
      <c r="A1507">
        <v>2313003101</v>
      </c>
      <c r="B1507">
        <v>2313003234</v>
      </c>
      <c r="C1507" t="str">
        <f>T("로드 오브 머니 134화")</f>
        <v>로드 오브 머니 134화</v>
      </c>
      <c r="D1507" t="str">
        <f>T("134")</f>
        <v>134</v>
      </c>
      <c r="E1507" t="str">
        <f t="shared" si="260"/>
        <v>무장</v>
      </c>
      <c r="H1507" t="str">
        <f t="shared" si="256"/>
        <v>스토리위즈</v>
      </c>
      <c r="I1507" t="str">
        <f t="shared" si="261"/>
        <v>로드 오브 머니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300</v>
      </c>
      <c r="AH1507">
        <v>3</v>
      </c>
      <c r="AI1507">
        <v>0</v>
      </c>
      <c r="AJ1507">
        <v>0</v>
      </c>
      <c r="AK1507">
        <v>200</v>
      </c>
      <c r="AL1507">
        <v>0</v>
      </c>
      <c r="AM1507">
        <v>120</v>
      </c>
      <c r="AN1507">
        <v>-12</v>
      </c>
      <c r="AO1507">
        <v>0</v>
      </c>
      <c r="AP1507"/>
      <c r="AQ1507">
        <v>0</v>
      </c>
      <c r="AR1507">
        <v>0</v>
      </c>
      <c r="AS1507">
        <v>120</v>
      </c>
      <c r="AT1507">
        <v>-12</v>
      </c>
      <c r="AU1507">
        <v>0</v>
      </c>
      <c r="AW1507">
        <v>0</v>
      </c>
      <c r="AX1507">
        <v>0</v>
      </c>
      <c r="AY1507">
        <v>215.6</v>
      </c>
      <c r="BC1507" t="str">
        <f t="shared" si="262"/>
        <v>9791188630066</v>
      </c>
      <c r="BE1507" t="str">
        <f t="shared" si="263"/>
        <v>판타지 웹소설 &gt; 현대 판타지</v>
      </c>
    </row>
    <row r="1508" spans="1:57" x14ac:dyDescent="0.3">
      <c r="A1508">
        <v>2313003101</v>
      </c>
      <c r="B1508">
        <v>2313003235</v>
      </c>
      <c r="C1508" t="str">
        <f>T("로드 오브 머니 135화")</f>
        <v>로드 오브 머니 135화</v>
      </c>
      <c r="D1508" t="str">
        <f>T("135")</f>
        <v>135</v>
      </c>
      <c r="E1508" t="str">
        <f t="shared" si="260"/>
        <v>무장</v>
      </c>
      <c r="H1508" t="str">
        <f t="shared" si="256"/>
        <v>스토리위즈</v>
      </c>
      <c r="I1508" t="str">
        <f t="shared" si="261"/>
        <v>로드 오브 머니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300</v>
      </c>
      <c r="AH1508">
        <v>3</v>
      </c>
      <c r="AI1508">
        <v>0</v>
      </c>
      <c r="AJ1508">
        <v>0</v>
      </c>
      <c r="AK1508">
        <v>200</v>
      </c>
      <c r="AL1508">
        <v>0</v>
      </c>
      <c r="AM1508">
        <v>120</v>
      </c>
      <c r="AN1508">
        <v>-12</v>
      </c>
      <c r="AO1508">
        <v>0</v>
      </c>
      <c r="AP1508"/>
      <c r="AQ1508">
        <v>0</v>
      </c>
      <c r="AR1508">
        <v>0</v>
      </c>
      <c r="AS1508">
        <v>120</v>
      </c>
      <c r="AT1508">
        <v>-12</v>
      </c>
      <c r="AU1508">
        <v>0</v>
      </c>
      <c r="AW1508">
        <v>0</v>
      </c>
      <c r="AX1508">
        <v>0</v>
      </c>
      <c r="AY1508">
        <v>215.6</v>
      </c>
      <c r="BC1508" t="str">
        <f t="shared" si="262"/>
        <v>9791188630066</v>
      </c>
      <c r="BE1508" t="str">
        <f t="shared" si="263"/>
        <v>판타지 웹소설 &gt; 현대 판타지</v>
      </c>
    </row>
    <row r="1509" spans="1:57" x14ac:dyDescent="0.3">
      <c r="A1509">
        <v>2313003101</v>
      </c>
      <c r="B1509">
        <v>2313003236</v>
      </c>
      <c r="C1509" t="str">
        <f>T("로드 오브 머니 136화")</f>
        <v>로드 오브 머니 136화</v>
      </c>
      <c r="D1509" t="str">
        <f>T("136")</f>
        <v>136</v>
      </c>
      <c r="E1509" t="str">
        <f t="shared" si="260"/>
        <v>무장</v>
      </c>
      <c r="H1509" t="str">
        <f t="shared" si="256"/>
        <v>스토리위즈</v>
      </c>
      <c r="I1509" t="str">
        <f t="shared" si="261"/>
        <v>로드 오브 머니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300</v>
      </c>
      <c r="AH1509">
        <v>3</v>
      </c>
      <c r="AI1509">
        <v>0</v>
      </c>
      <c r="AJ1509">
        <v>0</v>
      </c>
      <c r="AK1509">
        <v>200</v>
      </c>
      <c r="AL1509">
        <v>0</v>
      </c>
      <c r="AM1509">
        <v>120</v>
      </c>
      <c r="AN1509">
        <v>-12</v>
      </c>
      <c r="AO1509">
        <v>0</v>
      </c>
      <c r="AP1509"/>
      <c r="AQ1509">
        <v>0</v>
      </c>
      <c r="AR1509">
        <v>0</v>
      </c>
      <c r="AS1509">
        <v>120</v>
      </c>
      <c r="AT1509">
        <v>-12</v>
      </c>
      <c r="AU1509">
        <v>0</v>
      </c>
      <c r="AW1509">
        <v>0</v>
      </c>
      <c r="AX1509">
        <v>0</v>
      </c>
      <c r="AY1509">
        <v>215.6</v>
      </c>
      <c r="BC1509" t="str">
        <f t="shared" si="262"/>
        <v>9791188630066</v>
      </c>
      <c r="BE1509" t="str">
        <f t="shared" si="263"/>
        <v>판타지 웹소설 &gt; 현대 판타지</v>
      </c>
    </row>
    <row r="1510" spans="1:57" x14ac:dyDescent="0.3">
      <c r="A1510">
        <v>2313004289</v>
      </c>
      <c r="B1510">
        <v>2313004314</v>
      </c>
      <c r="C1510" t="str">
        <f>T("SSS급 마왕의 귀환 26화")</f>
        <v>SSS급 마왕의 귀환 26화</v>
      </c>
      <c r="D1510" t="str">
        <f>T("26")</f>
        <v>26</v>
      </c>
      <c r="E1510" t="str">
        <f t="shared" ref="E1510:E1525" si="264">T("구유")</f>
        <v>구유</v>
      </c>
      <c r="H1510" t="str">
        <f t="shared" si="256"/>
        <v>스토리위즈</v>
      </c>
      <c r="I1510" t="str">
        <f t="shared" ref="I1510:I1525" si="265">T("SSS급 마왕의 귀환")</f>
        <v>SSS급 마왕의 귀환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300</v>
      </c>
      <c r="AH1510">
        <v>3</v>
      </c>
      <c r="AI1510">
        <v>0</v>
      </c>
      <c r="AJ1510">
        <v>0</v>
      </c>
      <c r="AK1510">
        <v>200</v>
      </c>
      <c r="AL1510">
        <v>0</v>
      </c>
      <c r="AM1510">
        <v>120</v>
      </c>
      <c r="AN1510">
        <v>-12</v>
      </c>
      <c r="AO1510">
        <v>0</v>
      </c>
      <c r="AP1510"/>
      <c r="AQ1510">
        <v>0</v>
      </c>
      <c r="AR1510">
        <v>0</v>
      </c>
      <c r="AS1510">
        <v>120</v>
      </c>
      <c r="AT1510">
        <v>-12</v>
      </c>
      <c r="AU1510">
        <v>0</v>
      </c>
      <c r="AW1510">
        <v>0</v>
      </c>
      <c r="AX1510">
        <v>0</v>
      </c>
      <c r="AY1510">
        <v>215.6</v>
      </c>
      <c r="BC1510" t="str">
        <f t="shared" ref="BC1510:BC1525" si="266">T("9791159289057")</f>
        <v>9791159289057</v>
      </c>
      <c r="BE1510" t="str">
        <f t="shared" ref="BE1510:BE1545" si="267">T("판타지 웹소설 &gt; 퓨전 판타지")</f>
        <v>판타지 웹소설 &gt; 퓨전 판타지</v>
      </c>
    </row>
    <row r="1511" spans="1:57" x14ac:dyDescent="0.3">
      <c r="A1511">
        <v>2313004289</v>
      </c>
      <c r="B1511">
        <v>2313004315</v>
      </c>
      <c r="C1511" t="str">
        <f>T("SSS급 마왕의 귀환 27화")</f>
        <v>SSS급 마왕의 귀환 27화</v>
      </c>
      <c r="D1511" t="str">
        <f>T("27")</f>
        <v>27</v>
      </c>
      <c r="E1511" t="str">
        <f t="shared" si="264"/>
        <v>구유</v>
      </c>
      <c r="H1511" t="str">
        <f t="shared" si="256"/>
        <v>스토리위즈</v>
      </c>
      <c r="I1511" t="str">
        <f t="shared" si="265"/>
        <v>SSS급 마왕의 귀환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300</v>
      </c>
      <c r="AH1511">
        <v>3</v>
      </c>
      <c r="AI1511">
        <v>0</v>
      </c>
      <c r="AJ1511">
        <v>0</v>
      </c>
      <c r="AK1511">
        <v>200</v>
      </c>
      <c r="AL1511">
        <v>0</v>
      </c>
      <c r="AM1511">
        <v>120</v>
      </c>
      <c r="AN1511">
        <v>-12</v>
      </c>
      <c r="AO1511">
        <v>0</v>
      </c>
      <c r="AP1511"/>
      <c r="AQ1511">
        <v>0</v>
      </c>
      <c r="AR1511">
        <v>0</v>
      </c>
      <c r="AS1511">
        <v>120</v>
      </c>
      <c r="AT1511">
        <v>-12</v>
      </c>
      <c r="AU1511">
        <v>0</v>
      </c>
      <c r="AW1511">
        <v>0</v>
      </c>
      <c r="AX1511">
        <v>0</v>
      </c>
      <c r="AY1511">
        <v>215.6</v>
      </c>
      <c r="BC1511" t="str">
        <f t="shared" si="266"/>
        <v>9791159289057</v>
      </c>
      <c r="BE1511" t="str">
        <f t="shared" si="267"/>
        <v>판타지 웹소설 &gt; 퓨전 판타지</v>
      </c>
    </row>
    <row r="1512" spans="1:57" x14ac:dyDescent="0.3">
      <c r="A1512">
        <v>2313004289</v>
      </c>
      <c r="B1512">
        <v>2313004316</v>
      </c>
      <c r="C1512" t="str">
        <f>T("SSS급 마왕의 귀환 28화")</f>
        <v>SSS급 마왕의 귀환 28화</v>
      </c>
      <c r="D1512" t="str">
        <f>T("28")</f>
        <v>28</v>
      </c>
      <c r="E1512" t="str">
        <f t="shared" si="264"/>
        <v>구유</v>
      </c>
      <c r="H1512" t="str">
        <f t="shared" si="256"/>
        <v>스토리위즈</v>
      </c>
      <c r="I1512" t="str">
        <f t="shared" si="265"/>
        <v>SSS급 마왕의 귀환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300</v>
      </c>
      <c r="AH1512">
        <v>3</v>
      </c>
      <c r="AI1512">
        <v>0</v>
      </c>
      <c r="AJ1512">
        <v>0</v>
      </c>
      <c r="AK1512">
        <v>200</v>
      </c>
      <c r="AL1512">
        <v>0</v>
      </c>
      <c r="AM1512">
        <v>120</v>
      </c>
      <c r="AN1512">
        <v>-12</v>
      </c>
      <c r="AO1512">
        <v>0</v>
      </c>
      <c r="AP1512"/>
      <c r="AQ1512">
        <v>0</v>
      </c>
      <c r="AR1512">
        <v>0</v>
      </c>
      <c r="AS1512">
        <v>120</v>
      </c>
      <c r="AT1512">
        <v>-12</v>
      </c>
      <c r="AU1512">
        <v>0</v>
      </c>
      <c r="AW1512">
        <v>0</v>
      </c>
      <c r="AX1512">
        <v>0</v>
      </c>
      <c r="AY1512">
        <v>215.6</v>
      </c>
      <c r="BC1512" t="str">
        <f t="shared" si="266"/>
        <v>9791159289057</v>
      </c>
      <c r="BE1512" t="str">
        <f t="shared" si="267"/>
        <v>판타지 웹소설 &gt; 퓨전 판타지</v>
      </c>
    </row>
    <row r="1513" spans="1:57" x14ac:dyDescent="0.3">
      <c r="A1513">
        <v>2313004289</v>
      </c>
      <c r="B1513">
        <v>2313004317</v>
      </c>
      <c r="C1513" t="str">
        <f>T("SSS급 마왕의 귀환 29화")</f>
        <v>SSS급 마왕의 귀환 29화</v>
      </c>
      <c r="D1513" t="str">
        <f>T("29")</f>
        <v>29</v>
      </c>
      <c r="E1513" t="str">
        <f t="shared" si="264"/>
        <v>구유</v>
      </c>
      <c r="H1513" t="str">
        <f t="shared" si="256"/>
        <v>스토리위즈</v>
      </c>
      <c r="I1513" t="str">
        <f t="shared" si="265"/>
        <v>SSS급 마왕의 귀환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300</v>
      </c>
      <c r="AH1513">
        <v>3</v>
      </c>
      <c r="AI1513">
        <v>0</v>
      </c>
      <c r="AJ1513">
        <v>0</v>
      </c>
      <c r="AK1513">
        <v>200</v>
      </c>
      <c r="AL1513">
        <v>0</v>
      </c>
      <c r="AM1513">
        <v>120</v>
      </c>
      <c r="AN1513">
        <v>-12</v>
      </c>
      <c r="AO1513">
        <v>0</v>
      </c>
      <c r="AP1513"/>
      <c r="AQ1513">
        <v>0</v>
      </c>
      <c r="AR1513">
        <v>0</v>
      </c>
      <c r="AS1513">
        <v>120</v>
      </c>
      <c r="AT1513">
        <v>-12</v>
      </c>
      <c r="AU1513">
        <v>0</v>
      </c>
      <c r="AW1513">
        <v>0</v>
      </c>
      <c r="AX1513">
        <v>0</v>
      </c>
      <c r="AY1513">
        <v>215.6</v>
      </c>
      <c r="BC1513" t="str">
        <f t="shared" si="266"/>
        <v>9791159289057</v>
      </c>
      <c r="BE1513" t="str">
        <f t="shared" si="267"/>
        <v>판타지 웹소설 &gt; 퓨전 판타지</v>
      </c>
    </row>
    <row r="1514" spans="1:57" x14ac:dyDescent="0.3">
      <c r="A1514">
        <v>2313004289</v>
      </c>
      <c r="B1514">
        <v>2313004318</v>
      </c>
      <c r="C1514" t="str">
        <f>T("SSS급 마왕의 귀환 30화")</f>
        <v>SSS급 마왕의 귀환 30화</v>
      </c>
      <c r="D1514" t="str">
        <f>T("30")</f>
        <v>30</v>
      </c>
      <c r="E1514" t="str">
        <f t="shared" si="264"/>
        <v>구유</v>
      </c>
      <c r="H1514" t="str">
        <f t="shared" si="256"/>
        <v>스토리위즈</v>
      </c>
      <c r="I1514" t="str">
        <f t="shared" si="265"/>
        <v>SSS급 마왕의 귀환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300</v>
      </c>
      <c r="AH1514">
        <v>3</v>
      </c>
      <c r="AI1514">
        <v>0</v>
      </c>
      <c r="AJ1514">
        <v>0</v>
      </c>
      <c r="AK1514">
        <v>200</v>
      </c>
      <c r="AL1514">
        <v>0</v>
      </c>
      <c r="AM1514">
        <v>120</v>
      </c>
      <c r="AN1514">
        <v>-12</v>
      </c>
      <c r="AO1514">
        <v>0</v>
      </c>
      <c r="AP1514"/>
      <c r="AQ1514">
        <v>0</v>
      </c>
      <c r="AR1514">
        <v>0</v>
      </c>
      <c r="AS1514">
        <v>120</v>
      </c>
      <c r="AT1514">
        <v>-12</v>
      </c>
      <c r="AU1514">
        <v>0</v>
      </c>
      <c r="AW1514">
        <v>0</v>
      </c>
      <c r="AX1514">
        <v>0</v>
      </c>
      <c r="AY1514">
        <v>215.6</v>
      </c>
      <c r="BC1514" t="str">
        <f t="shared" si="266"/>
        <v>9791159289057</v>
      </c>
      <c r="BE1514" t="str">
        <f t="shared" si="267"/>
        <v>판타지 웹소설 &gt; 퓨전 판타지</v>
      </c>
    </row>
    <row r="1515" spans="1:57" x14ac:dyDescent="0.3">
      <c r="A1515">
        <v>2313004289</v>
      </c>
      <c r="B1515">
        <v>2313004319</v>
      </c>
      <c r="C1515" t="str">
        <f>T("SSS급 마왕의 귀환 31화")</f>
        <v>SSS급 마왕의 귀환 31화</v>
      </c>
      <c r="D1515" t="str">
        <f>T("31")</f>
        <v>31</v>
      </c>
      <c r="E1515" t="str">
        <f t="shared" si="264"/>
        <v>구유</v>
      </c>
      <c r="H1515" t="str">
        <f t="shared" si="256"/>
        <v>스토리위즈</v>
      </c>
      <c r="I1515" t="str">
        <f t="shared" si="265"/>
        <v>SSS급 마왕의 귀환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3</v>
      </c>
      <c r="AI1515">
        <v>0</v>
      </c>
      <c r="AJ1515">
        <v>0</v>
      </c>
      <c r="AK1515">
        <v>200</v>
      </c>
      <c r="AL1515">
        <v>0</v>
      </c>
      <c r="AM1515">
        <v>120</v>
      </c>
      <c r="AN1515">
        <v>-12</v>
      </c>
      <c r="AO1515">
        <v>0</v>
      </c>
      <c r="AP1515"/>
      <c r="AQ1515">
        <v>0</v>
      </c>
      <c r="AR1515">
        <v>0</v>
      </c>
      <c r="AS1515">
        <v>120</v>
      </c>
      <c r="AT1515">
        <v>-12</v>
      </c>
      <c r="AU1515">
        <v>0</v>
      </c>
      <c r="AW1515">
        <v>0</v>
      </c>
      <c r="AX1515">
        <v>0</v>
      </c>
      <c r="AY1515">
        <v>215.6</v>
      </c>
      <c r="BC1515" t="str">
        <f t="shared" si="266"/>
        <v>9791159289057</v>
      </c>
      <c r="BE1515" t="str">
        <f t="shared" si="267"/>
        <v>판타지 웹소설 &gt; 퓨전 판타지</v>
      </c>
    </row>
    <row r="1516" spans="1:57" x14ac:dyDescent="0.3">
      <c r="A1516">
        <v>2313004289</v>
      </c>
      <c r="B1516">
        <v>2313004320</v>
      </c>
      <c r="C1516" t="str">
        <f>T("SSS급 마왕의 귀환 32화")</f>
        <v>SSS급 마왕의 귀환 32화</v>
      </c>
      <c r="D1516" t="str">
        <f>T("32")</f>
        <v>32</v>
      </c>
      <c r="E1516" t="str">
        <f t="shared" si="264"/>
        <v>구유</v>
      </c>
      <c r="H1516" t="str">
        <f t="shared" si="256"/>
        <v>스토리위즈</v>
      </c>
      <c r="I1516" t="str">
        <f t="shared" si="265"/>
        <v>SSS급 마왕의 귀환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300</v>
      </c>
      <c r="AH1516">
        <v>3</v>
      </c>
      <c r="AI1516">
        <v>0</v>
      </c>
      <c r="AJ1516">
        <v>0</v>
      </c>
      <c r="AK1516">
        <v>200</v>
      </c>
      <c r="AL1516">
        <v>0</v>
      </c>
      <c r="AM1516">
        <v>120</v>
      </c>
      <c r="AN1516">
        <v>-12</v>
      </c>
      <c r="AO1516">
        <v>0</v>
      </c>
      <c r="AP1516"/>
      <c r="AQ1516">
        <v>0</v>
      </c>
      <c r="AR1516">
        <v>0</v>
      </c>
      <c r="AS1516">
        <v>120</v>
      </c>
      <c r="AT1516">
        <v>-12</v>
      </c>
      <c r="AU1516">
        <v>0</v>
      </c>
      <c r="AW1516">
        <v>0</v>
      </c>
      <c r="AX1516">
        <v>0</v>
      </c>
      <c r="AY1516">
        <v>215.6</v>
      </c>
      <c r="BC1516" t="str">
        <f t="shared" si="266"/>
        <v>9791159289057</v>
      </c>
      <c r="BE1516" t="str">
        <f t="shared" si="267"/>
        <v>판타지 웹소설 &gt; 퓨전 판타지</v>
      </c>
    </row>
    <row r="1517" spans="1:57" x14ac:dyDescent="0.3">
      <c r="A1517">
        <v>2313004289</v>
      </c>
      <c r="B1517">
        <v>2313004321</v>
      </c>
      <c r="C1517" t="str">
        <f>T("SSS급 마왕의 귀환 33화")</f>
        <v>SSS급 마왕의 귀환 33화</v>
      </c>
      <c r="D1517" t="str">
        <f>T("33")</f>
        <v>33</v>
      </c>
      <c r="E1517" t="str">
        <f t="shared" si="264"/>
        <v>구유</v>
      </c>
      <c r="H1517" t="str">
        <f t="shared" si="256"/>
        <v>스토리위즈</v>
      </c>
      <c r="I1517" t="str">
        <f t="shared" si="265"/>
        <v>SSS급 마왕의 귀환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</v>
      </c>
      <c r="AI1517">
        <v>0</v>
      </c>
      <c r="AJ1517">
        <v>0</v>
      </c>
      <c r="AK1517">
        <v>200</v>
      </c>
      <c r="AL1517">
        <v>0</v>
      </c>
      <c r="AM1517">
        <v>120</v>
      </c>
      <c r="AN1517">
        <v>-12</v>
      </c>
      <c r="AO1517">
        <v>0</v>
      </c>
      <c r="AP1517"/>
      <c r="AQ1517">
        <v>0</v>
      </c>
      <c r="AR1517">
        <v>0</v>
      </c>
      <c r="AS1517">
        <v>120</v>
      </c>
      <c r="AT1517">
        <v>-12</v>
      </c>
      <c r="AU1517">
        <v>0</v>
      </c>
      <c r="AW1517">
        <v>0</v>
      </c>
      <c r="AX1517">
        <v>0</v>
      </c>
      <c r="AY1517">
        <v>215.6</v>
      </c>
      <c r="BC1517" t="str">
        <f t="shared" si="266"/>
        <v>9791159289057</v>
      </c>
      <c r="BE1517" t="str">
        <f t="shared" si="267"/>
        <v>판타지 웹소설 &gt; 퓨전 판타지</v>
      </c>
    </row>
    <row r="1518" spans="1:57" x14ac:dyDescent="0.3">
      <c r="A1518">
        <v>2313004289</v>
      </c>
      <c r="B1518">
        <v>2313004322</v>
      </c>
      <c r="C1518" t="str">
        <f>T("SSS급 마왕의 귀환 34화")</f>
        <v>SSS급 마왕의 귀환 34화</v>
      </c>
      <c r="D1518" t="str">
        <f>T("34")</f>
        <v>34</v>
      </c>
      <c r="E1518" t="str">
        <f t="shared" si="264"/>
        <v>구유</v>
      </c>
      <c r="H1518" t="str">
        <f t="shared" si="256"/>
        <v>스토리위즈</v>
      </c>
      <c r="I1518" t="str">
        <f t="shared" si="265"/>
        <v>SSS급 마왕의 귀환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300</v>
      </c>
      <c r="AH1518">
        <v>3</v>
      </c>
      <c r="AI1518">
        <v>0</v>
      </c>
      <c r="AJ1518">
        <v>0</v>
      </c>
      <c r="AK1518">
        <v>200</v>
      </c>
      <c r="AL1518">
        <v>0</v>
      </c>
      <c r="AM1518">
        <v>120</v>
      </c>
      <c r="AN1518">
        <v>-12</v>
      </c>
      <c r="AO1518">
        <v>0</v>
      </c>
      <c r="AP1518"/>
      <c r="AQ1518">
        <v>0</v>
      </c>
      <c r="AR1518">
        <v>0</v>
      </c>
      <c r="AS1518">
        <v>120</v>
      </c>
      <c r="AT1518">
        <v>-12</v>
      </c>
      <c r="AU1518">
        <v>0</v>
      </c>
      <c r="AW1518">
        <v>0</v>
      </c>
      <c r="AX1518">
        <v>0</v>
      </c>
      <c r="AY1518">
        <v>215.6</v>
      </c>
      <c r="BC1518" t="str">
        <f t="shared" si="266"/>
        <v>9791159289057</v>
      </c>
      <c r="BE1518" t="str">
        <f t="shared" si="267"/>
        <v>판타지 웹소설 &gt; 퓨전 판타지</v>
      </c>
    </row>
    <row r="1519" spans="1:57" x14ac:dyDescent="0.3">
      <c r="A1519">
        <v>2313004289</v>
      </c>
      <c r="B1519">
        <v>2313004323</v>
      </c>
      <c r="C1519" t="str">
        <f>T("SSS급 마왕의 귀환 35화")</f>
        <v>SSS급 마왕의 귀환 35화</v>
      </c>
      <c r="D1519" t="str">
        <f>T("35")</f>
        <v>35</v>
      </c>
      <c r="E1519" t="str">
        <f t="shared" si="264"/>
        <v>구유</v>
      </c>
      <c r="H1519" t="str">
        <f t="shared" si="256"/>
        <v>스토리위즈</v>
      </c>
      <c r="I1519" t="str">
        <f t="shared" si="265"/>
        <v>SSS급 마왕의 귀환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300</v>
      </c>
      <c r="AH1519">
        <v>3</v>
      </c>
      <c r="AI1519">
        <v>0</v>
      </c>
      <c r="AJ1519">
        <v>0</v>
      </c>
      <c r="AK1519">
        <v>200</v>
      </c>
      <c r="AL1519">
        <v>0</v>
      </c>
      <c r="AM1519">
        <v>120</v>
      </c>
      <c r="AN1519">
        <v>-12</v>
      </c>
      <c r="AO1519">
        <v>0</v>
      </c>
      <c r="AP1519"/>
      <c r="AQ1519">
        <v>0</v>
      </c>
      <c r="AR1519">
        <v>0</v>
      </c>
      <c r="AS1519">
        <v>120</v>
      </c>
      <c r="AT1519">
        <v>-12</v>
      </c>
      <c r="AU1519">
        <v>0</v>
      </c>
      <c r="AW1519">
        <v>0</v>
      </c>
      <c r="AX1519">
        <v>0</v>
      </c>
      <c r="AY1519">
        <v>215.6</v>
      </c>
      <c r="BC1519" t="str">
        <f t="shared" si="266"/>
        <v>9791159289057</v>
      </c>
      <c r="BE1519" t="str">
        <f t="shared" si="267"/>
        <v>판타지 웹소설 &gt; 퓨전 판타지</v>
      </c>
    </row>
    <row r="1520" spans="1:57" x14ac:dyDescent="0.3">
      <c r="A1520">
        <v>2313004289</v>
      </c>
      <c r="B1520">
        <v>2313004324</v>
      </c>
      <c r="C1520" t="str">
        <f>T("SSS급 마왕의 귀환 36화")</f>
        <v>SSS급 마왕의 귀환 36화</v>
      </c>
      <c r="D1520" t="str">
        <f>T("36")</f>
        <v>36</v>
      </c>
      <c r="E1520" t="str">
        <f t="shared" si="264"/>
        <v>구유</v>
      </c>
      <c r="H1520" t="str">
        <f t="shared" si="256"/>
        <v>스토리위즈</v>
      </c>
      <c r="I1520" t="str">
        <f t="shared" si="265"/>
        <v>SSS급 마왕의 귀환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300</v>
      </c>
      <c r="AH1520">
        <v>3</v>
      </c>
      <c r="AI1520">
        <v>0</v>
      </c>
      <c r="AJ1520">
        <v>0</v>
      </c>
      <c r="AK1520">
        <v>200</v>
      </c>
      <c r="AL1520">
        <v>0</v>
      </c>
      <c r="AM1520">
        <v>120</v>
      </c>
      <c r="AN1520">
        <v>-12</v>
      </c>
      <c r="AO1520">
        <v>0</v>
      </c>
      <c r="AP1520"/>
      <c r="AQ1520">
        <v>0</v>
      </c>
      <c r="AR1520">
        <v>0</v>
      </c>
      <c r="AS1520">
        <v>120</v>
      </c>
      <c r="AT1520">
        <v>-12</v>
      </c>
      <c r="AU1520">
        <v>0</v>
      </c>
      <c r="AW1520">
        <v>0</v>
      </c>
      <c r="AX1520">
        <v>0</v>
      </c>
      <c r="AY1520">
        <v>215.6</v>
      </c>
      <c r="BC1520" t="str">
        <f t="shared" si="266"/>
        <v>9791159289057</v>
      </c>
      <c r="BE1520" t="str">
        <f t="shared" si="267"/>
        <v>판타지 웹소설 &gt; 퓨전 판타지</v>
      </c>
    </row>
    <row r="1521" spans="1:57" x14ac:dyDescent="0.3">
      <c r="A1521">
        <v>2313004289</v>
      </c>
      <c r="B1521">
        <v>2313004325</v>
      </c>
      <c r="C1521" t="str">
        <f>T("SSS급 마왕의 귀환 37화")</f>
        <v>SSS급 마왕의 귀환 37화</v>
      </c>
      <c r="D1521" t="str">
        <f>T("37")</f>
        <v>37</v>
      </c>
      <c r="E1521" t="str">
        <f t="shared" si="264"/>
        <v>구유</v>
      </c>
      <c r="H1521" t="str">
        <f t="shared" si="256"/>
        <v>스토리위즈</v>
      </c>
      <c r="I1521" t="str">
        <f t="shared" si="265"/>
        <v>SSS급 마왕의 귀환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300</v>
      </c>
      <c r="AH1521">
        <v>3</v>
      </c>
      <c r="AI1521">
        <v>0</v>
      </c>
      <c r="AJ1521">
        <v>0</v>
      </c>
      <c r="AK1521">
        <v>200</v>
      </c>
      <c r="AL1521">
        <v>0</v>
      </c>
      <c r="AM1521">
        <v>120</v>
      </c>
      <c r="AN1521">
        <v>-12</v>
      </c>
      <c r="AO1521">
        <v>0</v>
      </c>
      <c r="AP1521"/>
      <c r="AQ1521">
        <v>0</v>
      </c>
      <c r="AR1521">
        <v>0</v>
      </c>
      <c r="AS1521">
        <v>120</v>
      </c>
      <c r="AT1521">
        <v>-12</v>
      </c>
      <c r="AU1521">
        <v>0</v>
      </c>
      <c r="AW1521">
        <v>0</v>
      </c>
      <c r="AX1521">
        <v>0</v>
      </c>
      <c r="AY1521">
        <v>215.6</v>
      </c>
      <c r="BC1521" t="str">
        <f t="shared" si="266"/>
        <v>9791159289057</v>
      </c>
      <c r="BE1521" t="str">
        <f t="shared" si="267"/>
        <v>판타지 웹소설 &gt; 퓨전 판타지</v>
      </c>
    </row>
    <row r="1522" spans="1:57" x14ac:dyDescent="0.3">
      <c r="A1522">
        <v>2313004289</v>
      </c>
      <c r="B1522">
        <v>2313004326</v>
      </c>
      <c r="C1522" t="str">
        <f>T("SSS급 마왕의 귀환 38화")</f>
        <v>SSS급 마왕의 귀환 38화</v>
      </c>
      <c r="D1522" t="str">
        <f>T("38")</f>
        <v>38</v>
      </c>
      <c r="E1522" t="str">
        <f t="shared" si="264"/>
        <v>구유</v>
      </c>
      <c r="H1522" t="str">
        <f t="shared" si="256"/>
        <v>스토리위즈</v>
      </c>
      <c r="I1522" t="str">
        <f t="shared" si="265"/>
        <v>SSS급 마왕의 귀환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200</v>
      </c>
      <c r="AL1522">
        <v>0</v>
      </c>
      <c r="AM1522">
        <v>120</v>
      </c>
      <c r="AN1522">
        <v>-12</v>
      </c>
      <c r="AO1522">
        <v>0</v>
      </c>
      <c r="AP1522"/>
      <c r="AQ1522">
        <v>0</v>
      </c>
      <c r="AR1522">
        <v>0</v>
      </c>
      <c r="AS1522">
        <v>120</v>
      </c>
      <c r="AT1522">
        <v>-12</v>
      </c>
      <c r="AU1522">
        <v>0</v>
      </c>
      <c r="AW1522">
        <v>0</v>
      </c>
      <c r="AX1522">
        <v>0</v>
      </c>
      <c r="AY1522">
        <v>215.6</v>
      </c>
      <c r="BC1522" t="str">
        <f t="shared" si="266"/>
        <v>9791159289057</v>
      </c>
      <c r="BE1522" t="str">
        <f t="shared" si="267"/>
        <v>판타지 웹소설 &gt; 퓨전 판타지</v>
      </c>
    </row>
    <row r="1523" spans="1:57" x14ac:dyDescent="0.3">
      <c r="A1523">
        <v>2313004289</v>
      </c>
      <c r="B1523">
        <v>2313004327</v>
      </c>
      <c r="C1523" t="str">
        <f>T("SSS급 마왕의 귀환 39화")</f>
        <v>SSS급 마왕의 귀환 39화</v>
      </c>
      <c r="D1523" t="str">
        <f>T("39")</f>
        <v>39</v>
      </c>
      <c r="E1523" t="str">
        <f t="shared" si="264"/>
        <v>구유</v>
      </c>
      <c r="H1523" t="str">
        <f t="shared" si="256"/>
        <v>스토리위즈</v>
      </c>
      <c r="I1523" t="str">
        <f t="shared" si="265"/>
        <v>SSS급 마왕의 귀환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300</v>
      </c>
      <c r="AH1523">
        <v>3</v>
      </c>
      <c r="AI1523">
        <v>0</v>
      </c>
      <c r="AJ1523">
        <v>0</v>
      </c>
      <c r="AK1523">
        <v>200</v>
      </c>
      <c r="AL1523">
        <v>0</v>
      </c>
      <c r="AM1523">
        <v>120</v>
      </c>
      <c r="AN1523">
        <v>-12</v>
      </c>
      <c r="AO1523">
        <v>0</v>
      </c>
      <c r="AP1523"/>
      <c r="AQ1523">
        <v>0</v>
      </c>
      <c r="AR1523">
        <v>0</v>
      </c>
      <c r="AS1523">
        <v>120</v>
      </c>
      <c r="AT1523">
        <v>-12</v>
      </c>
      <c r="AU1523">
        <v>0</v>
      </c>
      <c r="AW1523">
        <v>0</v>
      </c>
      <c r="AX1523">
        <v>0</v>
      </c>
      <c r="AY1523">
        <v>215.6</v>
      </c>
      <c r="BC1523" t="str">
        <f t="shared" si="266"/>
        <v>9791159289057</v>
      </c>
      <c r="BE1523" t="str">
        <f t="shared" si="267"/>
        <v>판타지 웹소설 &gt; 퓨전 판타지</v>
      </c>
    </row>
    <row r="1524" spans="1:57" x14ac:dyDescent="0.3">
      <c r="A1524">
        <v>2313004289</v>
      </c>
      <c r="B1524">
        <v>2313004328</v>
      </c>
      <c r="C1524" t="str">
        <f>T("SSS급 마왕의 귀환 40화")</f>
        <v>SSS급 마왕의 귀환 40화</v>
      </c>
      <c r="D1524" t="str">
        <f>T("40")</f>
        <v>40</v>
      </c>
      <c r="E1524" t="str">
        <f t="shared" si="264"/>
        <v>구유</v>
      </c>
      <c r="H1524" t="str">
        <f t="shared" si="256"/>
        <v>스토리위즈</v>
      </c>
      <c r="I1524" t="str">
        <f t="shared" si="265"/>
        <v>SSS급 마왕의 귀환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</v>
      </c>
      <c r="AH1524">
        <v>3</v>
      </c>
      <c r="AI1524">
        <v>0</v>
      </c>
      <c r="AJ1524">
        <v>0</v>
      </c>
      <c r="AK1524">
        <v>200</v>
      </c>
      <c r="AL1524">
        <v>0</v>
      </c>
      <c r="AM1524">
        <v>120</v>
      </c>
      <c r="AN1524">
        <v>-12</v>
      </c>
      <c r="AO1524">
        <v>0</v>
      </c>
      <c r="AP1524"/>
      <c r="AQ1524">
        <v>0</v>
      </c>
      <c r="AR1524">
        <v>0</v>
      </c>
      <c r="AS1524">
        <v>120</v>
      </c>
      <c r="AT1524">
        <v>-12</v>
      </c>
      <c r="AU1524">
        <v>0</v>
      </c>
      <c r="AW1524">
        <v>0</v>
      </c>
      <c r="AX1524">
        <v>0</v>
      </c>
      <c r="AY1524">
        <v>215.6</v>
      </c>
      <c r="BC1524" t="str">
        <f t="shared" si="266"/>
        <v>9791159289057</v>
      </c>
      <c r="BE1524" t="str">
        <f t="shared" si="267"/>
        <v>판타지 웹소설 &gt; 퓨전 판타지</v>
      </c>
    </row>
    <row r="1525" spans="1:57" x14ac:dyDescent="0.3">
      <c r="A1525">
        <v>2313004289</v>
      </c>
      <c r="B1525">
        <v>2313004329</v>
      </c>
      <c r="C1525" t="str">
        <f>T("SSS급 마왕의 귀환 41화")</f>
        <v>SSS급 마왕의 귀환 41화</v>
      </c>
      <c r="D1525" t="str">
        <f>T("41")</f>
        <v>41</v>
      </c>
      <c r="E1525" t="str">
        <f t="shared" si="264"/>
        <v>구유</v>
      </c>
      <c r="H1525" t="str">
        <f t="shared" si="256"/>
        <v>스토리위즈</v>
      </c>
      <c r="I1525" t="str">
        <f t="shared" si="265"/>
        <v>SSS급 마왕의 귀환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200</v>
      </c>
      <c r="AL1525">
        <v>0</v>
      </c>
      <c r="AM1525">
        <v>120</v>
      </c>
      <c r="AN1525">
        <v>-12</v>
      </c>
      <c r="AO1525">
        <v>0</v>
      </c>
      <c r="AP1525"/>
      <c r="AQ1525">
        <v>0</v>
      </c>
      <c r="AR1525">
        <v>0</v>
      </c>
      <c r="AS1525">
        <v>120</v>
      </c>
      <c r="AT1525">
        <v>-12</v>
      </c>
      <c r="AU1525">
        <v>0</v>
      </c>
      <c r="AW1525">
        <v>0</v>
      </c>
      <c r="AX1525">
        <v>0</v>
      </c>
      <c r="AY1525">
        <v>215.6</v>
      </c>
      <c r="BC1525" t="str">
        <f t="shared" si="266"/>
        <v>9791159289057</v>
      </c>
      <c r="BE1525" t="str">
        <f t="shared" si="267"/>
        <v>판타지 웹소설 &gt; 퓨전 판타지</v>
      </c>
    </row>
    <row r="1526" spans="1:57" x14ac:dyDescent="0.3">
      <c r="A1526">
        <v>2313008150</v>
      </c>
      <c r="B1526">
        <v>2313008175</v>
      </c>
      <c r="C1526" t="str">
        <f>T("기사가문 망나니는 10클래스 26화")</f>
        <v>기사가문 망나니는 10클래스 26화</v>
      </c>
      <c r="D1526" t="str">
        <f>T("26")</f>
        <v>26</v>
      </c>
      <c r="E1526" t="str">
        <f t="shared" ref="E1526:E1545" si="268">T("예로나")</f>
        <v>예로나</v>
      </c>
      <c r="H1526" t="str">
        <f t="shared" si="256"/>
        <v>스토리위즈</v>
      </c>
      <c r="I1526" t="str">
        <f t="shared" ref="I1526:I1545" si="269">T("기사가문 망나니는 10클래스")</f>
        <v>기사가문 망나니는 10클래스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300</v>
      </c>
      <c r="AH1526">
        <v>3</v>
      </c>
      <c r="AI1526">
        <v>0</v>
      </c>
      <c r="AJ1526">
        <v>0</v>
      </c>
      <c r="AK1526">
        <v>300</v>
      </c>
      <c r="AL1526">
        <v>0</v>
      </c>
      <c r="AM1526">
        <v>0</v>
      </c>
      <c r="AN1526">
        <v>0</v>
      </c>
      <c r="AO1526">
        <v>0</v>
      </c>
      <c r="AP1526"/>
      <c r="AQ1526">
        <v>0</v>
      </c>
      <c r="AR1526">
        <v>0</v>
      </c>
      <c r="AT1526">
        <v>0</v>
      </c>
      <c r="AU1526">
        <v>0</v>
      </c>
      <c r="AW1526">
        <v>0</v>
      </c>
      <c r="AX1526">
        <v>0</v>
      </c>
      <c r="AY1526">
        <v>210</v>
      </c>
      <c r="BC1526" t="str">
        <f t="shared" ref="BC1526:BC1545" si="270">T("9791165310370")</f>
        <v>9791165310370</v>
      </c>
      <c r="BE1526" t="str">
        <f t="shared" si="267"/>
        <v>판타지 웹소설 &gt; 퓨전 판타지</v>
      </c>
    </row>
    <row r="1527" spans="1:57" x14ac:dyDescent="0.3">
      <c r="A1527">
        <v>2313008150</v>
      </c>
      <c r="B1527">
        <v>2313008176</v>
      </c>
      <c r="C1527" t="str">
        <f>T("기사가문 망나니는 10클래스 27화")</f>
        <v>기사가문 망나니는 10클래스 27화</v>
      </c>
      <c r="D1527" t="str">
        <f>T("27")</f>
        <v>27</v>
      </c>
      <c r="E1527" t="str">
        <f t="shared" si="268"/>
        <v>예로나</v>
      </c>
      <c r="H1527" t="str">
        <f t="shared" si="256"/>
        <v>스토리위즈</v>
      </c>
      <c r="I1527" t="str">
        <f t="shared" si="269"/>
        <v>기사가문 망나니는 10클래스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300</v>
      </c>
      <c r="AH1527">
        <v>3</v>
      </c>
      <c r="AI1527">
        <v>0</v>
      </c>
      <c r="AJ1527">
        <v>0</v>
      </c>
      <c r="AK1527">
        <v>300</v>
      </c>
      <c r="AL1527">
        <v>0</v>
      </c>
      <c r="AM1527">
        <v>0</v>
      </c>
      <c r="AN1527">
        <v>0</v>
      </c>
      <c r="AO1527">
        <v>0</v>
      </c>
      <c r="AP1527"/>
      <c r="AQ1527">
        <v>0</v>
      </c>
      <c r="AR1527">
        <v>0</v>
      </c>
      <c r="AT1527">
        <v>0</v>
      </c>
      <c r="AU1527">
        <v>0</v>
      </c>
      <c r="AW1527">
        <v>0</v>
      </c>
      <c r="AX1527">
        <v>0</v>
      </c>
      <c r="AY1527">
        <v>210</v>
      </c>
      <c r="BC1527" t="str">
        <f t="shared" si="270"/>
        <v>9791165310370</v>
      </c>
      <c r="BE1527" t="str">
        <f t="shared" si="267"/>
        <v>판타지 웹소설 &gt; 퓨전 판타지</v>
      </c>
    </row>
    <row r="1528" spans="1:57" x14ac:dyDescent="0.3">
      <c r="A1528">
        <v>2313008150</v>
      </c>
      <c r="B1528">
        <v>2313008177</v>
      </c>
      <c r="C1528" t="str">
        <f>T("기사가문 망나니는 10클래스 28화")</f>
        <v>기사가문 망나니는 10클래스 28화</v>
      </c>
      <c r="D1528" t="str">
        <f>T("28")</f>
        <v>28</v>
      </c>
      <c r="E1528" t="str">
        <f t="shared" si="268"/>
        <v>예로나</v>
      </c>
      <c r="H1528" t="str">
        <f t="shared" si="256"/>
        <v>스토리위즈</v>
      </c>
      <c r="I1528" t="str">
        <f t="shared" si="269"/>
        <v>기사가문 망나니는 10클래스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300</v>
      </c>
      <c r="AH1528">
        <v>3</v>
      </c>
      <c r="AI1528">
        <v>0</v>
      </c>
      <c r="AJ1528">
        <v>0</v>
      </c>
      <c r="AK1528">
        <v>300</v>
      </c>
      <c r="AL1528">
        <v>0</v>
      </c>
      <c r="AM1528">
        <v>0</v>
      </c>
      <c r="AN1528">
        <v>0</v>
      </c>
      <c r="AO1528">
        <v>0</v>
      </c>
      <c r="AP1528"/>
      <c r="AQ1528">
        <v>0</v>
      </c>
      <c r="AR1528">
        <v>0</v>
      </c>
      <c r="AT1528">
        <v>0</v>
      </c>
      <c r="AU1528">
        <v>0</v>
      </c>
      <c r="AW1528">
        <v>0</v>
      </c>
      <c r="AX1528">
        <v>0</v>
      </c>
      <c r="AY1528">
        <v>210</v>
      </c>
      <c r="BC1528" t="str">
        <f t="shared" si="270"/>
        <v>9791165310370</v>
      </c>
      <c r="BE1528" t="str">
        <f t="shared" si="267"/>
        <v>판타지 웹소설 &gt; 퓨전 판타지</v>
      </c>
    </row>
    <row r="1529" spans="1:57" x14ac:dyDescent="0.3">
      <c r="A1529">
        <v>2313008150</v>
      </c>
      <c r="B1529">
        <v>2313008178</v>
      </c>
      <c r="C1529" t="str">
        <f>T("기사가문 망나니는 10클래스 29화")</f>
        <v>기사가문 망나니는 10클래스 29화</v>
      </c>
      <c r="D1529" t="str">
        <f>T("29")</f>
        <v>29</v>
      </c>
      <c r="E1529" t="str">
        <f t="shared" si="268"/>
        <v>예로나</v>
      </c>
      <c r="H1529" t="str">
        <f t="shared" si="256"/>
        <v>스토리위즈</v>
      </c>
      <c r="I1529" t="str">
        <f t="shared" si="269"/>
        <v>기사가문 망나니는 10클래스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300</v>
      </c>
      <c r="AH1529">
        <v>3</v>
      </c>
      <c r="AI1529">
        <v>0</v>
      </c>
      <c r="AJ1529">
        <v>0</v>
      </c>
      <c r="AK1529">
        <v>300</v>
      </c>
      <c r="AL1529">
        <v>0</v>
      </c>
      <c r="AM1529">
        <v>0</v>
      </c>
      <c r="AN1529">
        <v>0</v>
      </c>
      <c r="AO1529">
        <v>0</v>
      </c>
      <c r="AP1529"/>
      <c r="AQ1529">
        <v>0</v>
      </c>
      <c r="AR1529">
        <v>0</v>
      </c>
      <c r="AT1529">
        <v>0</v>
      </c>
      <c r="AU1529">
        <v>0</v>
      </c>
      <c r="AW1529">
        <v>0</v>
      </c>
      <c r="AX1529">
        <v>0</v>
      </c>
      <c r="AY1529">
        <v>210</v>
      </c>
      <c r="BC1529" t="str">
        <f t="shared" si="270"/>
        <v>9791165310370</v>
      </c>
      <c r="BE1529" t="str">
        <f t="shared" si="267"/>
        <v>판타지 웹소설 &gt; 퓨전 판타지</v>
      </c>
    </row>
    <row r="1530" spans="1:57" x14ac:dyDescent="0.3">
      <c r="A1530">
        <v>2313008150</v>
      </c>
      <c r="B1530">
        <v>2313008179</v>
      </c>
      <c r="C1530" t="str">
        <f>T("기사가문 망나니는 10클래스 30화")</f>
        <v>기사가문 망나니는 10클래스 30화</v>
      </c>
      <c r="D1530" t="str">
        <f>T("30")</f>
        <v>30</v>
      </c>
      <c r="E1530" t="str">
        <f t="shared" si="268"/>
        <v>예로나</v>
      </c>
      <c r="H1530" t="str">
        <f t="shared" si="256"/>
        <v>스토리위즈</v>
      </c>
      <c r="I1530" t="str">
        <f t="shared" si="269"/>
        <v>기사가문 망나니는 10클래스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300</v>
      </c>
      <c r="AH1530">
        <v>3</v>
      </c>
      <c r="AI1530">
        <v>0</v>
      </c>
      <c r="AJ1530">
        <v>0</v>
      </c>
      <c r="AK1530">
        <v>300</v>
      </c>
      <c r="AL1530">
        <v>0</v>
      </c>
      <c r="AM1530">
        <v>0</v>
      </c>
      <c r="AN1530">
        <v>0</v>
      </c>
      <c r="AO1530">
        <v>0</v>
      </c>
      <c r="AP1530"/>
      <c r="AQ1530">
        <v>0</v>
      </c>
      <c r="AR1530">
        <v>0</v>
      </c>
      <c r="AT1530">
        <v>0</v>
      </c>
      <c r="AU1530">
        <v>0</v>
      </c>
      <c r="AW1530">
        <v>0</v>
      </c>
      <c r="AX1530">
        <v>0</v>
      </c>
      <c r="AY1530">
        <v>210</v>
      </c>
      <c r="BC1530" t="str">
        <f t="shared" si="270"/>
        <v>9791165310370</v>
      </c>
      <c r="BE1530" t="str">
        <f t="shared" si="267"/>
        <v>판타지 웹소설 &gt; 퓨전 판타지</v>
      </c>
    </row>
    <row r="1531" spans="1:57" x14ac:dyDescent="0.3">
      <c r="A1531">
        <v>2313008150</v>
      </c>
      <c r="B1531">
        <v>2313008180</v>
      </c>
      <c r="C1531" t="str">
        <f>T("기사가문 망나니는 10클래스 31화")</f>
        <v>기사가문 망나니는 10클래스 31화</v>
      </c>
      <c r="D1531" t="str">
        <f>T("31")</f>
        <v>31</v>
      </c>
      <c r="E1531" t="str">
        <f t="shared" si="268"/>
        <v>예로나</v>
      </c>
      <c r="H1531" t="str">
        <f t="shared" si="256"/>
        <v>스토리위즈</v>
      </c>
      <c r="I1531" t="str">
        <f t="shared" si="269"/>
        <v>기사가문 망나니는 10클래스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300</v>
      </c>
      <c r="AH1531">
        <v>3</v>
      </c>
      <c r="AI1531">
        <v>0</v>
      </c>
      <c r="AJ1531">
        <v>0</v>
      </c>
      <c r="AK1531">
        <v>300</v>
      </c>
      <c r="AL1531">
        <v>0</v>
      </c>
      <c r="AM1531">
        <v>0</v>
      </c>
      <c r="AN1531">
        <v>0</v>
      </c>
      <c r="AO1531">
        <v>0</v>
      </c>
      <c r="AP1531"/>
      <c r="AQ1531">
        <v>0</v>
      </c>
      <c r="AR1531">
        <v>0</v>
      </c>
      <c r="AT1531">
        <v>0</v>
      </c>
      <c r="AU1531">
        <v>0</v>
      </c>
      <c r="AW1531">
        <v>0</v>
      </c>
      <c r="AX1531">
        <v>0</v>
      </c>
      <c r="AY1531">
        <v>210</v>
      </c>
      <c r="BC1531" t="str">
        <f t="shared" si="270"/>
        <v>9791165310370</v>
      </c>
      <c r="BE1531" t="str">
        <f t="shared" si="267"/>
        <v>판타지 웹소설 &gt; 퓨전 판타지</v>
      </c>
    </row>
    <row r="1532" spans="1:57" x14ac:dyDescent="0.3">
      <c r="A1532">
        <v>2313008150</v>
      </c>
      <c r="B1532">
        <v>2313008181</v>
      </c>
      <c r="C1532" t="str">
        <f>T("기사가문 망나니는 10클래스 32화")</f>
        <v>기사가문 망나니는 10클래스 32화</v>
      </c>
      <c r="D1532" t="str">
        <f>T("32")</f>
        <v>32</v>
      </c>
      <c r="E1532" t="str">
        <f t="shared" si="268"/>
        <v>예로나</v>
      </c>
      <c r="H1532" t="str">
        <f t="shared" si="256"/>
        <v>스토리위즈</v>
      </c>
      <c r="I1532" t="str">
        <f t="shared" si="269"/>
        <v>기사가문 망나니는 10클래스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300</v>
      </c>
      <c r="AH1532">
        <v>3</v>
      </c>
      <c r="AI1532">
        <v>0</v>
      </c>
      <c r="AJ1532">
        <v>0</v>
      </c>
      <c r="AK1532">
        <v>300</v>
      </c>
      <c r="AL1532">
        <v>0</v>
      </c>
      <c r="AM1532">
        <v>0</v>
      </c>
      <c r="AN1532">
        <v>0</v>
      </c>
      <c r="AO1532">
        <v>0</v>
      </c>
      <c r="AP1532"/>
      <c r="AQ1532">
        <v>0</v>
      </c>
      <c r="AR1532">
        <v>0</v>
      </c>
      <c r="AT1532">
        <v>0</v>
      </c>
      <c r="AU1532">
        <v>0</v>
      </c>
      <c r="AW1532">
        <v>0</v>
      </c>
      <c r="AX1532">
        <v>0</v>
      </c>
      <c r="AY1532">
        <v>210</v>
      </c>
      <c r="BC1532" t="str">
        <f t="shared" si="270"/>
        <v>9791165310370</v>
      </c>
      <c r="BE1532" t="str">
        <f t="shared" si="267"/>
        <v>판타지 웹소설 &gt; 퓨전 판타지</v>
      </c>
    </row>
    <row r="1533" spans="1:57" x14ac:dyDescent="0.3">
      <c r="A1533">
        <v>2313008150</v>
      </c>
      <c r="B1533">
        <v>2313008182</v>
      </c>
      <c r="C1533" t="str">
        <f>T("기사가문 망나니는 10클래스 33화")</f>
        <v>기사가문 망나니는 10클래스 33화</v>
      </c>
      <c r="D1533" t="str">
        <f>T("33")</f>
        <v>33</v>
      </c>
      <c r="E1533" t="str">
        <f t="shared" si="268"/>
        <v>예로나</v>
      </c>
      <c r="H1533" t="str">
        <f t="shared" si="256"/>
        <v>스토리위즈</v>
      </c>
      <c r="I1533" t="str">
        <f t="shared" si="269"/>
        <v>기사가문 망나니는 10클래스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300</v>
      </c>
      <c r="AH1533">
        <v>3</v>
      </c>
      <c r="AI1533">
        <v>0</v>
      </c>
      <c r="AJ1533">
        <v>0</v>
      </c>
      <c r="AK1533">
        <v>300</v>
      </c>
      <c r="AL1533">
        <v>0</v>
      </c>
      <c r="AM1533">
        <v>0</v>
      </c>
      <c r="AN1533">
        <v>0</v>
      </c>
      <c r="AO1533">
        <v>0</v>
      </c>
      <c r="AP1533"/>
      <c r="AQ1533">
        <v>0</v>
      </c>
      <c r="AR1533">
        <v>0</v>
      </c>
      <c r="AT1533">
        <v>0</v>
      </c>
      <c r="AU1533">
        <v>0</v>
      </c>
      <c r="AW1533">
        <v>0</v>
      </c>
      <c r="AX1533">
        <v>0</v>
      </c>
      <c r="AY1533">
        <v>210</v>
      </c>
      <c r="BC1533" t="str">
        <f t="shared" si="270"/>
        <v>9791165310370</v>
      </c>
      <c r="BE1533" t="str">
        <f t="shared" si="267"/>
        <v>판타지 웹소설 &gt; 퓨전 판타지</v>
      </c>
    </row>
    <row r="1534" spans="1:57" x14ac:dyDescent="0.3">
      <c r="A1534">
        <v>2313008150</v>
      </c>
      <c r="B1534">
        <v>2313008183</v>
      </c>
      <c r="C1534" t="str">
        <f>T("기사가문 망나니는 10클래스 34화")</f>
        <v>기사가문 망나니는 10클래스 34화</v>
      </c>
      <c r="D1534" t="str">
        <f>T("34")</f>
        <v>34</v>
      </c>
      <c r="E1534" t="str">
        <f t="shared" si="268"/>
        <v>예로나</v>
      </c>
      <c r="H1534" t="str">
        <f t="shared" si="256"/>
        <v>스토리위즈</v>
      </c>
      <c r="I1534" t="str">
        <f t="shared" si="269"/>
        <v>기사가문 망나니는 10클래스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300</v>
      </c>
      <c r="AH1534">
        <v>3</v>
      </c>
      <c r="AI1534">
        <v>0</v>
      </c>
      <c r="AJ1534">
        <v>0</v>
      </c>
      <c r="AK1534">
        <v>300</v>
      </c>
      <c r="AL1534">
        <v>0</v>
      </c>
      <c r="AM1534">
        <v>0</v>
      </c>
      <c r="AN1534">
        <v>0</v>
      </c>
      <c r="AO1534">
        <v>0</v>
      </c>
      <c r="AP1534"/>
      <c r="AQ1534">
        <v>0</v>
      </c>
      <c r="AR1534">
        <v>0</v>
      </c>
      <c r="AT1534">
        <v>0</v>
      </c>
      <c r="AU1534">
        <v>0</v>
      </c>
      <c r="AW1534">
        <v>0</v>
      </c>
      <c r="AX1534">
        <v>0</v>
      </c>
      <c r="AY1534">
        <v>210</v>
      </c>
      <c r="BC1534" t="str">
        <f t="shared" si="270"/>
        <v>9791165310370</v>
      </c>
      <c r="BE1534" t="str">
        <f t="shared" si="267"/>
        <v>판타지 웹소설 &gt; 퓨전 판타지</v>
      </c>
    </row>
    <row r="1535" spans="1:57" x14ac:dyDescent="0.3">
      <c r="A1535">
        <v>2313008150</v>
      </c>
      <c r="B1535">
        <v>2313008184</v>
      </c>
      <c r="C1535" t="str">
        <f>T("기사가문 망나니는 10클래스 35화")</f>
        <v>기사가문 망나니는 10클래스 35화</v>
      </c>
      <c r="D1535" t="str">
        <f>T("35")</f>
        <v>35</v>
      </c>
      <c r="E1535" t="str">
        <f t="shared" si="268"/>
        <v>예로나</v>
      </c>
      <c r="H1535" t="str">
        <f t="shared" si="256"/>
        <v>스토리위즈</v>
      </c>
      <c r="I1535" t="str">
        <f t="shared" si="269"/>
        <v>기사가문 망나니는 10클래스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300</v>
      </c>
      <c r="AH1535">
        <v>3</v>
      </c>
      <c r="AI1535">
        <v>0</v>
      </c>
      <c r="AJ1535">
        <v>0</v>
      </c>
      <c r="AK1535">
        <v>300</v>
      </c>
      <c r="AL1535">
        <v>0</v>
      </c>
      <c r="AM1535">
        <v>0</v>
      </c>
      <c r="AN1535">
        <v>0</v>
      </c>
      <c r="AO1535">
        <v>0</v>
      </c>
      <c r="AP1535"/>
      <c r="AQ1535">
        <v>0</v>
      </c>
      <c r="AR1535">
        <v>0</v>
      </c>
      <c r="AT1535">
        <v>0</v>
      </c>
      <c r="AU1535">
        <v>0</v>
      </c>
      <c r="AW1535">
        <v>0</v>
      </c>
      <c r="AX1535">
        <v>0</v>
      </c>
      <c r="AY1535">
        <v>210</v>
      </c>
      <c r="BC1535" t="str">
        <f t="shared" si="270"/>
        <v>9791165310370</v>
      </c>
      <c r="BE1535" t="str">
        <f t="shared" si="267"/>
        <v>판타지 웹소설 &gt; 퓨전 판타지</v>
      </c>
    </row>
    <row r="1536" spans="1:57" x14ac:dyDescent="0.3">
      <c r="A1536">
        <v>2313008150</v>
      </c>
      <c r="B1536">
        <v>2313008185</v>
      </c>
      <c r="C1536" t="str">
        <f>T("기사가문 망나니는 10클래스 36화")</f>
        <v>기사가문 망나니는 10클래스 36화</v>
      </c>
      <c r="D1536" t="str">
        <f>T("36")</f>
        <v>36</v>
      </c>
      <c r="E1536" t="str">
        <f t="shared" si="268"/>
        <v>예로나</v>
      </c>
      <c r="H1536" t="str">
        <f t="shared" si="256"/>
        <v>스토리위즈</v>
      </c>
      <c r="I1536" t="str">
        <f t="shared" si="269"/>
        <v>기사가문 망나니는 10클래스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300</v>
      </c>
      <c r="AH1536">
        <v>3</v>
      </c>
      <c r="AI1536">
        <v>0</v>
      </c>
      <c r="AJ1536">
        <v>0</v>
      </c>
      <c r="AK1536">
        <v>300</v>
      </c>
      <c r="AL1536">
        <v>0</v>
      </c>
      <c r="AM1536">
        <v>0</v>
      </c>
      <c r="AN1536">
        <v>0</v>
      </c>
      <c r="AO1536">
        <v>0</v>
      </c>
      <c r="AP1536"/>
      <c r="AQ1536">
        <v>0</v>
      </c>
      <c r="AR1536">
        <v>0</v>
      </c>
      <c r="AT1536">
        <v>0</v>
      </c>
      <c r="AU1536">
        <v>0</v>
      </c>
      <c r="AW1536">
        <v>0</v>
      </c>
      <c r="AX1536">
        <v>0</v>
      </c>
      <c r="AY1536">
        <v>210</v>
      </c>
      <c r="BC1536" t="str">
        <f t="shared" si="270"/>
        <v>9791165310370</v>
      </c>
      <c r="BE1536" t="str">
        <f t="shared" si="267"/>
        <v>판타지 웹소설 &gt; 퓨전 판타지</v>
      </c>
    </row>
    <row r="1537" spans="1:57" x14ac:dyDescent="0.3">
      <c r="A1537">
        <v>2313008150</v>
      </c>
      <c r="B1537">
        <v>2313008186</v>
      </c>
      <c r="C1537" t="str">
        <f>T("기사가문 망나니는 10클래스 37화")</f>
        <v>기사가문 망나니는 10클래스 37화</v>
      </c>
      <c r="D1537" t="str">
        <f>T("37")</f>
        <v>37</v>
      </c>
      <c r="E1537" t="str">
        <f t="shared" si="268"/>
        <v>예로나</v>
      </c>
      <c r="H1537" t="str">
        <f t="shared" si="256"/>
        <v>스토리위즈</v>
      </c>
      <c r="I1537" t="str">
        <f t="shared" si="269"/>
        <v>기사가문 망나니는 10클래스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300</v>
      </c>
      <c r="AH1537">
        <v>3</v>
      </c>
      <c r="AI1537">
        <v>0</v>
      </c>
      <c r="AJ1537">
        <v>0</v>
      </c>
      <c r="AK1537">
        <v>300</v>
      </c>
      <c r="AL1537">
        <v>0</v>
      </c>
      <c r="AM1537">
        <v>0</v>
      </c>
      <c r="AN1537">
        <v>0</v>
      </c>
      <c r="AO1537">
        <v>0</v>
      </c>
      <c r="AP1537"/>
      <c r="AQ1537">
        <v>0</v>
      </c>
      <c r="AR1537">
        <v>0</v>
      </c>
      <c r="AT1537">
        <v>0</v>
      </c>
      <c r="AU1537">
        <v>0</v>
      </c>
      <c r="AW1537">
        <v>0</v>
      </c>
      <c r="AX1537">
        <v>0</v>
      </c>
      <c r="AY1537">
        <v>210</v>
      </c>
      <c r="BC1537" t="str">
        <f t="shared" si="270"/>
        <v>9791165310370</v>
      </c>
      <c r="BE1537" t="str">
        <f t="shared" si="267"/>
        <v>판타지 웹소설 &gt; 퓨전 판타지</v>
      </c>
    </row>
    <row r="1538" spans="1:57" x14ac:dyDescent="0.3">
      <c r="A1538">
        <v>2313008150</v>
      </c>
      <c r="B1538">
        <v>2313008190</v>
      </c>
      <c r="C1538" t="str">
        <f>T("기사가문 망나니는 10클래스 41화")</f>
        <v>기사가문 망나니는 10클래스 41화</v>
      </c>
      <c r="D1538" t="str">
        <f>T("41")</f>
        <v>41</v>
      </c>
      <c r="E1538" t="str">
        <f t="shared" si="268"/>
        <v>예로나</v>
      </c>
      <c r="H1538" t="str">
        <f t="shared" si="256"/>
        <v>스토리위즈</v>
      </c>
      <c r="I1538" t="str">
        <f t="shared" si="269"/>
        <v>기사가문 망나니는 10클래스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300</v>
      </c>
      <c r="AH1538">
        <v>3</v>
      </c>
      <c r="AI1538">
        <v>0</v>
      </c>
      <c r="AJ1538">
        <v>0</v>
      </c>
      <c r="AK1538">
        <v>200</v>
      </c>
      <c r="AL1538">
        <v>0</v>
      </c>
      <c r="AM1538">
        <v>120</v>
      </c>
      <c r="AN1538">
        <v>-36</v>
      </c>
      <c r="AO1538">
        <v>0</v>
      </c>
      <c r="AP1538">
        <v>120</v>
      </c>
      <c r="AQ1538">
        <v>-36</v>
      </c>
      <c r="AR1538">
        <v>0</v>
      </c>
      <c r="AT1538">
        <v>0</v>
      </c>
      <c r="AU1538">
        <v>0</v>
      </c>
      <c r="AW1538">
        <v>0</v>
      </c>
      <c r="AX1538">
        <v>0</v>
      </c>
      <c r="AY1538">
        <v>198.8</v>
      </c>
      <c r="BC1538" t="str">
        <f t="shared" si="270"/>
        <v>9791165310370</v>
      </c>
      <c r="BE1538" t="str">
        <f t="shared" si="267"/>
        <v>판타지 웹소설 &gt; 퓨전 판타지</v>
      </c>
    </row>
    <row r="1539" spans="1:57" x14ac:dyDescent="0.3">
      <c r="A1539">
        <v>2313008150</v>
      </c>
      <c r="B1539">
        <v>2313008191</v>
      </c>
      <c r="C1539" t="str">
        <f>T("기사가문 망나니는 10클래스 42화")</f>
        <v>기사가문 망나니는 10클래스 42화</v>
      </c>
      <c r="D1539" t="str">
        <f>T("42")</f>
        <v>42</v>
      </c>
      <c r="E1539" t="str">
        <f t="shared" si="268"/>
        <v>예로나</v>
      </c>
      <c r="H1539" t="str">
        <f t="shared" si="256"/>
        <v>스토리위즈</v>
      </c>
      <c r="I1539" t="str">
        <f t="shared" si="269"/>
        <v>기사가문 망나니는 10클래스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300</v>
      </c>
      <c r="AH1539">
        <v>3</v>
      </c>
      <c r="AI1539">
        <v>0</v>
      </c>
      <c r="AJ1539">
        <v>0</v>
      </c>
      <c r="AK1539">
        <v>200</v>
      </c>
      <c r="AL1539">
        <v>0</v>
      </c>
      <c r="AM1539">
        <v>120</v>
      </c>
      <c r="AN1539">
        <v>-36</v>
      </c>
      <c r="AO1539">
        <v>0</v>
      </c>
      <c r="AP1539">
        <v>120</v>
      </c>
      <c r="AQ1539">
        <v>-36</v>
      </c>
      <c r="AR1539">
        <v>0</v>
      </c>
      <c r="AT1539">
        <v>0</v>
      </c>
      <c r="AU1539">
        <v>0</v>
      </c>
      <c r="AW1539">
        <v>0</v>
      </c>
      <c r="AX1539">
        <v>0</v>
      </c>
      <c r="AY1539">
        <v>198.8</v>
      </c>
      <c r="BC1539" t="str">
        <f t="shared" si="270"/>
        <v>9791165310370</v>
      </c>
      <c r="BE1539" t="str">
        <f t="shared" si="267"/>
        <v>판타지 웹소설 &gt; 퓨전 판타지</v>
      </c>
    </row>
    <row r="1540" spans="1:57" x14ac:dyDescent="0.3">
      <c r="A1540">
        <v>2313008150</v>
      </c>
      <c r="B1540">
        <v>2313008192</v>
      </c>
      <c r="C1540" t="str">
        <f>T("기사가문 망나니는 10클래스 43화")</f>
        <v>기사가문 망나니는 10클래스 43화</v>
      </c>
      <c r="D1540" t="str">
        <f>T("43")</f>
        <v>43</v>
      </c>
      <c r="E1540" t="str">
        <f t="shared" si="268"/>
        <v>예로나</v>
      </c>
      <c r="H1540" t="str">
        <f t="shared" si="256"/>
        <v>스토리위즈</v>
      </c>
      <c r="I1540" t="str">
        <f t="shared" si="269"/>
        <v>기사가문 망나니는 10클래스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300</v>
      </c>
      <c r="AH1540">
        <v>3</v>
      </c>
      <c r="AI1540">
        <v>0</v>
      </c>
      <c r="AJ1540">
        <v>0</v>
      </c>
      <c r="AK1540">
        <v>200</v>
      </c>
      <c r="AL1540">
        <v>0</v>
      </c>
      <c r="AM1540">
        <v>120</v>
      </c>
      <c r="AN1540">
        <v>-36</v>
      </c>
      <c r="AO1540">
        <v>0</v>
      </c>
      <c r="AP1540">
        <v>120</v>
      </c>
      <c r="AQ1540">
        <v>-36</v>
      </c>
      <c r="AR1540">
        <v>0</v>
      </c>
      <c r="AT1540">
        <v>0</v>
      </c>
      <c r="AU1540">
        <v>0</v>
      </c>
      <c r="AW1540">
        <v>0</v>
      </c>
      <c r="AX1540">
        <v>0</v>
      </c>
      <c r="AY1540">
        <v>198.8</v>
      </c>
      <c r="BC1540" t="str">
        <f t="shared" si="270"/>
        <v>9791165310370</v>
      </c>
      <c r="BE1540" t="str">
        <f t="shared" si="267"/>
        <v>판타지 웹소설 &gt; 퓨전 판타지</v>
      </c>
    </row>
    <row r="1541" spans="1:57" x14ac:dyDescent="0.3">
      <c r="A1541">
        <v>2313008150</v>
      </c>
      <c r="B1541">
        <v>2313008193</v>
      </c>
      <c r="C1541" t="str">
        <f>T("기사가문 망나니는 10클래스 44화")</f>
        <v>기사가문 망나니는 10클래스 44화</v>
      </c>
      <c r="D1541" t="str">
        <f>T("44")</f>
        <v>44</v>
      </c>
      <c r="E1541" t="str">
        <f t="shared" si="268"/>
        <v>예로나</v>
      </c>
      <c r="H1541" t="str">
        <f t="shared" si="256"/>
        <v>스토리위즈</v>
      </c>
      <c r="I1541" t="str">
        <f t="shared" si="269"/>
        <v>기사가문 망나니는 10클래스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300</v>
      </c>
      <c r="AH1541">
        <v>3</v>
      </c>
      <c r="AI1541">
        <v>0</v>
      </c>
      <c r="AJ1541">
        <v>0</v>
      </c>
      <c r="AK1541">
        <v>200</v>
      </c>
      <c r="AL1541">
        <v>0</v>
      </c>
      <c r="AM1541">
        <v>120</v>
      </c>
      <c r="AN1541">
        <v>-36</v>
      </c>
      <c r="AO1541">
        <v>0</v>
      </c>
      <c r="AP1541">
        <v>120</v>
      </c>
      <c r="AQ1541">
        <v>-36</v>
      </c>
      <c r="AR1541">
        <v>0</v>
      </c>
      <c r="AT1541">
        <v>0</v>
      </c>
      <c r="AU1541">
        <v>0</v>
      </c>
      <c r="AW1541">
        <v>0</v>
      </c>
      <c r="AX1541">
        <v>0</v>
      </c>
      <c r="AY1541">
        <v>198.8</v>
      </c>
      <c r="BC1541" t="str">
        <f t="shared" si="270"/>
        <v>9791165310370</v>
      </c>
      <c r="BE1541" t="str">
        <f t="shared" si="267"/>
        <v>판타지 웹소설 &gt; 퓨전 판타지</v>
      </c>
    </row>
    <row r="1542" spans="1:57" x14ac:dyDescent="0.3">
      <c r="A1542">
        <v>2313008150</v>
      </c>
      <c r="B1542">
        <v>2313008194</v>
      </c>
      <c r="C1542" t="str">
        <f>T("기사가문 망나니는 10클래스 45화")</f>
        <v>기사가문 망나니는 10클래스 45화</v>
      </c>
      <c r="D1542" t="str">
        <f>T("45")</f>
        <v>45</v>
      </c>
      <c r="E1542" t="str">
        <f t="shared" si="268"/>
        <v>예로나</v>
      </c>
      <c r="H1542" t="str">
        <f t="shared" si="256"/>
        <v>스토리위즈</v>
      </c>
      <c r="I1542" t="str">
        <f t="shared" si="269"/>
        <v>기사가문 망나니는 10클래스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300</v>
      </c>
      <c r="AH1542">
        <v>3</v>
      </c>
      <c r="AI1542">
        <v>0</v>
      </c>
      <c r="AJ1542">
        <v>0</v>
      </c>
      <c r="AK1542">
        <v>200</v>
      </c>
      <c r="AL1542">
        <v>0</v>
      </c>
      <c r="AM1542">
        <v>120</v>
      </c>
      <c r="AN1542">
        <v>-36</v>
      </c>
      <c r="AO1542">
        <v>0</v>
      </c>
      <c r="AP1542">
        <v>120</v>
      </c>
      <c r="AQ1542">
        <v>-36</v>
      </c>
      <c r="AR1542">
        <v>0</v>
      </c>
      <c r="AT1542">
        <v>0</v>
      </c>
      <c r="AU1542">
        <v>0</v>
      </c>
      <c r="AW1542">
        <v>0</v>
      </c>
      <c r="AX1542">
        <v>0</v>
      </c>
      <c r="AY1542">
        <v>198.8</v>
      </c>
      <c r="BC1542" t="str">
        <f t="shared" si="270"/>
        <v>9791165310370</v>
      </c>
      <c r="BE1542" t="str">
        <f t="shared" si="267"/>
        <v>판타지 웹소설 &gt; 퓨전 판타지</v>
      </c>
    </row>
    <row r="1543" spans="1:57" x14ac:dyDescent="0.3">
      <c r="A1543">
        <v>2313008150</v>
      </c>
      <c r="B1543">
        <v>2313008195</v>
      </c>
      <c r="C1543" t="str">
        <f>T("기사가문 망나니는 10클래스 46화")</f>
        <v>기사가문 망나니는 10클래스 46화</v>
      </c>
      <c r="D1543" t="str">
        <f>T("46")</f>
        <v>46</v>
      </c>
      <c r="E1543" t="str">
        <f t="shared" si="268"/>
        <v>예로나</v>
      </c>
      <c r="H1543" t="str">
        <f t="shared" si="256"/>
        <v>스토리위즈</v>
      </c>
      <c r="I1543" t="str">
        <f t="shared" si="269"/>
        <v>기사가문 망나니는 10클래스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</v>
      </c>
      <c r="AH1543">
        <v>3</v>
      </c>
      <c r="AI1543">
        <v>0</v>
      </c>
      <c r="AJ1543">
        <v>0</v>
      </c>
      <c r="AK1543">
        <v>200</v>
      </c>
      <c r="AL1543">
        <v>0</v>
      </c>
      <c r="AM1543">
        <v>120</v>
      </c>
      <c r="AN1543">
        <v>-36</v>
      </c>
      <c r="AO1543">
        <v>0</v>
      </c>
      <c r="AP1543">
        <v>120</v>
      </c>
      <c r="AQ1543">
        <v>-36</v>
      </c>
      <c r="AR1543">
        <v>0</v>
      </c>
      <c r="AT1543">
        <v>0</v>
      </c>
      <c r="AU1543">
        <v>0</v>
      </c>
      <c r="AW1543">
        <v>0</v>
      </c>
      <c r="AX1543">
        <v>0</v>
      </c>
      <c r="AY1543">
        <v>198.8</v>
      </c>
      <c r="BC1543" t="str">
        <f t="shared" si="270"/>
        <v>9791165310370</v>
      </c>
      <c r="BE1543" t="str">
        <f t="shared" si="267"/>
        <v>판타지 웹소설 &gt; 퓨전 판타지</v>
      </c>
    </row>
    <row r="1544" spans="1:57" x14ac:dyDescent="0.3">
      <c r="A1544">
        <v>2313008150</v>
      </c>
      <c r="B1544">
        <v>2313008196</v>
      </c>
      <c r="C1544" t="str">
        <f>T("기사가문 망나니는 10클래스 47화")</f>
        <v>기사가문 망나니는 10클래스 47화</v>
      </c>
      <c r="D1544" t="str">
        <f>T("47")</f>
        <v>47</v>
      </c>
      <c r="E1544" t="str">
        <f t="shared" si="268"/>
        <v>예로나</v>
      </c>
      <c r="H1544" t="str">
        <f t="shared" si="256"/>
        <v>스토리위즈</v>
      </c>
      <c r="I1544" t="str">
        <f t="shared" si="269"/>
        <v>기사가문 망나니는 10클래스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300</v>
      </c>
      <c r="AH1544">
        <v>3</v>
      </c>
      <c r="AI1544">
        <v>0</v>
      </c>
      <c r="AJ1544">
        <v>0</v>
      </c>
      <c r="AK1544">
        <v>200</v>
      </c>
      <c r="AL1544">
        <v>0</v>
      </c>
      <c r="AM1544">
        <v>120</v>
      </c>
      <c r="AN1544">
        <v>-36</v>
      </c>
      <c r="AO1544">
        <v>0</v>
      </c>
      <c r="AP1544">
        <v>120</v>
      </c>
      <c r="AQ1544">
        <v>-36</v>
      </c>
      <c r="AR1544">
        <v>0</v>
      </c>
      <c r="AT1544">
        <v>0</v>
      </c>
      <c r="AU1544">
        <v>0</v>
      </c>
      <c r="AW1544">
        <v>0</v>
      </c>
      <c r="AX1544">
        <v>0</v>
      </c>
      <c r="AY1544">
        <v>198.8</v>
      </c>
      <c r="BC1544" t="str">
        <f t="shared" si="270"/>
        <v>9791165310370</v>
      </c>
      <c r="BE1544" t="str">
        <f t="shared" si="267"/>
        <v>판타지 웹소설 &gt; 퓨전 판타지</v>
      </c>
    </row>
    <row r="1545" spans="1:57" x14ac:dyDescent="0.3">
      <c r="A1545">
        <v>2313008150</v>
      </c>
      <c r="B1545">
        <v>2313008197</v>
      </c>
      <c r="C1545" t="str">
        <f>T("기사가문 망나니는 10클래스 48화")</f>
        <v>기사가문 망나니는 10클래스 48화</v>
      </c>
      <c r="D1545" t="str">
        <f>T("48")</f>
        <v>48</v>
      </c>
      <c r="E1545" t="str">
        <f t="shared" si="268"/>
        <v>예로나</v>
      </c>
      <c r="H1545" t="str">
        <f t="shared" si="256"/>
        <v>스토리위즈</v>
      </c>
      <c r="I1545" t="str">
        <f t="shared" si="269"/>
        <v>기사가문 망나니는 10클래스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300</v>
      </c>
      <c r="AH1545">
        <v>3</v>
      </c>
      <c r="AI1545">
        <v>0</v>
      </c>
      <c r="AJ1545">
        <v>0</v>
      </c>
      <c r="AK1545">
        <v>200</v>
      </c>
      <c r="AL1545">
        <v>0</v>
      </c>
      <c r="AM1545">
        <v>120</v>
      </c>
      <c r="AN1545">
        <v>-36</v>
      </c>
      <c r="AO1545">
        <v>0</v>
      </c>
      <c r="AP1545">
        <v>120</v>
      </c>
      <c r="AQ1545">
        <v>-36</v>
      </c>
      <c r="AR1545">
        <v>0</v>
      </c>
      <c r="AT1545">
        <v>0</v>
      </c>
      <c r="AU1545">
        <v>0</v>
      </c>
      <c r="AW1545">
        <v>0</v>
      </c>
      <c r="AX1545">
        <v>0</v>
      </c>
      <c r="AY1545">
        <v>198.8</v>
      </c>
      <c r="BC1545" t="str">
        <f t="shared" si="270"/>
        <v>9791165310370</v>
      </c>
      <c r="BE1545" t="str">
        <f t="shared" si="267"/>
        <v>판타지 웹소설 &gt; 퓨전 판타지</v>
      </c>
    </row>
    <row r="1546" spans="1:57" x14ac:dyDescent="0.3">
      <c r="A1546">
        <v>2313010290</v>
      </c>
      <c r="B1546">
        <v>2313010304</v>
      </c>
      <c r="C1546" t="str">
        <f>T("아저씨, 내 기분 왜 이래요? 15화")</f>
        <v>아저씨, 내 기분 왜 이래요? 15화</v>
      </c>
      <c r="D1546" t="str">
        <f>T("15")</f>
        <v>15</v>
      </c>
      <c r="E1546" t="str">
        <f>T("Livingston")</f>
        <v>Livingston</v>
      </c>
      <c r="H1546" t="str">
        <f>T("블레슈(Blesshuu)")</f>
        <v>블레슈(Blesshuu)</v>
      </c>
      <c r="I1546" t="str">
        <f>T("아저씨, 내 기분 왜 이래요?")</f>
        <v>아저씨, 내 기분 왜 이래요?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300</v>
      </c>
      <c r="AH1546">
        <v>3</v>
      </c>
      <c r="AI1546">
        <v>0</v>
      </c>
      <c r="AJ1546">
        <v>0</v>
      </c>
      <c r="AK1546">
        <v>300</v>
      </c>
      <c r="AL1546">
        <v>0</v>
      </c>
      <c r="AM1546">
        <v>0</v>
      </c>
      <c r="AN1546">
        <v>0</v>
      </c>
      <c r="AO1546">
        <v>0</v>
      </c>
      <c r="AP1546"/>
      <c r="AQ1546">
        <v>0</v>
      </c>
      <c r="AR1546">
        <v>0</v>
      </c>
      <c r="AT1546">
        <v>0</v>
      </c>
      <c r="AU1546">
        <v>0</v>
      </c>
      <c r="AW1546">
        <v>0</v>
      </c>
      <c r="AX1546">
        <v>0</v>
      </c>
      <c r="AY1546">
        <v>210</v>
      </c>
      <c r="BC1546" t="str">
        <f>T("9791166069482")</f>
        <v>9791166069482</v>
      </c>
      <c r="BE1546" t="str">
        <f>T("로맨스 웹소설 &gt; 현대물")</f>
        <v>로맨스 웹소설 &gt; 현대물</v>
      </c>
    </row>
    <row r="1547" spans="1:57" x14ac:dyDescent="0.3">
      <c r="A1547">
        <v>2313010290</v>
      </c>
      <c r="B1547">
        <v>2313010305</v>
      </c>
      <c r="C1547" t="str">
        <f>T("아저씨, 내 기분 왜 이래요? 16화")</f>
        <v>아저씨, 내 기분 왜 이래요? 16화</v>
      </c>
      <c r="D1547" t="str">
        <f>T("16")</f>
        <v>16</v>
      </c>
      <c r="E1547" t="str">
        <f>T("Livingston")</f>
        <v>Livingston</v>
      </c>
      <c r="H1547" t="str">
        <f>T("블레슈(Blesshuu)")</f>
        <v>블레슈(Blesshuu)</v>
      </c>
      <c r="I1547" t="str">
        <f>T("아저씨, 내 기분 왜 이래요?")</f>
        <v>아저씨, 내 기분 왜 이래요?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300</v>
      </c>
      <c r="AH1547">
        <v>3</v>
      </c>
      <c r="AI1547">
        <v>0</v>
      </c>
      <c r="AJ1547">
        <v>0</v>
      </c>
      <c r="AK1547">
        <v>300</v>
      </c>
      <c r="AL1547">
        <v>0</v>
      </c>
      <c r="AM1547">
        <v>0</v>
      </c>
      <c r="AN1547">
        <v>0</v>
      </c>
      <c r="AO1547">
        <v>0</v>
      </c>
      <c r="AP1547"/>
      <c r="AQ1547">
        <v>0</v>
      </c>
      <c r="AR1547">
        <v>0</v>
      </c>
      <c r="AT1547">
        <v>0</v>
      </c>
      <c r="AU1547">
        <v>0</v>
      </c>
      <c r="AW1547">
        <v>0</v>
      </c>
      <c r="AX1547">
        <v>0</v>
      </c>
      <c r="AY1547">
        <v>210</v>
      </c>
      <c r="BC1547" t="str">
        <f>T("9791166069482")</f>
        <v>9791166069482</v>
      </c>
      <c r="BE1547" t="str">
        <f>T("로맨스 웹소설 &gt; 현대물")</f>
        <v>로맨스 웹소설 &gt; 현대물</v>
      </c>
    </row>
    <row r="1548" spans="1:57" x14ac:dyDescent="0.3">
      <c r="A1548">
        <v>2313011400</v>
      </c>
      <c r="B1548">
        <v>2313011485</v>
      </c>
      <c r="C1548" t="str">
        <f>T("최종 보스 4권 20화")</f>
        <v>최종 보스 4권 20화</v>
      </c>
      <c r="D1548" t="str">
        <f>T("86")</f>
        <v>86</v>
      </c>
      <c r="E1548" t="str">
        <f t="shared" ref="E1548:E1570" si="271">T("무장")</f>
        <v>무장</v>
      </c>
      <c r="H1548" t="str">
        <f t="shared" ref="H1548:H1571" si="272">T("스토리위즈")</f>
        <v>스토리위즈</v>
      </c>
      <c r="I1548" t="str">
        <f>T("최종 보스 : 빛을 향해 달리는 그림자")</f>
        <v>최종 보스 : 빛을 향해 달리는 그림자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300</v>
      </c>
      <c r="AH1548">
        <v>3</v>
      </c>
      <c r="AI1548">
        <v>0</v>
      </c>
      <c r="AJ1548">
        <v>0</v>
      </c>
      <c r="AK1548">
        <v>300</v>
      </c>
      <c r="AL1548">
        <v>0</v>
      </c>
      <c r="AM1548">
        <v>0</v>
      </c>
      <c r="AN1548">
        <v>0</v>
      </c>
      <c r="AO1548">
        <v>0</v>
      </c>
      <c r="AP1548"/>
      <c r="AQ1548">
        <v>0</v>
      </c>
      <c r="AR1548">
        <v>0</v>
      </c>
      <c r="AT1548">
        <v>0</v>
      </c>
      <c r="AU1548">
        <v>0</v>
      </c>
      <c r="AW1548">
        <v>0</v>
      </c>
      <c r="AX1548">
        <v>0</v>
      </c>
      <c r="AY1548">
        <v>210</v>
      </c>
      <c r="BC1548" t="str">
        <f>T("9791166067563")</f>
        <v>9791166067563</v>
      </c>
      <c r="BE1548" t="str">
        <f t="shared" ref="BE1548:BE1570" si="273">T("판타지 웹소설 &gt; 현대 판타지")</f>
        <v>판타지 웹소설 &gt; 현대 판타지</v>
      </c>
    </row>
    <row r="1549" spans="1:57" x14ac:dyDescent="0.3">
      <c r="A1549">
        <v>2313011400</v>
      </c>
      <c r="B1549">
        <v>2313011486</v>
      </c>
      <c r="C1549" t="str">
        <f>T("최종 보스 4권 21화")</f>
        <v>최종 보스 4권 21화</v>
      </c>
      <c r="D1549" t="str">
        <f>T("87")</f>
        <v>87</v>
      </c>
      <c r="E1549" t="str">
        <f t="shared" si="271"/>
        <v>무장</v>
      </c>
      <c r="H1549" t="str">
        <f t="shared" si="272"/>
        <v>스토리위즈</v>
      </c>
      <c r="I1549" t="str">
        <f>T("최종 보스 : 빛을 향해 달리는 그림자")</f>
        <v>최종 보스 : 빛을 향해 달리는 그림자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300</v>
      </c>
      <c r="AH1549">
        <v>3</v>
      </c>
      <c r="AI1549">
        <v>0</v>
      </c>
      <c r="AJ1549">
        <v>0</v>
      </c>
      <c r="AK1549">
        <v>300</v>
      </c>
      <c r="AL1549">
        <v>0</v>
      </c>
      <c r="AM1549">
        <v>0</v>
      </c>
      <c r="AN1549">
        <v>0</v>
      </c>
      <c r="AO1549">
        <v>0</v>
      </c>
      <c r="AP1549"/>
      <c r="AQ1549">
        <v>0</v>
      </c>
      <c r="AR1549">
        <v>0</v>
      </c>
      <c r="AT1549">
        <v>0</v>
      </c>
      <c r="AU1549">
        <v>0</v>
      </c>
      <c r="AW1549">
        <v>0</v>
      </c>
      <c r="AX1549">
        <v>0</v>
      </c>
      <c r="AY1549">
        <v>210</v>
      </c>
      <c r="BC1549" t="str">
        <f>T("9791166067563")</f>
        <v>9791166067563</v>
      </c>
      <c r="BE1549" t="str">
        <f t="shared" si="273"/>
        <v>판타지 웹소설 &gt; 현대 판타지</v>
      </c>
    </row>
    <row r="1550" spans="1:57" x14ac:dyDescent="0.3">
      <c r="A1550">
        <v>2313011955</v>
      </c>
      <c r="B1550">
        <v>2313012151</v>
      </c>
      <c r="C1550" t="str">
        <f>T("갓 오브 블랙필드 197화")</f>
        <v>갓 오브 블랙필드 197화</v>
      </c>
      <c r="D1550" t="str">
        <f>T("197")</f>
        <v>197</v>
      </c>
      <c r="E1550" t="str">
        <f t="shared" si="271"/>
        <v>무장</v>
      </c>
      <c r="H1550" t="str">
        <f t="shared" si="272"/>
        <v>스토리위즈</v>
      </c>
      <c r="I1550" t="str">
        <f t="shared" ref="I1550:I1570" si="274">T("갓 오브 블랙필드")</f>
        <v>갓 오브 블랙필드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300</v>
      </c>
      <c r="AL1550">
        <v>0</v>
      </c>
      <c r="AM1550">
        <v>0</v>
      </c>
      <c r="AN1550">
        <v>0</v>
      </c>
      <c r="AO1550">
        <v>0</v>
      </c>
      <c r="AP1550"/>
      <c r="AQ1550">
        <v>0</v>
      </c>
      <c r="AR1550">
        <v>0</v>
      </c>
      <c r="AT1550">
        <v>0</v>
      </c>
      <c r="AU1550">
        <v>0</v>
      </c>
      <c r="AW1550">
        <v>0</v>
      </c>
      <c r="AX1550">
        <v>0</v>
      </c>
      <c r="AY1550">
        <v>210</v>
      </c>
      <c r="BC1550" t="str">
        <f t="shared" ref="BC1550:BC1570" si="275">T("9791137602113")</f>
        <v>9791137602113</v>
      </c>
      <c r="BE1550" t="str">
        <f t="shared" si="273"/>
        <v>판타지 웹소설 &gt; 현대 판타지</v>
      </c>
    </row>
    <row r="1551" spans="1:57" x14ac:dyDescent="0.3">
      <c r="A1551">
        <v>2313011955</v>
      </c>
      <c r="B1551">
        <v>2313012152</v>
      </c>
      <c r="C1551" t="str">
        <f>T("갓 오브 블랙필드 198화")</f>
        <v>갓 오브 블랙필드 198화</v>
      </c>
      <c r="D1551" t="str">
        <f>T("198")</f>
        <v>198</v>
      </c>
      <c r="E1551" t="str">
        <f t="shared" si="271"/>
        <v>무장</v>
      </c>
      <c r="H1551" t="str">
        <f t="shared" si="272"/>
        <v>스토리위즈</v>
      </c>
      <c r="I1551" t="str">
        <f t="shared" si="274"/>
        <v>갓 오브 블랙필드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300</v>
      </c>
      <c r="AH1551">
        <v>3</v>
      </c>
      <c r="AI1551">
        <v>0</v>
      </c>
      <c r="AJ1551">
        <v>0</v>
      </c>
      <c r="AK1551">
        <v>300</v>
      </c>
      <c r="AL1551">
        <v>0</v>
      </c>
      <c r="AM1551">
        <v>0</v>
      </c>
      <c r="AN1551">
        <v>0</v>
      </c>
      <c r="AO1551">
        <v>0</v>
      </c>
      <c r="AP1551"/>
      <c r="AQ1551">
        <v>0</v>
      </c>
      <c r="AR1551">
        <v>0</v>
      </c>
      <c r="AT1551">
        <v>0</v>
      </c>
      <c r="AU1551">
        <v>0</v>
      </c>
      <c r="AW1551">
        <v>0</v>
      </c>
      <c r="AX1551">
        <v>0</v>
      </c>
      <c r="AY1551">
        <v>210</v>
      </c>
      <c r="BC1551" t="str">
        <f t="shared" si="275"/>
        <v>9791137602113</v>
      </c>
      <c r="BE1551" t="str">
        <f t="shared" si="273"/>
        <v>판타지 웹소설 &gt; 현대 판타지</v>
      </c>
    </row>
    <row r="1552" spans="1:57" x14ac:dyDescent="0.3">
      <c r="A1552">
        <v>2313011955</v>
      </c>
      <c r="B1552">
        <v>2313012153</v>
      </c>
      <c r="C1552" t="str">
        <f>T("갓 오브 블랙필드 199화")</f>
        <v>갓 오브 블랙필드 199화</v>
      </c>
      <c r="D1552" t="str">
        <f>T("199")</f>
        <v>199</v>
      </c>
      <c r="E1552" t="str">
        <f t="shared" si="271"/>
        <v>무장</v>
      </c>
      <c r="H1552" t="str">
        <f t="shared" si="272"/>
        <v>스토리위즈</v>
      </c>
      <c r="I1552" t="str">
        <f t="shared" si="274"/>
        <v>갓 오브 블랙필드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300</v>
      </c>
      <c r="AH1552">
        <v>3</v>
      </c>
      <c r="AI1552">
        <v>0</v>
      </c>
      <c r="AJ1552">
        <v>0</v>
      </c>
      <c r="AK1552">
        <v>300</v>
      </c>
      <c r="AL1552">
        <v>0</v>
      </c>
      <c r="AM1552">
        <v>0</v>
      </c>
      <c r="AN1552">
        <v>0</v>
      </c>
      <c r="AO1552">
        <v>0</v>
      </c>
      <c r="AP1552"/>
      <c r="AQ1552">
        <v>0</v>
      </c>
      <c r="AR1552">
        <v>0</v>
      </c>
      <c r="AT1552">
        <v>0</v>
      </c>
      <c r="AU1552">
        <v>0</v>
      </c>
      <c r="AW1552">
        <v>0</v>
      </c>
      <c r="AX1552">
        <v>0</v>
      </c>
      <c r="AY1552">
        <v>210</v>
      </c>
      <c r="BC1552" t="str">
        <f t="shared" si="275"/>
        <v>9791137602113</v>
      </c>
      <c r="BE1552" t="str">
        <f t="shared" si="273"/>
        <v>판타지 웹소설 &gt; 현대 판타지</v>
      </c>
    </row>
    <row r="1553" spans="1:57" x14ac:dyDescent="0.3">
      <c r="A1553">
        <v>2313011955</v>
      </c>
      <c r="B1553">
        <v>2313012154</v>
      </c>
      <c r="C1553" t="str">
        <f>T("갓 오브 블랙필드 200화")</f>
        <v>갓 오브 블랙필드 200화</v>
      </c>
      <c r="D1553" t="str">
        <f>T("200")</f>
        <v>200</v>
      </c>
      <c r="E1553" t="str">
        <f t="shared" si="271"/>
        <v>무장</v>
      </c>
      <c r="H1553" t="str">
        <f t="shared" si="272"/>
        <v>스토리위즈</v>
      </c>
      <c r="I1553" t="str">
        <f t="shared" si="274"/>
        <v>갓 오브 블랙필드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300</v>
      </c>
      <c r="AH1553">
        <v>3</v>
      </c>
      <c r="AI1553">
        <v>0</v>
      </c>
      <c r="AJ1553">
        <v>0</v>
      </c>
      <c r="AK1553">
        <v>300</v>
      </c>
      <c r="AL1553">
        <v>0</v>
      </c>
      <c r="AM1553">
        <v>0</v>
      </c>
      <c r="AN1553">
        <v>0</v>
      </c>
      <c r="AO1553">
        <v>0</v>
      </c>
      <c r="AP1553"/>
      <c r="AQ1553">
        <v>0</v>
      </c>
      <c r="AR1553">
        <v>0</v>
      </c>
      <c r="AT1553">
        <v>0</v>
      </c>
      <c r="AU1553">
        <v>0</v>
      </c>
      <c r="AW1553">
        <v>0</v>
      </c>
      <c r="AX1553">
        <v>0</v>
      </c>
      <c r="AY1553">
        <v>210</v>
      </c>
      <c r="BC1553" t="str">
        <f t="shared" si="275"/>
        <v>9791137602113</v>
      </c>
      <c r="BE1553" t="str">
        <f t="shared" si="273"/>
        <v>판타지 웹소설 &gt; 현대 판타지</v>
      </c>
    </row>
    <row r="1554" spans="1:57" x14ac:dyDescent="0.3">
      <c r="A1554">
        <v>2313011955</v>
      </c>
      <c r="B1554">
        <v>2313012155</v>
      </c>
      <c r="C1554" t="str">
        <f>T("갓 오브 블랙필드 201화")</f>
        <v>갓 오브 블랙필드 201화</v>
      </c>
      <c r="D1554" t="str">
        <f>T("201")</f>
        <v>201</v>
      </c>
      <c r="E1554" t="str">
        <f t="shared" si="271"/>
        <v>무장</v>
      </c>
      <c r="H1554" t="str">
        <f t="shared" si="272"/>
        <v>스토리위즈</v>
      </c>
      <c r="I1554" t="str">
        <f t="shared" si="274"/>
        <v>갓 오브 블랙필드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300</v>
      </c>
      <c r="AH1554">
        <v>3</v>
      </c>
      <c r="AI1554">
        <v>0</v>
      </c>
      <c r="AJ1554">
        <v>0</v>
      </c>
      <c r="AK1554">
        <v>300</v>
      </c>
      <c r="AL1554">
        <v>0</v>
      </c>
      <c r="AM1554">
        <v>0</v>
      </c>
      <c r="AN1554">
        <v>0</v>
      </c>
      <c r="AO1554">
        <v>0</v>
      </c>
      <c r="AP1554"/>
      <c r="AQ1554">
        <v>0</v>
      </c>
      <c r="AR1554">
        <v>0</v>
      </c>
      <c r="AT1554">
        <v>0</v>
      </c>
      <c r="AU1554">
        <v>0</v>
      </c>
      <c r="AW1554">
        <v>0</v>
      </c>
      <c r="AX1554">
        <v>0</v>
      </c>
      <c r="AY1554">
        <v>210</v>
      </c>
      <c r="BC1554" t="str">
        <f t="shared" si="275"/>
        <v>9791137602113</v>
      </c>
      <c r="BE1554" t="str">
        <f t="shared" si="273"/>
        <v>판타지 웹소설 &gt; 현대 판타지</v>
      </c>
    </row>
    <row r="1555" spans="1:57" x14ac:dyDescent="0.3">
      <c r="A1555">
        <v>2313011955</v>
      </c>
      <c r="B1555">
        <v>2313012156</v>
      </c>
      <c r="C1555" t="str">
        <f>T("갓 오브 블랙필드 202화")</f>
        <v>갓 오브 블랙필드 202화</v>
      </c>
      <c r="D1555" t="str">
        <f>T("202")</f>
        <v>202</v>
      </c>
      <c r="E1555" t="str">
        <f t="shared" si="271"/>
        <v>무장</v>
      </c>
      <c r="H1555" t="str">
        <f t="shared" si="272"/>
        <v>스토리위즈</v>
      </c>
      <c r="I1555" t="str">
        <f t="shared" si="274"/>
        <v>갓 오브 블랙필드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300</v>
      </c>
      <c r="AH1555">
        <v>3</v>
      </c>
      <c r="AI1555">
        <v>0</v>
      </c>
      <c r="AJ1555">
        <v>0</v>
      </c>
      <c r="AK1555">
        <v>300</v>
      </c>
      <c r="AL1555">
        <v>0</v>
      </c>
      <c r="AM1555">
        <v>0</v>
      </c>
      <c r="AN1555">
        <v>0</v>
      </c>
      <c r="AO1555">
        <v>0</v>
      </c>
      <c r="AP1555"/>
      <c r="AQ1555">
        <v>0</v>
      </c>
      <c r="AR1555">
        <v>0</v>
      </c>
      <c r="AT1555">
        <v>0</v>
      </c>
      <c r="AU1555">
        <v>0</v>
      </c>
      <c r="AW1555">
        <v>0</v>
      </c>
      <c r="AX1555">
        <v>0</v>
      </c>
      <c r="AY1555">
        <v>210</v>
      </c>
      <c r="BC1555" t="str">
        <f t="shared" si="275"/>
        <v>9791137602113</v>
      </c>
      <c r="BE1555" t="str">
        <f t="shared" si="273"/>
        <v>판타지 웹소설 &gt; 현대 판타지</v>
      </c>
    </row>
    <row r="1556" spans="1:57" x14ac:dyDescent="0.3">
      <c r="A1556">
        <v>2313011955</v>
      </c>
      <c r="B1556">
        <v>2313012157</v>
      </c>
      <c r="C1556" t="str">
        <f>T("갓 오브 블랙필드 203화")</f>
        <v>갓 오브 블랙필드 203화</v>
      </c>
      <c r="D1556" t="str">
        <f>T("203")</f>
        <v>203</v>
      </c>
      <c r="E1556" t="str">
        <f t="shared" si="271"/>
        <v>무장</v>
      </c>
      <c r="H1556" t="str">
        <f t="shared" si="272"/>
        <v>스토리위즈</v>
      </c>
      <c r="I1556" t="str">
        <f t="shared" si="274"/>
        <v>갓 오브 블랙필드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300</v>
      </c>
      <c r="AH1556">
        <v>3</v>
      </c>
      <c r="AI1556">
        <v>0</v>
      </c>
      <c r="AJ1556">
        <v>0</v>
      </c>
      <c r="AK1556">
        <v>300</v>
      </c>
      <c r="AL1556">
        <v>0</v>
      </c>
      <c r="AM1556">
        <v>0</v>
      </c>
      <c r="AN1556">
        <v>0</v>
      </c>
      <c r="AO1556">
        <v>0</v>
      </c>
      <c r="AP1556"/>
      <c r="AQ1556">
        <v>0</v>
      </c>
      <c r="AR1556">
        <v>0</v>
      </c>
      <c r="AT1556">
        <v>0</v>
      </c>
      <c r="AU1556">
        <v>0</v>
      </c>
      <c r="AW1556">
        <v>0</v>
      </c>
      <c r="AX1556">
        <v>0</v>
      </c>
      <c r="AY1556">
        <v>210</v>
      </c>
      <c r="BC1556" t="str">
        <f t="shared" si="275"/>
        <v>9791137602113</v>
      </c>
      <c r="BE1556" t="str">
        <f t="shared" si="273"/>
        <v>판타지 웹소설 &gt; 현대 판타지</v>
      </c>
    </row>
    <row r="1557" spans="1:57" x14ac:dyDescent="0.3">
      <c r="A1557">
        <v>2313011955</v>
      </c>
      <c r="B1557">
        <v>2313012158</v>
      </c>
      <c r="C1557" t="str">
        <f>T("갓 오브 블랙필드 204화")</f>
        <v>갓 오브 블랙필드 204화</v>
      </c>
      <c r="D1557" t="str">
        <f>T("204")</f>
        <v>204</v>
      </c>
      <c r="E1557" t="str">
        <f t="shared" si="271"/>
        <v>무장</v>
      </c>
      <c r="H1557" t="str">
        <f t="shared" si="272"/>
        <v>스토리위즈</v>
      </c>
      <c r="I1557" t="str">
        <f t="shared" si="274"/>
        <v>갓 오브 블랙필드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300</v>
      </c>
      <c r="AH1557">
        <v>3</v>
      </c>
      <c r="AI1557">
        <v>0</v>
      </c>
      <c r="AJ1557">
        <v>0</v>
      </c>
      <c r="AK1557">
        <v>300</v>
      </c>
      <c r="AL1557">
        <v>0</v>
      </c>
      <c r="AM1557">
        <v>0</v>
      </c>
      <c r="AN1557">
        <v>0</v>
      </c>
      <c r="AO1557">
        <v>0</v>
      </c>
      <c r="AP1557"/>
      <c r="AQ1557">
        <v>0</v>
      </c>
      <c r="AR1557">
        <v>0</v>
      </c>
      <c r="AT1557">
        <v>0</v>
      </c>
      <c r="AU1557">
        <v>0</v>
      </c>
      <c r="AW1557">
        <v>0</v>
      </c>
      <c r="AX1557">
        <v>0</v>
      </c>
      <c r="AY1557">
        <v>210</v>
      </c>
      <c r="BC1557" t="str">
        <f t="shared" si="275"/>
        <v>9791137602113</v>
      </c>
      <c r="BE1557" t="str">
        <f t="shared" si="273"/>
        <v>판타지 웹소설 &gt; 현대 판타지</v>
      </c>
    </row>
    <row r="1558" spans="1:57" x14ac:dyDescent="0.3">
      <c r="A1558">
        <v>2313011955</v>
      </c>
      <c r="B1558">
        <v>2313012159</v>
      </c>
      <c r="C1558" t="str">
        <f>T("갓 오브 블랙필드 205화")</f>
        <v>갓 오브 블랙필드 205화</v>
      </c>
      <c r="D1558" t="str">
        <f>T("205")</f>
        <v>205</v>
      </c>
      <c r="E1558" t="str">
        <f t="shared" si="271"/>
        <v>무장</v>
      </c>
      <c r="H1558" t="str">
        <f t="shared" si="272"/>
        <v>스토리위즈</v>
      </c>
      <c r="I1558" t="str">
        <f t="shared" si="274"/>
        <v>갓 오브 블랙필드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300</v>
      </c>
      <c r="AH1558">
        <v>3</v>
      </c>
      <c r="AI1558">
        <v>0</v>
      </c>
      <c r="AJ1558">
        <v>0</v>
      </c>
      <c r="AK1558">
        <v>300</v>
      </c>
      <c r="AL1558">
        <v>0</v>
      </c>
      <c r="AM1558">
        <v>0</v>
      </c>
      <c r="AN1558">
        <v>0</v>
      </c>
      <c r="AO1558">
        <v>0</v>
      </c>
      <c r="AP1558"/>
      <c r="AQ1558">
        <v>0</v>
      </c>
      <c r="AR1558">
        <v>0</v>
      </c>
      <c r="AT1558">
        <v>0</v>
      </c>
      <c r="AU1558">
        <v>0</v>
      </c>
      <c r="AW1558">
        <v>0</v>
      </c>
      <c r="AX1558">
        <v>0</v>
      </c>
      <c r="AY1558">
        <v>210</v>
      </c>
      <c r="BC1558" t="str">
        <f t="shared" si="275"/>
        <v>9791137602113</v>
      </c>
      <c r="BE1558" t="str">
        <f t="shared" si="273"/>
        <v>판타지 웹소설 &gt; 현대 판타지</v>
      </c>
    </row>
    <row r="1559" spans="1:57" x14ac:dyDescent="0.3">
      <c r="A1559">
        <v>2313011955</v>
      </c>
      <c r="B1559">
        <v>2313012160</v>
      </c>
      <c r="C1559" t="str">
        <f>T("갓 오브 블랙필드 206화")</f>
        <v>갓 오브 블랙필드 206화</v>
      </c>
      <c r="D1559" t="str">
        <f>T("206")</f>
        <v>206</v>
      </c>
      <c r="E1559" t="str">
        <f t="shared" si="271"/>
        <v>무장</v>
      </c>
      <c r="H1559" t="str">
        <f t="shared" si="272"/>
        <v>스토리위즈</v>
      </c>
      <c r="I1559" t="str">
        <f t="shared" si="274"/>
        <v>갓 오브 블랙필드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300</v>
      </c>
      <c r="AH1559">
        <v>3</v>
      </c>
      <c r="AI1559">
        <v>0</v>
      </c>
      <c r="AJ1559">
        <v>0</v>
      </c>
      <c r="AK1559">
        <v>300</v>
      </c>
      <c r="AL1559">
        <v>0</v>
      </c>
      <c r="AM1559">
        <v>0</v>
      </c>
      <c r="AN1559">
        <v>0</v>
      </c>
      <c r="AO1559">
        <v>0</v>
      </c>
      <c r="AP1559"/>
      <c r="AQ1559">
        <v>0</v>
      </c>
      <c r="AR1559">
        <v>0</v>
      </c>
      <c r="AT1559">
        <v>0</v>
      </c>
      <c r="AU1559">
        <v>0</v>
      </c>
      <c r="AW1559">
        <v>0</v>
      </c>
      <c r="AX1559">
        <v>0</v>
      </c>
      <c r="AY1559">
        <v>210</v>
      </c>
      <c r="BC1559" t="str">
        <f t="shared" si="275"/>
        <v>9791137602113</v>
      </c>
      <c r="BE1559" t="str">
        <f t="shared" si="273"/>
        <v>판타지 웹소설 &gt; 현대 판타지</v>
      </c>
    </row>
    <row r="1560" spans="1:57" x14ac:dyDescent="0.3">
      <c r="A1560">
        <v>2313011955</v>
      </c>
      <c r="B1560">
        <v>2313012161</v>
      </c>
      <c r="C1560" t="str">
        <f>T("갓 오브 블랙필드 207화")</f>
        <v>갓 오브 블랙필드 207화</v>
      </c>
      <c r="D1560" t="str">
        <f>T("207")</f>
        <v>207</v>
      </c>
      <c r="E1560" t="str">
        <f t="shared" si="271"/>
        <v>무장</v>
      </c>
      <c r="H1560" t="str">
        <f t="shared" si="272"/>
        <v>스토리위즈</v>
      </c>
      <c r="I1560" t="str">
        <f t="shared" si="274"/>
        <v>갓 오브 블랙필드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300</v>
      </c>
      <c r="AH1560">
        <v>3</v>
      </c>
      <c r="AI1560">
        <v>0</v>
      </c>
      <c r="AJ1560">
        <v>0</v>
      </c>
      <c r="AK1560">
        <v>300</v>
      </c>
      <c r="AL1560">
        <v>0</v>
      </c>
      <c r="AM1560">
        <v>0</v>
      </c>
      <c r="AN1560">
        <v>0</v>
      </c>
      <c r="AO1560">
        <v>0</v>
      </c>
      <c r="AP1560"/>
      <c r="AQ1560">
        <v>0</v>
      </c>
      <c r="AR1560">
        <v>0</v>
      </c>
      <c r="AT1560">
        <v>0</v>
      </c>
      <c r="AU1560">
        <v>0</v>
      </c>
      <c r="AW1560">
        <v>0</v>
      </c>
      <c r="AX1560">
        <v>0</v>
      </c>
      <c r="AY1560">
        <v>210</v>
      </c>
      <c r="BC1560" t="str">
        <f t="shared" si="275"/>
        <v>9791137602113</v>
      </c>
      <c r="BE1560" t="str">
        <f t="shared" si="273"/>
        <v>판타지 웹소설 &gt; 현대 판타지</v>
      </c>
    </row>
    <row r="1561" spans="1:57" x14ac:dyDescent="0.3">
      <c r="A1561">
        <v>2313011955</v>
      </c>
      <c r="B1561">
        <v>2313012162</v>
      </c>
      <c r="C1561" t="str">
        <f>T("갓 오브 블랙필드 208화")</f>
        <v>갓 오브 블랙필드 208화</v>
      </c>
      <c r="D1561" t="str">
        <f>T("208")</f>
        <v>208</v>
      </c>
      <c r="E1561" t="str">
        <f t="shared" si="271"/>
        <v>무장</v>
      </c>
      <c r="H1561" t="str">
        <f t="shared" si="272"/>
        <v>스토리위즈</v>
      </c>
      <c r="I1561" t="str">
        <f t="shared" si="274"/>
        <v>갓 오브 블랙필드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300</v>
      </c>
      <c r="AH1561">
        <v>3</v>
      </c>
      <c r="AI1561">
        <v>0</v>
      </c>
      <c r="AJ1561">
        <v>0</v>
      </c>
      <c r="AK1561">
        <v>300</v>
      </c>
      <c r="AL1561">
        <v>0</v>
      </c>
      <c r="AM1561">
        <v>0</v>
      </c>
      <c r="AN1561">
        <v>0</v>
      </c>
      <c r="AO1561">
        <v>0</v>
      </c>
      <c r="AP1561"/>
      <c r="AQ1561">
        <v>0</v>
      </c>
      <c r="AR1561">
        <v>0</v>
      </c>
      <c r="AT1561">
        <v>0</v>
      </c>
      <c r="AU1561">
        <v>0</v>
      </c>
      <c r="AW1561">
        <v>0</v>
      </c>
      <c r="AX1561">
        <v>0</v>
      </c>
      <c r="AY1561">
        <v>210</v>
      </c>
      <c r="BC1561" t="str">
        <f t="shared" si="275"/>
        <v>9791137602113</v>
      </c>
      <c r="BE1561" t="str">
        <f t="shared" si="273"/>
        <v>판타지 웹소설 &gt; 현대 판타지</v>
      </c>
    </row>
    <row r="1562" spans="1:57" x14ac:dyDescent="0.3">
      <c r="A1562">
        <v>2313011955</v>
      </c>
      <c r="B1562">
        <v>2313012163</v>
      </c>
      <c r="C1562" t="str">
        <f>T("갓 오브 블랙필드 209화")</f>
        <v>갓 오브 블랙필드 209화</v>
      </c>
      <c r="D1562" t="str">
        <f>T("209")</f>
        <v>209</v>
      </c>
      <c r="E1562" t="str">
        <f t="shared" si="271"/>
        <v>무장</v>
      </c>
      <c r="H1562" t="str">
        <f t="shared" si="272"/>
        <v>스토리위즈</v>
      </c>
      <c r="I1562" t="str">
        <f t="shared" si="274"/>
        <v>갓 오브 블랙필드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300</v>
      </c>
      <c r="AL1562">
        <v>0</v>
      </c>
      <c r="AM1562">
        <v>0</v>
      </c>
      <c r="AN1562">
        <v>0</v>
      </c>
      <c r="AO1562">
        <v>0</v>
      </c>
      <c r="AP1562"/>
      <c r="AQ1562">
        <v>0</v>
      </c>
      <c r="AR1562">
        <v>0</v>
      </c>
      <c r="AT1562">
        <v>0</v>
      </c>
      <c r="AU1562">
        <v>0</v>
      </c>
      <c r="AW1562">
        <v>0</v>
      </c>
      <c r="AX1562">
        <v>0</v>
      </c>
      <c r="AY1562">
        <v>210</v>
      </c>
      <c r="BC1562" t="str">
        <f t="shared" si="275"/>
        <v>9791137602113</v>
      </c>
      <c r="BE1562" t="str">
        <f t="shared" si="273"/>
        <v>판타지 웹소설 &gt; 현대 판타지</v>
      </c>
    </row>
    <row r="1563" spans="1:57" x14ac:dyDescent="0.3">
      <c r="A1563">
        <v>2313011955</v>
      </c>
      <c r="B1563">
        <v>2313012165</v>
      </c>
      <c r="C1563" t="str">
        <f>T("갓 오브 블랙필드 211화")</f>
        <v>갓 오브 블랙필드 211화</v>
      </c>
      <c r="D1563" t="str">
        <f>T("211")</f>
        <v>211</v>
      </c>
      <c r="E1563" t="str">
        <f t="shared" si="271"/>
        <v>무장</v>
      </c>
      <c r="H1563" t="str">
        <f t="shared" si="272"/>
        <v>스토리위즈</v>
      </c>
      <c r="I1563" t="str">
        <f t="shared" si="274"/>
        <v>갓 오브 블랙필드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300</v>
      </c>
      <c r="AH1563">
        <v>3</v>
      </c>
      <c r="AI1563">
        <v>0</v>
      </c>
      <c r="AJ1563">
        <v>0</v>
      </c>
      <c r="AK1563">
        <v>300</v>
      </c>
      <c r="AL1563">
        <v>0</v>
      </c>
      <c r="AM1563">
        <v>0</v>
      </c>
      <c r="AN1563">
        <v>0</v>
      </c>
      <c r="AO1563">
        <v>0</v>
      </c>
      <c r="AP1563"/>
      <c r="AQ1563">
        <v>0</v>
      </c>
      <c r="AR1563">
        <v>0</v>
      </c>
      <c r="AT1563">
        <v>0</v>
      </c>
      <c r="AU1563">
        <v>0</v>
      </c>
      <c r="AW1563">
        <v>0</v>
      </c>
      <c r="AX1563">
        <v>0</v>
      </c>
      <c r="AY1563">
        <v>210</v>
      </c>
      <c r="BC1563" t="str">
        <f t="shared" si="275"/>
        <v>9791137602113</v>
      </c>
      <c r="BE1563" t="str">
        <f t="shared" si="273"/>
        <v>판타지 웹소설 &gt; 현대 판타지</v>
      </c>
    </row>
    <row r="1564" spans="1:57" x14ac:dyDescent="0.3">
      <c r="A1564">
        <v>2313011955</v>
      </c>
      <c r="B1564">
        <v>2313012168</v>
      </c>
      <c r="C1564" t="str">
        <f>T("갓 오브 블랙필드 214화")</f>
        <v>갓 오브 블랙필드 214화</v>
      </c>
      <c r="D1564" t="str">
        <f>T("214")</f>
        <v>214</v>
      </c>
      <c r="E1564" t="str">
        <f t="shared" si="271"/>
        <v>무장</v>
      </c>
      <c r="H1564" t="str">
        <f t="shared" si="272"/>
        <v>스토리위즈</v>
      </c>
      <c r="I1564" t="str">
        <f t="shared" si="274"/>
        <v>갓 오브 블랙필드</v>
      </c>
      <c r="J1564">
        <v>100</v>
      </c>
      <c r="K1564">
        <v>300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300</v>
      </c>
      <c r="AH1564">
        <v>3</v>
      </c>
      <c r="AI1564">
        <v>0</v>
      </c>
      <c r="AJ1564">
        <v>0</v>
      </c>
      <c r="AK1564">
        <v>300</v>
      </c>
      <c r="AL1564">
        <v>0</v>
      </c>
      <c r="AM1564">
        <v>0</v>
      </c>
      <c r="AN1564">
        <v>0</v>
      </c>
      <c r="AO1564">
        <v>0</v>
      </c>
      <c r="AP1564"/>
      <c r="AQ1564">
        <v>0</v>
      </c>
      <c r="AR1564">
        <v>0</v>
      </c>
      <c r="AT1564">
        <v>0</v>
      </c>
      <c r="AU1564">
        <v>0</v>
      </c>
      <c r="AW1564">
        <v>0</v>
      </c>
      <c r="AX1564">
        <v>0</v>
      </c>
      <c r="AY1564">
        <v>210</v>
      </c>
      <c r="BC1564" t="str">
        <f t="shared" si="275"/>
        <v>9791137602113</v>
      </c>
      <c r="BE1564" t="str">
        <f t="shared" si="273"/>
        <v>판타지 웹소설 &gt; 현대 판타지</v>
      </c>
    </row>
    <row r="1565" spans="1:57" x14ac:dyDescent="0.3">
      <c r="A1565">
        <v>2313011955</v>
      </c>
      <c r="B1565">
        <v>2313012169</v>
      </c>
      <c r="C1565" t="str">
        <f>T("갓 오브 블랙필드 215화")</f>
        <v>갓 오브 블랙필드 215화</v>
      </c>
      <c r="D1565" t="str">
        <f>T("215")</f>
        <v>215</v>
      </c>
      <c r="E1565" t="str">
        <f t="shared" si="271"/>
        <v>무장</v>
      </c>
      <c r="H1565" t="str">
        <f t="shared" si="272"/>
        <v>스토리위즈</v>
      </c>
      <c r="I1565" t="str">
        <f t="shared" si="274"/>
        <v>갓 오브 블랙필드</v>
      </c>
      <c r="J1565">
        <v>100</v>
      </c>
      <c r="K1565">
        <v>300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300</v>
      </c>
      <c r="AH1565">
        <v>3</v>
      </c>
      <c r="AI1565">
        <v>0</v>
      </c>
      <c r="AJ1565">
        <v>0</v>
      </c>
      <c r="AK1565">
        <v>300</v>
      </c>
      <c r="AL1565">
        <v>0</v>
      </c>
      <c r="AM1565">
        <v>0</v>
      </c>
      <c r="AN1565">
        <v>0</v>
      </c>
      <c r="AO1565">
        <v>0</v>
      </c>
      <c r="AP1565"/>
      <c r="AQ1565">
        <v>0</v>
      </c>
      <c r="AR1565">
        <v>0</v>
      </c>
      <c r="AT1565">
        <v>0</v>
      </c>
      <c r="AU1565">
        <v>0</v>
      </c>
      <c r="AW1565">
        <v>0</v>
      </c>
      <c r="AX1565">
        <v>0</v>
      </c>
      <c r="AY1565">
        <v>210</v>
      </c>
      <c r="BC1565" t="str">
        <f t="shared" si="275"/>
        <v>9791137602113</v>
      </c>
      <c r="BE1565" t="str">
        <f t="shared" si="273"/>
        <v>판타지 웹소설 &gt; 현대 판타지</v>
      </c>
    </row>
    <row r="1566" spans="1:57" x14ac:dyDescent="0.3">
      <c r="A1566">
        <v>2313011955</v>
      </c>
      <c r="B1566">
        <v>2313012172</v>
      </c>
      <c r="C1566" t="str">
        <f>T("갓 오브 블랙필드 218화")</f>
        <v>갓 오브 블랙필드 218화</v>
      </c>
      <c r="D1566" t="str">
        <f>T("218")</f>
        <v>218</v>
      </c>
      <c r="E1566" t="str">
        <f t="shared" si="271"/>
        <v>무장</v>
      </c>
      <c r="H1566" t="str">
        <f t="shared" si="272"/>
        <v>스토리위즈</v>
      </c>
      <c r="I1566" t="str">
        <f t="shared" si="274"/>
        <v>갓 오브 블랙필드</v>
      </c>
      <c r="J1566">
        <v>100</v>
      </c>
      <c r="K1566">
        <v>300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300</v>
      </c>
      <c r="AH1566">
        <v>3</v>
      </c>
      <c r="AI1566">
        <v>0</v>
      </c>
      <c r="AJ1566">
        <v>0</v>
      </c>
      <c r="AK1566">
        <v>300</v>
      </c>
      <c r="AL1566">
        <v>0</v>
      </c>
      <c r="AM1566">
        <v>0</v>
      </c>
      <c r="AN1566">
        <v>0</v>
      </c>
      <c r="AO1566">
        <v>0</v>
      </c>
      <c r="AP1566"/>
      <c r="AQ1566">
        <v>0</v>
      </c>
      <c r="AR1566">
        <v>0</v>
      </c>
      <c r="AT1566">
        <v>0</v>
      </c>
      <c r="AU1566">
        <v>0</v>
      </c>
      <c r="AW1566">
        <v>0</v>
      </c>
      <c r="AX1566">
        <v>0</v>
      </c>
      <c r="AY1566">
        <v>210</v>
      </c>
      <c r="BC1566" t="str">
        <f t="shared" si="275"/>
        <v>9791137602113</v>
      </c>
      <c r="BE1566" t="str">
        <f t="shared" si="273"/>
        <v>판타지 웹소설 &gt; 현대 판타지</v>
      </c>
    </row>
    <row r="1567" spans="1:57" x14ac:dyDescent="0.3">
      <c r="A1567">
        <v>2313011955</v>
      </c>
      <c r="B1567">
        <v>2313012174</v>
      </c>
      <c r="C1567" t="str">
        <f>T("갓 오브 블랙필드 220화")</f>
        <v>갓 오브 블랙필드 220화</v>
      </c>
      <c r="D1567" t="str">
        <f>T("220")</f>
        <v>220</v>
      </c>
      <c r="E1567" t="str">
        <f t="shared" si="271"/>
        <v>무장</v>
      </c>
      <c r="H1567" t="str">
        <f t="shared" si="272"/>
        <v>스토리위즈</v>
      </c>
      <c r="I1567" t="str">
        <f t="shared" si="274"/>
        <v>갓 오브 블랙필드</v>
      </c>
      <c r="J1567">
        <v>100</v>
      </c>
      <c r="K1567">
        <v>300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300</v>
      </c>
      <c r="AH1567">
        <v>3</v>
      </c>
      <c r="AI1567">
        <v>0</v>
      </c>
      <c r="AJ1567">
        <v>0</v>
      </c>
      <c r="AK1567">
        <v>300</v>
      </c>
      <c r="AL1567">
        <v>0</v>
      </c>
      <c r="AM1567">
        <v>0</v>
      </c>
      <c r="AN1567">
        <v>0</v>
      </c>
      <c r="AO1567">
        <v>0</v>
      </c>
      <c r="AP1567"/>
      <c r="AQ1567">
        <v>0</v>
      </c>
      <c r="AR1567">
        <v>0</v>
      </c>
      <c r="AT1567">
        <v>0</v>
      </c>
      <c r="AU1567">
        <v>0</v>
      </c>
      <c r="AW1567">
        <v>0</v>
      </c>
      <c r="AX1567">
        <v>0</v>
      </c>
      <c r="AY1567">
        <v>210</v>
      </c>
      <c r="BC1567" t="str">
        <f t="shared" si="275"/>
        <v>9791137602113</v>
      </c>
      <c r="BE1567" t="str">
        <f t="shared" si="273"/>
        <v>판타지 웹소설 &gt; 현대 판타지</v>
      </c>
    </row>
    <row r="1568" spans="1:57" x14ac:dyDescent="0.3">
      <c r="A1568">
        <v>2313011955</v>
      </c>
      <c r="B1568">
        <v>2313012180</v>
      </c>
      <c r="C1568" t="str">
        <f>T("갓 오브 블랙필드 226화")</f>
        <v>갓 오브 블랙필드 226화</v>
      </c>
      <c r="D1568" t="str">
        <f>T("226")</f>
        <v>226</v>
      </c>
      <c r="E1568" t="str">
        <f t="shared" si="271"/>
        <v>무장</v>
      </c>
      <c r="H1568" t="str">
        <f t="shared" si="272"/>
        <v>스토리위즈</v>
      </c>
      <c r="I1568" t="str">
        <f t="shared" si="274"/>
        <v>갓 오브 블랙필드</v>
      </c>
      <c r="J1568">
        <v>100</v>
      </c>
      <c r="K1568">
        <v>300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300</v>
      </c>
      <c r="AH1568">
        <v>3</v>
      </c>
      <c r="AI1568">
        <v>0</v>
      </c>
      <c r="AJ1568">
        <v>0</v>
      </c>
      <c r="AK1568">
        <v>300</v>
      </c>
      <c r="AL1568">
        <v>0</v>
      </c>
      <c r="AM1568">
        <v>0</v>
      </c>
      <c r="AN1568">
        <v>0</v>
      </c>
      <c r="AO1568">
        <v>0</v>
      </c>
      <c r="AP1568"/>
      <c r="AQ1568">
        <v>0</v>
      </c>
      <c r="AR1568">
        <v>0</v>
      </c>
      <c r="AT1568">
        <v>0</v>
      </c>
      <c r="AU1568">
        <v>0</v>
      </c>
      <c r="AW1568">
        <v>0</v>
      </c>
      <c r="AX1568">
        <v>0</v>
      </c>
      <c r="AY1568">
        <v>210</v>
      </c>
      <c r="BC1568" t="str">
        <f t="shared" si="275"/>
        <v>9791137602113</v>
      </c>
      <c r="BE1568" t="str">
        <f t="shared" si="273"/>
        <v>판타지 웹소설 &gt; 현대 판타지</v>
      </c>
    </row>
    <row r="1569" spans="1:58" x14ac:dyDescent="0.3">
      <c r="A1569">
        <v>2313011955</v>
      </c>
      <c r="B1569">
        <v>2313012182</v>
      </c>
      <c r="C1569" t="str">
        <f>T("갓 오브 블랙필드 228화")</f>
        <v>갓 오브 블랙필드 228화</v>
      </c>
      <c r="D1569" t="str">
        <f>T("228")</f>
        <v>228</v>
      </c>
      <c r="E1569" t="str">
        <f t="shared" si="271"/>
        <v>무장</v>
      </c>
      <c r="H1569" t="str">
        <f t="shared" si="272"/>
        <v>스토리위즈</v>
      </c>
      <c r="I1569" t="str">
        <f t="shared" si="274"/>
        <v>갓 오브 블랙필드</v>
      </c>
      <c r="J1569">
        <v>100</v>
      </c>
      <c r="K1569">
        <v>300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300</v>
      </c>
      <c r="AH1569">
        <v>3</v>
      </c>
      <c r="AI1569">
        <v>0</v>
      </c>
      <c r="AJ1569">
        <v>0</v>
      </c>
      <c r="AK1569">
        <v>300</v>
      </c>
      <c r="AL1569">
        <v>0</v>
      </c>
      <c r="AM1569">
        <v>0</v>
      </c>
      <c r="AN1569">
        <v>0</v>
      </c>
      <c r="AO1569">
        <v>0</v>
      </c>
      <c r="AP1569"/>
      <c r="AQ1569">
        <v>0</v>
      </c>
      <c r="AR1569">
        <v>0</v>
      </c>
      <c r="AT1569">
        <v>0</v>
      </c>
      <c r="AU1569">
        <v>0</v>
      </c>
      <c r="AW1569">
        <v>0</v>
      </c>
      <c r="AX1569">
        <v>0</v>
      </c>
      <c r="AY1569">
        <v>210</v>
      </c>
      <c r="BC1569" t="str">
        <f t="shared" si="275"/>
        <v>9791137602113</v>
      </c>
      <c r="BE1569" t="str">
        <f t="shared" si="273"/>
        <v>판타지 웹소설 &gt; 현대 판타지</v>
      </c>
    </row>
    <row r="1570" spans="1:58" x14ac:dyDescent="0.3">
      <c r="A1570">
        <v>2313011955</v>
      </c>
      <c r="B1570">
        <v>2313012698</v>
      </c>
      <c r="C1570" t="str">
        <f>T("갓 오브 블랙필드 2부 1화")</f>
        <v>갓 오브 블랙필드 2부 1화</v>
      </c>
      <c r="D1570" t="str">
        <f>T("482")</f>
        <v>482</v>
      </c>
      <c r="E1570" t="str">
        <f t="shared" si="271"/>
        <v>무장</v>
      </c>
      <c r="H1570" t="str">
        <f t="shared" si="272"/>
        <v>스토리위즈</v>
      </c>
      <c r="I1570" t="str">
        <f t="shared" si="274"/>
        <v>갓 오브 블랙필드</v>
      </c>
      <c r="J1570">
        <v>100</v>
      </c>
      <c r="K1570">
        <v>300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300</v>
      </c>
      <c r="AH1570">
        <v>3</v>
      </c>
      <c r="AI1570">
        <v>0</v>
      </c>
      <c r="AJ1570">
        <v>0</v>
      </c>
      <c r="AK1570">
        <v>200</v>
      </c>
      <c r="AL1570">
        <v>0</v>
      </c>
      <c r="AM1570">
        <v>120</v>
      </c>
      <c r="AN1570">
        <v>-36</v>
      </c>
      <c r="AO1570">
        <v>0</v>
      </c>
      <c r="AP1570"/>
      <c r="AQ1570">
        <v>0</v>
      </c>
      <c r="AR1570">
        <v>0</v>
      </c>
      <c r="AS1570">
        <v>120</v>
      </c>
      <c r="AT1570">
        <v>-36</v>
      </c>
      <c r="AU1570">
        <v>0</v>
      </c>
      <c r="AW1570">
        <v>0</v>
      </c>
      <c r="AX1570">
        <v>0</v>
      </c>
      <c r="AY1570">
        <v>198.8</v>
      </c>
      <c r="BC1570" t="str">
        <f t="shared" si="275"/>
        <v>9791137602113</v>
      </c>
      <c r="BE1570" t="str">
        <f t="shared" si="273"/>
        <v>판타지 웹소설 &gt; 현대 판타지</v>
      </c>
    </row>
    <row r="1571" spans="1:58" x14ac:dyDescent="0.3">
      <c r="A1571">
        <v>2313012849</v>
      </c>
      <c r="B1571">
        <v>2313012874</v>
      </c>
      <c r="C1571" t="str">
        <f>T("디버프 마스터 26화")</f>
        <v>디버프 마스터 26화</v>
      </c>
      <c r="D1571" t="str">
        <f>T("26")</f>
        <v>26</v>
      </c>
      <c r="E1571" t="str">
        <f>T("담화공")</f>
        <v>담화공</v>
      </c>
      <c r="H1571" t="str">
        <f t="shared" si="272"/>
        <v>스토리위즈</v>
      </c>
      <c r="I1571" t="str">
        <f>T("디버프 마스터")</f>
        <v>디버프 마스터</v>
      </c>
      <c r="J1571">
        <v>100</v>
      </c>
      <c r="K1571">
        <v>300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300</v>
      </c>
      <c r="AH1571">
        <v>3</v>
      </c>
      <c r="AI1571">
        <v>0</v>
      </c>
      <c r="AJ1571">
        <v>0</v>
      </c>
      <c r="AK1571">
        <v>200</v>
      </c>
      <c r="AL1571">
        <v>0</v>
      </c>
      <c r="AM1571">
        <v>120</v>
      </c>
      <c r="AN1571">
        <v>-12</v>
      </c>
      <c r="AO1571">
        <v>0</v>
      </c>
      <c r="AP1571"/>
      <c r="AQ1571">
        <v>0</v>
      </c>
      <c r="AR1571">
        <v>0</v>
      </c>
      <c r="AS1571">
        <v>120</v>
      </c>
      <c r="AT1571">
        <v>-12</v>
      </c>
      <c r="AU1571">
        <v>0</v>
      </c>
      <c r="AW1571">
        <v>0</v>
      </c>
      <c r="AX1571">
        <v>0</v>
      </c>
      <c r="AY1571">
        <v>215.6</v>
      </c>
      <c r="BC1571" t="str">
        <f>T("9791137602663")</f>
        <v>9791137602663</v>
      </c>
      <c r="BE1571" t="str">
        <f>T("판타지 웹소설 &gt; 퓨전 판타지")</f>
        <v>판타지 웹소설 &gt; 퓨전 판타지</v>
      </c>
    </row>
    <row r="1572" spans="1:58" x14ac:dyDescent="0.3">
      <c r="A1572">
        <v>2313016994</v>
      </c>
      <c r="B1572">
        <v>2313016943</v>
      </c>
      <c r="C1572" t="str">
        <f>T("[e북]숨결을 삼키다 (외전)")</f>
        <v>[e북]숨결을 삼키다 (외전)</v>
      </c>
      <c r="D1572" t="str">
        <f>T("2")</f>
        <v>2</v>
      </c>
      <c r="E1572" t="str">
        <f>T("문스톤")</f>
        <v>문스톤</v>
      </c>
      <c r="H1572" t="str">
        <f t="shared" ref="H1572:H1579" si="276">T("도서출판 태랑")</f>
        <v>도서출판 태랑</v>
      </c>
      <c r="I1572" t="str">
        <f>T("[e북]숨결을 삼키다 (외전증보판)")</f>
        <v>[e북]숨결을 삼키다 (외전증보판)</v>
      </c>
      <c r="J1572">
        <v>300</v>
      </c>
      <c r="K1572">
        <v>300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300</v>
      </c>
      <c r="AH1572">
        <v>1</v>
      </c>
      <c r="AI1572">
        <v>0</v>
      </c>
      <c r="AJ1572">
        <v>0</v>
      </c>
      <c r="AK1572">
        <v>300</v>
      </c>
      <c r="AL1572">
        <v>0</v>
      </c>
      <c r="AM1572">
        <v>0</v>
      </c>
      <c r="AN1572">
        <v>0</v>
      </c>
      <c r="AO1572">
        <v>0</v>
      </c>
      <c r="AP1572"/>
      <c r="AQ1572">
        <v>0</v>
      </c>
      <c r="AR1572">
        <v>0</v>
      </c>
      <c r="AT1572">
        <v>0</v>
      </c>
      <c r="AU1572">
        <v>0</v>
      </c>
      <c r="AW1572">
        <v>0</v>
      </c>
      <c r="AX1572">
        <v>0</v>
      </c>
      <c r="AY1572">
        <v>210</v>
      </c>
      <c r="BC1572" t="str">
        <f>T("9791164372911")</f>
        <v>9791164372911</v>
      </c>
      <c r="BE1572" t="str">
        <f>T("로맨스 e북 &gt; 현대물")</f>
        <v>로맨스 e북 &gt; 현대물</v>
      </c>
      <c r="BF1572" t="str">
        <f>T("로맨스 e북 &gt; 19+")</f>
        <v>로맨스 e북 &gt; 19+</v>
      </c>
    </row>
    <row r="1573" spans="1:58" x14ac:dyDescent="0.3">
      <c r="A1573">
        <v>2313016967</v>
      </c>
      <c r="B1573">
        <v>2313016964</v>
      </c>
      <c r="C1573" t="str">
        <f>T("[e북]바랑둥이 내 남자 (외전증보판) (외전)")</f>
        <v>[e북]바랑둥이 내 남자 (외전증보판) (외전)</v>
      </c>
      <c r="D1573" t="str">
        <f>T("4")</f>
        <v>4</v>
      </c>
      <c r="E1573" t="str">
        <f>T("밈스")</f>
        <v>밈스</v>
      </c>
      <c r="H1573" t="str">
        <f t="shared" si="276"/>
        <v>도서출판 태랑</v>
      </c>
      <c r="I1573" t="str">
        <f>T("[e북]바랑둥이 내 남자 (외전증보판)")</f>
        <v>[e북]바랑둥이 내 남자 (외전증보판)</v>
      </c>
      <c r="J1573">
        <v>300</v>
      </c>
      <c r="K1573">
        <v>300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300</v>
      </c>
      <c r="AH1573">
        <v>1</v>
      </c>
      <c r="AI1573">
        <v>0</v>
      </c>
      <c r="AJ1573">
        <v>0</v>
      </c>
      <c r="AK1573">
        <v>284</v>
      </c>
      <c r="AL1573">
        <v>0</v>
      </c>
      <c r="AM1573">
        <v>19.2</v>
      </c>
      <c r="AN1573">
        <v>-1.92</v>
      </c>
      <c r="AO1573">
        <v>0</v>
      </c>
      <c r="AP1573"/>
      <c r="AQ1573">
        <v>0</v>
      </c>
      <c r="AR1573">
        <v>0</v>
      </c>
      <c r="AS1573">
        <v>19.2</v>
      </c>
      <c r="AT1573">
        <v>-1.92</v>
      </c>
      <c r="AU1573">
        <v>0</v>
      </c>
      <c r="AW1573">
        <v>0</v>
      </c>
      <c r="AX1573">
        <v>0</v>
      </c>
      <c r="AY1573">
        <v>210.9</v>
      </c>
      <c r="BC1573" t="str">
        <f>T("9791164372546")</f>
        <v>9791164372546</v>
      </c>
      <c r="BE1573" t="str">
        <f>T("로맨스 e북 &gt; 현대물")</f>
        <v>로맨스 e북 &gt; 현대물</v>
      </c>
      <c r="BF1573" t="str">
        <f>T("로맨스 e북 &gt; 19+")</f>
        <v>로맨스 e북 &gt; 19+</v>
      </c>
    </row>
    <row r="1574" spans="1:58" x14ac:dyDescent="0.3">
      <c r="A1574">
        <v>2313016986</v>
      </c>
      <c r="B1574">
        <v>2313016984</v>
      </c>
      <c r="C1574" t="str">
        <f>T("[e북]욕망에 눈뜨다 (외전증보 삽화본) (외전)")</f>
        <v>[e북]욕망에 눈뜨다 (외전증보 삽화본) (외전)</v>
      </c>
      <c r="D1574" t="str">
        <f>T("3")</f>
        <v>3</v>
      </c>
      <c r="E1574" t="str">
        <f>T("셔틀")</f>
        <v>셔틀</v>
      </c>
      <c r="H1574" t="str">
        <f t="shared" si="276"/>
        <v>도서출판 태랑</v>
      </c>
      <c r="I1574" t="str">
        <f>T("[e북]욕망에 눈뜨다 (외전증보 삽화본)")</f>
        <v>[e북]욕망에 눈뜨다 (외전증보 삽화본)</v>
      </c>
      <c r="J1574">
        <v>300</v>
      </c>
      <c r="K1574">
        <v>300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300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360</v>
      </c>
      <c r="AN1574">
        <v>-36</v>
      </c>
      <c r="AO1574">
        <v>0</v>
      </c>
      <c r="AP1574"/>
      <c r="AQ1574">
        <v>0</v>
      </c>
      <c r="AR1574">
        <v>0</v>
      </c>
      <c r="AS1574">
        <v>360</v>
      </c>
      <c r="AT1574">
        <v>-36</v>
      </c>
      <c r="AU1574">
        <v>0</v>
      </c>
      <c r="AW1574">
        <v>0</v>
      </c>
      <c r="AX1574">
        <v>0</v>
      </c>
      <c r="AY1574">
        <v>226.8</v>
      </c>
      <c r="BC1574" t="str">
        <f>T("9791164372188")</f>
        <v>9791164372188</v>
      </c>
      <c r="BE1574" t="str">
        <f>T("로맨스 e북 &gt; 현대물")</f>
        <v>로맨스 e북 &gt; 현대물</v>
      </c>
      <c r="BF1574" t="str">
        <f>T("로맨스 e북 &gt; 19+")</f>
        <v>로맨스 e북 &gt; 19+</v>
      </c>
    </row>
    <row r="1575" spans="1:58" x14ac:dyDescent="0.3">
      <c r="A1575">
        <v>2313017019</v>
      </c>
      <c r="B1575">
        <v>2313017017</v>
      </c>
      <c r="C1575" t="str">
        <f>T("[e북]심장이 뛰면 (외전증보판) (외전)")</f>
        <v>[e북]심장이 뛰면 (외전증보판) (외전)</v>
      </c>
      <c r="D1575" t="str">
        <f>T("3")</f>
        <v>3</v>
      </c>
      <c r="E1575" t="str">
        <f>T("Yulia")</f>
        <v>Yulia</v>
      </c>
      <c r="H1575" t="str">
        <f t="shared" si="276"/>
        <v>도서출판 태랑</v>
      </c>
      <c r="I1575" t="str">
        <f>T("[e북]심장이 뛰면 (외전증보판)")</f>
        <v>[e북]심장이 뛰면 (외전증보판)</v>
      </c>
      <c r="J1575">
        <v>300</v>
      </c>
      <c r="K1575">
        <v>300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300</v>
      </c>
      <c r="AH1575">
        <v>1</v>
      </c>
      <c r="AI1575">
        <v>0</v>
      </c>
      <c r="AJ1575">
        <v>0</v>
      </c>
      <c r="AK1575">
        <v>300</v>
      </c>
      <c r="AL1575">
        <v>0</v>
      </c>
      <c r="AM1575">
        <v>0</v>
      </c>
      <c r="AN1575">
        <v>0</v>
      </c>
      <c r="AO1575">
        <v>0</v>
      </c>
      <c r="AP1575"/>
      <c r="AQ1575">
        <v>0</v>
      </c>
      <c r="AR1575">
        <v>0</v>
      </c>
      <c r="AT1575">
        <v>0</v>
      </c>
      <c r="AU1575">
        <v>0</v>
      </c>
      <c r="AW1575">
        <v>0</v>
      </c>
      <c r="AX1575">
        <v>0</v>
      </c>
      <c r="AY1575">
        <v>210</v>
      </c>
      <c r="BC1575" t="str">
        <f>T("9791164371402")</f>
        <v>9791164371402</v>
      </c>
      <c r="BE1575" t="str">
        <f>T("로맨스 e북 &gt; 현대물")</f>
        <v>로맨스 e북 &gt; 현대물</v>
      </c>
      <c r="BF1575" t="str">
        <f>T("로맨스 e북 &gt; 19+")</f>
        <v>로맨스 e북 &gt; 19+</v>
      </c>
    </row>
    <row r="1576" spans="1:58" x14ac:dyDescent="0.3">
      <c r="A1576">
        <v>2313017063</v>
      </c>
      <c r="B1576">
        <v>2313017030</v>
      </c>
      <c r="C1576" t="str">
        <f>T("[e북]충동적인 결혼 (외전)")</f>
        <v>[e북]충동적인 결혼 (외전)</v>
      </c>
      <c r="D1576" t="str">
        <f>T("2")</f>
        <v>2</v>
      </c>
      <c r="E1576" t="str">
        <f>T("차홍주")</f>
        <v>차홍주</v>
      </c>
      <c r="H1576" t="str">
        <f t="shared" si="276"/>
        <v>도서출판 태랑</v>
      </c>
      <c r="I1576" t="str">
        <f>T("[e북]충동적인 결혼")</f>
        <v>[e북]충동적인 결혼</v>
      </c>
      <c r="J1576">
        <v>300</v>
      </c>
      <c r="K1576">
        <v>300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</v>
      </c>
      <c r="AH1576">
        <v>1</v>
      </c>
      <c r="AI1576">
        <v>0</v>
      </c>
      <c r="AJ1576">
        <v>0</v>
      </c>
      <c r="AK1576">
        <v>300</v>
      </c>
      <c r="AL1576">
        <v>0</v>
      </c>
      <c r="AM1576">
        <v>0</v>
      </c>
      <c r="AN1576">
        <v>0</v>
      </c>
      <c r="AO1576">
        <v>0</v>
      </c>
      <c r="AP1576"/>
      <c r="AQ1576">
        <v>0</v>
      </c>
      <c r="AR1576">
        <v>0</v>
      </c>
      <c r="AT1576">
        <v>0</v>
      </c>
      <c r="AU1576">
        <v>0</v>
      </c>
      <c r="AW1576">
        <v>0</v>
      </c>
      <c r="AX1576">
        <v>0</v>
      </c>
      <c r="AY1576">
        <v>210</v>
      </c>
      <c r="BC1576" t="str">
        <f>T("9791164371198")</f>
        <v>9791164371198</v>
      </c>
      <c r="BE1576" t="str">
        <f>T("로맨스 e북 &gt; 현대물")</f>
        <v>로맨스 e북 &gt; 현대물</v>
      </c>
      <c r="BF1576" t="str">
        <f>T("로맨스 e북 &gt; 19+")</f>
        <v>로맨스 e북 &gt; 19+</v>
      </c>
    </row>
    <row r="1577" spans="1:58" x14ac:dyDescent="0.3">
      <c r="A1577">
        <v>2313017070</v>
      </c>
      <c r="B1577">
        <v>2313017036</v>
      </c>
      <c r="C1577" t="str">
        <f>T("[e북]아이 컨택 (외전)")</f>
        <v>[e북]아이 컨택 (외전)</v>
      </c>
      <c r="D1577" t="str">
        <f>T("3")</f>
        <v>3</v>
      </c>
      <c r="E1577" t="str">
        <f>T("모리미")</f>
        <v>모리미</v>
      </c>
      <c r="H1577" t="str">
        <f t="shared" si="276"/>
        <v>도서출판 태랑</v>
      </c>
      <c r="I1577" t="str">
        <f>T("[e북]아이 컨택")</f>
        <v>[e북]아이 컨택</v>
      </c>
      <c r="J1577">
        <v>300</v>
      </c>
      <c r="K1577">
        <v>300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300</v>
      </c>
      <c r="AH1577">
        <v>1</v>
      </c>
      <c r="AI1577">
        <v>0</v>
      </c>
      <c r="AJ1577">
        <v>0</v>
      </c>
      <c r="AK1577">
        <v>300</v>
      </c>
      <c r="AL1577">
        <v>0</v>
      </c>
      <c r="AM1577">
        <v>0</v>
      </c>
      <c r="AN1577">
        <v>0</v>
      </c>
      <c r="AO1577">
        <v>0</v>
      </c>
      <c r="AP1577"/>
      <c r="AQ1577">
        <v>0</v>
      </c>
      <c r="AR1577">
        <v>0</v>
      </c>
      <c r="AT1577">
        <v>0</v>
      </c>
      <c r="AU1577">
        <v>0</v>
      </c>
      <c r="AW1577">
        <v>0</v>
      </c>
      <c r="AX1577">
        <v>0</v>
      </c>
      <c r="AY1577">
        <v>210</v>
      </c>
      <c r="BC1577" t="str">
        <f>T("9791164371020")</f>
        <v>9791164371020</v>
      </c>
      <c r="BE1577" t="str">
        <f>T("BL 소설 e북 &gt; 현대물")</f>
        <v>BL 소설 e북 &gt; 현대물</v>
      </c>
    </row>
    <row r="1578" spans="1:58" x14ac:dyDescent="0.3">
      <c r="A1578">
        <v>2313017152</v>
      </c>
      <c r="B1578">
        <v>2313017134</v>
      </c>
      <c r="C1578" t="str">
        <f>T("[e북]위층 아이 아빠 (외전)")</f>
        <v>[e북]위층 아이 아빠 (외전)</v>
      </c>
      <c r="D1578" t="str">
        <f>T("3")</f>
        <v>3</v>
      </c>
      <c r="E1578" t="str">
        <f>T("주이서")</f>
        <v>주이서</v>
      </c>
      <c r="H1578" t="str">
        <f t="shared" si="276"/>
        <v>도서출판 태랑</v>
      </c>
      <c r="I1578" t="str">
        <f>T("[e북]위층 아이 아빠")</f>
        <v>[e북]위층 아이 아빠</v>
      </c>
      <c r="J1578">
        <v>300</v>
      </c>
      <c r="K1578">
        <v>300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300</v>
      </c>
      <c r="AH1578">
        <v>1</v>
      </c>
      <c r="AI1578">
        <v>0</v>
      </c>
      <c r="AJ1578">
        <v>0</v>
      </c>
      <c r="AK1578">
        <v>300</v>
      </c>
      <c r="AL1578">
        <v>0</v>
      </c>
      <c r="AM1578">
        <v>0</v>
      </c>
      <c r="AN1578">
        <v>0</v>
      </c>
      <c r="AO1578">
        <v>0</v>
      </c>
      <c r="AP1578"/>
      <c r="AQ1578">
        <v>0</v>
      </c>
      <c r="AR1578">
        <v>0</v>
      </c>
      <c r="AT1578">
        <v>0</v>
      </c>
      <c r="AU1578">
        <v>0</v>
      </c>
      <c r="AW1578">
        <v>0</v>
      </c>
      <c r="AX1578">
        <v>0</v>
      </c>
      <c r="AY1578">
        <v>210</v>
      </c>
      <c r="BC1578" t="str">
        <f>T("9791189084721")</f>
        <v>9791189084721</v>
      </c>
      <c r="BE1578" t="str">
        <f>T("BL 소설 e북 &gt; 현대물")</f>
        <v>BL 소설 e북 &gt; 현대물</v>
      </c>
    </row>
    <row r="1579" spans="1:58" x14ac:dyDescent="0.3">
      <c r="A1579">
        <v>2313017155</v>
      </c>
      <c r="B1579">
        <v>2313017135</v>
      </c>
      <c r="C1579" t="str">
        <f>T("[e북]상호보완적 삼각관계 (외전)")</f>
        <v>[e북]상호보완적 삼각관계 (외전)</v>
      </c>
      <c r="D1579" t="str">
        <f>T("2")</f>
        <v>2</v>
      </c>
      <c r="E1579" t="str">
        <f>T("세어")</f>
        <v>세어</v>
      </c>
      <c r="H1579" t="str">
        <f t="shared" si="276"/>
        <v>도서출판 태랑</v>
      </c>
      <c r="I1579" t="str">
        <f>T("[e북]상호보완적 삼각관계")</f>
        <v>[e북]상호보완적 삼각관계</v>
      </c>
      <c r="J1579">
        <v>300</v>
      </c>
      <c r="K1579">
        <v>300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300</v>
      </c>
      <c r="AH1579">
        <v>1</v>
      </c>
      <c r="AI1579">
        <v>0</v>
      </c>
      <c r="AJ1579">
        <v>0</v>
      </c>
      <c r="AK1579">
        <v>300</v>
      </c>
      <c r="AL1579">
        <v>0</v>
      </c>
      <c r="AM1579">
        <v>0</v>
      </c>
      <c r="AN1579">
        <v>0</v>
      </c>
      <c r="AO1579">
        <v>0</v>
      </c>
      <c r="AP1579"/>
      <c r="AQ1579">
        <v>0</v>
      </c>
      <c r="AR1579">
        <v>0</v>
      </c>
      <c r="AT1579">
        <v>0</v>
      </c>
      <c r="AU1579">
        <v>0</v>
      </c>
      <c r="AW1579">
        <v>0</v>
      </c>
      <c r="AX1579">
        <v>0</v>
      </c>
      <c r="AY1579">
        <v>210</v>
      </c>
      <c r="BC1579" t="str">
        <f>T("9791189084639")</f>
        <v>9791189084639</v>
      </c>
      <c r="BE1579" t="str">
        <f>T("BL 소설 e북 &gt; 현대물")</f>
        <v>BL 소설 e북 &gt; 현대물</v>
      </c>
    </row>
    <row r="1580" spans="1:58" x14ac:dyDescent="0.3">
      <c r="A1580">
        <v>2313017163</v>
      </c>
      <c r="B1580">
        <v>2313017169</v>
      </c>
      <c r="C1580" t="str">
        <f>T("친절하기는 얼어 죽을 6화")</f>
        <v>친절하기는 얼어 죽을 6화</v>
      </c>
      <c r="D1580" t="str">
        <f>T("7")</f>
        <v>7</v>
      </c>
      <c r="E1580" t="str">
        <f t="shared" ref="E1580:E1621" si="277">T("솜목화")</f>
        <v>솜목화</v>
      </c>
      <c r="H1580" t="str">
        <f t="shared" ref="H1580:H1621" si="278">T("블레슈(Blesshuu)")</f>
        <v>블레슈(Blesshuu)</v>
      </c>
      <c r="I1580" t="str">
        <f t="shared" ref="I1580:I1621" si="279">T("친절하기는 얼어 죽을")</f>
        <v>친절하기는 얼어 죽을</v>
      </c>
      <c r="J1580">
        <v>100</v>
      </c>
      <c r="K1580">
        <v>300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300</v>
      </c>
      <c r="AH1580">
        <v>3</v>
      </c>
      <c r="AI1580">
        <v>0</v>
      </c>
      <c r="AJ1580">
        <v>0</v>
      </c>
      <c r="AK1580">
        <v>200</v>
      </c>
      <c r="AL1580">
        <v>0</v>
      </c>
      <c r="AM1580">
        <v>120</v>
      </c>
      <c r="AN1580">
        <v>-12</v>
      </c>
      <c r="AO1580">
        <v>0</v>
      </c>
      <c r="AP1580"/>
      <c r="AQ1580">
        <v>0</v>
      </c>
      <c r="AR1580">
        <v>0</v>
      </c>
      <c r="AS1580">
        <v>120</v>
      </c>
      <c r="AT1580">
        <v>-12</v>
      </c>
      <c r="AU1580">
        <v>0</v>
      </c>
      <c r="AW1580">
        <v>0</v>
      </c>
      <c r="AX1580">
        <v>0</v>
      </c>
      <c r="AY1580">
        <v>184.8</v>
      </c>
      <c r="BA1580" t="str">
        <f t="shared" ref="BA1580:BA1621" si="280">T("0000000000000")</f>
        <v>0000000000000</v>
      </c>
      <c r="BC1580" t="str">
        <f t="shared" ref="BC1580:BC1621" si="281">T("9791137604131")</f>
        <v>9791137604131</v>
      </c>
      <c r="BE1580" t="str">
        <f t="shared" ref="BE1580:BE1621" si="282">T("로맨스 웹소설 &gt; 현대물")</f>
        <v>로맨스 웹소설 &gt; 현대물</v>
      </c>
    </row>
    <row r="1581" spans="1:58" x14ac:dyDescent="0.3">
      <c r="A1581">
        <v>2313017163</v>
      </c>
      <c r="B1581">
        <v>2313017177</v>
      </c>
      <c r="C1581" t="str">
        <f>T("친절하기는 얼어 죽을 14화")</f>
        <v>친절하기는 얼어 죽을 14화</v>
      </c>
      <c r="D1581" t="str">
        <f>T("15")</f>
        <v>15</v>
      </c>
      <c r="E1581" t="str">
        <f t="shared" si="277"/>
        <v>솜목화</v>
      </c>
      <c r="H1581" t="str">
        <f t="shared" si="278"/>
        <v>블레슈(Blesshuu)</v>
      </c>
      <c r="I1581" t="str">
        <f t="shared" si="279"/>
        <v>친절하기는 얼어 죽을</v>
      </c>
      <c r="J1581">
        <v>100</v>
      </c>
      <c r="K1581">
        <v>300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300</v>
      </c>
      <c r="AH1581">
        <v>3</v>
      </c>
      <c r="AI1581">
        <v>0</v>
      </c>
      <c r="AJ1581">
        <v>0</v>
      </c>
      <c r="AK1581">
        <v>300</v>
      </c>
      <c r="AL1581">
        <v>0</v>
      </c>
      <c r="AM1581">
        <v>0</v>
      </c>
      <c r="AN1581">
        <v>0</v>
      </c>
      <c r="AO1581">
        <v>0</v>
      </c>
      <c r="AP1581"/>
      <c r="AQ1581">
        <v>0</v>
      </c>
      <c r="AR1581">
        <v>0</v>
      </c>
      <c r="AT1581">
        <v>0</v>
      </c>
      <c r="AU1581">
        <v>0</v>
      </c>
      <c r="AW1581">
        <v>0</v>
      </c>
      <c r="AX1581">
        <v>0</v>
      </c>
      <c r="AY1581">
        <v>180</v>
      </c>
      <c r="BA1581" t="str">
        <f t="shared" si="280"/>
        <v>0000000000000</v>
      </c>
      <c r="BC1581" t="str">
        <f t="shared" si="281"/>
        <v>9791137604131</v>
      </c>
      <c r="BE1581" t="str">
        <f t="shared" si="282"/>
        <v>로맨스 웹소설 &gt; 현대물</v>
      </c>
    </row>
    <row r="1582" spans="1:58" x14ac:dyDescent="0.3">
      <c r="A1582">
        <v>2313017163</v>
      </c>
      <c r="B1582">
        <v>2313017178</v>
      </c>
      <c r="C1582" t="str">
        <f>T("친절하기는 얼어 죽을 15화")</f>
        <v>친절하기는 얼어 죽을 15화</v>
      </c>
      <c r="D1582" t="str">
        <f>T("16")</f>
        <v>16</v>
      </c>
      <c r="E1582" t="str">
        <f t="shared" si="277"/>
        <v>솜목화</v>
      </c>
      <c r="H1582" t="str">
        <f t="shared" si="278"/>
        <v>블레슈(Blesshuu)</v>
      </c>
      <c r="I1582" t="str">
        <f t="shared" si="279"/>
        <v>친절하기는 얼어 죽을</v>
      </c>
      <c r="J1582">
        <v>100</v>
      </c>
      <c r="K1582">
        <v>300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300</v>
      </c>
      <c r="AH1582">
        <v>3</v>
      </c>
      <c r="AI1582">
        <v>0</v>
      </c>
      <c r="AJ1582">
        <v>0</v>
      </c>
      <c r="AK1582">
        <v>300</v>
      </c>
      <c r="AL1582">
        <v>0</v>
      </c>
      <c r="AM1582">
        <v>0</v>
      </c>
      <c r="AN1582">
        <v>0</v>
      </c>
      <c r="AO1582">
        <v>0</v>
      </c>
      <c r="AP1582"/>
      <c r="AQ1582">
        <v>0</v>
      </c>
      <c r="AR1582">
        <v>0</v>
      </c>
      <c r="AT1582">
        <v>0</v>
      </c>
      <c r="AU1582">
        <v>0</v>
      </c>
      <c r="AW1582">
        <v>0</v>
      </c>
      <c r="AX1582">
        <v>0</v>
      </c>
      <c r="AY1582">
        <v>180</v>
      </c>
      <c r="BA1582" t="str">
        <f t="shared" si="280"/>
        <v>0000000000000</v>
      </c>
      <c r="BC1582" t="str">
        <f t="shared" si="281"/>
        <v>9791137604131</v>
      </c>
      <c r="BE1582" t="str">
        <f t="shared" si="282"/>
        <v>로맨스 웹소설 &gt; 현대물</v>
      </c>
    </row>
    <row r="1583" spans="1:58" x14ac:dyDescent="0.3">
      <c r="A1583">
        <v>2313017163</v>
      </c>
      <c r="B1583">
        <v>2313017179</v>
      </c>
      <c r="C1583" t="str">
        <f>T("친절하기는 얼어 죽을 16화")</f>
        <v>친절하기는 얼어 죽을 16화</v>
      </c>
      <c r="D1583" t="str">
        <f>T("17")</f>
        <v>17</v>
      </c>
      <c r="E1583" t="str">
        <f t="shared" si="277"/>
        <v>솜목화</v>
      </c>
      <c r="H1583" t="str">
        <f t="shared" si="278"/>
        <v>블레슈(Blesshuu)</v>
      </c>
      <c r="I1583" t="str">
        <f t="shared" si="279"/>
        <v>친절하기는 얼어 죽을</v>
      </c>
      <c r="J1583">
        <v>100</v>
      </c>
      <c r="K1583">
        <v>300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300</v>
      </c>
      <c r="AH1583">
        <v>3</v>
      </c>
      <c r="AI1583">
        <v>0</v>
      </c>
      <c r="AJ1583">
        <v>0</v>
      </c>
      <c r="AK1583">
        <v>300</v>
      </c>
      <c r="AL1583">
        <v>0</v>
      </c>
      <c r="AM1583">
        <v>0</v>
      </c>
      <c r="AN1583">
        <v>0</v>
      </c>
      <c r="AO1583">
        <v>0</v>
      </c>
      <c r="AP1583"/>
      <c r="AQ1583">
        <v>0</v>
      </c>
      <c r="AR1583">
        <v>0</v>
      </c>
      <c r="AT1583">
        <v>0</v>
      </c>
      <c r="AU1583">
        <v>0</v>
      </c>
      <c r="AW1583">
        <v>0</v>
      </c>
      <c r="AX1583">
        <v>0</v>
      </c>
      <c r="AY1583">
        <v>180</v>
      </c>
      <c r="BA1583" t="str">
        <f t="shared" si="280"/>
        <v>0000000000000</v>
      </c>
      <c r="BC1583" t="str">
        <f t="shared" si="281"/>
        <v>9791137604131</v>
      </c>
      <c r="BE1583" t="str">
        <f t="shared" si="282"/>
        <v>로맨스 웹소설 &gt; 현대물</v>
      </c>
    </row>
    <row r="1584" spans="1:58" x14ac:dyDescent="0.3">
      <c r="A1584">
        <v>2313017163</v>
      </c>
      <c r="B1584">
        <v>2313017180</v>
      </c>
      <c r="C1584" t="str">
        <f>T("친절하기는 얼어 죽을 17화")</f>
        <v>친절하기는 얼어 죽을 17화</v>
      </c>
      <c r="D1584" t="str">
        <f>T("18")</f>
        <v>18</v>
      </c>
      <c r="E1584" t="str">
        <f t="shared" si="277"/>
        <v>솜목화</v>
      </c>
      <c r="H1584" t="str">
        <f t="shared" si="278"/>
        <v>블레슈(Blesshuu)</v>
      </c>
      <c r="I1584" t="str">
        <f t="shared" si="279"/>
        <v>친절하기는 얼어 죽을</v>
      </c>
      <c r="J1584">
        <v>100</v>
      </c>
      <c r="K1584">
        <v>300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300</v>
      </c>
      <c r="AH1584">
        <v>3</v>
      </c>
      <c r="AI1584">
        <v>0</v>
      </c>
      <c r="AJ1584">
        <v>0</v>
      </c>
      <c r="AK1584">
        <v>300</v>
      </c>
      <c r="AL1584">
        <v>0</v>
      </c>
      <c r="AM1584">
        <v>0</v>
      </c>
      <c r="AN1584">
        <v>0</v>
      </c>
      <c r="AO1584">
        <v>0</v>
      </c>
      <c r="AP1584"/>
      <c r="AQ1584">
        <v>0</v>
      </c>
      <c r="AR1584">
        <v>0</v>
      </c>
      <c r="AT1584">
        <v>0</v>
      </c>
      <c r="AU1584">
        <v>0</v>
      </c>
      <c r="AW1584">
        <v>0</v>
      </c>
      <c r="AX1584">
        <v>0</v>
      </c>
      <c r="AY1584">
        <v>180</v>
      </c>
      <c r="BA1584" t="str">
        <f t="shared" si="280"/>
        <v>0000000000000</v>
      </c>
      <c r="BC1584" t="str">
        <f t="shared" si="281"/>
        <v>9791137604131</v>
      </c>
      <c r="BE1584" t="str">
        <f t="shared" si="282"/>
        <v>로맨스 웹소설 &gt; 현대물</v>
      </c>
    </row>
    <row r="1585" spans="1:57" x14ac:dyDescent="0.3">
      <c r="A1585">
        <v>2313017163</v>
      </c>
      <c r="B1585">
        <v>2313017181</v>
      </c>
      <c r="C1585" t="str">
        <f>T("친절하기는 얼어 죽을 18화")</f>
        <v>친절하기는 얼어 죽을 18화</v>
      </c>
      <c r="D1585" t="str">
        <f>T("19")</f>
        <v>19</v>
      </c>
      <c r="E1585" t="str">
        <f t="shared" si="277"/>
        <v>솜목화</v>
      </c>
      <c r="H1585" t="str">
        <f t="shared" si="278"/>
        <v>블레슈(Blesshuu)</v>
      </c>
      <c r="I1585" t="str">
        <f t="shared" si="279"/>
        <v>친절하기는 얼어 죽을</v>
      </c>
      <c r="J1585">
        <v>100</v>
      </c>
      <c r="K1585">
        <v>300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300</v>
      </c>
      <c r="AH1585">
        <v>3</v>
      </c>
      <c r="AI1585">
        <v>0</v>
      </c>
      <c r="AJ1585">
        <v>0</v>
      </c>
      <c r="AK1585">
        <v>300</v>
      </c>
      <c r="AL1585">
        <v>0</v>
      </c>
      <c r="AM1585">
        <v>0</v>
      </c>
      <c r="AN1585">
        <v>0</v>
      </c>
      <c r="AO1585">
        <v>0</v>
      </c>
      <c r="AP1585"/>
      <c r="AQ1585">
        <v>0</v>
      </c>
      <c r="AR1585">
        <v>0</v>
      </c>
      <c r="AT1585">
        <v>0</v>
      </c>
      <c r="AU1585">
        <v>0</v>
      </c>
      <c r="AW1585">
        <v>0</v>
      </c>
      <c r="AX1585">
        <v>0</v>
      </c>
      <c r="AY1585">
        <v>180</v>
      </c>
      <c r="BA1585" t="str">
        <f t="shared" si="280"/>
        <v>0000000000000</v>
      </c>
      <c r="BC1585" t="str">
        <f t="shared" si="281"/>
        <v>9791137604131</v>
      </c>
      <c r="BE1585" t="str">
        <f t="shared" si="282"/>
        <v>로맨스 웹소설 &gt; 현대물</v>
      </c>
    </row>
    <row r="1586" spans="1:57" x14ac:dyDescent="0.3">
      <c r="A1586">
        <v>2313017163</v>
      </c>
      <c r="B1586">
        <v>2313017182</v>
      </c>
      <c r="C1586" t="str">
        <f>T("친절하기는 얼어 죽을 19화")</f>
        <v>친절하기는 얼어 죽을 19화</v>
      </c>
      <c r="D1586" t="str">
        <f>T("20")</f>
        <v>20</v>
      </c>
      <c r="E1586" t="str">
        <f t="shared" si="277"/>
        <v>솜목화</v>
      </c>
      <c r="H1586" t="str">
        <f t="shared" si="278"/>
        <v>블레슈(Blesshuu)</v>
      </c>
      <c r="I1586" t="str">
        <f t="shared" si="279"/>
        <v>친절하기는 얼어 죽을</v>
      </c>
      <c r="J1586">
        <v>100</v>
      </c>
      <c r="K1586">
        <v>300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300</v>
      </c>
      <c r="AH1586">
        <v>3</v>
      </c>
      <c r="AI1586">
        <v>0</v>
      </c>
      <c r="AJ1586">
        <v>0</v>
      </c>
      <c r="AK1586">
        <v>300</v>
      </c>
      <c r="AL1586">
        <v>0</v>
      </c>
      <c r="AM1586">
        <v>0</v>
      </c>
      <c r="AN1586">
        <v>0</v>
      </c>
      <c r="AO1586">
        <v>0</v>
      </c>
      <c r="AP1586"/>
      <c r="AQ1586">
        <v>0</v>
      </c>
      <c r="AR1586">
        <v>0</v>
      </c>
      <c r="AT1586">
        <v>0</v>
      </c>
      <c r="AU1586">
        <v>0</v>
      </c>
      <c r="AW1586">
        <v>0</v>
      </c>
      <c r="AX1586">
        <v>0</v>
      </c>
      <c r="AY1586">
        <v>180</v>
      </c>
      <c r="BA1586" t="str">
        <f t="shared" si="280"/>
        <v>0000000000000</v>
      </c>
      <c r="BC1586" t="str">
        <f t="shared" si="281"/>
        <v>9791137604131</v>
      </c>
      <c r="BE1586" t="str">
        <f t="shared" si="282"/>
        <v>로맨스 웹소설 &gt; 현대물</v>
      </c>
    </row>
    <row r="1587" spans="1:57" x14ac:dyDescent="0.3">
      <c r="A1587">
        <v>2313017163</v>
      </c>
      <c r="B1587">
        <v>2313017183</v>
      </c>
      <c r="C1587" t="str">
        <f>T("친절하기는 얼어 죽을 20화")</f>
        <v>친절하기는 얼어 죽을 20화</v>
      </c>
      <c r="D1587" t="str">
        <f>T("21")</f>
        <v>21</v>
      </c>
      <c r="E1587" t="str">
        <f t="shared" si="277"/>
        <v>솜목화</v>
      </c>
      <c r="H1587" t="str">
        <f t="shared" si="278"/>
        <v>블레슈(Blesshuu)</v>
      </c>
      <c r="I1587" t="str">
        <f t="shared" si="279"/>
        <v>친절하기는 얼어 죽을</v>
      </c>
      <c r="J1587">
        <v>100</v>
      </c>
      <c r="K1587">
        <v>300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300</v>
      </c>
      <c r="AH1587">
        <v>3</v>
      </c>
      <c r="AI1587">
        <v>0</v>
      </c>
      <c r="AJ1587">
        <v>0</v>
      </c>
      <c r="AK1587">
        <v>300</v>
      </c>
      <c r="AL1587">
        <v>0</v>
      </c>
      <c r="AM1587">
        <v>0</v>
      </c>
      <c r="AN1587">
        <v>0</v>
      </c>
      <c r="AO1587">
        <v>0</v>
      </c>
      <c r="AP1587"/>
      <c r="AQ1587">
        <v>0</v>
      </c>
      <c r="AR1587">
        <v>0</v>
      </c>
      <c r="AT1587">
        <v>0</v>
      </c>
      <c r="AU1587">
        <v>0</v>
      </c>
      <c r="AW1587">
        <v>0</v>
      </c>
      <c r="AX1587">
        <v>0</v>
      </c>
      <c r="AY1587">
        <v>180</v>
      </c>
      <c r="BA1587" t="str">
        <f t="shared" si="280"/>
        <v>0000000000000</v>
      </c>
      <c r="BC1587" t="str">
        <f t="shared" si="281"/>
        <v>9791137604131</v>
      </c>
      <c r="BE1587" t="str">
        <f t="shared" si="282"/>
        <v>로맨스 웹소설 &gt; 현대물</v>
      </c>
    </row>
    <row r="1588" spans="1:57" x14ac:dyDescent="0.3">
      <c r="A1588">
        <v>2313017163</v>
      </c>
      <c r="B1588">
        <v>2313017184</v>
      </c>
      <c r="C1588" t="str">
        <f>T("친절하기는 얼어 죽을 21화")</f>
        <v>친절하기는 얼어 죽을 21화</v>
      </c>
      <c r="D1588" t="str">
        <f>T("22")</f>
        <v>22</v>
      </c>
      <c r="E1588" t="str">
        <f t="shared" si="277"/>
        <v>솜목화</v>
      </c>
      <c r="H1588" t="str">
        <f t="shared" si="278"/>
        <v>블레슈(Blesshuu)</v>
      </c>
      <c r="I1588" t="str">
        <f t="shared" si="279"/>
        <v>친절하기는 얼어 죽을</v>
      </c>
      <c r="J1588">
        <v>100</v>
      </c>
      <c r="K1588">
        <v>300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300</v>
      </c>
      <c r="AH1588">
        <v>3</v>
      </c>
      <c r="AI1588">
        <v>0</v>
      </c>
      <c r="AJ1588">
        <v>0</v>
      </c>
      <c r="AK1588">
        <v>300</v>
      </c>
      <c r="AL1588">
        <v>0</v>
      </c>
      <c r="AM1588">
        <v>0</v>
      </c>
      <c r="AN1588">
        <v>0</v>
      </c>
      <c r="AO1588">
        <v>0</v>
      </c>
      <c r="AP1588"/>
      <c r="AQ1588">
        <v>0</v>
      </c>
      <c r="AR1588">
        <v>0</v>
      </c>
      <c r="AT1588">
        <v>0</v>
      </c>
      <c r="AU1588">
        <v>0</v>
      </c>
      <c r="AW1588">
        <v>0</v>
      </c>
      <c r="AX1588">
        <v>0</v>
      </c>
      <c r="AY1588">
        <v>180</v>
      </c>
      <c r="BA1588" t="str">
        <f t="shared" si="280"/>
        <v>0000000000000</v>
      </c>
      <c r="BC1588" t="str">
        <f t="shared" si="281"/>
        <v>9791137604131</v>
      </c>
      <c r="BE1588" t="str">
        <f t="shared" si="282"/>
        <v>로맨스 웹소설 &gt; 현대물</v>
      </c>
    </row>
    <row r="1589" spans="1:57" x14ac:dyDescent="0.3">
      <c r="A1589">
        <v>2313017163</v>
      </c>
      <c r="B1589">
        <v>2313017189</v>
      </c>
      <c r="C1589" t="str">
        <f>T("친절하기는 얼어 죽을 26화")</f>
        <v>친절하기는 얼어 죽을 26화</v>
      </c>
      <c r="D1589" t="str">
        <f>T("27")</f>
        <v>27</v>
      </c>
      <c r="E1589" t="str">
        <f t="shared" si="277"/>
        <v>솜목화</v>
      </c>
      <c r="H1589" t="str">
        <f t="shared" si="278"/>
        <v>블레슈(Blesshuu)</v>
      </c>
      <c r="I1589" t="str">
        <f t="shared" si="279"/>
        <v>친절하기는 얼어 죽을</v>
      </c>
      <c r="J1589">
        <v>100</v>
      </c>
      <c r="K1589">
        <v>300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300</v>
      </c>
      <c r="AH1589">
        <v>3</v>
      </c>
      <c r="AI1589">
        <v>0</v>
      </c>
      <c r="AJ1589">
        <v>0</v>
      </c>
      <c r="AK1589">
        <v>300</v>
      </c>
      <c r="AL1589">
        <v>0</v>
      </c>
      <c r="AM1589">
        <v>0</v>
      </c>
      <c r="AN1589">
        <v>0</v>
      </c>
      <c r="AO1589">
        <v>0</v>
      </c>
      <c r="AP1589"/>
      <c r="AQ1589">
        <v>0</v>
      </c>
      <c r="AR1589">
        <v>0</v>
      </c>
      <c r="AT1589">
        <v>0</v>
      </c>
      <c r="AU1589">
        <v>0</v>
      </c>
      <c r="AW1589">
        <v>0</v>
      </c>
      <c r="AX1589">
        <v>0</v>
      </c>
      <c r="AY1589">
        <v>180</v>
      </c>
      <c r="BA1589" t="str">
        <f t="shared" si="280"/>
        <v>0000000000000</v>
      </c>
      <c r="BC1589" t="str">
        <f t="shared" si="281"/>
        <v>9791137604131</v>
      </c>
      <c r="BE1589" t="str">
        <f t="shared" si="282"/>
        <v>로맨스 웹소설 &gt; 현대물</v>
      </c>
    </row>
    <row r="1590" spans="1:57" x14ac:dyDescent="0.3">
      <c r="A1590">
        <v>2313017163</v>
      </c>
      <c r="B1590">
        <v>2313017190</v>
      </c>
      <c r="C1590" t="str">
        <f>T("친절하기는 얼어 죽을 27화")</f>
        <v>친절하기는 얼어 죽을 27화</v>
      </c>
      <c r="D1590" t="str">
        <f>T("28")</f>
        <v>28</v>
      </c>
      <c r="E1590" t="str">
        <f t="shared" si="277"/>
        <v>솜목화</v>
      </c>
      <c r="H1590" t="str">
        <f t="shared" si="278"/>
        <v>블레슈(Blesshuu)</v>
      </c>
      <c r="I1590" t="str">
        <f t="shared" si="279"/>
        <v>친절하기는 얼어 죽을</v>
      </c>
      <c r="J1590">
        <v>100</v>
      </c>
      <c r="K1590">
        <v>300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300</v>
      </c>
      <c r="AH1590">
        <v>3</v>
      </c>
      <c r="AI1590">
        <v>0</v>
      </c>
      <c r="AJ1590">
        <v>0</v>
      </c>
      <c r="AK1590">
        <v>300</v>
      </c>
      <c r="AL1590">
        <v>0</v>
      </c>
      <c r="AM1590">
        <v>0</v>
      </c>
      <c r="AN1590">
        <v>0</v>
      </c>
      <c r="AO1590">
        <v>0</v>
      </c>
      <c r="AP1590"/>
      <c r="AQ1590">
        <v>0</v>
      </c>
      <c r="AR1590">
        <v>0</v>
      </c>
      <c r="AT1590">
        <v>0</v>
      </c>
      <c r="AU1590">
        <v>0</v>
      </c>
      <c r="AW1590">
        <v>0</v>
      </c>
      <c r="AX1590">
        <v>0</v>
      </c>
      <c r="AY1590">
        <v>180</v>
      </c>
      <c r="BA1590" t="str">
        <f t="shared" si="280"/>
        <v>0000000000000</v>
      </c>
      <c r="BC1590" t="str">
        <f t="shared" si="281"/>
        <v>9791137604131</v>
      </c>
      <c r="BE1590" t="str">
        <f t="shared" si="282"/>
        <v>로맨스 웹소설 &gt; 현대물</v>
      </c>
    </row>
    <row r="1591" spans="1:57" x14ac:dyDescent="0.3">
      <c r="A1591">
        <v>2313017163</v>
      </c>
      <c r="B1591">
        <v>2313017191</v>
      </c>
      <c r="C1591" t="str">
        <f>T("친절하기는 얼어 죽을 28화")</f>
        <v>친절하기는 얼어 죽을 28화</v>
      </c>
      <c r="D1591" t="str">
        <f>T("29")</f>
        <v>29</v>
      </c>
      <c r="E1591" t="str">
        <f t="shared" si="277"/>
        <v>솜목화</v>
      </c>
      <c r="H1591" t="str">
        <f t="shared" si="278"/>
        <v>블레슈(Blesshuu)</v>
      </c>
      <c r="I1591" t="str">
        <f t="shared" si="279"/>
        <v>친절하기는 얼어 죽을</v>
      </c>
      <c r="J1591">
        <v>100</v>
      </c>
      <c r="K1591">
        <v>300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300</v>
      </c>
      <c r="AH1591">
        <v>3</v>
      </c>
      <c r="AI1591">
        <v>0</v>
      </c>
      <c r="AJ1591">
        <v>0</v>
      </c>
      <c r="AK1591">
        <v>300</v>
      </c>
      <c r="AL1591">
        <v>0</v>
      </c>
      <c r="AM1591">
        <v>0</v>
      </c>
      <c r="AN1591">
        <v>0</v>
      </c>
      <c r="AO1591">
        <v>0</v>
      </c>
      <c r="AP1591"/>
      <c r="AQ1591">
        <v>0</v>
      </c>
      <c r="AR1591">
        <v>0</v>
      </c>
      <c r="AT1591">
        <v>0</v>
      </c>
      <c r="AU1591">
        <v>0</v>
      </c>
      <c r="AW1591">
        <v>0</v>
      </c>
      <c r="AX1591">
        <v>0</v>
      </c>
      <c r="AY1591">
        <v>180</v>
      </c>
      <c r="BA1591" t="str">
        <f t="shared" si="280"/>
        <v>0000000000000</v>
      </c>
      <c r="BC1591" t="str">
        <f t="shared" si="281"/>
        <v>9791137604131</v>
      </c>
      <c r="BE1591" t="str">
        <f t="shared" si="282"/>
        <v>로맨스 웹소설 &gt; 현대물</v>
      </c>
    </row>
    <row r="1592" spans="1:57" x14ac:dyDescent="0.3">
      <c r="A1592">
        <v>2313017163</v>
      </c>
      <c r="B1592">
        <v>2313017192</v>
      </c>
      <c r="C1592" t="str">
        <f>T("친절하기는 얼어 죽을 29화")</f>
        <v>친절하기는 얼어 죽을 29화</v>
      </c>
      <c r="D1592" t="str">
        <f>T("30")</f>
        <v>30</v>
      </c>
      <c r="E1592" t="str">
        <f t="shared" si="277"/>
        <v>솜목화</v>
      </c>
      <c r="H1592" t="str">
        <f t="shared" si="278"/>
        <v>블레슈(Blesshuu)</v>
      </c>
      <c r="I1592" t="str">
        <f t="shared" si="279"/>
        <v>친절하기는 얼어 죽을</v>
      </c>
      <c r="J1592">
        <v>100</v>
      </c>
      <c r="K1592">
        <v>300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300</v>
      </c>
      <c r="AH1592">
        <v>3</v>
      </c>
      <c r="AI1592">
        <v>0</v>
      </c>
      <c r="AJ1592">
        <v>0</v>
      </c>
      <c r="AK1592">
        <v>300</v>
      </c>
      <c r="AL1592">
        <v>0</v>
      </c>
      <c r="AM1592">
        <v>0</v>
      </c>
      <c r="AN1592">
        <v>0</v>
      </c>
      <c r="AO1592">
        <v>0</v>
      </c>
      <c r="AP1592"/>
      <c r="AQ1592">
        <v>0</v>
      </c>
      <c r="AR1592">
        <v>0</v>
      </c>
      <c r="AT1592">
        <v>0</v>
      </c>
      <c r="AU1592">
        <v>0</v>
      </c>
      <c r="AW1592">
        <v>0</v>
      </c>
      <c r="AX1592">
        <v>0</v>
      </c>
      <c r="AY1592">
        <v>180</v>
      </c>
      <c r="BA1592" t="str">
        <f t="shared" si="280"/>
        <v>0000000000000</v>
      </c>
      <c r="BC1592" t="str">
        <f t="shared" si="281"/>
        <v>9791137604131</v>
      </c>
      <c r="BE1592" t="str">
        <f t="shared" si="282"/>
        <v>로맨스 웹소설 &gt; 현대물</v>
      </c>
    </row>
    <row r="1593" spans="1:57" x14ac:dyDescent="0.3">
      <c r="A1593">
        <v>2313017163</v>
      </c>
      <c r="B1593">
        <v>2313017193</v>
      </c>
      <c r="C1593" t="str">
        <f>T("친절하기는 얼어 죽을 30화")</f>
        <v>친절하기는 얼어 죽을 30화</v>
      </c>
      <c r="D1593" t="str">
        <f>T("31")</f>
        <v>31</v>
      </c>
      <c r="E1593" t="str">
        <f t="shared" si="277"/>
        <v>솜목화</v>
      </c>
      <c r="H1593" t="str">
        <f t="shared" si="278"/>
        <v>블레슈(Blesshuu)</v>
      </c>
      <c r="I1593" t="str">
        <f t="shared" si="279"/>
        <v>친절하기는 얼어 죽을</v>
      </c>
      <c r="J1593">
        <v>100</v>
      </c>
      <c r="K1593">
        <v>300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300</v>
      </c>
      <c r="AH1593">
        <v>3</v>
      </c>
      <c r="AI1593">
        <v>0</v>
      </c>
      <c r="AJ1593">
        <v>0</v>
      </c>
      <c r="AK1593">
        <v>300</v>
      </c>
      <c r="AL1593">
        <v>0</v>
      </c>
      <c r="AM1593">
        <v>0</v>
      </c>
      <c r="AN1593">
        <v>0</v>
      </c>
      <c r="AO1593">
        <v>0</v>
      </c>
      <c r="AP1593"/>
      <c r="AQ1593">
        <v>0</v>
      </c>
      <c r="AR1593">
        <v>0</v>
      </c>
      <c r="AT1593">
        <v>0</v>
      </c>
      <c r="AU1593">
        <v>0</v>
      </c>
      <c r="AW1593">
        <v>0</v>
      </c>
      <c r="AX1593">
        <v>0</v>
      </c>
      <c r="AY1593">
        <v>180</v>
      </c>
      <c r="BA1593" t="str">
        <f t="shared" si="280"/>
        <v>0000000000000</v>
      </c>
      <c r="BC1593" t="str">
        <f t="shared" si="281"/>
        <v>9791137604131</v>
      </c>
      <c r="BE1593" t="str">
        <f t="shared" si="282"/>
        <v>로맨스 웹소설 &gt; 현대물</v>
      </c>
    </row>
    <row r="1594" spans="1:57" x14ac:dyDescent="0.3">
      <c r="A1594">
        <v>2313017163</v>
      </c>
      <c r="B1594">
        <v>2313017195</v>
      </c>
      <c r="C1594" t="str">
        <f>T("친절하기는 얼어 죽을 32화")</f>
        <v>친절하기는 얼어 죽을 32화</v>
      </c>
      <c r="D1594" t="str">
        <f>T("33")</f>
        <v>33</v>
      </c>
      <c r="E1594" t="str">
        <f t="shared" si="277"/>
        <v>솜목화</v>
      </c>
      <c r="H1594" t="str">
        <f t="shared" si="278"/>
        <v>블레슈(Blesshuu)</v>
      </c>
      <c r="I1594" t="str">
        <f t="shared" si="279"/>
        <v>친절하기는 얼어 죽을</v>
      </c>
      <c r="J1594">
        <v>100</v>
      </c>
      <c r="K1594">
        <v>300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300</v>
      </c>
      <c r="AH1594">
        <v>3</v>
      </c>
      <c r="AI1594">
        <v>0</v>
      </c>
      <c r="AJ1594">
        <v>0</v>
      </c>
      <c r="AK1594">
        <v>300</v>
      </c>
      <c r="AL1594">
        <v>0</v>
      </c>
      <c r="AM1594">
        <v>0</v>
      </c>
      <c r="AN1594">
        <v>0</v>
      </c>
      <c r="AO1594">
        <v>0</v>
      </c>
      <c r="AP1594"/>
      <c r="AQ1594">
        <v>0</v>
      </c>
      <c r="AR1594">
        <v>0</v>
      </c>
      <c r="AT1594">
        <v>0</v>
      </c>
      <c r="AU1594">
        <v>0</v>
      </c>
      <c r="AW1594">
        <v>0</v>
      </c>
      <c r="AX1594">
        <v>0</v>
      </c>
      <c r="AY1594">
        <v>180</v>
      </c>
      <c r="BA1594" t="str">
        <f t="shared" si="280"/>
        <v>0000000000000</v>
      </c>
      <c r="BC1594" t="str">
        <f t="shared" si="281"/>
        <v>9791137604131</v>
      </c>
      <c r="BE1594" t="str">
        <f t="shared" si="282"/>
        <v>로맨스 웹소설 &gt; 현대물</v>
      </c>
    </row>
    <row r="1595" spans="1:57" x14ac:dyDescent="0.3">
      <c r="A1595">
        <v>2313017163</v>
      </c>
      <c r="B1595">
        <v>2313017196</v>
      </c>
      <c r="C1595" t="str">
        <f>T("친절하기는 얼어 죽을 33화")</f>
        <v>친절하기는 얼어 죽을 33화</v>
      </c>
      <c r="D1595" t="str">
        <f>T("34")</f>
        <v>34</v>
      </c>
      <c r="E1595" t="str">
        <f t="shared" si="277"/>
        <v>솜목화</v>
      </c>
      <c r="H1595" t="str">
        <f t="shared" si="278"/>
        <v>블레슈(Blesshuu)</v>
      </c>
      <c r="I1595" t="str">
        <f t="shared" si="279"/>
        <v>친절하기는 얼어 죽을</v>
      </c>
      <c r="J1595">
        <v>100</v>
      </c>
      <c r="K1595">
        <v>300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300</v>
      </c>
      <c r="AH1595">
        <v>3</v>
      </c>
      <c r="AI1595">
        <v>0</v>
      </c>
      <c r="AJ1595">
        <v>0</v>
      </c>
      <c r="AK1595">
        <v>300</v>
      </c>
      <c r="AL1595">
        <v>0</v>
      </c>
      <c r="AM1595">
        <v>0</v>
      </c>
      <c r="AN1595">
        <v>0</v>
      </c>
      <c r="AO1595">
        <v>0</v>
      </c>
      <c r="AP1595"/>
      <c r="AQ1595">
        <v>0</v>
      </c>
      <c r="AR1595">
        <v>0</v>
      </c>
      <c r="AT1595">
        <v>0</v>
      </c>
      <c r="AU1595">
        <v>0</v>
      </c>
      <c r="AW1595">
        <v>0</v>
      </c>
      <c r="AX1595">
        <v>0</v>
      </c>
      <c r="AY1595">
        <v>180</v>
      </c>
      <c r="BA1595" t="str">
        <f t="shared" si="280"/>
        <v>0000000000000</v>
      </c>
      <c r="BC1595" t="str">
        <f t="shared" si="281"/>
        <v>9791137604131</v>
      </c>
      <c r="BE1595" t="str">
        <f t="shared" si="282"/>
        <v>로맨스 웹소설 &gt; 현대물</v>
      </c>
    </row>
    <row r="1596" spans="1:57" x14ac:dyDescent="0.3">
      <c r="A1596">
        <v>2313017163</v>
      </c>
      <c r="B1596">
        <v>2313017197</v>
      </c>
      <c r="C1596" t="str">
        <f>T("친절하기는 얼어 죽을 34화")</f>
        <v>친절하기는 얼어 죽을 34화</v>
      </c>
      <c r="D1596" t="str">
        <f>T("35")</f>
        <v>35</v>
      </c>
      <c r="E1596" t="str">
        <f t="shared" si="277"/>
        <v>솜목화</v>
      </c>
      <c r="H1596" t="str">
        <f t="shared" si="278"/>
        <v>블레슈(Blesshuu)</v>
      </c>
      <c r="I1596" t="str">
        <f t="shared" si="279"/>
        <v>친절하기는 얼어 죽을</v>
      </c>
      <c r="J1596">
        <v>100</v>
      </c>
      <c r="K1596">
        <v>300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300</v>
      </c>
      <c r="AH1596">
        <v>3</v>
      </c>
      <c r="AI1596">
        <v>0</v>
      </c>
      <c r="AJ1596">
        <v>0</v>
      </c>
      <c r="AK1596">
        <v>300</v>
      </c>
      <c r="AL1596">
        <v>0</v>
      </c>
      <c r="AM1596">
        <v>0</v>
      </c>
      <c r="AN1596">
        <v>0</v>
      </c>
      <c r="AO1596">
        <v>0</v>
      </c>
      <c r="AP1596"/>
      <c r="AQ1596">
        <v>0</v>
      </c>
      <c r="AR1596">
        <v>0</v>
      </c>
      <c r="AT1596">
        <v>0</v>
      </c>
      <c r="AU1596">
        <v>0</v>
      </c>
      <c r="AW1596">
        <v>0</v>
      </c>
      <c r="AX1596">
        <v>0</v>
      </c>
      <c r="AY1596">
        <v>180</v>
      </c>
      <c r="BA1596" t="str">
        <f t="shared" si="280"/>
        <v>0000000000000</v>
      </c>
      <c r="BC1596" t="str">
        <f t="shared" si="281"/>
        <v>9791137604131</v>
      </c>
      <c r="BE1596" t="str">
        <f t="shared" si="282"/>
        <v>로맨스 웹소설 &gt; 현대물</v>
      </c>
    </row>
    <row r="1597" spans="1:57" x14ac:dyDescent="0.3">
      <c r="A1597">
        <v>2313017163</v>
      </c>
      <c r="B1597">
        <v>2313017198</v>
      </c>
      <c r="C1597" t="str">
        <f>T("친절하기는 얼어 죽을 35화")</f>
        <v>친절하기는 얼어 죽을 35화</v>
      </c>
      <c r="D1597" t="str">
        <f>T("36")</f>
        <v>36</v>
      </c>
      <c r="E1597" t="str">
        <f t="shared" si="277"/>
        <v>솜목화</v>
      </c>
      <c r="H1597" t="str">
        <f t="shared" si="278"/>
        <v>블레슈(Blesshuu)</v>
      </c>
      <c r="I1597" t="str">
        <f t="shared" si="279"/>
        <v>친절하기는 얼어 죽을</v>
      </c>
      <c r="J1597">
        <v>100</v>
      </c>
      <c r="K1597">
        <v>300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300</v>
      </c>
      <c r="AH1597">
        <v>3</v>
      </c>
      <c r="AI1597">
        <v>0</v>
      </c>
      <c r="AJ1597">
        <v>0</v>
      </c>
      <c r="AK1597">
        <v>200</v>
      </c>
      <c r="AL1597">
        <v>0</v>
      </c>
      <c r="AM1597">
        <v>120</v>
      </c>
      <c r="AN1597">
        <v>-12</v>
      </c>
      <c r="AO1597">
        <v>0</v>
      </c>
      <c r="AP1597"/>
      <c r="AQ1597">
        <v>0</v>
      </c>
      <c r="AR1597">
        <v>0</v>
      </c>
      <c r="AS1597">
        <v>120</v>
      </c>
      <c r="AT1597">
        <v>-12</v>
      </c>
      <c r="AU1597">
        <v>0</v>
      </c>
      <c r="AW1597">
        <v>0</v>
      </c>
      <c r="AX1597">
        <v>0</v>
      </c>
      <c r="AY1597">
        <v>184.8</v>
      </c>
      <c r="BA1597" t="str">
        <f t="shared" si="280"/>
        <v>0000000000000</v>
      </c>
      <c r="BC1597" t="str">
        <f t="shared" si="281"/>
        <v>9791137604131</v>
      </c>
      <c r="BE1597" t="str">
        <f t="shared" si="282"/>
        <v>로맨스 웹소설 &gt; 현대물</v>
      </c>
    </row>
    <row r="1598" spans="1:57" x14ac:dyDescent="0.3">
      <c r="A1598">
        <v>2313017163</v>
      </c>
      <c r="B1598">
        <v>2313017199</v>
      </c>
      <c r="C1598" t="str">
        <f>T("친절하기는 얼어 죽을 36화")</f>
        <v>친절하기는 얼어 죽을 36화</v>
      </c>
      <c r="D1598" t="str">
        <f>T("37")</f>
        <v>37</v>
      </c>
      <c r="E1598" t="str">
        <f t="shared" si="277"/>
        <v>솜목화</v>
      </c>
      <c r="H1598" t="str">
        <f t="shared" si="278"/>
        <v>블레슈(Blesshuu)</v>
      </c>
      <c r="I1598" t="str">
        <f t="shared" si="279"/>
        <v>친절하기는 얼어 죽을</v>
      </c>
      <c r="J1598">
        <v>100</v>
      </c>
      <c r="K1598">
        <v>300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300</v>
      </c>
      <c r="AH1598">
        <v>3</v>
      </c>
      <c r="AI1598">
        <v>0</v>
      </c>
      <c r="AJ1598">
        <v>0</v>
      </c>
      <c r="AK1598">
        <v>200</v>
      </c>
      <c r="AL1598">
        <v>0</v>
      </c>
      <c r="AM1598">
        <v>120</v>
      </c>
      <c r="AN1598">
        <v>-12</v>
      </c>
      <c r="AO1598">
        <v>0</v>
      </c>
      <c r="AP1598"/>
      <c r="AQ1598">
        <v>0</v>
      </c>
      <c r="AR1598">
        <v>0</v>
      </c>
      <c r="AS1598">
        <v>120</v>
      </c>
      <c r="AT1598">
        <v>-12</v>
      </c>
      <c r="AU1598">
        <v>0</v>
      </c>
      <c r="AW1598">
        <v>0</v>
      </c>
      <c r="AX1598">
        <v>0</v>
      </c>
      <c r="AY1598">
        <v>184.8</v>
      </c>
      <c r="BA1598" t="str">
        <f t="shared" si="280"/>
        <v>0000000000000</v>
      </c>
      <c r="BC1598" t="str">
        <f t="shared" si="281"/>
        <v>9791137604131</v>
      </c>
      <c r="BE1598" t="str">
        <f t="shared" si="282"/>
        <v>로맨스 웹소설 &gt; 현대물</v>
      </c>
    </row>
    <row r="1599" spans="1:57" x14ac:dyDescent="0.3">
      <c r="A1599">
        <v>2313017163</v>
      </c>
      <c r="B1599">
        <v>2313017200</v>
      </c>
      <c r="C1599" t="str">
        <f>T("친절하기는 얼어 죽을 37화")</f>
        <v>친절하기는 얼어 죽을 37화</v>
      </c>
      <c r="D1599" t="str">
        <f>T("38")</f>
        <v>38</v>
      </c>
      <c r="E1599" t="str">
        <f t="shared" si="277"/>
        <v>솜목화</v>
      </c>
      <c r="H1599" t="str">
        <f t="shared" si="278"/>
        <v>블레슈(Blesshuu)</v>
      </c>
      <c r="I1599" t="str">
        <f t="shared" si="279"/>
        <v>친절하기는 얼어 죽을</v>
      </c>
      <c r="J1599">
        <v>100</v>
      </c>
      <c r="K1599">
        <v>300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300</v>
      </c>
      <c r="AH1599">
        <v>3</v>
      </c>
      <c r="AI1599">
        <v>0</v>
      </c>
      <c r="AJ1599">
        <v>0</v>
      </c>
      <c r="AK1599">
        <v>200</v>
      </c>
      <c r="AL1599">
        <v>0</v>
      </c>
      <c r="AM1599">
        <v>120</v>
      </c>
      <c r="AN1599">
        <v>-12</v>
      </c>
      <c r="AO1599">
        <v>0</v>
      </c>
      <c r="AP1599"/>
      <c r="AQ1599">
        <v>0</v>
      </c>
      <c r="AR1599">
        <v>0</v>
      </c>
      <c r="AS1599">
        <v>120</v>
      </c>
      <c r="AT1599">
        <v>-12</v>
      </c>
      <c r="AU1599">
        <v>0</v>
      </c>
      <c r="AW1599">
        <v>0</v>
      </c>
      <c r="AX1599">
        <v>0</v>
      </c>
      <c r="AY1599">
        <v>184.8</v>
      </c>
      <c r="BA1599" t="str">
        <f t="shared" si="280"/>
        <v>0000000000000</v>
      </c>
      <c r="BC1599" t="str">
        <f t="shared" si="281"/>
        <v>9791137604131</v>
      </c>
      <c r="BE1599" t="str">
        <f t="shared" si="282"/>
        <v>로맨스 웹소설 &gt; 현대물</v>
      </c>
    </row>
    <row r="1600" spans="1:57" x14ac:dyDescent="0.3">
      <c r="A1600">
        <v>2313017163</v>
      </c>
      <c r="B1600">
        <v>2313017201</v>
      </c>
      <c r="C1600" t="str">
        <f>T("친절하기는 얼어 죽을 38화")</f>
        <v>친절하기는 얼어 죽을 38화</v>
      </c>
      <c r="D1600" t="str">
        <f>T("39")</f>
        <v>39</v>
      </c>
      <c r="E1600" t="str">
        <f t="shared" si="277"/>
        <v>솜목화</v>
      </c>
      <c r="H1600" t="str">
        <f t="shared" si="278"/>
        <v>블레슈(Blesshuu)</v>
      </c>
      <c r="I1600" t="str">
        <f t="shared" si="279"/>
        <v>친절하기는 얼어 죽을</v>
      </c>
      <c r="J1600">
        <v>100</v>
      </c>
      <c r="K1600">
        <v>300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300</v>
      </c>
      <c r="AH1600">
        <v>3</v>
      </c>
      <c r="AI1600">
        <v>0</v>
      </c>
      <c r="AJ1600">
        <v>0</v>
      </c>
      <c r="AK1600">
        <v>200</v>
      </c>
      <c r="AL1600">
        <v>0</v>
      </c>
      <c r="AM1600">
        <v>120</v>
      </c>
      <c r="AN1600">
        <v>-12</v>
      </c>
      <c r="AO1600">
        <v>0</v>
      </c>
      <c r="AP1600"/>
      <c r="AQ1600">
        <v>0</v>
      </c>
      <c r="AR1600">
        <v>0</v>
      </c>
      <c r="AS1600">
        <v>120</v>
      </c>
      <c r="AT1600">
        <v>-12</v>
      </c>
      <c r="AU1600">
        <v>0</v>
      </c>
      <c r="AW1600">
        <v>0</v>
      </c>
      <c r="AX1600">
        <v>0</v>
      </c>
      <c r="AY1600">
        <v>184.8</v>
      </c>
      <c r="BA1600" t="str">
        <f t="shared" si="280"/>
        <v>0000000000000</v>
      </c>
      <c r="BC1600" t="str">
        <f t="shared" si="281"/>
        <v>9791137604131</v>
      </c>
      <c r="BE1600" t="str">
        <f t="shared" si="282"/>
        <v>로맨스 웹소설 &gt; 현대물</v>
      </c>
    </row>
    <row r="1601" spans="1:57" x14ac:dyDescent="0.3">
      <c r="A1601">
        <v>2313017163</v>
      </c>
      <c r="B1601">
        <v>2313017202</v>
      </c>
      <c r="C1601" t="str">
        <f>T("친절하기는 얼어 죽을 39화")</f>
        <v>친절하기는 얼어 죽을 39화</v>
      </c>
      <c r="D1601" t="str">
        <f>T("40")</f>
        <v>40</v>
      </c>
      <c r="E1601" t="str">
        <f t="shared" si="277"/>
        <v>솜목화</v>
      </c>
      <c r="H1601" t="str">
        <f t="shared" si="278"/>
        <v>블레슈(Blesshuu)</v>
      </c>
      <c r="I1601" t="str">
        <f t="shared" si="279"/>
        <v>친절하기는 얼어 죽을</v>
      </c>
      <c r="J1601">
        <v>100</v>
      </c>
      <c r="K1601">
        <v>300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300</v>
      </c>
      <c r="AH1601">
        <v>3</v>
      </c>
      <c r="AI1601">
        <v>0</v>
      </c>
      <c r="AJ1601">
        <v>0</v>
      </c>
      <c r="AK1601">
        <v>200</v>
      </c>
      <c r="AL1601">
        <v>0</v>
      </c>
      <c r="AM1601">
        <v>120</v>
      </c>
      <c r="AN1601">
        <v>-12</v>
      </c>
      <c r="AO1601">
        <v>0</v>
      </c>
      <c r="AP1601"/>
      <c r="AQ1601">
        <v>0</v>
      </c>
      <c r="AR1601">
        <v>0</v>
      </c>
      <c r="AS1601">
        <v>120</v>
      </c>
      <c r="AT1601">
        <v>-12</v>
      </c>
      <c r="AU1601">
        <v>0</v>
      </c>
      <c r="AW1601">
        <v>0</v>
      </c>
      <c r="AX1601">
        <v>0</v>
      </c>
      <c r="AY1601">
        <v>184.8</v>
      </c>
      <c r="BA1601" t="str">
        <f t="shared" si="280"/>
        <v>0000000000000</v>
      </c>
      <c r="BC1601" t="str">
        <f t="shared" si="281"/>
        <v>9791137604131</v>
      </c>
      <c r="BE1601" t="str">
        <f t="shared" si="282"/>
        <v>로맨스 웹소설 &gt; 현대물</v>
      </c>
    </row>
    <row r="1602" spans="1:57" x14ac:dyDescent="0.3">
      <c r="A1602">
        <v>2313017163</v>
      </c>
      <c r="B1602">
        <v>2313017203</v>
      </c>
      <c r="C1602" t="str">
        <f>T("친절하기는 얼어 죽을 40화")</f>
        <v>친절하기는 얼어 죽을 40화</v>
      </c>
      <c r="D1602" t="str">
        <f>T("41")</f>
        <v>41</v>
      </c>
      <c r="E1602" t="str">
        <f t="shared" si="277"/>
        <v>솜목화</v>
      </c>
      <c r="H1602" t="str">
        <f t="shared" si="278"/>
        <v>블레슈(Blesshuu)</v>
      </c>
      <c r="I1602" t="str">
        <f t="shared" si="279"/>
        <v>친절하기는 얼어 죽을</v>
      </c>
      <c r="J1602">
        <v>100</v>
      </c>
      <c r="K1602">
        <v>300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300</v>
      </c>
      <c r="AH1602">
        <v>3</v>
      </c>
      <c r="AI1602">
        <v>0</v>
      </c>
      <c r="AJ1602">
        <v>0</v>
      </c>
      <c r="AK1602">
        <v>200</v>
      </c>
      <c r="AL1602">
        <v>0</v>
      </c>
      <c r="AM1602">
        <v>120</v>
      </c>
      <c r="AN1602">
        <v>-12</v>
      </c>
      <c r="AO1602">
        <v>0</v>
      </c>
      <c r="AP1602"/>
      <c r="AQ1602">
        <v>0</v>
      </c>
      <c r="AR1602">
        <v>0</v>
      </c>
      <c r="AS1602">
        <v>120</v>
      </c>
      <c r="AT1602">
        <v>-12</v>
      </c>
      <c r="AU1602">
        <v>0</v>
      </c>
      <c r="AW1602">
        <v>0</v>
      </c>
      <c r="AX1602">
        <v>0</v>
      </c>
      <c r="AY1602">
        <v>184.8</v>
      </c>
      <c r="BA1602" t="str">
        <f t="shared" si="280"/>
        <v>0000000000000</v>
      </c>
      <c r="BC1602" t="str">
        <f t="shared" si="281"/>
        <v>9791137604131</v>
      </c>
      <c r="BE1602" t="str">
        <f t="shared" si="282"/>
        <v>로맨스 웹소설 &gt; 현대물</v>
      </c>
    </row>
    <row r="1603" spans="1:57" x14ac:dyDescent="0.3">
      <c r="A1603">
        <v>2313017163</v>
      </c>
      <c r="B1603">
        <v>2313017204</v>
      </c>
      <c r="C1603" t="str">
        <f>T("친절하기는 얼어 죽을 41화")</f>
        <v>친절하기는 얼어 죽을 41화</v>
      </c>
      <c r="D1603" t="str">
        <f>T("42")</f>
        <v>42</v>
      </c>
      <c r="E1603" t="str">
        <f t="shared" si="277"/>
        <v>솜목화</v>
      </c>
      <c r="H1603" t="str">
        <f t="shared" si="278"/>
        <v>블레슈(Blesshuu)</v>
      </c>
      <c r="I1603" t="str">
        <f t="shared" si="279"/>
        <v>친절하기는 얼어 죽을</v>
      </c>
      <c r="J1603">
        <v>100</v>
      </c>
      <c r="K1603">
        <v>300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300</v>
      </c>
      <c r="AH1603">
        <v>3</v>
      </c>
      <c r="AI1603">
        <v>0</v>
      </c>
      <c r="AJ1603">
        <v>0</v>
      </c>
      <c r="AK1603">
        <v>200</v>
      </c>
      <c r="AL1603">
        <v>0</v>
      </c>
      <c r="AM1603">
        <v>120</v>
      </c>
      <c r="AN1603">
        <v>-12</v>
      </c>
      <c r="AO1603">
        <v>0</v>
      </c>
      <c r="AP1603"/>
      <c r="AQ1603">
        <v>0</v>
      </c>
      <c r="AR1603">
        <v>0</v>
      </c>
      <c r="AS1603">
        <v>120</v>
      </c>
      <c r="AT1603">
        <v>-12</v>
      </c>
      <c r="AU1603">
        <v>0</v>
      </c>
      <c r="AW1603">
        <v>0</v>
      </c>
      <c r="AX1603">
        <v>0</v>
      </c>
      <c r="AY1603">
        <v>184.8</v>
      </c>
      <c r="BA1603" t="str">
        <f t="shared" si="280"/>
        <v>0000000000000</v>
      </c>
      <c r="BC1603" t="str">
        <f t="shared" si="281"/>
        <v>9791137604131</v>
      </c>
      <c r="BE1603" t="str">
        <f t="shared" si="282"/>
        <v>로맨스 웹소설 &gt; 현대물</v>
      </c>
    </row>
    <row r="1604" spans="1:57" x14ac:dyDescent="0.3">
      <c r="A1604">
        <v>2313017163</v>
      </c>
      <c r="B1604">
        <v>2313017205</v>
      </c>
      <c r="C1604" t="str">
        <f>T("친절하기는 얼어 죽을 42화")</f>
        <v>친절하기는 얼어 죽을 42화</v>
      </c>
      <c r="D1604" t="str">
        <f>T("43")</f>
        <v>43</v>
      </c>
      <c r="E1604" t="str">
        <f t="shared" si="277"/>
        <v>솜목화</v>
      </c>
      <c r="H1604" t="str">
        <f t="shared" si="278"/>
        <v>블레슈(Blesshuu)</v>
      </c>
      <c r="I1604" t="str">
        <f t="shared" si="279"/>
        <v>친절하기는 얼어 죽을</v>
      </c>
      <c r="J1604">
        <v>100</v>
      </c>
      <c r="K1604">
        <v>300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300</v>
      </c>
      <c r="AH1604">
        <v>3</v>
      </c>
      <c r="AI1604">
        <v>0</v>
      </c>
      <c r="AJ1604">
        <v>0</v>
      </c>
      <c r="AK1604">
        <v>200</v>
      </c>
      <c r="AL1604">
        <v>0</v>
      </c>
      <c r="AM1604">
        <v>120</v>
      </c>
      <c r="AN1604">
        <v>-12</v>
      </c>
      <c r="AO1604">
        <v>0</v>
      </c>
      <c r="AP1604"/>
      <c r="AQ1604">
        <v>0</v>
      </c>
      <c r="AR1604">
        <v>0</v>
      </c>
      <c r="AS1604">
        <v>120</v>
      </c>
      <c r="AT1604">
        <v>-12</v>
      </c>
      <c r="AU1604">
        <v>0</v>
      </c>
      <c r="AW1604">
        <v>0</v>
      </c>
      <c r="AX1604">
        <v>0</v>
      </c>
      <c r="AY1604">
        <v>184.8</v>
      </c>
      <c r="BA1604" t="str">
        <f t="shared" si="280"/>
        <v>0000000000000</v>
      </c>
      <c r="BC1604" t="str">
        <f t="shared" si="281"/>
        <v>9791137604131</v>
      </c>
      <c r="BE1604" t="str">
        <f t="shared" si="282"/>
        <v>로맨스 웹소설 &gt; 현대물</v>
      </c>
    </row>
    <row r="1605" spans="1:57" x14ac:dyDescent="0.3">
      <c r="A1605">
        <v>2313017163</v>
      </c>
      <c r="B1605">
        <v>2313017206</v>
      </c>
      <c r="C1605" t="str">
        <f>T("친절하기는 얼어 죽을 43화")</f>
        <v>친절하기는 얼어 죽을 43화</v>
      </c>
      <c r="D1605" t="str">
        <f>T("44")</f>
        <v>44</v>
      </c>
      <c r="E1605" t="str">
        <f t="shared" si="277"/>
        <v>솜목화</v>
      </c>
      <c r="H1605" t="str">
        <f t="shared" si="278"/>
        <v>블레슈(Blesshuu)</v>
      </c>
      <c r="I1605" t="str">
        <f t="shared" si="279"/>
        <v>친절하기는 얼어 죽을</v>
      </c>
      <c r="J1605">
        <v>100</v>
      </c>
      <c r="K1605">
        <v>300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300</v>
      </c>
      <c r="AH1605">
        <v>3</v>
      </c>
      <c r="AI1605">
        <v>0</v>
      </c>
      <c r="AJ1605">
        <v>0</v>
      </c>
      <c r="AK1605">
        <v>200</v>
      </c>
      <c r="AL1605">
        <v>0</v>
      </c>
      <c r="AM1605">
        <v>120</v>
      </c>
      <c r="AN1605">
        <v>-12</v>
      </c>
      <c r="AO1605">
        <v>0</v>
      </c>
      <c r="AP1605"/>
      <c r="AQ1605">
        <v>0</v>
      </c>
      <c r="AR1605">
        <v>0</v>
      </c>
      <c r="AS1605">
        <v>120</v>
      </c>
      <c r="AT1605">
        <v>-12</v>
      </c>
      <c r="AU1605">
        <v>0</v>
      </c>
      <c r="AW1605">
        <v>0</v>
      </c>
      <c r="AX1605">
        <v>0</v>
      </c>
      <c r="AY1605">
        <v>184.8</v>
      </c>
      <c r="BA1605" t="str">
        <f t="shared" si="280"/>
        <v>0000000000000</v>
      </c>
      <c r="BC1605" t="str">
        <f t="shared" si="281"/>
        <v>9791137604131</v>
      </c>
      <c r="BE1605" t="str">
        <f t="shared" si="282"/>
        <v>로맨스 웹소설 &gt; 현대물</v>
      </c>
    </row>
    <row r="1606" spans="1:57" x14ac:dyDescent="0.3">
      <c r="A1606">
        <v>2313017163</v>
      </c>
      <c r="B1606">
        <v>2313017207</v>
      </c>
      <c r="C1606" t="str">
        <f>T("친절하기는 얼어 죽을 44화")</f>
        <v>친절하기는 얼어 죽을 44화</v>
      </c>
      <c r="D1606" t="str">
        <f>T("45")</f>
        <v>45</v>
      </c>
      <c r="E1606" t="str">
        <f t="shared" si="277"/>
        <v>솜목화</v>
      </c>
      <c r="H1606" t="str">
        <f t="shared" si="278"/>
        <v>블레슈(Blesshuu)</v>
      </c>
      <c r="I1606" t="str">
        <f t="shared" si="279"/>
        <v>친절하기는 얼어 죽을</v>
      </c>
      <c r="J1606">
        <v>100</v>
      </c>
      <c r="K1606">
        <v>300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300</v>
      </c>
      <c r="AH1606">
        <v>3</v>
      </c>
      <c r="AI1606">
        <v>0</v>
      </c>
      <c r="AJ1606">
        <v>0</v>
      </c>
      <c r="AK1606">
        <v>200</v>
      </c>
      <c r="AL1606">
        <v>0</v>
      </c>
      <c r="AM1606">
        <v>120</v>
      </c>
      <c r="AN1606">
        <v>-12</v>
      </c>
      <c r="AO1606">
        <v>0</v>
      </c>
      <c r="AP1606"/>
      <c r="AQ1606">
        <v>0</v>
      </c>
      <c r="AR1606">
        <v>0</v>
      </c>
      <c r="AS1606">
        <v>120</v>
      </c>
      <c r="AT1606">
        <v>-12</v>
      </c>
      <c r="AU1606">
        <v>0</v>
      </c>
      <c r="AW1606">
        <v>0</v>
      </c>
      <c r="AX1606">
        <v>0</v>
      </c>
      <c r="AY1606">
        <v>184.8</v>
      </c>
      <c r="BA1606" t="str">
        <f t="shared" si="280"/>
        <v>0000000000000</v>
      </c>
      <c r="BC1606" t="str">
        <f t="shared" si="281"/>
        <v>9791137604131</v>
      </c>
      <c r="BE1606" t="str">
        <f t="shared" si="282"/>
        <v>로맨스 웹소설 &gt; 현대물</v>
      </c>
    </row>
    <row r="1607" spans="1:57" x14ac:dyDescent="0.3">
      <c r="A1607">
        <v>2313017163</v>
      </c>
      <c r="B1607">
        <v>2313017208</v>
      </c>
      <c r="C1607" t="str">
        <f>T("친절하기는 얼어 죽을 45화")</f>
        <v>친절하기는 얼어 죽을 45화</v>
      </c>
      <c r="D1607" t="str">
        <f>T("46")</f>
        <v>46</v>
      </c>
      <c r="E1607" t="str">
        <f t="shared" si="277"/>
        <v>솜목화</v>
      </c>
      <c r="H1607" t="str">
        <f t="shared" si="278"/>
        <v>블레슈(Blesshuu)</v>
      </c>
      <c r="I1607" t="str">
        <f t="shared" si="279"/>
        <v>친절하기는 얼어 죽을</v>
      </c>
      <c r="J1607">
        <v>100</v>
      </c>
      <c r="K1607">
        <v>300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300</v>
      </c>
      <c r="AH1607">
        <v>3</v>
      </c>
      <c r="AI1607">
        <v>0</v>
      </c>
      <c r="AJ1607">
        <v>0</v>
      </c>
      <c r="AK1607">
        <v>200</v>
      </c>
      <c r="AL1607">
        <v>0</v>
      </c>
      <c r="AM1607">
        <v>120</v>
      </c>
      <c r="AN1607">
        <v>-12</v>
      </c>
      <c r="AO1607">
        <v>0</v>
      </c>
      <c r="AP1607"/>
      <c r="AQ1607">
        <v>0</v>
      </c>
      <c r="AR1607">
        <v>0</v>
      </c>
      <c r="AS1607">
        <v>120</v>
      </c>
      <c r="AT1607">
        <v>-12</v>
      </c>
      <c r="AU1607">
        <v>0</v>
      </c>
      <c r="AW1607">
        <v>0</v>
      </c>
      <c r="AX1607">
        <v>0</v>
      </c>
      <c r="AY1607">
        <v>184.8</v>
      </c>
      <c r="BA1607" t="str">
        <f t="shared" si="280"/>
        <v>0000000000000</v>
      </c>
      <c r="BC1607" t="str">
        <f t="shared" si="281"/>
        <v>9791137604131</v>
      </c>
      <c r="BE1607" t="str">
        <f t="shared" si="282"/>
        <v>로맨스 웹소설 &gt; 현대물</v>
      </c>
    </row>
    <row r="1608" spans="1:57" x14ac:dyDescent="0.3">
      <c r="A1608">
        <v>2313017163</v>
      </c>
      <c r="B1608">
        <v>2313017209</v>
      </c>
      <c r="C1608" t="str">
        <f>T("친절하기는 얼어 죽을 46화")</f>
        <v>친절하기는 얼어 죽을 46화</v>
      </c>
      <c r="D1608" t="str">
        <f>T("47")</f>
        <v>47</v>
      </c>
      <c r="E1608" t="str">
        <f t="shared" si="277"/>
        <v>솜목화</v>
      </c>
      <c r="H1608" t="str">
        <f t="shared" si="278"/>
        <v>블레슈(Blesshuu)</v>
      </c>
      <c r="I1608" t="str">
        <f t="shared" si="279"/>
        <v>친절하기는 얼어 죽을</v>
      </c>
      <c r="J1608">
        <v>100</v>
      </c>
      <c r="K1608">
        <v>300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300</v>
      </c>
      <c r="AH1608">
        <v>3</v>
      </c>
      <c r="AI1608">
        <v>0</v>
      </c>
      <c r="AJ1608">
        <v>0</v>
      </c>
      <c r="AK1608">
        <v>200</v>
      </c>
      <c r="AL1608">
        <v>0</v>
      </c>
      <c r="AM1608">
        <v>120</v>
      </c>
      <c r="AN1608">
        <v>-12</v>
      </c>
      <c r="AO1608">
        <v>0</v>
      </c>
      <c r="AP1608"/>
      <c r="AQ1608">
        <v>0</v>
      </c>
      <c r="AR1608">
        <v>0</v>
      </c>
      <c r="AS1608">
        <v>120</v>
      </c>
      <c r="AT1608">
        <v>-12</v>
      </c>
      <c r="AU1608">
        <v>0</v>
      </c>
      <c r="AW1608">
        <v>0</v>
      </c>
      <c r="AX1608">
        <v>0</v>
      </c>
      <c r="AY1608">
        <v>184.8</v>
      </c>
      <c r="BA1608" t="str">
        <f t="shared" si="280"/>
        <v>0000000000000</v>
      </c>
      <c r="BC1608" t="str">
        <f t="shared" si="281"/>
        <v>9791137604131</v>
      </c>
      <c r="BE1608" t="str">
        <f t="shared" si="282"/>
        <v>로맨스 웹소설 &gt; 현대물</v>
      </c>
    </row>
    <row r="1609" spans="1:57" x14ac:dyDescent="0.3">
      <c r="A1609">
        <v>2313017163</v>
      </c>
      <c r="B1609">
        <v>2313017210</v>
      </c>
      <c r="C1609" t="str">
        <f>T("친절하기는 얼어 죽을 47화")</f>
        <v>친절하기는 얼어 죽을 47화</v>
      </c>
      <c r="D1609" t="str">
        <f>T("48")</f>
        <v>48</v>
      </c>
      <c r="E1609" t="str">
        <f t="shared" si="277"/>
        <v>솜목화</v>
      </c>
      <c r="H1609" t="str">
        <f t="shared" si="278"/>
        <v>블레슈(Blesshuu)</v>
      </c>
      <c r="I1609" t="str">
        <f t="shared" si="279"/>
        <v>친절하기는 얼어 죽을</v>
      </c>
      <c r="J1609">
        <v>100</v>
      </c>
      <c r="K1609">
        <v>300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300</v>
      </c>
      <c r="AH1609">
        <v>3</v>
      </c>
      <c r="AI1609">
        <v>0</v>
      </c>
      <c r="AJ1609">
        <v>0</v>
      </c>
      <c r="AK1609">
        <v>200</v>
      </c>
      <c r="AL1609">
        <v>0</v>
      </c>
      <c r="AM1609">
        <v>120</v>
      </c>
      <c r="AN1609">
        <v>-12</v>
      </c>
      <c r="AO1609">
        <v>0</v>
      </c>
      <c r="AP1609"/>
      <c r="AQ1609">
        <v>0</v>
      </c>
      <c r="AR1609">
        <v>0</v>
      </c>
      <c r="AS1609">
        <v>120</v>
      </c>
      <c r="AT1609">
        <v>-12</v>
      </c>
      <c r="AU1609">
        <v>0</v>
      </c>
      <c r="AW1609">
        <v>0</v>
      </c>
      <c r="AX1609">
        <v>0</v>
      </c>
      <c r="AY1609">
        <v>184.8</v>
      </c>
      <c r="BA1609" t="str">
        <f t="shared" si="280"/>
        <v>0000000000000</v>
      </c>
      <c r="BC1609" t="str">
        <f t="shared" si="281"/>
        <v>9791137604131</v>
      </c>
      <c r="BE1609" t="str">
        <f t="shared" si="282"/>
        <v>로맨스 웹소설 &gt; 현대물</v>
      </c>
    </row>
    <row r="1610" spans="1:57" x14ac:dyDescent="0.3">
      <c r="A1610">
        <v>2313017163</v>
      </c>
      <c r="B1610">
        <v>2313017211</v>
      </c>
      <c r="C1610" t="str">
        <f>T("친절하기는 얼어 죽을 48화")</f>
        <v>친절하기는 얼어 죽을 48화</v>
      </c>
      <c r="D1610" t="str">
        <f>T("49")</f>
        <v>49</v>
      </c>
      <c r="E1610" t="str">
        <f t="shared" si="277"/>
        <v>솜목화</v>
      </c>
      <c r="H1610" t="str">
        <f t="shared" si="278"/>
        <v>블레슈(Blesshuu)</v>
      </c>
      <c r="I1610" t="str">
        <f t="shared" si="279"/>
        <v>친절하기는 얼어 죽을</v>
      </c>
      <c r="J1610">
        <v>100</v>
      </c>
      <c r="K1610">
        <v>300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300</v>
      </c>
      <c r="AH1610">
        <v>3</v>
      </c>
      <c r="AI1610">
        <v>0</v>
      </c>
      <c r="AJ1610">
        <v>0</v>
      </c>
      <c r="AK1610">
        <v>200</v>
      </c>
      <c r="AL1610">
        <v>0</v>
      </c>
      <c r="AM1610">
        <v>120</v>
      </c>
      <c r="AN1610">
        <v>-12</v>
      </c>
      <c r="AO1610">
        <v>0</v>
      </c>
      <c r="AP1610"/>
      <c r="AQ1610">
        <v>0</v>
      </c>
      <c r="AR1610">
        <v>0</v>
      </c>
      <c r="AS1610">
        <v>120</v>
      </c>
      <c r="AT1610">
        <v>-12</v>
      </c>
      <c r="AU1610">
        <v>0</v>
      </c>
      <c r="AW1610">
        <v>0</v>
      </c>
      <c r="AX1610">
        <v>0</v>
      </c>
      <c r="AY1610">
        <v>184.8</v>
      </c>
      <c r="BA1610" t="str">
        <f t="shared" si="280"/>
        <v>0000000000000</v>
      </c>
      <c r="BC1610" t="str">
        <f t="shared" si="281"/>
        <v>9791137604131</v>
      </c>
      <c r="BE1610" t="str">
        <f t="shared" si="282"/>
        <v>로맨스 웹소설 &gt; 현대물</v>
      </c>
    </row>
    <row r="1611" spans="1:57" x14ac:dyDescent="0.3">
      <c r="A1611">
        <v>2313017163</v>
      </c>
      <c r="B1611">
        <v>2313017212</v>
      </c>
      <c r="C1611" t="str">
        <f>T("친절하기는 얼어 죽을 49화")</f>
        <v>친절하기는 얼어 죽을 49화</v>
      </c>
      <c r="D1611" t="str">
        <f>T("50")</f>
        <v>50</v>
      </c>
      <c r="E1611" t="str">
        <f t="shared" si="277"/>
        <v>솜목화</v>
      </c>
      <c r="H1611" t="str">
        <f t="shared" si="278"/>
        <v>블레슈(Blesshuu)</v>
      </c>
      <c r="I1611" t="str">
        <f t="shared" si="279"/>
        <v>친절하기는 얼어 죽을</v>
      </c>
      <c r="J1611">
        <v>100</v>
      </c>
      <c r="K1611">
        <v>300</v>
      </c>
      <c r="L1611">
        <v>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300</v>
      </c>
      <c r="AH1611">
        <v>3</v>
      </c>
      <c r="AI1611">
        <v>0</v>
      </c>
      <c r="AJ1611">
        <v>0</v>
      </c>
      <c r="AK1611">
        <v>200</v>
      </c>
      <c r="AL1611">
        <v>0</v>
      </c>
      <c r="AM1611">
        <v>120</v>
      </c>
      <c r="AN1611">
        <v>-12</v>
      </c>
      <c r="AO1611">
        <v>0</v>
      </c>
      <c r="AP1611"/>
      <c r="AQ1611">
        <v>0</v>
      </c>
      <c r="AR1611">
        <v>0</v>
      </c>
      <c r="AS1611">
        <v>120</v>
      </c>
      <c r="AT1611">
        <v>-12</v>
      </c>
      <c r="AU1611">
        <v>0</v>
      </c>
      <c r="AW1611">
        <v>0</v>
      </c>
      <c r="AX1611">
        <v>0</v>
      </c>
      <c r="AY1611">
        <v>184.8</v>
      </c>
      <c r="BA1611" t="str">
        <f t="shared" si="280"/>
        <v>0000000000000</v>
      </c>
      <c r="BC1611" t="str">
        <f t="shared" si="281"/>
        <v>9791137604131</v>
      </c>
      <c r="BE1611" t="str">
        <f t="shared" si="282"/>
        <v>로맨스 웹소설 &gt; 현대물</v>
      </c>
    </row>
    <row r="1612" spans="1:57" x14ac:dyDescent="0.3">
      <c r="A1612">
        <v>2313017163</v>
      </c>
      <c r="B1612">
        <v>2313017213</v>
      </c>
      <c r="C1612" t="str">
        <f>T("친절하기는 얼어 죽을 50화")</f>
        <v>친절하기는 얼어 죽을 50화</v>
      </c>
      <c r="D1612" t="str">
        <f>T("51")</f>
        <v>51</v>
      </c>
      <c r="E1612" t="str">
        <f t="shared" si="277"/>
        <v>솜목화</v>
      </c>
      <c r="H1612" t="str">
        <f t="shared" si="278"/>
        <v>블레슈(Blesshuu)</v>
      </c>
      <c r="I1612" t="str">
        <f t="shared" si="279"/>
        <v>친절하기는 얼어 죽을</v>
      </c>
      <c r="J1612">
        <v>100</v>
      </c>
      <c r="K1612">
        <v>300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300</v>
      </c>
      <c r="AH1612">
        <v>3</v>
      </c>
      <c r="AI1612">
        <v>0</v>
      </c>
      <c r="AJ1612">
        <v>0</v>
      </c>
      <c r="AK1612">
        <v>200</v>
      </c>
      <c r="AL1612">
        <v>0</v>
      </c>
      <c r="AM1612">
        <v>120</v>
      </c>
      <c r="AN1612">
        <v>-12</v>
      </c>
      <c r="AO1612">
        <v>0</v>
      </c>
      <c r="AP1612"/>
      <c r="AQ1612">
        <v>0</v>
      </c>
      <c r="AR1612">
        <v>0</v>
      </c>
      <c r="AS1612">
        <v>120</v>
      </c>
      <c r="AT1612">
        <v>-12</v>
      </c>
      <c r="AU1612">
        <v>0</v>
      </c>
      <c r="AW1612">
        <v>0</v>
      </c>
      <c r="AX1612">
        <v>0</v>
      </c>
      <c r="AY1612">
        <v>184.8</v>
      </c>
      <c r="BA1612" t="str">
        <f t="shared" si="280"/>
        <v>0000000000000</v>
      </c>
      <c r="BC1612" t="str">
        <f t="shared" si="281"/>
        <v>9791137604131</v>
      </c>
      <c r="BE1612" t="str">
        <f t="shared" si="282"/>
        <v>로맨스 웹소설 &gt; 현대물</v>
      </c>
    </row>
    <row r="1613" spans="1:57" x14ac:dyDescent="0.3">
      <c r="A1613">
        <v>2313017163</v>
      </c>
      <c r="B1613">
        <v>2313017215</v>
      </c>
      <c r="C1613" t="str">
        <f>T("친절하기는 얼어 죽을 52화")</f>
        <v>친절하기는 얼어 죽을 52화</v>
      </c>
      <c r="D1613" t="str">
        <f>T("53")</f>
        <v>53</v>
      </c>
      <c r="E1613" t="str">
        <f t="shared" si="277"/>
        <v>솜목화</v>
      </c>
      <c r="H1613" t="str">
        <f t="shared" si="278"/>
        <v>블레슈(Blesshuu)</v>
      </c>
      <c r="I1613" t="str">
        <f t="shared" si="279"/>
        <v>친절하기는 얼어 죽을</v>
      </c>
      <c r="J1613">
        <v>100</v>
      </c>
      <c r="K1613">
        <v>300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300</v>
      </c>
      <c r="AH1613">
        <v>3</v>
      </c>
      <c r="AI1613">
        <v>0</v>
      </c>
      <c r="AJ1613">
        <v>0</v>
      </c>
      <c r="AK1613">
        <v>200</v>
      </c>
      <c r="AL1613">
        <v>0</v>
      </c>
      <c r="AM1613">
        <v>120</v>
      </c>
      <c r="AN1613">
        <v>-12</v>
      </c>
      <c r="AO1613">
        <v>0</v>
      </c>
      <c r="AP1613"/>
      <c r="AQ1613">
        <v>0</v>
      </c>
      <c r="AR1613">
        <v>0</v>
      </c>
      <c r="AS1613">
        <v>120</v>
      </c>
      <c r="AT1613">
        <v>-12</v>
      </c>
      <c r="AU1613">
        <v>0</v>
      </c>
      <c r="AW1613">
        <v>0</v>
      </c>
      <c r="AX1613">
        <v>0</v>
      </c>
      <c r="AY1613">
        <v>184.8</v>
      </c>
      <c r="BA1613" t="str">
        <f t="shared" si="280"/>
        <v>0000000000000</v>
      </c>
      <c r="BC1613" t="str">
        <f t="shared" si="281"/>
        <v>9791137604131</v>
      </c>
      <c r="BE1613" t="str">
        <f t="shared" si="282"/>
        <v>로맨스 웹소설 &gt; 현대물</v>
      </c>
    </row>
    <row r="1614" spans="1:57" x14ac:dyDescent="0.3">
      <c r="A1614">
        <v>2313017163</v>
      </c>
      <c r="B1614">
        <v>2313017216</v>
      </c>
      <c r="C1614" t="str">
        <f>T("친절하기는 얼어 죽을 53화")</f>
        <v>친절하기는 얼어 죽을 53화</v>
      </c>
      <c r="D1614" t="str">
        <f>T("54")</f>
        <v>54</v>
      </c>
      <c r="E1614" t="str">
        <f t="shared" si="277"/>
        <v>솜목화</v>
      </c>
      <c r="H1614" t="str">
        <f t="shared" si="278"/>
        <v>블레슈(Blesshuu)</v>
      </c>
      <c r="I1614" t="str">
        <f t="shared" si="279"/>
        <v>친절하기는 얼어 죽을</v>
      </c>
      <c r="J1614">
        <v>100</v>
      </c>
      <c r="K1614">
        <v>300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300</v>
      </c>
      <c r="AH1614">
        <v>3</v>
      </c>
      <c r="AI1614">
        <v>0</v>
      </c>
      <c r="AJ1614">
        <v>0</v>
      </c>
      <c r="AK1614">
        <v>200</v>
      </c>
      <c r="AL1614">
        <v>0</v>
      </c>
      <c r="AM1614">
        <v>120</v>
      </c>
      <c r="AN1614">
        <v>-12</v>
      </c>
      <c r="AO1614">
        <v>0</v>
      </c>
      <c r="AP1614"/>
      <c r="AQ1614">
        <v>0</v>
      </c>
      <c r="AR1614">
        <v>0</v>
      </c>
      <c r="AS1614">
        <v>120</v>
      </c>
      <c r="AT1614">
        <v>-12</v>
      </c>
      <c r="AU1614">
        <v>0</v>
      </c>
      <c r="AW1614">
        <v>0</v>
      </c>
      <c r="AX1614">
        <v>0</v>
      </c>
      <c r="AY1614">
        <v>184.8</v>
      </c>
      <c r="BA1614" t="str">
        <f t="shared" si="280"/>
        <v>0000000000000</v>
      </c>
      <c r="BC1614" t="str">
        <f t="shared" si="281"/>
        <v>9791137604131</v>
      </c>
      <c r="BE1614" t="str">
        <f t="shared" si="282"/>
        <v>로맨스 웹소설 &gt; 현대물</v>
      </c>
    </row>
    <row r="1615" spans="1:57" x14ac:dyDescent="0.3">
      <c r="A1615">
        <v>2313017163</v>
      </c>
      <c r="B1615">
        <v>2313017217</v>
      </c>
      <c r="C1615" t="str">
        <f>T("친절하기는 얼어 죽을 54화")</f>
        <v>친절하기는 얼어 죽을 54화</v>
      </c>
      <c r="D1615" t="str">
        <f>T("55")</f>
        <v>55</v>
      </c>
      <c r="E1615" t="str">
        <f t="shared" si="277"/>
        <v>솜목화</v>
      </c>
      <c r="H1615" t="str">
        <f t="shared" si="278"/>
        <v>블레슈(Blesshuu)</v>
      </c>
      <c r="I1615" t="str">
        <f t="shared" si="279"/>
        <v>친절하기는 얼어 죽을</v>
      </c>
      <c r="J1615">
        <v>100</v>
      </c>
      <c r="K1615">
        <v>300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300</v>
      </c>
      <c r="AH1615">
        <v>3</v>
      </c>
      <c r="AI1615">
        <v>0</v>
      </c>
      <c r="AJ1615">
        <v>0</v>
      </c>
      <c r="AK1615">
        <v>200</v>
      </c>
      <c r="AL1615">
        <v>0</v>
      </c>
      <c r="AM1615">
        <v>120</v>
      </c>
      <c r="AN1615">
        <v>-12</v>
      </c>
      <c r="AO1615">
        <v>0</v>
      </c>
      <c r="AP1615"/>
      <c r="AQ1615">
        <v>0</v>
      </c>
      <c r="AR1615">
        <v>0</v>
      </c>
      <c r="AS1615">
        <v>120</v>
      </c>
      <c r="AT1615">
        <v>-12</v>
      </c>
      <c r="AU1615">
        <v>0</v>
      </c>
      <c r="AW1615">
        <v>0</v>
      </c>
      <c r="AX1615">
        <v>0</v>
      </c>
      <c r="AY1615">
        <v>184.8</v>
      </c>
      <c r="BA1615" t="str">
        <f t="shared" si="280"/>
        <v>0000000000000</v>
      </c>
      <c r="BC1615" t="str">
        <f t="shared" si="281"/>
        <v>9791137604131</v>
      </c>
      <c r="BE1615" t="str">
        <f t="shared" si="282"/>
        <v>로맨스 웹소설 &gt; 현대물</v>
      </c>
    </row>
    <row r="1616" spans="1:57" x14ac:dyDescent="0.3">
      <c r="A1616">
        <v>2313017163</v>
      </c>
      <c r="B1616">
        <v>2313017218</v>
      </c>
      <c r="C1616" t="str">
        <f>T("친절하기는 얼어 죽을 55화")</f>
        <v>친절하기는 얼어 죽을 55화</v>
      </c>
      <c r="D1616" t="str">
        <f>T("56")</f>
        <v>56</v>
      </c>
      <c r="E1616" t="str">
        <f t="shared" si="277"/>
        <v>솜목화</v>
      </c>
      <c r="H1616" t="str">
        <f t="shared" si="278"/>
        <v>블레슈(Blesshuu)</v>
      </c>
      <c r="I1616" t="str">
        <f t="shared" si="279"/>
        <v>친절하기는 얼어 죽을</v>
      </c>
      <c r="J1616">
        <v>100</v>
      </c>
      <c r="K1616">
        <v>300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300</v>
      </c>
      <c r="AH1616">
        <v>3</v>
      </c>
      <c r="AI1616">
        <v>0</v>
      </c>
      <c r="AJ1616">
        <v>0</v>
      </c>
      <c r="AK1616">
        <v>200</v>
      </c>
      <c r="AL1616">
        <v>0</v>
      </c>
      <c r="AM1616">
        <v>120</v>
      </c>
      <c r="AN1616">
        <v>-12</v>
      </c>
      <c r="AO1616">
        <v>0</v>
      </c>
      <c r="AP1616"/>
      <c r="AQ1616">
        <v>0</v>
      </c>
      <c r="AR1616">
        <v>0</v>
      </c>
      <c r="AS1616">
        <v>120</v>
      </c>
      <c r="AT1616">
        <v>-12</v>
      </c>
      <c r="AU1616">
        <v>0</v>
      </c>
      <c r="AW1616">
        <v>0</v>
      </c>
      <c r="AX1616">
        <v>0</v>
      </c>
      <c r="AY1616">
        <v>184.8</v>
      </c>
      <c r="BA1616" t="str">
        <f t="shared" si="280"/>
        <v>0000000000000</v>
      </c>
      <c r="BC1616" t="str">
        <f t="shared" si="281"/>
        <v>9791137604131</v>
      </c>
      <c r="BE1616" t="str">
        <f t="shared" si="282"/>
        <v>로맨스 웹소설 &gt; 현대물</v>
      </c>
    </row>
    <row r="1617" spans="1:57" x14ac:dyDescent="0.3">
      <c r="A1617">
        <v>2313017163</v>
      </c>
      <c r="B1617">
        <v>2313017219</v>
      </c>
      <c r="C1617" t="str">
        <f>T("친절하기는 얼어 죽을 56화")</f>
        <v>친절하기는 얼어 죽을 56화</v>
      </c>
      <c r="D1617" t="str">
        <f>T("57")</f>
        <v>57</v>
      </c>
      <c r="E1617" t="str">
        <f t="shared" si="277"/>
        <v>솜목화</v>
      </c>
      <c r="H1617" t="str">
        <f t="shared" si="278"/>
        <v>블레슈(Blesshuu)</v>
      </c>
      <c r="I1617" t="str">
        <f t="shared" si="279"/>
        <v>친절하기는 얼어 죽을</v>
      </c>
      <c r="J1617">
        <v>100</v>
      </c>
      <c r="K1617">
        <v>300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300</v>
      </c>
      <c r="AH1617">
        <v>3</v>
      </c>
      <c r="AI1617">
        <v>0</v>
      </c>
      <c r="AJ1617">
        <v>0</v>
      </c>
      <c r="AK1617">
        <v>200</v>
      </c>
      <c r="AL1617">
        <v>0</v>
      </c>
      <c r="AM1617">
        <v>120</v>
      </c>
      <c r="AN1617">
        <v>-12</v>
      </c>
      <c r="AO1617">
        <v>0</v>
      </c>
      <c r="AP1617"/>
      <c r="AQ1617">
        <v>0</v>
      </c>
      <c r="AR1617">
        <v>0</v>
      </c>
      <c r="AS1617">
        <v>120</v>
      </c>
      <c r="AT1617">
        <v>-12</v>
      </c>
      <c r="AU1617">
        <v>0</v>
      </c>
      <c r="AW1617">
        <v>0</v>
      </c>
      <c r="AX1617">
        <v>0</v>
      </c>
      <c r="AY1617">
        <v>184.8</v>
      </c>
      <c r="BA1617" t="str">
        <f t="shared" si="280"/>
        <v>0000000000000</v>
      </c>
      <c r="BC1617" t="str">
        <f t="shared" si="281"/>
        <v>9791137604131</v>
      </c>
      <c r="BE1617" t="str">
        <f t="shared" si="282"/>
        <v>로맨스 웹소설 &gt; 현대물</v>
      </c>
    </row>
    <row r="1618" spans="1:57" x14ac:dyDescent="0.3">
      <c r="A1618">
        <v>2313017163</v>
      </c>
      <c r="B1618">
        <v>2313017220</v>
      </c>
      <c r="C1618" t="str">
        <f>T("친절하기는 얼어 죽을 57화")</f>
        <v>친절하기는 얼어 죽을 57화</v>
      </c>
      <c r="D1618" t="str">
        <f>T("58")</f>
        <v>58</v>
      </c>
      <c r="E1618" t="str">
        <f t="shared" si="277"/>
        <v>솜목화</v>
      </c>
      <c r="H1618" t="str">
        <f t="shared" si="278"/>
        <v>블레슈(Blesshuu)</v>
      </c>
      <c r="I1618" t="str">
        <f t="shared" si="279"/>
        <v>친절하기는 얼어 죽을</v>
      </c>
      <c r="J1618">
        <v>100</v>
      </c>
      <c r="K1618">
        <v>300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300</v>
      </c>
      <c r="AH1618">
        <v>3</v>
      </c>
      <c r="AI1618">
        <v>0</v>
      </c>
      <c r="AJ1618">
        <v>0</v>
      </c>
      <c r="AK1618">
        <v>200</v>
      </c>
      <c r="AL1618">
        <v>0</v>
      </c>
      <c r="AM1618">
        <v>120</v>
      </c>
      <c r="AN1618">
        <v>-12</v>
      </c>
      <c r="AO1618">
        <v>0</v>
      </c>
      <c r="AP1618"/>
      <c r="AQ1618">
        <v>0</v>
      </c>
      <c r="AR1618">
        <v>0</v>
      </c>
      <c r="AS1618">
        <v>120</v>
      </c>
      <c r="AT1618">
        <v>-12</v>
      </c>
      <c r="AU1618">
        <v>0</v>
      </c>
      <c r="AW1618">
        <v>0</v>
      </c>
      <c r="AX1618">
        <v>0</v>
      </c>
      <c r="AY1618">
        <v>184.8</v>
      </c>
      <c r="BA1618" t="str">
        <f t="shared" si="280"/>
        <v>0000000000000</v>
      </c>
      <c r="BC1618" t="str">
        <f t="shared" si="281"/>
        <v>9791137604131</v>
      </c>
      <c r="BE1618" t="str">
        <f t="shared" si="282"/>
        <v>로맨스 웹소설 &gt; 현대물</v>
      </c>
    </row>
    <row r="1619" spans="1:57" x14ac:dyDescent="0.3">
      <c r="A1619">
        <v>2313017163</v>
      </c>
      <c r="B1619">
        <v>2313017221</v>
      </c>
      <c r="C1619" t="str">
        <f>T("친절하기는 얼어 죽을 58화")</f>
        <v>친절하기는 얼어 죽을 58화</v>
      </c>
      <c r="D1619" t="str">
        <f>T("59")</f>
        <v>59</v>
      </c>
      <c r="E1619" t="str">
        <f t="shared" si="277"/>
        <v>솜목화</v>
      </c>
      <c r="H1619" t="str">
        <f t="shared" si="278"/>
        <v>블레슈(Blesshuu)</v>
      </c>
      <c r="I1619" t="str">
        <f t="shared" si="279"/>
        <v>친절하기는 얼어 죽을</v>
      </c>
      <c r="J1619">
        <v>100</v>
      </c>
      <c r="K1619">
        <v>300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300</v>
      </c>
      <c r="AH1619">
        <v>3</v>
      </c>
      <c r="AI1619">
        <v>0</v>
      </c>
      <c r="AJ1619">
        <v>0</v>
      </c>
      <c r="AK1619">
        <v>200</v>
      </c>
      <c r="AL1619">
        <v>0</v>
      </c>
      <c r="AM1619">
        <v>120</v>
      </c>
      <c r="AN1619">
        <v>-12</v>
      </c>
      <c r="AO1619">
        <v>0</v>
      </c>
      <c r="AP1619"/>
      <c r="AQ1619">
        <v>0</v>
      </c>
      <c r="AR1619">
        <v>0</v>
      </c>
      <c r="AS1619">
        <v>120</v>
      </c>
      <c r="AT1619">
        <v>-12</v>
      </c>
      <c r="AU1619">
        <v>0</v>
      </c>
      <c r="AW1619">
        <v>0</v>
      </c>
      <c r="AX1619">
        <v>0</v>
      </c>
      <c r="AY1619">
        <v>184.8</v>
      </c>
      <c r="BA1619" t="str">
        <f t="shared" si="280"/>
        <v>0000000000000</v>
      </c>
      <c r="BC1619" t="str">
        <f t="shared" si="281"/>
        <v>9791137604131</v>
      </c>
      <c r="BE1619" t="str">
        <f t="shared" si="282"/>
        <v>로맨스 웹소설 &gt; 현대물</v>
      </c>
    </row>
    <row r="1620" spans="1:57" x14ac:dyDescent="0.3">
      <c r="A1620">
        <v>2313017163</v>
      </c>
      <c r="B1620">
        <v>2313017224</v>
      </c>
      <c r="C1620" t="str">
        <f>T("친절하기는 얼어 죽을 61화")</f>
        <v>친절하기는 얼어 죽을 61화</v>
      </c>
      <c r="D1620" t="str">
        <f>T("62")</f>
        <v>62</v>
      </c>
      <c r="E1620" t="str">
        <f t="shared" si="277"/>
        <v>솜목화</v>
      </c>
      <c r="H1620" t="str">
        <f t="shared" si="278"/>
        <v>블레슈(Blesshuu)</v>
      </c>
      <c r="I1620" t="str">
        <f t="shared" si="279"/>
        <v>친절하기는 얼어 죽을</v>
      </c>
      <c r="J1620">
        <v>100</v>
      </c>
      <c r="K1620">
        <v>300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300</v>
      </c>
      <c r="AH1620">
        <v>3</v>
      </c>
      <c r="AI1620">
        <v>0</v>
      </c>
      <c r="AJ1620">
        <v>0</v>
      </c>
      <c r="AK1620">
        <v>200</v>
      </c>
      <c r="AL1620">
        <v>0</v>
      </c>
      <c r="AM1620">
        <v>120</v>
      </c>
      <c r="AN1620">
        <v>-12</v>
      </c>
      <c r="AO1620">
        <v>0</v>
      </c>
      <c r="AP1620"/>
      <c r="AQ1620">
        <v>0</v>
      </c>
      <c r="AR1620">
        <v>0</v>
      </c>
      <c r="AS1620">
        <v>120</v>
      </c>
      <c r="AT1620">
        <v>-12</v>
      </c>
      <c r="AU1620">
        <v>0</v>
      </c>
      <c r="AW1620">
        <v>0</v>
      </c>
      <c r="AX1620">
        <v>0</v>
      </c>
      <c r="AY1620">
        <v>184.8</v>
      </c>
      <c r="BA1620" t="str">
        <f t="shared" si="280"/>
        <v>0000000000000</v>
      </c>
      <c r="BC1620" t="str">
        <f t="shared" si="281"/>
        <v>9791137604131</v>
      </c>
      <c r="BE1620" t="str">
        <f t="shared" si="282"/>
        <v>로맨스 웹소설 &gt; 현대물</v>
      </c>
    </row>
    <row r="1621" spans="1:57" x14ac:dyDescent="0.3">
      <c r="A1621">
        <v>2313017163</v>
      </c>
      <c r="B1621">
        <v>2313017225</v>
      </c>
      <c r="C1621" t="str">
        <f>T("친절하기는 얼어 죽을 62화")</f>
        <v>친절하기는 얼어 죽을 62화</v>
      </c>
      <c r="D1621" t="str">
        <f>T("63")</f>
        <v>63</v>
      </c>
      <c r="E1621" t="str">
        <f t="shared" si="277"/>
        <v>솜목화</v>
      </c>
      <c r="H1621" t="str">
        <f t="shared" si="278"/>
        <v>블레슈(Blesshuu)</v>
      </c>
      <c r="I1621" t="str">
        <f t="shared" si="279"/>
        <v>친절하기는 얼어 죽을</v>
      </c>
      <c r="J1621">
        <v>100</v>
      </c>
      <c r="K1621">
        <v>300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300</v>
      </c>
      <c r="AH1621">
        <v>3</v>
      </c>
      <c r="AI1621">
        <v>0</v>
      </c>
      <c r="AJ1621">
        <v>0</v>
      </c>
      <c r="AK1621">
        <v>200</v>
      </c>
      <c r="AL1621">
        <v>0</v>
      </c>
      <c r="AM1621">
        <v>120</v>
      </c>
      <c r="AN1621">
        <v>-12</v>
      </c>
      <c r="AO1621">
        <v>0</v>
      </c>
      <c r="AP1621"/>
      <c r="AQ1621">
        <v>0</v>
      </c>
      <c r="AR1621">
        <v>0</v>
      </c>
      <c r="AS1621">
        <v>120</v>
      </c>
      <c r="AT1621">
        <v>-12</v>
      </c>
      <c r="AU1621">
        <v>0</v>
      </c>
      <c r="AW1621">
        <v>0</v>
      </c>
      <c r="AX1621">
        <v>0</v>
      </c>
      <c r="AY1621">
        <v>184.8</v>
      </c>
      <c r="BA1621" t="str">
        <f t="shared" si="280"/>
        <v>0000000000000</v>
      </c>
      <c r="BC1621" t="str">
        <f t="shared" si="281"/>
        <v>9791137604131</v>
      </c>
      <c r="BE1621" t="str">
        <f t="shared" si="282"/>
        <v>로맨스 웹소설 &gt; 현대물</v>
      </c>
    </row>
    <row r="1622" spans="1:57" x14ac:dyDescent="0.3">
      <c r="A1622">
        <v>2313018100</v>
      </c>
      <c r="B1622">
        <v>2313018125</v>
      </c>
      <c r="C1622" t="str">
        <f>T("위대한 가문의 망나니가 되다 26화")</f>
        <v>위대한 가문의 망나니가 되다 26화</v>
      </c>
      <c r="D1622" t="str">
        <f>T("26")</f>
        <v>26</v>
      </c>
      <c r="E1622" t="str">
        <f t="shared" ref="E1622:E1635" si="283">T("바나바다")</f>
        <v>바나바다</v>
      </c>
      <c r="H1622" t="str">
        <f t="shared" ref="H1622:H1635" si="284">T("스토리위즈")</f>
        <v>스토리위즈</v>
      </c>
      <c r="I1622" t="str">
        <f t="shared" ref="I1622:I1635" si="285">T("위대한 가문의 망나니가 되다")</f>
        <v>위대한 가문의 망나니가 되다</v>
      </c>
      <c r="J1622">
        <v>100</v>
      </c>
      <c r="K1622">
        <v>300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300</v>
      </c>
      <c r="AH1622">
        <v>3</v>
      </c>
      <c r="AI1622">
        <v>0</v>
      </c>
      <c r="AJ1622">
        <v>0</v>
      </c>
      <c r="AK1622">
        <v>300</v>
      </c>
      <c r="AL1622">
        <v>0</v>
      </c>
      <c r="AM1622">
        <v>0</v>
      </c>
      <c r="AN1622">
        <v>0</v>
      </c>
      <c r="AO1622">
        <v>0</v>
      </c>
      <c r="AP1622"/>
      <c r="AQ1622">
        <v>0</v>
      </c>
      <c r="AR1622">
        <v>0</v>
      </c>
      <c r="AT1622">
        <v>0</v>
      </c>
      <c r="AU1622">
        <v>0</v>
      </c>
      <c r="AW1622">
        <v>0</v>
      </c>
      <c r="AX1622">
        <v>0</v>
      </c>
      <c r="AY1622">
        <v>210</v>
      </c>
      <c r="BC1622" t="str">
        <f t="shared" ref="BC1622:BC1635" si="286">T("9791137601901")</f>
        <v>9791137601901</v>
      </c>
      <c r="BE1622" t="str">
        <f t="shared" ref="BE1622:BE1635" si="287">T("판타지 웹소설 &gt; 퓨전 판타지")</f>
        <v>판타지 웹소설 &gt; 퓨전 판타지</v>
      </c>
    </row>
    <row r="1623" spans="1:57" x14ac:dyDescent="0.3">
      <c r="A1623">
        <v>2313018100</v>
      </c>
      <c r="B1623">
        <v>2313018126</v>
      </c>
      <c r="C1623" t="str">
        <f>T("위대한 가문의 망나니가 되다 27화")</f>
        <v>위대한 가문의 망나니가 되다 27화</v>
      </c>
      <c r="D1623" t="str">
        <f>T("27")</f>
        <v>27</v>
      </c>
      <c r="E1623" t="str">
        <f t="shared" si="283"/>
        <v>바나바다</v>
      </c>
      <c r="H1623" t="str">
        <f t="shared" si="284"/>
        <v>스토리위즈</v>
      </c>
      <c r="I1623" t="str">
        <f t="shared" si="285"/>
        <v>위대한 가문의 망나니가 되다</v>
      </c>
      <c r="J1623">
        <v>100</v>
      </c>
      <c r="K1623">
        <v>300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300</v>
      </c>
      <c r="AH1623">
        <v>3</v>
      </c>
      <c r="AI1623">
        <v>0</v>
      </c>
      <c r="AJ1623">
        <v>0</v>
      </c>
      <c r="AK1623">
        <v>300</v>
      </c>
      <c r="AL1623">
        <v>0</v>
      </c>
      <c r="AM1623">
        <v>0</v>
      </c>
      <c r="AN1623">
        <v>0</v>
      </c>
      <c r="AO1623">
        <v>0</v>
      </c>
      <c r="AP1623"/>
      <c r="AQ1623">
        <v>0</v>
      </c>
      <c r="AR1623">
        <v>0</v>
      </c>
      <c r="AT1623">
        <v>0</v>
      </c>
      <c r="AU1623">
        <v>0</v>
      </c>
      <c r="AW1623">
        <v>0</v>
      </c>
      <c r="AX1623">
        <v>0</v>
      </c>
      <c r="AY1623">
        <v>210</v>
      </c>
      <c r="BC1623" t="str">
        <f t="shared" si="286"/>
        <v>9791137601901</v>
      </c>
      <c r="BE1623" t="str">
        <f t="shared" si="287"/>
        <v>판타지 웹소설 &gt; 퓨전 판타지</v>
      </c>
    </row>
    <row r="1624" spans="1:57" x14ac:dyDescent="0.3">
      <c r="A1624">
        <v>2313018100</v>
      </c>
      <c r="B1624">
        <v>2313018127</v>
      </c>
      <c r="C1624" t="str">
        <f>T("위대한 가문의 망나니가 되다 28화")</f>
        <v>위대한 가문의 망나니가 되다 28화</v>
      </c>
      <c r="D1624" t="str">
        <f>T("28")</f>
        <v>28</v>
      </c>
      <c r="E1624" t="str">
        <f t="shared" si="283"/>
        <v>바나바다</v>
      </c>
      <c r="H1624" t="str">
        <f t="shared" si="284"/>
        <v>스토리위즈</v>
      </c>
      <c r="I1624" t="str">
        <f t="shared" si="285"/>
        <v>위대한 가문의 망나니가 되다</v>
      </c>
      <c r="J1624">
        <v>100</v>
      </c>
      <c r="K1624">
        <v>300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300</v>
      </c>
      <c r="AH1624">
        <v>3</v>
      </c>
      <c r="AI1624">
        <v>0</v>
      </c>
      <c r="AJ1624">
        <v>0</v>
      </c>
      <c r="AK1624">
        <v>300</v>
      </c>
      <c r="AL1624">
        <v>0</v>
      </c>
      <c r="AM1624">
        <v>0</v>
      </c>
      <c r="AN1624">
        <v>0</v>
      </c>
      <c r="AO1624">
        <v>0</v>
      </c>
      <c r="AP1624"/>
      <c r="AQ1624">
        <v>0</v>
      </c>
      <c r="AR1624">
        <v>0</v>
      </c>
      <c r="AT1624">
        <v>0</v>
      </c>
      <c r="AU1624">
        <v>0</v>
      </c>
      <c r="AW1624">
        <v>0</v>
      </c>
      <c r="AX1624">
        <v>0</v>
      </c>
      <c r="AY1624">
        <v>210</v>
      </c>
      <c r="BC1624" t="str">
        <f t="shared" si="286"/>
        <v>9791137601901</v>
      </c>
      <c r="BE1624" t="str">
        <f t="shared" si="287"/>
        <v>판타지 웹소설 &gt; 퓨전 판타지</v>
      </c>
    </row>
    <row r="1625" spans="1:57" x14ac:dyDescent="0.3">
      <c r="A1625">
        <v>2313018100</v>
      </c>
      <c r="B1625">
        <v>2313018128</v>
      </c>
      <c r="C1625" t="str">
        <f>T("위대한 가문의 망나니가 되다 29화")</f>
        <v>위대한 가문의 망나니가 되다 29화</v>
      </c>
      <c r="D1625" t="str">
        <f>T("29")</f>
        <v>29</v>
      </c>
      <c r="E1625" t="str">
        <f t="shared" si="283"/>
        <v>바나바다</v>
      </c>
      <c r="H1625" t="str">
        <f t="shared" si="284"/>
        <v>스토리위즈</v>
      </c>
      <c r="I1625" t="str">
        <f t="shared" si="285"/>
        <v>위대한 가문의 망나니가 되다</v>
      </c>
      <c r="J1625">
        <v>100</v>
      </c>
      <c r="K1625">
        <v>300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300</v>
      </c>
      <c r="AH1625">
        <v>3</v>
      </c>
      <c r="AI1625">
        <v>0</v>
      </c>
      <c r="AJ1625">
        <v>0</v>
      </c>
      <c r="AK1625">
        <v>300</v>
      </c>
      <c r="AL1625">
        <v>0</v>
      </c>
      <c r="AM1625">
        <v>0</v>
      </c>
      <c r="AN1625">
        <v>0</v>
      </c>
      <c r="AO1625">
        <v>0</v>
      </c>
      <c r="AP1625"/>
      <c r="AQ1625">
        <v>0</v>
      </c>
      <c r="AR1625">
        <v>0</v>
      </c>
      <c r="AT1625">
        <v>0</v>
      </c>
      <c r="AU1625">
        <v>0</v>
      </c>
      <c r="AW1625">
        <v>0</v>
      </c>
      <c r="AX1625">
        <v>0</v>
      </c>
      <c r="AY1625">
        <v>210</v>
      </c>
      <c r="BC1625" t="str">
        <f t="shared" si="286"/>
        <v>9791137601901</v>
      </c>
      <c r="BE1625" t="str">
        <f t="shared" si="287"/>
        <v>판타지 웹소설 &gt; 퓨전 판타지</v>
      </c>
    </row>
    <row r="1626" spans="1:57" x14ac:dyDescent="0.3">
      <c r="A1626">
        <v>2313018100</v>
      </c>
      <c r="B1626">
        <v>2313018129</v>
      </c>
      <c r="C1626" t="str">
        <f>T("위대한 가문의 망나니가 되다 30화")</f>
        <v>위대한 가문의 망나니가 되다 30화</v>
      </c>
      <c r="D1626" t="str">
        <f>T("30")</f>
        <v>30</v>
      </c>
      <c r="E1626" t="str">
        <f t="shared" si="283"/>
        <v>바나바다</v>
      </c>
      <c r="H1626" t="str">
        <f t="shared" si="284"/>
        <v>스토리위즈</v>
      </c>
      <c r="I1626" t="str">
        <f t="shared" si="285"/>
        <v>위대한 가문의 망나니가 되다</v>
      </c>
      <c r="J1626">
        <v>100</v>
      </c>
      <c r="K1626">
        <v>300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300</v>
      </c>
      <c r="AH1626">
        <v>3</v>
      </c>
      <c r="AI1626">
        <v>0</v>
      </c>
      <c r="AJ1626">
        <v>0</v>
      </c>
      <c r="AK1626">
        <v>300</v>
      </c>
      <c r="AL1626">
        <v>0</v>
      </c>
      <c r="AM1626">
        <v>0</v>
      </c>
      <c r="AN1626">
        <v>0</v>
      </c>
      <c r="AO1626">
        <v>0</v>
      </c>
      <c r="AP1626"/>
      <c r="AQ1626">
        <v>0</v>
      </c>
      <c r="AR1626">
        <v>0</v>
      </c>
      <c r="AT1626">
        <v>0</v>
      </c>
      <c r="AU1626">
        <v>0</v>
      </c>
      <c r="AW1626">
        <v>0</v>
      </c>
      <c r="AX1626">
        <v>0</v>
      </c>
      <c r="AY1626">
        <v>210</v>
      </c>
      <c r="BC1626" t="str">
        <f t="shared" si="286"/>
        <v>9791137601901</v>
      </c>
      <c r="BE1626" t="str">
        <f t="shared" si="287"/>
        <v>판타지 웹소설 &gt; 퓨전 판타지</v>
      </c>
    </row>
    <row r="1627" spans="1:57" x14ac:dyDescent="0.3">
      <c r="A1627">
        <v>2313018100</v>
      </c>
      <c r="B1627">
        <v>2313018130</v>
      </c>
      <c r="C1627" t="str">
        <f>T("위대한 가문의 망나니가 되다 31화")</f>
        <v>위대한 가문의 망나니가 되다 31화</v>
      </c>
      <c r="D1627" t="str">
        <f>T("31")</f>
        <v>31</v>
      </c>
      <c r="E1627" t="str">
        <f t="shared" si="283"/>
        <v>바나바다</v>
      </c>
      <c r="H1627" t="str">
        <f t="shared" si="284"/>
        <v>스토리위즈</v>
      </c>
      <c r="I1627" t="str">
        <f t="shared" si="285"/>
        <v>위대한 가문의 망나니가 되다</v>
      </c>
      <c r="J1627">
        <v>100</v>
      </c>
      <c r="K1627">
        <v>300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300</v>
      </c>
      <c r="AH1627">
        <v>3</v>
      </c>
      <c r="AI1627">
        <v>0</v>
      </c>
      <c r="AJ1627">
        <v>0</v>
      </c>
      <c r="AK1627">
        <v>300</v>
      </c>
      <c r="AL1627">
        <v>0</v>
      </c>
      <c r="AM1627">
        <v>0</v>
      </c>
      <c r="AN1627">
        <v>0</v>
      </c>
      <c r="AO1627">
        <v>0</v>
      </c>
      <c r="AP1627"/>
      <c r="AQ1627">
        <v>0</v>
      </c>
      <c r="AR1627">
        <v>0</v>
      </c>
      <c r="AT1627">
        <v>0</v>
      </c>
      <c r="AU1627">
        <v>0</v>
      </c>
      <c r="AW1627">
        <v>0</v>
      </c>
      <c r="AX1627">
        <v>0</v>
      </c>
      <c r="AY1627">
        <v>210</v>
      </c>
      <c r="BC1627" t="str">
        <f t="shared" si="286"/>
        <v>9791137601901</v>
      </c>
      <c r="BE1627" t="str">
        <f t="shared" si="287"/>
        <v>판타지 웹소설 &gt; 퓨전 판타지</v>
      </c>
    </row>
    <row r="1628" spans="1:57" x14ac:dyDescent="0.3">
      <c r="A1628">
        <v>2313018100</v>
      </c>
      <c r="B1628">
        <v>2313018131</v>
      </c>
      <c r="C1628" t="str">
        <f>T("위대한 가문의 망나니가 되다 32화")</f>
        <v>위대한 가문의 망나니가 되다 32화</v>
      </c>
      <c r="D1628" t="str">
        <f>T("32")</f>
        <v>32</v>
      </c>
      <c r="E1628" t="str">
        <f t="shared" si="283"/>
        <v>바나바다</v>
      </c>
      <c r="H1628" t="str">
        <f t="shared" si="284"/>
        <v>스토리위즈</v>
      </c>
      <c r="I1628" t="str">
        <f t="shared" si="285"/>
        <v>위대한 가문의 망나니가 되다</v>
      </c>
      <c r="J1628">
        <v>100</v>
      </c>
      <c r="K1628">
        <v>300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300</v>
      </c>
      <c r="AH1628">
        <v>3</v>
      </c>
      <c r="AI1628">
        <v>0</v>
      </c>
      <c r="AJ1628">
        <v>0</v>
      </c>
      <c r="AK1628">
        <v>300</v>
      </c>
      <c r="AL1628">
        <v>0</v>
      </c>
      <c r="AM1628">
        <v>0</v>
      </c>
      <c r="AN1628">
        <v>0</v>
      </c>
      <c r="AO1628">
        <v>0</v>
      </c>
      <c r="AP1628"/>
      <c r="AQ1628">
        <v>0</v>
      </c>
      <c r="AR1628">
        <v>0</v>
      </c>
      <c r="AT1628">
        <v>0</v>
      </c>
      <c r="AU1628">
        <v>0</v>
      </c>
      <c r="AW1628">
        <v>0</v>
      </c>
      <c r="AX1628">
        <v>0</v>
      </c>
      <c r="AY1628">
        <v>210</v>
      </c>
      <c r="BC1628" t="str">
        <f t="shared" si="286"/>
        <v>9791137601901</v>
      </c>
      <c r="BE1628" t="str">
        <f t="shared" si="287"/>
        <v>판타지 웹소설 &gt; 퓨전 판타지</v>
      </c>
    </row>
    <row r="1629" spans="1:57" x14ac:dyDescent="0.3">
      <c r="A1629">
        <v>2313018100</v>
      </c>
      <c r="B1629">
        <v>2313018132</v>
      </c>
      <c r="C1629" t="str">
        <f>T("위대한 가문의 망나니가 되다 33화")</f>
        <v>위대한 가문의 망나니가 되다 33화</v>
      </c>
      <c r="D1629" t="str">
        <f>T("33")</f>
        <v>33</v>
      </c>
      <c r="E1629" t="str">
        <f t="shared" si="283"/>
        <v>바나바다</v>
      </c>
      <c r="H1629" t="str">
        <f t="shared" si="284"/>
        <v>스토리위즈</v>
      </c>
      <c r="I1629" t="str">
        <f t="shared" si="285"/>
        <v>위대한 가문의 망나니가 되다</v>
      </c>
      <c r="J1629">
        <v>100</v>
      </c>
      <c r="K1629">
        <v>300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300</v>
      </c>
      <c r="AH1629">
        <v>3</v>
      </c>
      <c r="AI1629">
        <v>0</v>
      </c>
      <c r="AJ1629">
        <v>0</v>
      </c>
      <c r="AK1629">
        <v>300</v>
      </c>
      <c r="AL1629">
        <v>0</v>
      </c>
      <c r="AM1629">
        <v>0</v>
      </c>
      <c r="AN1629">
        <v>0</v>
      </c>
      <c r="AO1629">
        <v>0</v>
      </c>
      <c r="AP1629"/>
      <c r="AQ1629">
        <v>0</v>
      </c>
      <c r="AR1629">
        <v>0</v>
      </c>
      <c r="AT1629">
        <v>0</v>
      </c>
      <c r="AU1629">
        <v>0</v>
      </c>
      <c r="AW1629">
        <v>0</v>
      </c>
      <c r="AX1629">
        <v>0</v>
      </c>
      <c r="AY1629">
        <v>210</v>
      </c>
      <c r="BC1629" t="str">
        <f t="shared" si="286"/>
        <v>9791137601901</v>
      </c>
      <c r="BE1629" t="str">
        <f t="shared" si="287"/>
        <v>판타지 웹소설 &gt; 퓨전 판타지</v>
      </c>
    </row>
    <row r="1630" spans="1:57" x14ac:dyDescent="0.3">
      <c r="A1630">
        <v>2313018100</v>
      </c>
      <c r="B1630">
        <v>2313018133</v>
      </c>
      <c r="C1630" t="str">
        <f>T("위대한 가문의 망나니가 되다 34화")</f>
        <v>위대한 가문의 망나니가 되다 34화</v>
      </c>
      <c r="D1630" t="str">
        <f>T("34")</f>
        <v>34</v>
      </c>
      <c r="E1630" t="str">
        <f t="shared" si="283"/>
        <v>바나바다</v>
      </c>
      <c r="H1630" t="str">
        <f t="shared" si="284"/>
        <v>스토리위즈</v>
      </c>
      <c r="I1630" t="str">
        <f t="shared" si="285"/>
        <v>위대한 가문의 망나니가 되다</v>
      </c>
      <c r="J1630">
        <v>100</v>
      </c>
      <c r="K1630">
        <v>300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300</v>
      </c>
      <c r="AH1630">
        <v>3</v>
      </c>
      <c r="AI1630">
        <v>0</v>
      </c>
      <c r="AJ1630">
        <v>0</v>
      </c>
      <c r="AK1630">
        <v>300</v>
      </c>
      <c r="AL1630">
        <v>0</v>
      </c>
      <c r="AM1630">
        <v>0</v>
      </c>
      <c r="AN1630">
        <v>0</v>
      </c>
      <c r="AO1630">
        <v>0</v>
      </c>
      <c r="AP1630"/>
      <c r="AQ1630">
        <v>0</v>
      </c>
      <c r="AR1630">
        <v>0</v>
      </c>
      <c r="AT1630">
        <v>0</v>
      </c>
      <c r="AU1630">
        <v>0</v>
      </c>
      <c r="AW1630">
        <v>0</v>
      </c>
      <c r="AX1630">
        <v>0</v>
      </c>
      <c r="AY1630">
        <v>210</v>
      </c>
      <c r="BC1630" t="str">
        <f t="shared" si="286"/>
        <v>9791137601901</v>
      </c>
      <c r="BE1630" t="str">
        <f t="shared" si="287"/>
        <v>판타지 웹소설 &gt; 퓨전 판타지</v>
      </c>
    </row>
    <row r="1631" spans="1:57" x14ac:dyDescent="0.3">
      <c r="A1631">
        <v>2313018100</v>
      </c>
      <c r="B1631">
        <v>2313018134</v>
      </c>
      <c r="C1631" t="str">
        <f>T("위대한 가문의 망나니가 되다 35화")</f>
        <v>위대한 가문의 망나니가 되다 35화</v>
      </c>
      <c r="D1631" t="str">
        <f>T("35")</f>
        <v>35</v>
      </c>
      <c r="E1631" t="str">
        <f t="shared" si="283"/>
        <v>바나바다</v>
      </c>
      <c r="H1631" t="str">
        <f t="shared" si="284"/>
        <v>스토리위즈</v>
      </c>
      <c r="I1631" t="str">
        <f t="shared" si="285"/>
        <v>위대한 가문의 망나니가 되다</v>
      </c>
      <c r="J1631">
        <v>100</v>
      </c>
      <c r="K1631">
        <v>300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300</v>
      </c>
      <c r="AH1631">
        <v>3</v>
      </c>
      <c r="AI1631">
        <v>0</v>
      </c>
      <c r="AJ1631">
        <v>0</v>
      </c>
      <c r="AK1631">
        <v>300</v>
      </c>
      <c r="AL1631">
        <v>0</v>
      </c>
      <c r="AM1631">
        <v>0</v>
      </c>
      <c r="AN1631">
        <v>0</v>
      </c>
      <c r="AO1631">
        <v>0</v>
      </c>
      <c r="AP1631"/>
      <c r="AQ1631">
        <v>0</v>
      </c>
      <c r="AR1631">
        <v>0</v>
      </c>
      <c r="AT1631">
        <v>0</v>
      </c>
      <c r="AU1631">
        <v>0</v>
      </c>
      <c r="AW1631">
        <v>0</v>
      </c>
      <c r="AX1631">
        <v>0</v>
      </c>
      <c r="AY1631">
        <v>210</v>
      </c>
      <c r="BC1631" t="str">
        <f t="shared" si="286"/>
        <v>9791137601901</v>
      </c>
      <c r="BE1631" t="str">
        <f t="shared" si="287"/>
        <v>판타지 웹소설 &gt; 퓨전 판타지</v>
      </c>
    </row>
    <row r="1632" spans="1:57" x14ac:dyDescent="0.3">
      <c r="A1632">
        <v>2313018100</v>
      </c>
      <c r="B1632">
        <v>2313018135</v>
      </c>
      <c r="C1632" t="str">
        <f>T("위대한 가문의 망나니가 되다 36화")</f>
        <v>위대한 가문의 망나니가 되다 36화</v>
      </c>
      <c r="D1632" t="str">
        <f>T("36")</f>
        <v>36</v>
      </c>
      <c r="E1632" t="str">
        <f t="shared" si="283"/>
        <v>바나바다</v>
      </c>
      <c r="H1632" t="str">
        <f t="shared" si="284"/>
        <v>스토리위즈</v>
      </c>
      <c r="I1632" t="str">
        <f t="shared" si="285"/>
        <v>위대한 가문의 망나니가 되다</v>
      </c>
      <c r="J1632">
        <v>100</v>
      </c>
      <c r="K1632">
        <v>300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300</v>
      </c>
      <c r="AH1632">
        <v>3</v>
      </c>
      <c r="AI1632">
        <v>0</v>
      </c>
      <c r="AJ1632">
        <v>0</v>
      </c>
      <c r="AK1632">
        <v>300</v>
      </c>
      <c r="AL1632">
        <v>0</v>
      </c>
      <c r="AM1632">
        <v>0</v>
      </c>
      <c r="AN1632">
        <v>0</v>
      </c>
      <c r="AO1632">
        <v>0</v>
      </c>
      <c r="AP1632"/>
      <c r="AQ1632">
        <v>0</v>
      </c>
      <c r="AR1632">
        <v>0</v>
      </c>
      <c r="AT1632">
        <v>0</v>
      </c>
      <c r="AU1632">
        <v>0</v>
      </c>
      <c r="AW1632">
        <v>0</v>
      </c>
      <c r="AX1632">
        <v>0</v>
      </c>
      <c r="AY1632">
        <v>210</v>
      </c>
      <c r="BC1632" t="str">
        <f t="shared" si="286"/>
        <v>9791137601901</v>
      </c>
      <c r="BE1632" t="str">
        <f t="shared" si="287"/>
        <v>판타지 웹소설 &gt; 퓨전 판타지</v>
      </c>
    </row>
    <row r="1633" spans="1:57" x14ac:dyDescent="0.3">
      <c r="A1633">
        <v>2313018100</v>
      </c>
      <c r="B1633">
        <v>2313018136</v>
      </c>
      <c r="C1633" t="str">
        <f>T("위대한 가문의 망나니가 되다 37화")</f>
        <v>위대한 가문의 망나니가 되다 37화</v>
      </c>
      <c r="D1633" t="str">
        <f>T("37")</f>
        <v>37</v>
      </c>
      <c r="E1633" t="str">
        <f t="shared" si="283"/>
        <v>바나바다</v>
      </c>
      <c r="H1633" t="str">
        <f t="shared" si="284"/>
        <v>스토리위즈</v>
      </c>
      <c r="I1633" t="str">
        <f t="shared" si="285"/>
        <v>위대한 가문의 망나니가 되다</v>
      </c>
      <c r="J1633">
        <v>100</v>
      </c>
      <c r="K1633">
        <v>300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300</v>
      </c>
      <c r="AH1633">
        <v>3</v>
      </c>
      <c r="AI1633">
        <v>0</v>
      </c>
      <c r="AJ1633">
        <v>0</v>
      </c>
      <c r="AK1633">
        <v>300</v>
      </c>
      <c r="AL1633">
        <v>0</v>
      </c>
      <c r="AM1633">
        <v>0</v>
      </c>
      <c r="AN1633">
        <v>0</v>
      </c>
      <c r="AO1633">
        <v>0</v>
      </c>
      <c r="AP1633"/>
      <c r="AQ1633">
        <v>0</v>
      </c>
      <c r="AR1633">
        <v>0</v>
      </c>
      <c r="AT1633">
        <v>0</v>
      </c>
      <c r="AU1633">
        <v>0</v>
      </c>
      <c r="AW1633">
        <v>0</v>
      </c>
      <c r="AX1633">
        <v>0</v>
      </c>
      <c r="AY1633">
        <v>210</v>
      </c>
      <c r="BC1633" t="str">
        <f t="shared" si="286"/>
        <v>9791137601901</v>
      </c>
      <c r="BE1633" t="str">
        <f t="shared" si="287"/>
        <v>판타지 웹소설 &gt; 퓨전 판타지</v>
      </c>
    </row>
    <row r="1634" spans="1:57" x14ac:dyDescent="0.3">
      <c r="A1634">
        <v>2313018100</v>
      </c>
      <c r="B1634">
        <v>2313018137</v>
      </c>
      <c r="C1634" t="str">
        <f>T("위대한 가문의 망나니가 되다 38화")</f>
        <v>위대한 가문의 망나니가 되다 38화</v>
      </c>
      <c r="D1634" t="str">
        <f>T("38")</f>
        <v>38</v>
      </c>
      <c r="E1634" t="str">
        <f t="shared" si="283"/>
        <v>바나바다</v>
      </c>
      <c r="H1634" t="str">
        <f t="shared" si="284"/>
        <v>스토리위즈</v>
      </c>
      <c r="I1634" t="str">
        <f t="shared" si="285"/>
        <v>위대한 가문의 망나니가 되다</v>
      </c>
      <c r="J1634">
        <v>100</v>
      </c>
      <c r="K1634">
        <v>300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300</v>
      </c>
      <c r="AH1634">
        <v>3</v>
      </c>
      <c r="AI1634">
        <v>0</v>
      </c>
      <c r="AJ1634">
        <v>0</v>
      </c>
      <c r="AK1634">
        <v>300</v>
      </c>
      <c r="AL1634">
        <v>0</v>
      </c>
      <c r="AM1634">
        <v>0</v>
      </c>
      <c r="AN1634">
        <v>0</v>
      </c>
      <c r="AO1634">
        <v>0</v>
      </c>
      <c r="AP1634"/>
      <c r="AQ1634">
        <v>0</v>
      </c>
      <c r="AR1634">
        <v>0</v>
      </c>
      <c r="AT1634">
        <v>0</v>
      </c>
      <c r="AU1634">
        <v>0</v>
      </c>
      <c r="AW1634">
        <v>0</v>
      </c>
      <c r="AX1634">
        <v>0</v>
      </c>
      <c r="AY1634">
        <v>210</v>
      </c>
      <c r="BC1634" t="str">
        <f t="shared" si="286"/>
        <v>9791137601901</v>
      </c>
      <c r="BE1634" t="str">
        <f t="shared" si="287"/>
        <v>판타지 웹소설 &gt; 퓨전 판타지</v>
      </c>
    </row>
    <row r="1635" spans="1:57" x14ac:dyDescent="0.3">
      <c r="A1635">
        <v>2313018100</v>
      </c>
      <c r="B1635">
        <v>2313018138</v>
      </c>
      <c r="C1635" t="str">
        <f>T("위대한 가문의 망나니가 되다 39화")</f>
        <v>위대한 가문의 망나니가 되다 39화</v>
      </c>
      <c r="D1635" t="str">
        <f>T("39")</f>
        <v>39</v>
      </c>
      <c r="E1635" t="str">
        <f t="shared" si="283"/>
        <v>바나바다</v>
      </c>
      <c r="H1635" t="str">
        <f t="shared" si="284"/>
        <v>스토리위즈</v>
      </c>
      <c r="I1635" t="str">
        <f t="shared" si="285"/>
        <v>위대한 가문의 망나니가 되다</v>
      </c>
      <c r="J1635">
        <v>100</v>
      </c>
      <c r="K1635">
        <v>300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300</v>
      </c>
      <c r="AH1635">
        <v>3</v>
      </c>
      <c r="AI1635">
        <v>0</v>
      </c>
      <c r="AJ1635">
        <v>0</v>
      </c>
      <c r="AK1635">
        <v>300</v>
      </c>
      <c r="AL1635">
        <v>0</v>
      </c>
      <c r="AM1635">
        <v>0</v>
      </c>
      <c r="AN1635">
        <v>0</v>
      </c>
      <c r="AO1635">
        <v>0</v>
      </c>
      <c r="AP1635"/>
      <c r="AQ1635">
        <v>0</v>
      </c>
      <c r="AR1635">
        <v>0</v>
      </c>
      <c r="AT1635">
        <v>0</v>
      </c>
      <c r="AU1635">
        <v>0</v>
      </c>
      <c r="AW1635">
        <v>0</v>
      </c>
      <c r="AX1635">
        <v>0</v>
      </c>
      <c r="AY1635">
        <v>210</v>
      </c>
      <c r="BC1635" t="str">
        <f t="shared" si="286"/>
        <v>9791137601901</v>
      </c>
      <c r="BE1635" t="str">
        <f t="shared" si="287"/>
        <v>판타지 웹소설 &gt; 퓨전 판타지</v>
      </c>
    </row>
    <row r="1636" spans="1:57" x14ac:dyDescent="0.3">
      <c r="A1636">
        <v>2313019814</v>
      </c>
      <c r="B1636">
        <v>2313019823</v>
      </c>
      <c r="C1636" t="str">
        <f>T("친구 졸업 10화")</f>
        <v>친구 졸업 10화</v>
      </c>
      <c r="D1636" t="str">
        <f>T("10")</f>
        <v>10</v>
      </c>
      <c r="E1636" t="str">
        <f>T("세상")</f>
        <v>세상</v>
      </c>
      <c r="H1636" t="str">
        <f>T("앰퍼샌드B")</f>
        <v>앰퍼샌드B</v>
      </c>
      <c r="I1636" t="str">
        <f>T("친구 졸업")</f>
        <v>친구 졸업</v>
      </c>
      <c r="J1636">
        <v>100</v>
      </c>
      <c r="K1636">
        <v>300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300</v>
      </c>
      <c r="AH1636">
        <v>3</v>
      </c>
      <c r="AI1636">
        <v>0</v>
      </c>
      <c r="AJ1636">
        <v>0</v>
      </c>
      <c r="AK1636">
        <v>200</v>
      </c>
      <c r="AL1636">
        <v>0</v>
      </c>
      <c r="AM1636">
        <v>120</v>
      </c>
      <c r="AN1636">
        <v>-12</v>
      </c>
      <c r="AO1636">
        <v>0</v>
      </c>
      <c r="AP1636"/>
      <c r="AQ1636">
        <v>0</v>
      </c>
      <c r="AR1636">
        <v>0</v>
      </c>
      <c r="AS1636">
        <v>120</v>
      </c>
      <c r="AT1636">
        <v>-12</v>
      </c>
      <c r="AU1636">
        <v>0</v>
      </c>
      <c r="AW1636">
        <v>0</v>
      </c>
      <c r="AX1636">
        <v>0</v>
      </c>
      <c r="AY1636">
        <v>215.6</v>
      </c>
      <c r="BC1636" t="str">
        <f>T("9791137606975")</f>
        <v>9791137606975</v>
      </c>
      <c r="BE1636" t="str">
        <f>T("BL 웹소설 &gt; 현대물")</f>
        <v>BL 웹소설 &gt; 현대물</v>
      </c>
    </row>
    <row r="1637" spans="1:57" x14ac:dyDescent="0.3">
      <c r="A1637">
        <v>2313019814</v>
      </c>
      <c r="B1637">
        <v>2313019837</v>
      </c>
      <c r="C1637" t="str">
        <f>T("친구 졸업 11화")</f>
        <v>친구 졸업 11화</v>
      </c>
      <c r="D1637" t="str">
        <f>T("11")</f>
        <v>11</v>
      </c>
      <c r="E1637" t="str">
        <f>T("세상")</f>
        <v>세상</v>
      </c>
      <c r="H1637" t="str">
        <f>T("앰퍼샌드B")</f>
        <v>앰퍼샌드B</v>
      </c>
      <c r="I1637" t="str">
        <f>T("친구 졸업")</f>
        <v>친구 졸업</v>
      </c>
      <c r="J1637">
        <v>100</v>
      </c>
      <c r="K1637">
        <v>300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300</v>
      </c>
      <c r="AH1637">
        <v>3</v>
      </c>
      <c r="AI1637">
        <v>0</v>
      </c>
      <c r="AJ1637">
        <v>0</v>
      </c>
      <c r="AK1637">
        <v>200</v>
      </c>
      <c r="AL1637">
        <v>0</v>
      </c>
      <c r="AM1637">
        <v>120</v>
      </c>
      <c r="AN1637">
        <v>-12</v>
      </c>
      <c r="AO1637">
        <v>0</v>
      </c>
      <c r="AP1637"/>
      <c r="AQ1637">
        <v>0</v>
      </c>
      <c r="AR1637">
        <v>0</v>
      </c>
      <c r="AS1637">
        <v>120</v>
      </c>
      <c r="AT1637">
        <v>-12</v>
      </c>
      <c r="AU1637">
        <v>0</v>
      </c>
      <c r="AW1637">
        <v>0</v>
      </c>
      <c r="AX1637">
        <v>0</v>
      </c>
      <c r="AY1637">
        <v>215.6</v>
      </c>
      <c r="BC1637" t="str">
        <f>T("9791137606975")</f>
        <v>9791137606975</v>
      </c>
      <c r="BE1637" t="str">
        <f>T("BL 웹소설 &gt; 현대물")</f>
        <v>BL 웹소설 &gt; 현대물</v>
      </c>
    </row>
    <row r="1638" spans="1:57" x14ac:dyDescent="0.3">
      <c r="A1638">
        <v>2313019814</v>
      </c>
      <c r="B1638">
        <v>2313020080</v>
      </c>
      <c r="C1638" t="str">
        <f>T("친구 졸업 93화")</f>
        <v>친구 졸업 93화</v>
      </c>
      <c r="D1638" t="str">
        <f>T("93")</f>
        <v>93</v>
      </c>
      <c r="E1638" t="str">
        <f>T("세상")</f>
        <v>세상</v>
      </c>
      <c r="H1638" t="str">
        <f>T("앰퍼샌드B")</f>
        <v>앰퍼샌드B</v>
      </c>
      <c r="I1638" t="str">
        <f>T("친구 졸업")</f>
        <v>친구 졸업</v>
      </c>
      <c r="J1638">
        <v>100</v>
      </c>
      <c r="K1638">
        <v>300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300</v>
      </c>
      <c r="AH1638">
        <v>3</v>
      </c>
      <c r="AI1638">
        <v>0</v>
      </c>
      <c r="AJ1638">
        <v>0</v>
      </c>
      <c r="AK1638">
        <v>300</v>
      </c>
      <c r="AL1638">
        <v>0</v>
      </c>
      <c r="AM1638">
        <v>0</v>
      </c>
      <c r="AN1638">
        <v>0</v>
      </c>
      <c r="AO1638">
        <v>0</v>
      </c>
      <c r="AP1638"/>
      <c r="AQ1638">
        <v>0</v>
      </c>
      <c r="AR1638">
        <v>0</v>
      </c>
      <c r="AT1638">
        <v>0</v>
      </c>
      <c r="AU1638">
        <v>0</v>
      </c>
      <c r="AW1638">
        <v>0</v>
      </c>
      <c r="AX1638">
        <v>0</v>
      </c>
      <c r="AY1638">
        <v>210</v>
      </c>
      <c r="BC1638" t="str">
        <f>T("9791137606975")</f>
        <v>9791137606975</v>
      </c>
      <c r="BE1638" t="str">
        <f>T("BL 웹소설 &gt; 현대물")</f>
        <v>BL 웹소설 &gt; 현대물</v>
      </c>
    </row>
    <row r="1639" spans="1:57" x14ac:dyDescent="0.3">
      <c r="A1639">
        <v>2313020382</v>
      </c>
      <c r="B1639">
        <v>2313020405</v>
      </c>
      <c r="C1639" t="str">
        <f>T("신입사원이 이렇게 일을 잘했다고? 24화")</f>
        <v>신입사원이 이렇게 일을 잘했다고? 24화</v>
      </c>
      <c r="D1639" t="str">
        <f>T("24")</f>
        <v>24</v>
      </c>
      <c r="E1639" t="str">
        <f>T("왕십리글쟁이")</f>
        <v>왕십리글쟁이</v>
      </c>
      <c r="H1639" t="str">
        <f t="shared" ref="H1639:H1702" si="288">T("스토리위즈")</f>
        <v>스토리위즈</v>
      </c>
      <c r="I1639" t="str">
        <f>T("신입사원이 이렇게 일을 잘했다고?")</f>
        <v>신입사원이 이렇게 일을 잘했다고?</v>
      </c>
      <c r="J1639">
        <v>100</v>
      </c>
      <c r="K1639">
        <v>300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300</v>
      </c>
      <c r="AH1639">
        <v>3</v>
      </c>
      <c r="AI1639">
        <v>0</v>
      </c>
      <c r="AJ1639">
        <v>0</v>
      </c>
      <c r="AK1639">
        <v>300</v>
      </c>
      <c r="AL1639">
        <v>0</v>
      </c>
      <c r="AM1639">
        <v>0</v>
      </c>
      <c r="AN1639">
        <v>0</v>
      </c>
      <c r="AO1639">
        <v>0</v>
      </c>
      <c r="AP1639"/>
      <c r="AQ1639">
        <v>0</v>
      </c>
      <c r="AR1639">
        <v>0</v>
      </c>
      <c r="AT1639">
        <v>0</v>
      </c>
      <c r="AU1639">
        <v>0</v>
      </c>
      <c r="AW1639">
        <v>0</v>
      </c>
      <c r="AX1639">
        <v>0</v>
      </c>
      <c r="AY1639">
        <v>210</v>
      </c>
      <c r="BC1639" t="str">
        <f>T("9791137602946")</f>
        <v>9791137602946</v>
      </c>
      <c r="BE1639" t="str">
        <f>T("판타지 웹소설 &gt; 현대 판타지")</f>
        <v>판타지 웹소설 &gt; 현대 판타지</v>
      </c>
    </row>
    <row r="1640" spans="1:57" x14ac:dyDescent="0.3">
      <c r="A1640">
        <v>2313020594</v>
      </c>
      <c r="B1640">
        <v>2313020691</v>
      </c>
      <c r="C1640" t="str">
        <f>T("아카데미 속 궁술천재 98화")</f>
        <v>아카데미 속 궁술천재 98화</v>
      </c>
      <c r="D1640" t="str">
        <f>T("98")</f>
        <v>98</v>
      </c>
      <c r="E1640" t="str">
        <f t="shared" ref="E1640:E1674" si="289">T("깡펀치")</f>
        <v>깡펀치</v>
      </c>
      <c r="H1640" t="str">
        <f t="shared" si="288"/>
        <v>스토리위즈</v>
      </c>
      <c r="I1640" t="str">
        <f t="shared" ref="I1640:I1674" si="290">T("아카데미 속 궁술천재")</f>
        <v>아카데미 속 궁술천재</v>
      </c>
      <c r="J1640">
        <v>100</v>
      </c>
      <c r="K1640">
        <v>300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300</v>
      </c>
      <c r="AH1640">
        <v>3</v>
      </c>
      <c r="AI1640">
        <v>0</v>
      </c>
      <c r="AJ1640">
        <v>0</v>
      </c>
      <c r="AK1640">
        <v>300</v>
      </c>
      <c r="AL1640">
        <v>0</v>
      </c>
      <c r="AM1640">
        <v>0</v>
      </c>
      <c r="AN1640">
        <v>0</v>
      </c>
      <c r="AO1640">
        <v>0</v>
      </c>
      <c r="AP1640"/>
      <c r="AQ1640">
        <v>0</v>
      </c>
      <c r="AR1640">
        <v>0</v>
      </c>
      <c r="AT1640">
        <v>0</v>
      </c>
      <c r="AU1640">
        <v>0</v>
      </c>
      <c r="AW1640">
        <v>0</v>
      </c>
      <c r="AX1640">
        <v>0</v>
      </c>
      <c r="AY1640">
        <v>210</v>
      </c>
      <c r="BC1640" t="str">
        <f t="shared" ref="BC1640:BC1674" si="291">T("9791137602915")</f>
        <v>9791137602915</v>
      </c>
      <c r="BE1640" t="str">
        <f t="shared" ref="BE1640:BE1677" si="292">T("판타지 웹소설 &gt; 퓨전 판타지")</f>
        <v>판타지 웹소설 &gt; 퓨전 판타지</v>
      </c>
    </row>
    <row r="1641" spans="1:57" x14ac:dyDescent="0.3">
      <c r="A1641">
        <v>2313020594</v>
      </c>
      <c r="B1641">
        <v>2313020694</v>
      </c>
      <c r="C1641" t="str">
        <f>T("아카데미 속 궁술천재 101화")</f>
        <v>아카데미 속 궁술천재 101화</v>
      </c>
      <c r="D1641" t="str">
        <f>T("101")</f>
        <v>101</v>
      </c>
      <c r="E1641" t="str">
        <f t="shared" si="289"/>
        <v>깡펀치</v>
      </c>
      <c r="H1641" t="str">
        <f t="shared" si="288"/>
        <v>스토리위즈</v>
      </c>
      <c r="I1641" t="str">
        <f t="shared" si="290"/>
        <v>아카데미 속 궁술천재</v>
      </c>
      <c r="J1641">
        <v>100</v>
      </c>
      <c r="K1641">
        <v>300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300</v>
      </c>
      <c r="AH1641">
        <v>3</v>
      </c>
      <c r="AI1641">
        <v>0</v>
      </c>
      <c r="AJ1641">
        <v>0</v>
      </c>
      <c r="AK1641">
        <v>300</v>
      </c>
      <c r="AL1641">
        <v>0</v>
      </c>
      <c r="AM1641">
        <v>0</v>
      </c>
      <c r="AN1641">
        <v>0</v>
      </c>
      <c r="AO1641">
        <v>0</v>
      </c>
      <c r="AP1641"/>
      <c r="AQ1641">
        <v>0</v>
      </c>
      <c r="AR1641">
        <v>0</v>
      </c>
      <c r="AT1641">
        <v>0</v>
      </c>
      <c r="AU1641">
        <v>0</v>
      </c>
      <c r="AW1641">
        <v>0</v>
      </c>
      <c r="AX1641">
        <v>0</v>
      </c>
      <c r="AY1641">
        <v>210</v>
      </c>
      <c r="BC1641" t="str">
        <f t="shared" si="291"/>
        <v>9791137602915</v>
      </c>
      <c r="BE1641" t="str">
        <f t="shared" si="292"/>
        <v>판타지 웹소설 &gt; 퓨전 판타지</v>
      </c>
    </row>
    <row r="1642" spans="1:57" x14ac:dyDescent="0.3">
      <c r="A1642">
        <v>2313020594</v>
      </c>
      <c r="B1642">
        <v>2313020695</v>
      </c>
      <c r="C1642" t="str">
        <f>T("아카데미 속 궁술천재 102화")</f>
        <v>아카데미 속 궁술천재 102화</v>
      </c>
      <c r="D1642" t="str">
        <f>T("102")</f>
        <v>102</v>
      </c>
      <c r="E1642" t="str">
        <f t="shared" si="289"/>
        <v>깡펀치</v>
      </c>
      <c r="H1642" t="str">
        <f t="shared" si="288"/>
        <v>스토리위즈</v>
      </c>
      <c r="I1642" t="str">
        <f t="shared" si="290"/>
        <v>아카데미 속 궁술천재</v>
      </c>
      <c r="J1642">
        <v>100</v>
      </c>
      <c r="K1642">
        <v>300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300</v>
      </c>
      <c r="AH1642">
        <v>3</v>
      </c>
      <c r="AI1642">
        <v>0</v>
      </c>
      <c r="AJ1642">
        <v>0</v>
      </c>
      <c r="AK1642">
        <v>300</v>
      </c>
      <c r="AL1642">
        <v>0</v>
      </c>
      <c r="AM1642">
        <v>0</v>
      </c>
      <c r="AN1642">
        <v>0</v>
      </c>
      <c r="AO1642">
        <v>0</v>
      </c>
      <c r="AP1642"/>
      <c r="AQ1642">
        <v>0</v>
      </c>
      <c r="AR1642">
        <v>0</v>
      </c>
      <c r="AT1642">
        <v>0</v>
      </c>
      <c r="AU1642">
        <v>0</v>
      </c>
      <c r="AW1642">
        <v>0</v>
      </c>
      <c r="AX1642">
        <v>0</v>
      </c>
      <c r="AY1642">
        <v>210</v>
      </c>
      <c r="BC1642" t="str">
        <f t="shared" si="291"/>
        <v>9791137602915</v>
      </c>
      <c r="BE1642" t="str">
        <f t="shared" si="292"/>
        <v>판타지 웹소설 &gt; 퓨전 판타지</v>
      </c>
    </row>
    <row r="1643" spans="1:57" x14ac:dyDescent="0.3">
      <c r="A1643">
        <v>2313020594</v>
      </c>
      <c r="B1643">
        <v>2313020696</v>
      </c>
      <c r="C1643" t="str">
        <f>T("아카데미 속 궁술천재 103화")</f>
        <v>아카데미 속 궁술천재 103화</v>
      </c>
      <c r="D1643" t="str">
        <f>T("103")</f>
        <v>103</v>
      </c>
      <c r="E1643" t="str">
        <f t="shared" si="289"/>
        <v>깡펀치</v>
      </c>
      <c r="H1643" t="str">
        <f t="shared" si="288"/>
        <v>스토리위즈</v>
      </c>
      <c r="I1643" t="str">
        <f t="shared" si="290"/>
        <v>아카데미 속 궁술천재</v>
      </c>
      <c r="J1643">
        <v>100</v>
      </c>
      <c r="K1643">
        <v>300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300</v>
      </c>
      <c r="AH1643">
        <v>3</v>
      </c>
      <c r="AI1643">
        <v>0</v>
      </c>
      <c r="AJ1643">
        <v>0</v>
      </c>
      <c r="AK1643">
        <v>300</v>
      </c>
      <c r="AL1643">
        <v>0</v>
      </c>
      <c r="AM1643">
        <v>0</v>
      </c>
      <c r="AN1643">
        <v>0</v>
      </c>
      <c r="AO1643">
        <v>0</v>
      </c>
      <c r="AP1643"/>
      <c r="AQ1643">
        <v>0</v>
      </c>
      <c r="AR1643">
        <v>0</v>
      </c>
      <c r="AT1643">
        <v>0</v>
      </c>
      <c r="AU1643">
        <v>0</v>
      </c>
      <c r="AW1643">
        <v>0</v>
      </c>
      <c r="AX1643">
        <v>0</v>
      </c>
      <c r="AY1643">
        <v>210</v>
      </c>
      <c r="BC1643" t="str">
        <f t="shared" si="291"/>
        <v>9791137602915</v>
      </c>
      <c r="BE1643" t="str">
        <f t="shared" si="292"/>
        <v>판타지 웹소설 &gt; 퓨전 판타지</v>
      </c>
    </row>
    <row r="1644" spans="1:57" x14ac:dyDescent="0.3">
      <c r="A1644">
        <v>2313020594</v>
      </c>
      <c r="B1644">
        <v>2313020697</v>
      </c>
      <c r="C1644" t="str">
        <f>T("아카데미 속 궁술천재 104화")</f>
        <v>아카데미 속 궁술천재 104화</v>
      </c>
      <c r="D1644" t="str">
        <f>T("104")</f>
        <v>104</v>
      </c>
      <c r="E1644" t="str">
        <f t="shared" si="289"/>
        <v>깡펀치</v>
      </c>
      <c r="H1644" t="str">
        <f t="shared" si="288"/>
        <v>스토리위즈</v>
      </c>
      <c r="I1644" t="str">
        <f t="shared" si="290"/>
        <v>아카데미 속 궁술천재</v>
      </c>
      <c r="J1644">
        <v>100</v>
      </c>
      <c r="K1644">
        <v>300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300</v>
      </c>
      <c r="AH1644">
        <v>3</v>
      </c>
      <c r="AI1644">
        <v>0</v>
      </c>
      <c r="AJ1644">
        <v>0</v>
      </c>
      <c r="AK1644">
        <v>300</v>
      </c>
      <c r="AL1644">
        <v>0</v>
      </c>
      <c r="AM1644">
        <v>0</v>
      </c>
      <c r="AN1644">
        <v>0</v>
      </c>
      <c r="AO1644">
        <v>0</v>
      </c>
      <c r="AP1644"/>
      <c r="AQ1644">
        <v>0</v>
      </c>
      <c r="AR1644">
        <v>0</v>
      </c>
      <c r="AT1644">
        <v>0</v>
      </c>
      <c r="AU1644">
        <v>0</v>
      </c>
      <c r="AW1644">
        <v>0</v>
      </c>
      <c r="AX1644">
        <v>0</v>
      </c>
      <c r="AY1644">
        <v>210</v>
      </c>
      <c r="BC1644" t="str">
        <f t="shared" si="291"/>
        <v>9791137602915</v>
      </c>
      <c r="BE1644" t="str">
        <f t="shared" si="292"/>
        <v>판타지 웹소설 &gt; 퓨전 판타지</v>
      </c>
    </row>
    <row r="1645" spans="1:57" x14ac:dyDescent="0.3">
      <c r="A1645">
        <v>2313020594</v>
      </c>
      <c r="B1645">
        <v>2313020714</v>
      </c>
      <c r="C1645" t="str">
        <f>T("아카데미 속 궁술천재 121화")</f>
        <v>아카데미 속 궁술천재 121화</v>
      </c>
      <c r="D1645" t="str">
        <f>T("121")</f>
        <v>121</v>
      </c>
      <c r="E1645" t="str">
        <f t="shared" si="289"/>
        <v>깡펀치</v>
      </c>
      <c r="H1645" t="str">
        <f t="shared" si="288"/>
        <v>스토리위즈</v>
      </c>
      <c r="I1645" t="str">
        <f t="shared" si="290"/>
        <v>아카데미 속 궁술천재</v>
      </c>
      <c r="J1645">
        <v>100</v>
      </c>
      <c r="K1645">
        <v>300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300</v>
      </c>
      <c r="AH1645">
        <v>3</v>
      </c>
      <c r="AI1645">
        <v>0</v>
      </c>
      <c r="AJ1645">
        <v>0</v>
      </c>
      <c r="AK1645">
        <v>300</v>
      </c>
      <c r="AL1645">
        <v>0</v>
      </c>
      <c r="AM1645">
        <v>0</v>
      </c>
      <c r="AN1645">
        <v>0</v>
      </c>
      <c r="AO1645">
        <v>0</v>
      </c>
      <c r="AP1645"/>
      <c r="AQ1645">
        <v>0</v>
      </c>
      <c r="AR1645">
        <v>0</v>
      </c>
      <c r="AT1645">
        <v>0</v>
      </c>
      <c r="AU1645">
        <v>0</v>
      </c>
      <c r="AW1645">
        <v>0</v>
      </c>
      <c r="AX1645">
        <v>0</v>
      </c>
      <c r="AY1645">
        <v>210</v>
      </c>
      <c r="BC1645" t="str">
        <f t="shared" si="291"/>
        <v>9791137602915</v>
      </c>
      <c r="BE1645" t="str">
        <f t="shared" si="292"/>
        <v>판타지 웹소설 &gt; 퓨전 판타지</v>
      </c>
    </row>
    <row r="1646" spans="1:57" x14ac:dyDescent="0.3">
      <c r="A1646">
        <v>2313020594</v>
      </c>
      <c r="B1646">
        <v>2313020715</v>
      </c>
      <c r="C1646" t="str">
        <f>T("아카데미 속 궁술천재 122화")</f>
        <v>아카데미 속 궁술천재 122화</v>
      </c>
      <c r="D1646" t="str">
        <f>T("122")</f>
        <v>122</v>
      </c>
      <c r="E1646" t="str">
        <f t="shared" si="289"/>
        <v>깡펀치</v>
      </c>
      <c r="H1646" t="str">
        <f t="shared" si="288"/>
        <v>스토리위즈</v>
      </c>
      <c r="I1646" t="str">
        <f t="shared" si="290"/>
        <v>아카데미 속 궁술천재</v>
      </c>
      <c r="J1646">
        <v>100</v>
      </c>
      <c r="K1646">
        <v>300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300</v>
      </c>
      <c r="AH1646">
        <v>3</v>
      </c>
      <c r="AI1646">
        <v>0</v>
      </c>
      <c r="AJ1646">
        <v>0</v>
      </c>
      <c r="AK1646">
        <v>300</v>
      </c>
      <c r="AL1646">
        <v>0</v>
      </c>
      <c r="AM1646">
        <v>0</v>
      </c>
      <c r="AN1646">
        <v>0</v>
      </c>
      <c r="AO1646">
        <v>0</v>
      </c>
      <c r="AP1646"/>
      <c r="AQ1646">
        <v>0</v>
      </c>
      <c r="AR1646">
        <v>0</v>
      </c>
      <c r="AT1646">
        <v>0</v>
      </c>
      <c r="AU1646">
        <v>0</v>
      </c>
      <c r="AW1646">
        <v>0</v>
      </c>
      <c r="AX1646">
        <v>0</v>
      </c>
      <c r="AY1646">
        <v>210</v>
      </c>
      <c r="BC1646" t="str">
        <f t="shared" si="291"/>
        <v>9791137602915</v>
      </c>
      <c r="BE1646" t="str">
        <f t="shared" si="292"/>
        <v>판타지 웹소설 &gt; 퓨전 판타지</v>
      </c>
    </row>
    <row r="1647" spans="1:57" x14ac:dyDescent="0.3">
      <c r="A1647">
        <v>2313020594</v>
      </c>
      <c r="B1647">
        <v>2313020716</v>
      </c>
      <c r="C1647" t="str">
        <f>T("아카데미 속 궁술천재 123화")</f>
        <v>아카데미 속 궁술천재 123화</v>
      </c>
      <c r="D1647" t="str">
        <f>T("123")</f>
        <v>123</v>
      </c>
      <c r="E1647" t="str">
        <f t="shared" si="289"/>
        <v>깡펀치</v>
      </c>
      <c r="H1647" t="str">
        <f t="shared" si="288"/>
        <v>스토리위즈</v>
      </c>
      <c r="I1647" t="str">
        <f t="shared" si="290"/>
        <v>아카데미 속 궁술천재</v>
      </c>
      <c r="J1647">
        <v>100</v>
      </c>
      <c r="K1647">
        <v>300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300</v>
      </c>
      <c r="AH1647">
        <v>3</v>
      </c>
      <c r="AI1647">
        <v>0</v>
      </c>
      <c r="AJ1647">
        <v>0</v>
      </c>
      <c r="AK1647">
        <v>300</v>
      </c>
      <c r="AL1647">
        <v>0</v>
      </c>
      <c r="AM1647">
        <v>0</v>
      </c>
      <c r="AN1647">
        <v>0</v>
      </c>
      <c r="AO1647">
        <v>0</v>
      </c>
      <c r="AP1647"/>
      <c r="AQ1647">
        <v>0</v>
      </c>
      <c r="AR1647">
        <v>0</v>
      </c>
      <c r="AT1647">
        <v>0</v>
      </c>
      <c r="AU1647">
        <v>0</v>
      </c>
      <c r="AW1647">
        <v>0</v>
      </c>
      <c r="AX1647">
        <v>0</v>
      </c>
      <c r="AY1647">
        <v>210</v>
      </c>
      <c r="BC1647" t="str">
        <f t="shared" si="291"/>
        <v>9791137602915</v>
      </c>
      <c r="BE1647" t="str">
        <f t="shared" si="292"/>
        <v>판타지 웹소설 &gt; 퓨전 판타지</v>
      </c>
    </row>
    <row r="1648" spans="1:57" x14ac:dyDescent="0.3">
      <c r="A1648">
        <v>2313020594</v>
      </c>
      <c r="B1648">
        <v>2313020717</v>
      </c>
      <c r="C1648" t="str">
        <f>T("아카데미 속 궁술천재 124화")</f>
        <v>아카데미 속 궁술천재 124화</v>
      </c>
      <c r="D1648" t="str">
        <f>T("124")</f>
        <v>124</v>
      </c>
      <c r="E1648" t="str">
        <f t="shared" si="289"/>
        <v>깡펀치</v>
      </c>
      <c r="H1648" t="str">
        <f t="shared" si="288"/>
        <v>스토리위즈</v>
      </c>
      <c r="I1648" t="str">
        <f t="shared" si="290"/>
        <v>아카데미 속 궁술천재</v>
      </c>
      <c r="J1648">
        <v>100</v>
      </c>
      <c r="K1648">
        <v>300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300</v>
      </c>
      <c r="AH1648">
        <v>3</v>
      </c>
      <c r="AI1648">
        <v>0</v>
      </c>
      <c r="AJ1648">
        <v>0</v>
      </c>
      <c r="AK1648">
        <v>300</v>
      </c>
      <c r="AL1648">
        <v>0</v>
      </c>
      <c r="AM1648">
        <v>0</v>
      </c>
      <c r="AN1648">
        <v>0</v>
      </c>
      <c r="AO1648">
        <v>0</v>
      </c>
      <c r="AP1648"/>
      <c r="AQ1648">
        <v>0</v>
      </c>
      <c r="AR1648">
        <v>0</v>
      </c>
      <c r="AT1648">
        <v>0</v>
      </c>
      <c r="AU1648">
        <v>0</v>
      </c>
      <c r="AW1648">
        <v>0</v>
      </c>
      <c r="AX1648">
        <v>0</v>
      </c>
      <c r="AY1648">
        <v>210</v>
      </c>
      <c r="BC1648" t="str">
        <f t="shared" si="291"/>
        <v>9791137602915</v>
      </c>
      <c r="BE1648" t="str">
        <f t="shared" si="292"/>
        <v>판타지 웹소설 &gt; 퓨전 판타지</v>
      </c>
    </row>
    <row r="1649" spans="1:57" x14ac:dyDescent="0.3">
      <c r="A1649">
        <v>2313020594</v>
      </c>
      <c r="B1649">
        <v>2313020718</v>
      </c>
      <c r="C1649" t="str">
        <f>T("아카데미 속 궁술천재 125화")</f>
        <v>아카데미 속 궁술천재 125화</v>
      </c>
      <c r="D1649" t="str">
        <f>T("125")</f>
        <v>125</v>
      </c>
      <c r="E1649" t="str">
        <f t="shared" si="289"/>
        <v>깡펀치</v>
      </c>
      <c r="H1649" t="str">
        <f t="shared" si="288"/>
        <v>스토리위즈</v>
      </c>
      <c r="I1649" t="str">
        <f t="shared" si="290"/>
        <v>아카데미 속 궁술천재</v>
      </c>
      <c r="J1649">
        <v>100</v>
      </c>
      <c r="K1649">
        <v>300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300</v>
      </c>
      <c r="AH1649">
        <v>3</v>
      </c>
      <c r="AI1649">
        <v>0</v>
      </c>
      <c r="AJ1649">
        <v>0</v>
      </c>
      <c r="AK1649">
        <v>300</v>
      </c>
      <c r="AL1649">
        <v>0</v>
      </c>
      <c r="AM1649">
        <v>0</v>
      </c>
      <c r="AN1649">
        <v>0</v>
      </c>
      <c r="AO1649">
        <v>0</v>
      </c>
      <c r="AP1649"/>
      <c r="AQ1649">
        <v>0</v>
      </c>
      <c r="AR1649">
        <v>0</v>
      </c>
      <c r="AT1649">
        <v>0</v>
      </c>
      <c r="AU1649">
        <v>0</v>
      </c>
      <c r="AW1649">
        <v>0</v>
      </c>
      <c r="AX1649">
        <v>0</v>
      </c>
      <c r="AY1649">
        <v>210</v>
      </c>
      <c r="BC1649" t="str">
        <f t="shared" si="291"/>
        <v>9791137602915</v>
      </c>
      <c r="BE1649" t="str">
        <f t="shared" si="292"/>
        <v>판타지 웹소설 &gt; 퓨전 판타지</v>
      </c>
    </row>
    <row r="1650" spans="1:57" x14ac:dyDescent="0.3">
      <c r="A1650">
        <v>2313020594</v>
      </c>
      <c r="B1650">
        <v>2313020719</v>
      </c>
      <c r="C1650" t="str">
        <f>T("아카데미 속 궁술천재 126화")</f>
        <v>아카데미 속 궁술천재 126화</v>
      </c>
      <c r="D1650" t="str">
        <f>T("126")</f>
        <v>126</v>
      </c>
      <c r="E1650" t="str">
        <f t="shared" si="289"/>
        <v>깡펀치</v>
      </c>
      <c r="H1650" t="str">
        <f t="shared" si="288"/>
        <v>스토리위즈</v>
      </c>
      <c r="I1650" t="str">
        <f t="shared" si="290"/>
        <v>아카데미 속 궁술천재</v>
      </c>
      <c r="J1650">
        <v>100</v>
      </c>
      <c r="K1650">
        <v>300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300</v>
      </c>
      <c r="AH1650">
        <v>3</v>
      </c>
      <c r="AI1650">
        <v>0</v>
      </c>
      <c r="AJ1650">
        <v>0</v>
      </c>
      <c r="AK1650">
        <v>300</v>
      </c>
      <c r="AL1650">
        <v>0</v>
      </c>
      <c r="AM1650">
        <v>0</v>
      </c>
      <c r="AN1650">
        <v>0</v>
      </c>
      <c r="AO1650">
        <v>0</v>
      </c>
      <c r="AP1650"/>
      <c r="AQ1650">
        <v>0</v>
      </c>
      <c r="AR1650">
        <v>0</v>
      </c>
      <c r="AT1650">
        <v>0</v>
      </c>
      <c r="AU1650">
        <v>0</v>
      </c>
      <c r="AW1650">
        <v>0</v>
      </c>
      <c r="AX1650">
        <v>0</v>
      </c>
      <c r="AY1650">
        <v>210</v>
      </c>
      <c r="BC1650" t="str">
        <f t="shared" si="291"/>
        <v>9791137602915</v>
      </c>
      <c r="BE1650" t="str">
        <f t="shared" si="292"/>
        <v>판타지 웹소설 &gt; 퓨전 판타지</v>
      </c>
    </row>
    <row r="1651" spans="1:57" x14ac:dyDescent="0.3">
      <c r="A1651">
        <v>2313020594</v>
      </c>
      <c r="B1651">
        <v>2313020720</v>
      </c>
      <c r="C1651" t="str">
        <f>T("아카데미 속 궁술천재 127화")</f>
        <v>아카데미 속 궁술천재 127화</v>
      </c>
      <c r="D1651" t="str">
        <f>T("127")</f>
        <v>127</v>
      </c>
      <c r="E1651" t="str">
        <f t="shared" si="289"/>
        <v>깡펀치</v>
      </c>
      <c r="H1651" t="str">
        <f t="shared" si="288"/>
        <v>스토리위즈</v>
      </c>
      <c r="I1651" t="str">
        <f t="shared" si="290"/>
        <v>아카데미 속 궁술천재</v>
      </c>
      <c r="J1651">
        <v>100</v>
      </c>
      <c r="K1651">
        <v>300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300</v>
      </c>
      <c r="AH1651">
        <v>3</v>
      </c>
      <c r="AI1651">
        <v>0</v>
      </c>
      <c r="AJ1651">
        <v>0</v>
      </c>
      <c r="AK1651">
        <v>300</v>
      </c>
      <c r="AL1651">
        <v>0</v>
      </c>
      <c r="AM1651">
        <v>0</v>
      </c>
      <c r="AN1651">
        <v>0</v>
      </c>
      <c r="AO1651">
        <v>0</v>
      </c>
      <c r="AP1651"/>
      <c r="AQ1651">
        <v>0</v>
      </c>
      <c r="AR1651">
        <v>0</v>
      </c>
      <c r="AT1651">
        <v>0</v>
      </c>
      <c r="AU1651">
        <v>0</v>
      </c>
      <c r="AW1651">
        <v>0</v>
      </c>
      <c r="AX1651">
        <v>0</v>
      </c>
      <c r="AY1651">
        <v>210</v>
      </c>
      <c r="BC1651" t="str">
        <f t="shared" si="291"/>
        <v>9791137602915</v>
      </c>
      <c r="BE1651" t="str">
        <f t="shared" si="292"/>
        <v>판타지 웹소설 &gt; 퓨전 판타지</v>
      </c>
    </row>
    <row r="1652" spans="1:57" x14ac:dyDescent="0.3">
      <c r="A1652">
        <v>2313020594</v>
      </c>
      <c r="B1652">
        <v>2313020721</v>
      </c>
      <c r="C1652" t="str">
        <f>T("아카데미 속 궁술천재 128화")</f>
        <v>아카데미 속 궁술천재 128화</v>
      </c>
      <c r="D1652" t="str">
        <f>T("128")</f>
        <v>128</v>
      </c>
      <c r="E1652" t="str">
        <f t="shared" si="289"/>
        <v>깡펀치</v>
      </c>
      <c r="H1652" t="str">
        <f t="shared" si="288"/>
        <v>스토리위즈</v>
      </c>
      <c r="I1652" t="str">
        <f t="shared" si="290"/>
        <v>아카데미 속 궁술천재</v>
      </c>
      <c r="J1652">
        <v>100</v>
      </c>
      <c r="K1652">
        <v>300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300</v>
      </c>
      <c r="AH1652">
        <v>3</v>
      </c>
      <c r="AI1652">
        <v>0</v>
      </c>
      <c r="AJ1652">
        <v>0</v>
      </c>
      <c r="AK1652">
        <v>300</v>
      </c>
      <c r="AL1652">
        <v>0</v>
      </c>
      <c r="AM1652">
        <v>0</v>
      </c>
      <c r="AN1652">
        <v>0</v>
      </c>
      <c r="AO1652">
        <v>0</v>
      </c>
      <c r="AP1652"/>
      <c r="AQ1652">
        <v>0</v>
      </c>
      <c r="AR1652">
        <v>0</v>
      </c>
      <c r="AT1652">
        <v>0</v>
      </c>
      <c r="AU1652">
        <v>0</v>
      </c>
      <c r="AW1652">
        <v>0</v>
      </c>
      <c r="AX1652">
        <v>0</v>
      </c>
      <c r="AY1652">
        <v>210</v>
      </c>
      <c r="BC1652" t="str">
        <f t="shared" si="291"/>
        <v>9791137602915</v>
      </c>
      <c r="BE1652" t="str">
        <f t="shared" si="292"/>
        <v>판타지 웹소설 &gt; 퓨전 판타지</v>
      </c>
    </row>
    <row r="1653" spans="1:57" x14ac:dyDescent="0.3">
      <c r="A1653">
        <v>2313020594</v>
      </c>
      <c r="B1653">
        <v>2313020722</v>
      </c>
      <c r="C1653" t="str">
        <f>T("아카데미 속 궁술천재 129화")</f>
        <v>아카데미 속 궁술천재 129화</v>
      </c>
      <c r="D1653" t="str">
        <f>T("129")</f>
        <v>129</v>
      </c>
      <c r="E1653" t="str">
        <f t="shared" si="289"/>
        <v>깡펀치</v>
      </c>
      <c r="H1653" t="str">
        <f t="shared" si="288"/>
        <v>스토리위즈</v>
      </c>
      <c r="I1653" t="str">
        <f t="shared" si="290"/>
        <v>아카데미 속 궁술천재</v>
      </c>
      <c r="J1653">
        <v>100</v>
      </c>
      <c r="K1653">
        <v>300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300</v>
      </c>
      <c r="AH1653">
        <v>3</v>
      </c>
      <c r="AI1653">
        <v>0</v>
      </c>
      <c r="AJ1653">
        <v>0</v>
      </c>
      <c r="AK1653">
        <v>300</v>
      </c>
      <c r="AL1653">
        <v>0</v>
      </c>
      <c r="AM1653">
        <v>0</v>
      </c>
      <c r="AN1653">
        <v>0</v>
      </c>
      <c r="AO1653">
        <v>0</v>
      </c>
      <c r="AP1653"/>
      <c r="AQ1653">
        <v>0</v>
      </c>
      <c r="AR1653">
        <v>0</v>
      </c>
      <c r="AT1653">
        <v>0</v>
      </c>
      <c r="AU1653">
        <v>0</v>
      </c>
      <c r="AW1653">
        <v>0</v>
      </c>
      <c r="AX1653">
        <v>0</v>
      </c>
      <c r="AY1653">
        <v>210</v>
      </c>
      <c r="BC1653" t="str">
        <f t="shared" si="291"/>
        <v>9791137602915</v>
      </c>
      <c r="BE1653" t="str">
        <f t="shared" si="292"/>
        <v>판타지 웹소설 &gt; 퓨전 판타지</v>
      </c>
    </row>
    <row r="1654" spans="1:57" x14ac:dyDescent="0.3">
      <c r="A1654">
        <v>2313020594</v>
      </c>
      <c r="B1654">
        <v>2313020723</v>
      </c>
      <c r="C1654" t="str">
        <f>T("아카데미 속 궁술천재 130화")</f>
        <v>아카데미 속 궁술천재 130화</v>
      </c>
      <c r="D1654" t="str">
        <f>T("130")</f>
        <v>130</v>
      </c>
      <c r="E1654" t="str">
        <f t="shared" si="289"/>
        <v>깡펀치</v>
      </c>
      <c r="H1654" t="str">
        <f t="shared" si="288"/>
        <v>스토리위즈</v>
      </c>
      <c r="I1654" t="str">
        <f t="shared" si="290"/>
        <v>아카데미 속 궁술천재</v>
      </c>
      <c r="J1654">
        <v>100</v>
      </c>
      <c r="K1654">
        <v>300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300</v>
      </c>
      <c r="AH1654">
        <v>3</v>
      </c>
      <c r="AI1654">
        <v>0</v>
      </c>
      <c r="AJ1654">
        <v>0</v>
      </c>
      <c r="AK1654">
        <v>300</v>
      </c>
      <c r="AL1654">
        <v>0</v>
      </c>
      <c r="AM1654">
        <v>0</v>
      </c>
      <c r="AN1654">
        <v>0</v>
      </c>
      <c r="AO1654">
        <v>0</v>
      </c>
      <c r="AP1654"/>
      <c r="AQ1654">
        <v>0</v>
      </c>
      <c r="AR1654">
        <v>0</v>
      </c>
      <c r="AT1654">
        <v>0</v>
      </c>
      <c r="AU1654">
        <v>0</v>
      </c>
      <c r="AW1654">
        <v>0</v>
      </c>
      <c r="AX1654">
        <v>0</v>
      </c>
      <c r="AY1654">
        <v>210</v>
      </c>
      <c r="BC1654" t="str">
        <f t="shared" si="291"/>
        <v>9791137602915</v>
      </c>
      <c r="BE1654" t="str">
        <f t="shared" si="292"/>
        <v>판타지 웹소설 &gt; 퓨전 판타지</v>
      </c>
    </row>
    <row r="1655" spans="1:57" x14ac:dyDescent="0.3">
      <c r="A1655">
        <v>2313020594</v>
      </c>
      <c r="B1655">
        <v>2313020724</v>
      </c>
      <c r="C1655" t="str">
        <f>T("아카데미 속 궁술천재 131화")</f>
        <v>아카데미 속 궁술천재 131화</v>
      </c>
      <c r="D1655" t="str">
        <f>T("131")</f>
        <v>131</v>
      </c>
      <c r="E1655" t="str">
        <f t="shared" si="289"/>
        <v>깡펀치</v>
      </c>
      <c r="H1655" t="str">
        <f t="shared" si="288"/>
        <v>스토리위즈</v>
      </c>
      <c r="I1655" t="str">
        <f t="shared" si="290"/>
        <v>아카데미 속 궁술천재</v>
      </c>
      <c r="J1655">
        <v>100</v>
      </c>
      <c r="K1655">
        <v>300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300</v>
      </c>
      <c r="AH1655">
        <v>3</v>
      </c>
      <c r="AI1655">
        <v>0</v>
      </c>
      <c r="AJ1655">
        <v>0</v>
      </c>
      <c r="AK1655">
        <v>300</v>
      </c>
      <c r="AL1655">
        <v>0</v>
      </c>
      <c r="AM1655">
        <v>0</v>
      </c>
      <c r="AN1655">
        <v>0</v>
      </c>
      <c r="AO1655">
        <v>0</v>
      </c>
      <c r="AP1655"/>
      <c r="AQ1655">
        <v>0</v>
      </c>
      <c r="AR1655">
        <v>0</v>
      </c>
      <c r="AT1655">
        <v>0</v>
      </c>
      <c r="AU1655">
        <v>0</v>
      </c>
      <c r="AW1655">
        <v>0</v>
      </c>
      <c r="AX1655">
        <v>0</v>
      </c>
      <c r="AY1655">
        <v>210</v>
      </c>
      <c r="BC1655" t="str">
        <f t="shared" si="291"/>
        <v>9791137602915</v>
      </c>
      <c r="BE1655" t="str">
        <f t="shared" si="292"/>
        <v>판타지 웹소설 &gt; 퓨전 판타지</v>
      </c>
    </row>
    <row r="1656" spans="1:57" x14ac:dyDescent="0.3">
      <c r="A1656">
        <v>2313020594</v>
      </c>
      <c r="B1656">
        <v>2313020725</v>
      </c>
      <c r="C1656" t="str">
        <f>T("아카데미 속 궁술천재 132화")</f>
        <v>아카데미 속 궁술천재 132화</v>
      </c>
      <c r="D1656" t="str">
        <f>T("132")</f>
        <v>132</v>
      </c>
      <c r="E1656" t="str">
        <f t="shared" si="289"/>
        <v>깡펀치</v>
      </c>
      <c r="H1656" t="str">
        <f t="shared" si="288"/>
        <v>스토리위즈</v>
      </c>
      <c r="I1656" t="str">
        <f t="shared" si="290"/>
        <v>아카데미 속 궁술천재</v>
      </c>
      <c r="J1656">
        <v>100</v>
      </c>
      <c r="K1656">
        <v>300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300</v>
      </c>
      <c r="AH1656">
        <v>3</v>
      </c>
      <c r="AI1656">
        <v>0</v>
      </c>
      <c r="AJ1656">
        <v>0</v>
      </c>
      <c r="AK1656">
        <v>300</v>
      </c>
      <c r="AL1656">
        <v>0</v>
      </c>
      <c r="AM1656">
        <v>0</v>
      </c>
      <c r="AN1656">
        <v>0</v>
      </c>
      <c r="AO1656">
        <v>0</v>
      </c>
      <c r="AP1656"/>
      <c r="AQ1656">
        <v>0</v>
      </c>
      <c r="AR1656">
        <v>0</v>
      </c>
      <c r="AT1656">
        <v>0</v>
      </c>
      <c r="AU1656">
        <v>0</v>
      </c>
      <c r="AW1656">
        <v>0</v>
      </c>
      <c r="AX1656">
        <v>0</v>
      </c>
      <c r="AY1656">
        <v>210</v>
      </c>
      <c r="BC1656" t="str">
        <f t="shared" si="291"/>
        <v>9791137602915</v>
      </c>
      <c r="BE1656" t="str">
        <f t="shared" si="292"/>
        <v>판타지 웹소설 &gt; 퓨전 판타지</v>
      </c>
    </row>
    <row r="1657" spans="1:57" x14ac:dyDescent="0.3">
      <c r="A1657">
        <v>2313020594</v>
      </c>
      <c r="B1657">
        <v>2313020726</v>
      </c>
      <c r="C1657" t="str">
        <f>T("아카데미 속 궁술천재 133화")</f>
        <v>아카데미 속 궁술천재 133화</v>
      </c>
      <c r="D1657" t="str">
        <f>T("133")</f>
        <v>133</v>
      </c>
      <c r="E1657" t="str">
        <f t="shared" si="289"/>
        <v>깡펀치</v>
      </c>
      <c r="H1657" t="str">
        <f t="shared" si="288"/>
        <v>스토리위즈</v>
      </c>
      <c r="I1657" t="str">
        <f t="shared" si="290"/>
        <v>아카데미 속 궁술천재</v>
      </c>
      <c r="J1657">
        <v>100</v>
      </c>
      <c r="K1657">
        <v>300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300</v>
      </c>
      <c r="AH1657">
        <v>3</v>
      </c>
      <c r="AI1657">
        <v>0</v>
      </c>
      <c r="AJ1657">
        <v>0</v>
      </c>
      <c r="AK1657">
        <v>300</v>
      </c>
      <c r="AL1657">
        <v>0</v>
      </c>
      <c r="AM1657">
        <v>0</v>
      </c>
      <c r="AN1657">
        <v>0</v>
      </c>
      <c r="AO1657">
        <v>0</v>
      </c>
      <c r="AP1657"/>
      <c r="AQ1657">
        <v>0</v>
      </c>
      <c r="AR1657">
        <v>0</v>
      </c>
      <c r="AT1657">
        <v>0</v>
      </c>
      <c r="AU1657">
        <v>0</v>
      </c>
      <c r="AW1657">
        <v>0</v>
      </c>
      <c r="AX1657">
        <v>0</v>
      </c>
      <c r="AY1657">
        <v>210</v>
      </c>
      <c r="BC1657" t="str">
        <f t="shared" si="291"/>
        <v>9791137602915</v>
      </c>
      <c r="BE1657" t="str">
        <f t="shared" si="292"/>
        <v>판타지 웹소설 &gt; 퓨전 판타지</v>
      </c>
    </row>
    <row r="1658" spans="1:57" x14ac:dyDescent="0.3">
      <c r="A1658">
        <v>2313020594</v>
      </c>
      <c r="B1658">
        <v>2313020727</v>
      </c>
      <c r="C1658" t="str">
        <f>T("아카데미 속 궁술천재 134화")</f>
        <v>아카데미 속 궁술천재 134화</v>
      </c>
      <c r="D1658" t="str">
        <f>T("134")</f>
        <v>134</v>
      </c>
      <c r="E1658" t="str">
        <f t="shared" si="289"/>
        <v>깡펀치</v>
      </c>
      <c r="H1658" t="str">
        <f t="shared" si="288"/>
        <v>스토리위즈</v>
      </c>
      <c r="I1658" t="str">
        <f t="shared" si="290"/>
        <v>아카데미 속 궁술천재</v>
      </c>
      <c r="J1658">
        <v>100</v>
      </c>
      <c r="K1658">
        <v>300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300</v>
      </c>
      <c r="AH1658">
        <v>3</v>
      </c>
      <c r="AI1658">
        <v>0</v>
      </c>
      <c r="AJ1658">
        <v>0</v>
      </c>
      <c r="AK1658">
        <v>300</v>
      </c>
      <c r="AL1658">
        <v>0</v>
      </c>
      <c r="AM1658">
        <v>0</v>
      </c>
      <c r="AN1658">
        <v>0</v>
      </c>
      <c r="AO1658">
        <v>0</v>
      </c>
      <c r="AP1658"/>
      <c r="AQ1658">
        <v>0</v>
      </c>
      <c r="AR1658">
        <v>0</v>
      </c>
      <c r="AT1658">
        <v>0</v>
      </c>
      <c r="AU1658">
        <v>0</v>
      </c>
      <c r="AW1658">
        <v>0</v>
      </c>
      <c r="AX1658">
        <v>0</v>
      </c>
      <c r="AY1658">
        <v>210</v>
      </c>
      <c r="BC1658" t="str">
        <f t="shared" si="291"/>
        <v>9791137602915</v>
      </c>
      <c r="BE1658" t="str">
        <f t="shared" si="292"/>
        <v>판타지 웹소설 &gt; 퓨전 판타지</v>
      </c>
    </row>
    <row r="1659" spans="1:57" x14ac:dyDescent="0.3">
      <c r="A1659">
        <v>2313020594</v>
      </c>
      <c r="B1659">
        <v>2313020728</v>
      </c>
      <c r="C1659" t="str">
        <f>T("아카데미 속 궁술천재 135화")</f>
        <v>아카데미 속 궁술천재 135화</v>
      </c>
      <c r="D1659" t="str">
        <f>T("135")</f>
        <v>135</v>
      </c>
      <c r="E1659" t="str">
        <f t="shared" si="289"/>
        <v>깡펀치</v>
      </c>
      <c r="H1659" t="str">
        <f t="shared" si="288"/>
        <v>스토리위즈</v>
      </c>
      <c r="I1659" t="str">
        <f t="shared" si="290"/>
        <v>아카데미 속 궁술천재</v>
      </c>
      <c r="J1659">
        <v>100</v>
      </c>
      <c r="K1659">
        <v>300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300</v>
      </c>
      <c r="AH1659">
        <v>3</v>
      </c>
      <c r="AI1659">
        <v>0</v>
      </c>
      <c r="AJ1659">
        <v>0</v>
      </c>
      <c r="AK1659">
        <v>300</v>
      </c>
      <c r="AL1659">
        <v>0</v>
      </c>
      <c r="AM1659">
        <v>0</v>
      </c>
      <c r="AN1659">
        <v>0</v>
      </c>
      <c r="AO1659">
        <v>0</v>
      </c>
      <c r="AP1659"/>
      <c r="AQ1659">
        <v>0</v>
      </c>
      <c r="AR1659">
        <v>0</v>
      </c>
      <c r="AT1659">
        <v>0</v>
      </c>
      <c r="AU1659">
        <v>0</v>
      </c>
      <c r="AW1659">
        <v>0</v>
      </c>
      <c r="AX1659">
        <v>0</v>
      </c>
      <c r="AY1659">
        <v>210</v>
      </c>
      <c r="BC1659" t="str">
        <f t="shared" si="291"/>
        <v>9791137602915</v>
      </c>
      <c r="BE1659" t="str">
        <f t="shared" si="292"/>
        <v>판타지 웹소설 &gt; 퓨전 판타지</v>
      </c>
    </row>
    <row r="1660" spans="1:57" x14ac:dyDescent="0.3">
      <c r="A1660">
        <v>2313020594</v>
      </c>
      <c r="B1660">
        <v>2313020729</v>
      </c>
      <c r="C1660" t="str">
        <f>T("아카데미 속 궁술천재 136화")</f>
        <v>아카데미 속 궁술천재 136화</v>
      </c>
      <c r="D1660" t="str">
        <f>T("136")</f>
        <v>136</v>
      </c>
      <c r="E1660" t="str">
        <f t="shared" si="289"/>
        <v>깡펀치</v>
      </c>
      <c r="H1660" t="str">
        <f t="shared" si="288"/>
        <v>스토리위즈</v>
      </c>
      <c r="I1660" t="str">
        <f t="shared" si="290"/>
        <v>아카데미 속 궁술천재</v>
      </c>
      <c r="J1660">
        <v>100</v>
      </c>
      <c r="K1660">
        <v>300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300</v>
      </c>
      <c r="AH1660">
        <v>3</v>
      </c>
      <c r="AI1660">
        <v>0</v>
      </c>
      <c r="AJ1660">
        <v>0</v>
      </c>
      <c r="AK1660">
        <v>300</v>
      </c>
      <c r="AL1660">
        <v>0</v>
      </c>
      <c r="AM1660">
        <v>0</v>
      </c>
      <c r="AN1660">
        <v>0</v>
      </c>
      <c r="AO1660">
        <v>0</v>
      </c>
      <c r="AP1660"/>
      <c r="AQ1660">
        <v>0</v>
      </c>
      <c r="AR1660">
        <v>0</v>
      </c>
      <c r="AT1660">
        <v>0</v>
      </c>
      <c r="AU1660">
        <v>0</v>
      </c>
      <c r="AW1660">
        <v>0</v>
      </c>
      <c r="AX1660">
        <v>0</v>
      </c>
      <c r="AY1660">
        <v>210</v>
      </c>
      <c r="BC1660" t="str">
        <f t="shared" si="291"/>
        <v>9791137602915</v>
      </c>
      <c r="BE1660" t="str">
        <f t="shared" si="292"/>
        <v>판타지 웹소설 &gt; 퓨전 판타지</v>
      </c>
    </row>
    <row r="1661" spans="1:57" x14ac:dyDescent="0.3">
      <c r="A1661">
        <v>2313020594</v>
      </c>
      <c r="B1661">
        <v>2313020730</v>
      </c>
      <c r="C1661" t="str">
        <f>T("아카데미 속 궁술천재 137화")</f>
        <v>아카데미 속 궁술천재 137화</v>
      </c>
      <c r="D1661" t="str">
        <f>T("137")</f>
        <v>137</v>
      </c>
      <c r="E1661" t="str">
        <f t="shared" si="289"/>
        <v>깡펀치</v>
      </c>
      <c r="H1661" t="str">
        <f t="shared" si="288"/>
        <v>스토리위즈</v>
      </c>
      <c r="I1661" t="str">
        <f t="shared" si="290"/>
        <v>아카데미 속 궁술천재</v>
      </c>
      <c r="J1661">
        <v>100</v>
      </c>
      <c r="K1661">
        <v>300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300</v>
      </c>
      <c r="AH1661">
        <v>3</v>
      </c>
      <c r="AI1661">
        <v>0</v>
      </c>
      <c r="AJ1661">
        <v>0</v>
      </c>
      <c r="AK1661">
        <v>300</v>
      </c>
      <c r="AL1661">
        <v>0</v>
      </c>
      <c r="AM1661">
        <v>0</v>
      </c>
      <c r="AN1661">
        <v>0</v>
      </c>
      <c r="AO1661">
        <v>0</v>
      </c>
      <c r="AP1661"/>
      <c r="AQ1661">
        <v>0</v>
      </c>
      <c r="AR1661">
        <v>0</v>
      </c>
      <c r="AT1661">
        <v>0</v>
      </c>
      <c r="AU1661">
        <v>0</v>
      </c>
      <c r="AW1661">
        <v>0</v>
      </c>
      <c r="AX1661">
        <v>0</v>
      </c>
      <c r="AY1661">
        <v>210</v>
      </c>
      <c r="BC1661" t="str">
        <f t="shared" si="291"/>
        <v>9791137602915</v>
      </c>
      <c r="BE1661" t="str">
        <f t="shared" si="292"/>
        <v>판타지 웹소설 &gt; 퓨전 판타지</v>
      </c>
    </row>
    <row r="1662" spans="1:57" x14ac:dyDescent="0.3">
      <c r="A1662">
        <v>2313020594</v>
      </c>
      <c r="B1662">
        <v>2313020731</v>
      </c>
      <c r="C1662" t="str">
        <f>T("아카데미 속 궁술천재 138화")</f>
        <v>아카데미 속 궁술천재 138화</v>
      </c>
      <c r="D1662" t="str">
        <f>T("138")</f>
        <v>138</v>
      </c>
      <c r="E1662" t="str">
        <f t="shared" si="289"/>
        <v>깡펀치</v>
      </c>
      <c r="H1662" t="str">
        <f t="shared" si="288"/>
        <v>스토리위즈</v>
      </c>
      <c r="I1662" t="str">
        <f t="shared" si="290"/>
        <v>아카데미 속 궁술천재</v>
      </c>
      <c r="J1662">
        <v>100</v>
      </c>
      <c r="K1662">
        <v>300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300</v>
      </c>
      <c r="AH1662">
        <v>3</v>
      </c>
      <c r="AI1662">
        <v>0</v>
      </c>
      <c r="AJ1662">
        <v>0</v>
      </c>
      <c r="AK1662">
        <v>300</v>
      </c>
      <c r="AL1662">
        <v>0</v>
      </c>
      <c r="AM1662">
        <v>0</v>
      </c>
      <c r="AN1662">
        <v>0</v>
      </c>
      <c r="AO1662">
        <v>0</v>
      </c>
      <c r="AP1662"/>
      <c r="AQ1662">
        <v>0</v>
      </c>
      <c r="AR1662">
        <v>0</v>
      </c>
      <c r="AT1662">
        <v>0</v>
      </c>
      <c r="AU1662">
        <v>0</v>
      </c>
      <c r="AW1662">
        <v>0</v>
      </c>
      <c r="AX1662">
        <v>0</v>
      </c>
      <c r="AY1662">
        <v>210</v>
      </c>
      <c r="BC1662" t="str">
        <f t="shared" si="291"/>
        <v>9791137602915</v>
      </c>
      <c r="BE1662" t="str">
        <f t="shared" si="292"/>
        <v>판타지 웹소설 &gt; 퓨전 판타지</v>
      </c>
    </row>
    <row r="1663" spans="1:57" x14ac:dyDescent="0.3">
      <c r="A1663">
        <v>2313020594</v>
      </c>
      <c r="B1663">
        <v>2313020732</v>
      </c>
      <c r="C1663" t="str">
        <f>T("아카데미 속 궁술천재 139화")</f>
        <v>아카데미 속 궁술천재 139화</v>
      </c>
      <c r="D1663" t="str">
        <f>T("139")</f>
        <v>139</v>
      </c>
      <c r="E1663" t="str">
        <f t="shared" si="289"/>
        <v>깡펀치</v>
      </c>
      <c r="H1663" t="str">
        <f t="shared" si="288"/>
        <v>스토리위즈</v>
      </c>
      <c r="I1663" t="str">
        <f t="shared" si="290"/>
        <v>아카데미 속 궁술천재</v>
      </c>
      <c r="J1663">
        <v>100</v>
      </c>
      <c r="K1663">
        <v>300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300</v>
      </c>
      <c r="AH1663">
        <v>3</v>
      </c>
      <c r="AI1663">
        <v>0</v>
      </c>
      <c r="AJ1663">
        <v>0</v>
      </c>
      <c r="AK1663">
        <v>300</v>
      </c>
      <c r="AL1663">
        <v>0</v>
      </c>
      <c r="AM1663">
        <v>0</v>
      </c>
      <c r="AN1663">
        <v>0</v>
      </c>
      <c r="AO1663">
        <v>0</v>
      </c>
      <c r="AP1663"/>
      <c r="AQ1663">
        <v>0</v>
      </c>
      <c r="AR1663">
        <v>0</v>
      </c>
      <c r="AT1663">
        <v>0</v>
      </c>
      <c r="AU1663">
        <v>0</v>
      </c>
      <c r="AW1663">
        <v>0</v>
      </c>
      <c r="AX1663">
        <v>0</v>
      </c>
      <c r="AY1663">
        <v>210</v>
      </c>
      <c r="BC1663" t="str">
        <f t="shared" si="291"/>
        <v>9791137602915</v>
      </c>
      <c r="BE1663" t="str">
        <f t="shared" si="292"/>
        <v>판타지 웹소설 &gt; 퓨전 판타지</v>
      </c>
    </row>
    <row r="1664" spans="1:57" x14ac:dyDescent="0.3">
      <c r="A1664">
        <v>2313020594</v>
      </c>
      <c r="B1664">
        <v>2313020733</v>
      </c>
      <c r="C1664" t="str">
        <f>T("아카데미 속 궁술천재 140화")</f>
        <v>아카데미 속 궁술천재 140화</v>
      </c>
      <c r="D1664" t="str">
        <f>T("140")</f>
        <v>140</v>
      </c>
      <c r="E1664" t="str">
        <f t="shared" si="289"/>
        <v>깡펀치</v>
      </c>
      <c r="H1664" t="str">
        <f t="shared" si="288"/>
        <v>스토리위즈</v>
      </c>
      <c r="I1664" t="str">
        <f t="shared" si="290"/>
        <v>아카데미 속 궁술천재</v>
      </c>
      <c r="J1664">
        <v>100</v>
      </c>
      <c r="K1664">
        <v>300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300</v>
      </c>
      <c r="AH1664">
        <v>3</v>
      </c>
      <c r="AI1664">
        <v>0</v>
      </c>
      <c r="AJ1664">
        <v>0</v>
      </c>
      <c r="AK1664">
        <v>300</v>
      </c>
      <c r="AL1664">
        <v>0</v>
      </c>
      <c r="AM1664">
        <v>0</v>
      </c>
      <c r="AN1664">
        <v>0</v>
      </c>
      <c r="AO1664">
        <v>0</v>
      </c>
      <c r="AP1664"/>
      <c r="AQ1664">
        <v>0</v>
      </c>
      <c r="AR1664">
        <v>0</v>
      </c>
      <c r="AT1664">
        <v>0</v>
      </c>
      <c r="AU1664">
        <v>0</v>
      </c>
      <c r="AW1664">
        <v>0</v>
      </c>
      <c r="AX1664">
        <v>0</v>
      </c>
      <c r="AY1664">
        <v>210</v>
      </c>
      <c r="BC1664" t="str">
        <f t="shared" si="291"/>
        <v>9791137602915</v>
      </c>
      <c r="BE1664" t="str">
        <f t="shared" si="292"/>
        <v>판타지 웹소설 &gt; 퓨전 판타지</v>
      </c>
    </row>
    <row r="1665" spans="1:57" x14ac:dyDescent="0.3">
      <c r="A1665">
        <v>2313020594</v>
      </c>
      <c r="B1665">
        <v>2313020734</v>
      </c>
      <c r="C1665" t="str">
        <f>T("아카데미 속 궁술천재 141화")</f>
        <v>아카데미 속 궁술천재 141화</v>
      </c>
      <c r="D1665" t="str">
        <f>T("141")</f>
        <v>141</v>
      </c>
      <c r="E1665" t="str">
        <f t="shared" si="289"/>
        <v>깡펀치</v>
      </c>
      <c r="H1665" t="str">
        <f t="shared" si="288"/>
        <v>스토리위즈</v>
      </c>
      <c r="I1665" t="str">
        <f t="shared" si="290"/>
        <v>아카데미 속 궁술천재</v>
      </c>
      <c r="J1665">
        <v>100</v>
      </c>
      <c r="K1665">
        <v>300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300</v>
      </c>
      <c r="AH1665">
        <v>3</v>
      </c>
      <c r="AI1665">
        <v>0</v>
      </c>
      <c r="AJ1665">
        <v>0</v>
      </c>
      <c r="AK1665">
        <v>300</v>
      </c>
      <c r="AL1665">
        <v>0</v>
      </c>
      <c r="AM1665">
        <v>0</v>
      </c>
      <c r="AN1665">
        <v>0</v>
      </c>
      <c r="AO1665">
        <v>0</v>
      </c>
      <c r="AP1665"/>
      <c r="AQ1665">
        <v>0</v>
      </c>
      <c r="AR1665">
        <v>0</v>
      </c>
      <c r="AT1665">
        <v>0</v>
      </c>
      <c r="AU1665">
        <v>0</v>
      </c>
      <c r="AW1665">
        <v>0</v>
      </c>
      <c r="AX1665">
        <v>0</v>
      </c>
      <c r="AY1665">
        <v>210</v>
      </c>
      <c r="BC1665" t="str">
        <f t="shared" si="291"/>
        <v>9791137602915</v>
      </c>
      <c r="BE1665" t="str">
        <f t="shared" si="292"/>
        <v>판타지 웹소설 &gt; 퓨전 판타지</v>
      </c>
    </row>
    <row r="1666" spans="1:57" x14ac:dyDescent="0.3">
      <c r="A1666">
        <v>2313020594</v>
      </c>
      <c r="B1666">
        <v>2313020735</v>
      </c>
      <c r="C1666" t="str">
        <f>T("아카데미 속 궁술천재 142화")</f>
        <v>아카데미 속 궁술천재 142화</v>
      </c>
      <c r="D1666" t="str">
        <f>T("142")</f>
        <v>142</v>
      </c>
      <c r="E1666" t="str">
        <f t="shared" si="289"/>
        <v>깡펀치</v>
      </c>
      <c r="H1666" t="str">
        <f t="shared" si="288"/>
        <v>스토리위즈</v>
      </c>
      <c r="I1666" t="str">
        <f t="shared" si="290"/>
        <v>아카데미 속 궁술천재</v>
      </c>
      <c r="J1666">
        <v>100</v>
      </c>
      <c r="K1666">
        <v>300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300</v>
      </c>
      <c r="AH1666">
        <v>3</v>
      </c>
      <c r="AI1666">
        <v>0</v>
      </c>
      <c r="AJ1666">
        <v>0</v>
      </c>
      <c r="AK1666">
        <v>300</v>
      </c>
      <c r="AL1666">
        <v>0</v>
      </c>
      <c r="AM1666">
        <v>0</v>
      </c>
      <c r="AN1666">
        <v>0</v>
      </c>
      <c r="AO1666">
        <v>0</v>
      </c>
      <c r="AP1666"/>
      <c r="AQ1666">
        <v>0</v>
      </c>
      <c r="AR1666">
        <v>0</v>
      </c>
      <c r="AT1666">
        <v>0</v>
      </c>
      <c r="AU1666">
        <v>0</v>
      </c>
      <c r="AW1666">
        <v>0</v>
      </c>
      <c r="AX1666">
        <v>0</v>
      </c>
      <c r="AY1666">
        <v>210</v>
      </c>
      <c r="BC1666" t="str">
        <f t="shared" si="291"/>
        <v>9791137602915</v>
      </c>
      <c r="BE1666" t="str">
        <f t="shared" si="292"/>
        <v>판타지 웹소설 &gt; 퓨전 판타지</v>
      </c>
    </row>
    <row r="1667" spans="1:57" x14ac:dyDescent="0.3">
      <c r="A1667">
        <v>2313020594</v>
      </c>
      <c r="B1667">
        <v>2313020736</v>
      </c>
      <c r="C1667" t="str">
        <f>T("아카데미 속 궁술천재 143화")</f>
        <v>아카데미 속 궁술천재 143화</v>
      </c>
      <c r="D1667" t="str">
        <f>T("143")</f>
        <v>143</v>
      </c>
      <c r="E1667" t="str">
        <f t="shared" si="289"/>
        <v>깡펀치</v>
      </c>
      <c r="H1667" t="str">
        <f t="shared" si="288"/>
        <v>스토리위즈</v>
      </c>
      <c r="I1667" t="str">
        <f t="shared" si="290"/>
        <v>아카데미 속 궁술천재</v>
      </c>
      <c r="J1667">
        <v>100</v>
      </c>
      <c r="K1667">
        <v>300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300</v>
      </c>
      <c r="AH1667">
        <v>3</v>
      </c>
      <c r="AI1667">
        <v>0</v>
      </c>
      <c r="AJ1667">
        <v>0</v>
      </c>
      <c r="AK1667">
        <v>300</v>
      </c>
      <c r="AL1667">
        <v>0</v>
      </c>
      <c r="AM1667">
        <v>0</v>
      </c>
      <c r="AN1667">
        <v>0</v>
      </c>
      <c r="AO1667">
        <v>0</v>
      </c>
      <c r="AP1667"/>
      <c r="AQ1667">
        <v>0</v>
      </c>
      <c r="AR1667">
        <v>0</v>
      </c>
      <c r="AT1667">
        <v>0</v>
      </c>
      <c r="AU1667">
        <v>0</v>
      </c>
      <c r="AW1667">
        <v>0</v>
      </c>
      <c r="AX1667">
        <v>0</v>
      </c>
      <c r="AY1667">
        <v>210</v>
      </c>
      <c r="BC1667" t="str">
        <f t="shared" si="291"/>
        <v>9791137602915</v>
      </c>
      <c r="BE1667" t="str">
        <f t="shared" si="292"/>
        <v>판타지 웹소설 &gt; 퓨전 판타지</v>
      </c>
    </row>
    <row r="1668" spans="1:57" x14ac:dyDescent="0.3">
      <c r="A1668">
        <v>2313020594</v>
      </c>
      <c r="B1668">
        <v>2313020737</v>
      </c>
      <c r="C1668" t="str">
        <f>T("아카데미 속 궁술천재 144화")</f>
        <v>아카데미 속 궁술천재 144화</v>
      </c>
      <c r="D1668" t="str">
        <f>T("144")</f>
        <v>144</v>
      </c>
      <c r="E1668" t="str">
        <f t="shared" si="289"/>
        <v>깡펀치</v>
      </c>
      <c r="H1668" t="str">
        <f t="shared" si="288"/>
        <v>스토리위즈</v>
      </c>
      <c r="I1668" t="str">
        <f t="shared" si="290"/>
        <v>아카데미 속 궁술천재</v>
      </c>
      <c r="J1668">
        <v>100</v>
      </c>
      <c r="K1668">
        <v>300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300</v>
      </c>
      <c r="AH1668">
        <v>3</v>
      </c>
      <c r="AI1668">
        <v>0</v>
      </c>
      <c r="AJ1668">
        <v>0</v>
      </c>
      <c r="AK1668">
        <v>300</v>
      </c>
      <c r="AL1668">
        <v>0</v>
      </c>
      <c r="AM1668">
        <v>0</v>
      </c>
      <c r="AN1668">
        <v>0</v>
      </c>
      <c r="AO1668">
        <v>0</v>
      </c>
      <c r="AP1668"/>
      <c r="AQ1668">
        <v>0</v>
      </c>
      <c r="AR1668">
        <v>0</v>
      </c>
      <c r="AT1668">
        <v>0</v>
      </c>
      <c r="AU1668">
        <v>0</v>
      </c>
      <c r="AW1668">
        <v>0</v>
      </c>
      <c r="AX1668">
        <v>0</v>
      </c>
      <c r="AY1668">
        <v>210</v>
      </c>
      <c r="BC1668" t="str">
        <f t="shared" si="291"/>
        <v>9791137602915</v>
      </c>
      <c r="BE1668" t="str">
        <f t="shared" si="292"/>
        <v>판타지 웹소설 &gt; 퓨전 판타지</v>
      </c>
    </row>
    <row r="1669" spans="1:57" x14ac:dyDescent="0.3">
      <c r="A1669">
        <v>2313020594</v>
      </c>
      <c r="B1669">
        <v>2313020738</v>
      </c>
      <c r="C1669" t="str">
        <f>T("아카데미 속 궁술천재 145화")</f>
        <v>아카데미 속 궁술천재 145화</v>
      </c>
      <c r="D1669" t="str">
        <f>T("145")</f>
        <v>145</v>
      </c>
      <c r="E1669" t="str">
        <f t="shared" si="289"/>
        <v>깡펀치</v>
      </c>
      <c r="H1669" t="str">
        <f t="shared" si="288"/>
        <v>스토리위즈</v>
      </c>
      <c r="I1669" t="str">
        <f t="shared" si="290"/>
        <v>아카데미 속 궁술천재</v>
      </c>
      <c r="J1669">
        <v>100</v>
      </c>
      <c r="K1669">
        <v>300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300</v>
      </c>
      <c r="AH1669">
        <v>3</v>
      </c>
      <c r="AI1669">
        <v>0</v>
      </c>
      <c r="AJ1669">
        <v>0</v>
      </c>
      <c r="AK1669">
        <v>300</v>
      </c>
      <c r="AL1669">
        <v>0</v>
      </c>
      <c r="AM1669">
        <v>0</v>
      </c>
      <c r="AN1669">
        <v>0</v>
      </c>
      <c r="AO1669">
        <v>0</v>
      </c>
      <c r="AP1669"/>
      <c r="AQ1669">
        <v>0</v>
      </c>
      <c r="AR1669">
        <v>0</v>
      </c>
      <c r="AT1669">
        <v>0</v>
      </c>
      <c r="AU1669">
        <v>0</v>
      </c>
      <c r="AW1669">
        <v>0</v>
      </c>
      <c r="AX1669">
        <v>0</v>
      </c>
      <c r="AY1669">
        <v>210</v>
      </c>
      <c r="BC1669" t="str">
        <f t="shared" si="291"/>
        <v>9791137602915</v>
      </c>
      <c r="BE1669" t="str">
        <f t="shared" si="292"/>
        <v>판타지 웹소설 &gt; 퓨전 판타지</v>
      </c>
    </row>
    <row r="1670" spans="1:57" x14ac:dyDescent="0.3">
      <c r="A1670">
        <v>2313020594</v>
      </c>
      <c r="B1670">
        <v>2313020739</v>
      </c>
      <c r="C1670" t="str">
        <f>T("아카데미 속 궁술천재 146화")</f>
        <v>아카데미 속 궁술천재 146화</v>
      </c>
      <c r="D1670" t="str">
        <f>T("146")</f>
        <v>146</v>
      </c>
      <c r="E1670" t="str">
        <f t="shared" si="289"/>
        <v>깡펀치</v>
      </c>
      <c r="H1670" t="str">
        <f t="shared" si="288"/>
        <v>스토리위즈</v>
      </c>
      <c r="I1670" t="str">
        <f t="shared" si="290"/>
        <v>아카데미 속 궁술천재</v>
      </c>
      <c r="J1670">
        <v>100</v>
      </c>
      <c r="K1670">
        <v>300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300</v>
      </c>
      <c r="AH1670">
        <v>3</v>
      </c>
      <c r="AI1670">
        <v>0</v>
      </c>
      <c r="AJ1670">
        <v>0</v>
      </c>
      <c r="AK1670">
        <v>300</v>
      </c>
      <c r="AL1670">
        <v>0</v>
      </c>
      <c r="AM1670">
        <v>0</v>
      </c>
      <c r="AN1670">
        <v>0</v>
      </c>
      <c r="AO1670">
        <v>0</v>
      </c>
      <c r="AP1670"/>
      <c r="AQ1670">
        <v>0</v>
      </c>
      <c r="AR1670">
        <v>0</v>
      </c>
      <c r="AT1670">
        <v>0</v>
      </c>
      <c r="AU1670">
        <v>0</v>
      </c>
      <c r="AW1670">
        <v>0</v>
      </c>
      <c r="AX1670">
        <v>0</v>
      </c>
      <c r="AY1670">
        <v>210</v>
      </c>
      <c r="BC1670" t="str">
        <f t="shared" si="291"/>
        <v>9791137602915</v>
      </c>
      <c r="BE1670" t="str">
        <f t="shared" si="292"/>
        <v>판타지 웹소설 &gt; 퓨전 판타지</v>
      </c>
    </row>
    <row r="1671" spans="1:57" x14ac:dyDescent="0.3">
      <c r="A1671">
        <v>2313020594</v>
      </c>
      <c r="B1671">
        <v>2313020751</v>
      </c>
      <c r="C1671" t="str">
        <f>T("아카데미 속 궁술천재 158화")</f>
        <v>아카데미 속 궁술천재 158화</v>
      </c>
      <c r="D1671" t="str">
        <f>T("158")</f>
        <v>158</v>
      </c>
      <c r="E1671" t="str">
        <f t="shared" si="289"/>
        <v>깡펀치</v>
      </c>
      <c r="H1671" t="str">
        <f t="shared" si="288"/>
        <v>스토리위즈</v>
      </c>
      <c r="I1671" t="str">
        <f t="shared" si="290"/>
        <v>아카데미 속 궁술천재</v>
      </c>
      <c r="J1671">
        <v>100</v>
      </c>
      <c r="K1671">
        <v>300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300</v>
      </c>
      <c r="AH1671">
        <v>3</v>
      </c>
      <c r="AI1671">
        <v>0</v>
      </c>
      <c r="AJ1671">
        <v>0</v>
      </c>
      <c r="AK1671">
        <v>200</v>
      </c>
      <c r="AL1671">
        <v>0</v>
      </c>
      <c r="AM1671">
        <v>120</v>
      </c>
      <c r="AN1671">
        <v>-36</v>
      </c>
      <c r="AO1671">
        <v>0</v>
      </c>
      <c r="AP1671"/>
      <c r="AQ1671">
        <v>0</v>
      </c>
      <c r="AR1671">
        <v>0</v>
      </c>
      <c r="AS1671">
        <v>120</v>
      </c>
      <c r="AT1671">
        <v>-36</v>
      </c>
      <c r="AU1671">
        <v>0</v>
      </c>
      <c r="AW1671">
        <v>0</v>
      </c>
      <c r="AX1671">
        <v>0</v>
      </c>
      <c r="AY1671">
        <v>198.8</v>
      </c>
      <c r="BC1671" t="str">
        <f t="shared" si="291"/>
        <v>9791137602915</v>
      </c>
      <c r="BE1671" t="str">
        <f t="shared" si="292"/>
        <v>판타지 웹소설 &gt; 퓨전 판타지</v>
      </c>
    </row>
    <row r="1672" spans="1:57" x14ac:dyDescent="0.3">
      <c r="A1672">
        <v>2313020594</v>
      </c>
      <c r="B1672">
        <v>2313020753</v>
      </c>
      <c r="C1672" t="str">
        <f>T("아카데미 속 궁술천재 160화")</f>
        <v>아카데미 속 궁술천재 160화</v>
      </c>
      <c r="D1672" t="str">
        <f>T("160")</f>
        <v>160</v>
      </c>
      <c r="E1672" t="str">
        <f t="shared" si="289"/>
        <v>깡펀치</v>
      </c>
      <c r="H1672" t="str">
        <f t="shared" si="288"/>
        <v>스토리위즈</v>
      </c>
      <c r="I1672" t="str">
        <f t="shared" si="290"/>
        <v>아카데미 속 궁술천재</v>
      </c>
      <c r="J1672">
        <v>100</v>
      </c>
      <c r="K1672">
        <v>300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300</v>
      </c>
      <c r="AH1672">
        <v>3</v>
      </c>
      <c r="AI1672">
        <v>0</v>
      </c>
      <c r="AJ1672">
        <v>0</v>
      </c>
      <c r="AK1672">
        <v>300</v>
      </c>
      <c r="AL1672">
        <v>0</v>
      </c>
      <c r="AM1672">
        <v>0</v>
      </c>
      <c r="AN1672">
        <v>0</v>
      </c>
      <c r="AO1672">
        <v>0</v>
      </c>
      <c r="AP1672"/>
      <c r="AQ1672">
        <v>0</v>
      </c>
      <c r="AR1672">
        <v>0</v>
      </c>
      <c r="AT1672">
        <v>0</v>
      </c>
      <c r="AU1672">
        <v>0</v>
      </c>
      <c r="AW1672">
        <v>0</v>
      </c>
      <c r="AX1672">
        <v>0</v>
      </c>
      <c r="AY1672">
        <v>210</v>
      </c>
      <c r="BC1672" t="str">
        <f t="shared" si="291"/>
        <v>9791137602915</v>
      </c>
      <c r="BE1672" t="str">
        <f t="shared" si="292"/>
        <v>판타지 웹소설 &gt; 퓨전 판타지</v>
      </c>
    </row>
    <row r="1673" spans="1:57" x14ac:dyDescent="0.3">
      <c r="A1673">
        <v>2313020594</v>
      </c>
      <c r="B1673">
        <v>2313020754</v>
      </c>
      <c r="C1673" t="str">
        <f>T("아카데미 속 궁술천재 161화")</f>
        <v>아카데미 속 궁술천재 161화</v>
      </c>
      <c r="D1673" t="str">
        <f>T("161")</f>
        <v>161</v>
      </c>
      <c r="E1673" t="str">
        <f t="shared" si="289"/>
        <v>깡펀치</v>
      </c>
      <c r="H1673" t="str">
        <f t="shared" si="288"/>
        <v>스토리위즈</v>
      </c>
      <c r="I1673" t="str">
        <f t="shared" si="290"/>
        <v>아카데미 속 궁술천재</v>
      </c>
      <c r="J1673">
        <v>100</v>
      </c>
      <c r="K1673">
        <v>300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300</v>
      </c>
      <c r="AH1673">
        <v>3</v>
      </c>
      <c r="AI1673">
        <v>0</v>
      </c>
      <c r="AJ1673">
        <v>0</v>
      </c>
      <c r="AK1673">
        <v>300</v>
      </c>
      <c r="AL1673">
        <v>0</v>
      </c>
      <c r="AM1673">
        <v>0</v>
      </c>
      <c r="AN1673">
        <v>0</v>
      </c>
      <c r="AO1673">
        <v>0</v>
      </c>
      <c r="AP1673"/>
      <c r="AQ1673">
        <v>0</v>
      </c>
      <c r="AR1673">
        <v>0</v>
      </c>
      <c r="AT1673">
        <v>0</v>
      </c>
      <c r="AU1673">
        <v>0</v>
      </c>
      <c r="AW1673">
        <v>0</v>
      </c>
      <c r="AX1673">
        <v>0</v>
      </c>
      <c r="AY1673">
        <v>210</v>
      </c>
      <c r="BC1673" t="str">
        <f t="shared" si="291"/>
        <v>9791137602915</v>
      </c>
      <c r="BE1673" t="str">
        <f t="shared" si="292"/>
        <v>판타지 웹소설 &gt; 퓨전 판타지</v>
      </c>
    </row>
    <row r="1674" spans="1:57" x14ac:dyDescent="0.3">
      <c r="A1674">
        <v>2313020594</v>
      </c>
      <c r="B1674">
        <v>2313020755</v>
      </c>
      <c r="C1674" t="str">
        <f>T("아카데미 속 궁술천재 162화")</f>
        <v>아카데미 속 궁술천재 162화</v>
      </c>
      <c r="D1674" t="str">
        <f>T("162")</f>
        <v>162</v>
      </c>
      <c r="E1674" t="str">
        <f t="shared" si="289"/>
        <v>깡펀치</v>
      </c>
      <c r="H1674" t="str">
        <f t="shared" si="288"/>
        <v>스토리위즈</v>
      </c>
      <c r="I1674" t="str">
        <f t="shared" si="290"/>
        <v>아카데미 속 궁술천재</v>
      </c>
      <c r="J1674">
        <v>100</v>
      </c>
      <c r="K1674">
        <v>300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300</v>
      </c>
      <c r="AH1674">
        <v>3</v>
      </c>
      <c r="AI1674">
        <v>0</v>
      </c>
      <c r="AJ1674">
        <v>0</v>
      </c>
      <c r="AK1674">
        <v>300</v>
      </c>
      <c r="AL1674">
        <v>0</v>
      </c>
      <c r="AM1674">
        <v>0</v>
      </c>
      <c r="AN1674">
        <v>0</v>
      </c>
      <c r="AO1674">
        <v>0</v>
      </c>
      <c r="AP1674"/>
      <c r="AQ1674">
        <v>0</v>
      </c>
      <c r="AR1674">
        <v>0</v>
      </c>
      <c r="AT1674">
        <v>0</v>
      </c>
      <c r="AU1674">
        <v>0</v>
      </c>
      <c r="AW1674">
        <v>0</v>
      </c>
      <c r="AX1674">
        <v>0</v>
      </c>
      <c r="AY1674">
        <v>210</v>
      </c>
      <c r="BC1674" t="str">
        <f t="shared" si="291"/>
        <v>9791137602915</v>
      </c>
      <c r="BE1674" t="str">
        <f t="shared" si="292"/>
        <v>판타지 웹소설 &gt; 퓨전 판타지</v>
      </c>
    </row>
    <row r="1675" spans="1:57" x14ac:dyDescent="0.3">
      <c r="A1675">
        <v>2313020884</v>
      </c>
      <c r="B1675">
        <v>2313020925</v>
      </c>
      <c r="C1675" t="str">
        <f>T("회귀한 헌터가 너무 강함 42화")</f>
        <v>회귀한 헌터가 너무 강함 42화</v>
      </c>
      <c r="D1675" t="str">
        <f>T("42")</f>
        <v>42</v>
      </c>
      <c r="E1675" t="str">
        <f>T("왕십리글쟁이")</f>
        <v>왕십리글쟁이</v>
      </c>
      <c r="H1675" t="str">
        <f t="shared" si="288"/>
        <v>스토리위즈</v>
      </c>
      <c r="I1675" t="str">
        <f>T("회귀한 헌터가 너무 강함")</f>
        <v>회귀한 헌터가 너무 강함</v>
      </c>
      <c r="J1675">
        <v>100</v>
      </c>
      <c r="K1675">
        <v>300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300</v>
      </c>
      <c r="AH1675">
        <v>3</v>
      </c>
      <c r="AI1675">
        <v>0</v>
      </c>
      <c r="AJ1675">
        <v>0</v>
      </c>
      <c r="AK1675">
        <v>300</v>
      </c>
      <c r="AL1675">
        <v>0</v>
      </c>
      <c r="AM1675">
        <v>0</v>
      </c>
      <c r="AN1675">
        <v>0</v>
      </c>
      <c r="AO1675">
        <v>0</v>
      </c>
      <c r="AP1675"/>
      <c r="AQ1675">
        <v>0</v>
      </c>
      <c r="AR1675">
        <v>0</v>
      </c>
      <c r="AT1675">
        <v>0</v>
      </c>
      <c r="AU1675">
        <v>0</v>
      </c>
      <c r="AW1675">
        <v>0</v>
      </c>
      <c r="AX1675">
        <v>0</v>
      </c>
      <c r="AY1675">
        <v>210</v>
      </c>
      <c r="BC1675" t="str">
        <f>T("9791197332272")</f>
        <v>9791197332272</v>
      </c>
      <c r="BE1675" t="str">
        <f t="shared" si="292"/>
        <v>판타지 웹소설 &gt; 퓨전 판타지</v>
      </c>
    </row>
    <row r="1676" spans="1:57" x14ac:dyDescent="0.3">
      <c r="A1676">
        <v>2313020884</v>
      </c>
      <c r="B1676">
        <v>2313020926</v>
      </c>
      <c r="C1676" t="str">
        <f>T("회귀한 헌터가 너무 강함 43화")</f>
        <v>회귀한 헌터가 너무 강함 43화</v>
      </c>
      <c r="D1676" t="str">
        <f>T("43")</f>
        <v>43</v>
      </c>
      <c r="E1676" t="str">
        <f>T("왕십리글쟁이")</f>
        <v>왕십리글쟁이</v>
      </c>
      <c r="H1676" t="str">
        <f t="shared" si="288"/>
        <v>스토리위즈</v>
      </c>
      <c r="I1676" t="str">
        <f>T("회귀한 헌터가 너무 강함")</f>
        <v>회귀한 헌터가 너무 강함</v>
      </c>
      <c r="J1676">
        <v>100</v>
      </c>
      <c r="K1676">
        <v>300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300</v>
      </c>
      <c r="AH1676">
        <v>3</v>
      </c>
      <c r="AI1676">
        <v>0</v>
      </c>
      <c r="AJ1676">
        <v>0</v>
      </c>
      <c r="AK1676">
        <v>300</v>
      </c>
      <c r="AL1676">
        <v>0</v>
      </c>
      <c r="AM1676">
        <v>0</v>
      </c>
      <c r="AN1676">
        <v>0</v>
      </c>
      <c r="AO1676">
        <v>0</v>
      </c>
      <c r="AP1676"/>
      <c r="AQ1676">
        <v>0</v>
      </c>
      <c r="AR1676">
        <v>0</v>
      </c>
      <c r="AT1676">
        <v>0</v>
      </c>
      <c r="AU1676">
        <v>0</v>
      </c>
      <c r="AW1676">
        <v>0</v>
      </c>
      <c r="AX1676">
        <v>0</v>
      </c>
      <c r="AY1676">
        <v>210</v>
      </c>
      <c r="BC1676" t="str">
        <f>T("9791197332272")</f>
        <v>9791197332272</v>
      </c>
      <c r="BE1676" t="str">
        <f t="shared" si="292"/>
        <v>판타지 웹소설 &gt; 퓨전 판타지</v>
      </c>
    </row>
    <row r="1677" spans="1:57" x14ac:dyDescent="0.3">
      <c r="A1677">
        <v>2313000685</v>
      </c>
      <c r="B1677">
        <v>2313000734</v>
      </c>
      <c r="C1677" t="str">
        <f>T("라지에르의 서 51화")</f>
        <v>라지에르의 서 51화</v>
      </c>
      <c r="D1677" t="str">
        <f>T("50")</f>
        <v>50</v>
      </c>
      <c r="E1677" t="str">
        <f>T("공든탑")</f>
        <v>공든탑</v>
      </c>
      <c r="H1677" t="str">
        <f t="shared" si="288"/>
        <v>스토리위즈</v>
      </c>
      <c r="I1677" t="str">
        <f>T("라지에르의 서")</f>
        <v>라지에르의 서</v>
      </c>
      <c r="J1677">
        <v>100</v>
      </c>
      <c r="K1677">
        <v>200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200</v>
      </c>
      <c r="AH1677">
        <v>2</v>
      </c>
      <c r="AI1677">
        <v>0</v>
      </c>
      <c r="AJ1677">
        <v>0</v>
      </c>
      <c r="AK1677">
        <v>100</v>
      </c>
      <c r="AL1677">
        <v>0</v>
      </c>
      <c r="AM1677">
        <v>120</v>
      </c>
      <c r="AN1677">
        <v>-36</v>
      </c>
      <c r="AO1677">
        <v>0</v>
      </c>
      <c r="AP1677"/>
      <c r="AQ1677">
        <v>0</v>
      </c>
      <c r="AR1677">
        <v>0</v>
      </c>
      <c r="AS1677">
        <v>120</v>
      </c>
      <c r="AT1677">
        <v>-36</v>
      </c>
      <c r="AU1677">
        <v>0</v>
      </c>
      <c r="AW1677">
        <v>0</v>
      </c>
      <c r="AX1677">
        <v>0</v>
      </c>
      <c r="AY1677">
        <v>128.80000000000001</v>
      </c>
      <c r="BC1677" t="str">
        <f>T("9791159285783")</f>
        <v>9791159285783</v>
      </c>
      <c r="BE1677" t="str">
        <f t="shared" si="292"/>
        <v>판타지 웹소설 &gt; 퓨전 판타지</v>
      </c>
    </row>
    <row r="1678" spans="1:57" x14ac:dyDescent="0.3">
      <c r="A1678">
        <v>2313003101</v>
      </c>
      <c r="B1678">
        <v>2313003127</v>
      </c>
      <c r="C1678" t="str">
        <f>T("로드 오브 머니 27화")</f>
        <v>로드 오브 머니 27화</v>
      </c>
      <c r="D1678" t="str">
        <f>T("27")</f>
        <v>27</v>
      </c>
      <c r="E1678" t="str">
        <f t="shared" ref="E1678:E1741" si="293">T("무장")</f>
        <v>무장</v>
      </c>
      <c r="H1678" t="str">
        <f t="shared" si="288"/>
        <v>스토리위즈</v>
      </c>
      <c r="I1678" t="str">
        <f t="shared" ref="I1678:I1741" si="294">T("로드 오브 머니")</f>
        <v>로드 오브 머니</v>
      </c>
      <c r="J1678">
        <v>100</v>
      </c>
      <c r="K1678">
        <v>200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200</v>
      </c>
      <c r="AH1678">
        <v>2</v>
      </c>
      <c r="AI1678">
        <v>0</v>
      </c>
      <c r="AJ1678">
        <v>0</v>
      </c>
      <c r="AK1678">
        <v>200</v>
      </c>
      <c r="AL1678">
        <v>0</v>
      </c>
      <c r="AM1678">
        <v>0</v>
      </c>
      <c r="AN1678">
        <v>0</v>
      </c>
      <c r="AO1678">
        <v>0</v>
      </c>
      <c r="AP1678"/>
      <c r="AQ1678">
        <v>0</v>
      </c>
      <c r="AR1678">
        <v>0</v>
      </c>
      <c r="AT1678">
        <v>0</v>
      </c>
      <c r="AU1678">
        <v>0</v>
      </c>
      <c r="AW1678">
        <v>0</v>
      </c>
      <c r="AX1678">
        <v>0</v>
      </c>
      <c r="AY1678">
        <v>140</v>
      </c>
      <c r="BC1678" t="str">
        <f t="shared" ref="BC1678:BC1741" si="295">T("9791188630066")</f>
        <v>9791188630066</v>
      </c>
      <c r="BE1678" t="str">
        <f t="shared" ref="BE1678:BE1741" si="296">T("판타지 웹소설 &gt; 현대 판타지")</f>
        <v>판타지 웹소설 &gt; 현대 판타지</v>
      </c>
    </row>
    <row r="1679" spans="1:57" x14ac:dyDescent="0.3">
      <c r="A1679">
        <v>2313003101</v>
      </c>
      <c r="B1679">
        <v>2313003128</v>
      </c>
      <c r="C1679" t="str">
        <f>T("로드 오브 머니 28화")</f>
        <v>로드 오브 머니 28화</v>
      </c>
      <c r="D1679" t="str">
        <f>T("28")</f>
        <v>28</v>
      </c>
      <c r="E1679" t="str">
        <f t="shared" si="293"/>
        <v>무장</v>
      </c>
      <c r="H1679" t="str">
        <f t="shared" si="288"/>
        <v>스토리위즈</v>
      </c>
      <c r="I1679" t="str">
        <f t="shared" si="294"/>
        <v>로드 오브 머니</v>
      </c>
      <c r="J1679">
        <v>100</v>
      </c>
      <c r="K1679">
        <v>200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200</v>
      </c>
      <c r="AH1679">
        <v>2</v>
      </c>
      <c r="AI1679">
        <v>0</v>
      </c>
      <c r="AJ1679">
        <v>0</v>
      </c>
      <c r="AK1679">
        <v>200</v>
      </c>
      <c r="AL1679">
        <v>0</v>
      </c>
      <c r="AM1679">
        <v>0</v>
      </c>
      <c r="AN1679">
        <v>0</v>
      </c>
      <c r="AO1679">
        <v>0</v>
      </c>
      <c r="AP1679"/>
      <c r="AQ1679">
        <v>0</v>
      </c>
      <c r="AR1679">
        <v>0</v>
      </c>
      <c r="AT1679">
        <v>0</v>
      </c>
      <c r="AU1679">
        <v>0</v>
      </c>
      <c r="AW1679">
        <v>0</v>
      </c>
      <c r="AX1679">
        <v>0</v>
      </c>
      <c r="AY1679">
        <v>140</v>
      </c>
      <c r="BC1679" t="str">
        <f t="shared" si="295"/>
        <v>9791188630066</v>
      </c>
      <c r="BE1679" t="str">
        <f t="shared" si="296"/>
        <v>판타지 웹소설 &gt; 현대 판타지</v>
      </c>
    </row>
    <row r="1680" spans="1:57" x14ac:dyDescent="0.3">
      <c r="A1680">
        <v>2313003101</v>
      </c>
      <c r="B1680">
        <v>2313003129</v>
      </c>
      <c r="C1680" t="str">
        <f>T("로드 오브 머니 29화")</f>
        <v>로드 오브 머니 29화</v>
      </c>
      <c r="D1680" t="str">
        <f>T("29")</f>
        <v>29</v>
      </c>
      <c r="E1680" t="str">
        <f t="shared" si="293"/>
        <v>무장</v>
      </c>
      <c r="H1680" t="str">
        <f t="shared" si="288"/>
        <v>스토리위즈</v>
      </c>
      <c r="I1680" t="str">
        <f t="shared" si="294"/>
        <v>로드 오브 머니</v>
      </c>
      <c r="J1680">
        <v>100</v>
      </c>
      <c r="K1680">
        <v>200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200</v>
      </c>
      <c r="AH1680">
        <v>2</v>
      </c>
      <c r="AI1680">
        <v>0</v>
      </c>
      <c r="AJ1680">
        <v>0</v>
      </c>
      <c r="AK1680">
        <v>200</v>
      </c>
      <c r="AL1680">
        <v>0</v>
      </c>
      <c r="AM1680">
        <v>0</v>
      </c>
      <c r="AN1680">
        <v>0</v>
      </c>
      <c r="AO1680">
        <v>0</v>
      </c>
      <c r="AP1680"/>
      <c r="AQ1680">
        <v>0</v>
      </c>
      <c r="AR1680">
        <v>0</v>
      </c>
      <c r="AT1680">
        <v>0</v>
      </c>
      <c r="AU1680">
        <v>0</v>
      </c>
      <c r="AW1680">
        <v>0</v>
      </c>
      <c r="AX1680">
        <v>0</v>
      </c>
      <c r="AY1680">
        <v>140</v>
      </c>
      <c r="BC1680" t="str">
        <f t="shared" si="295"/>
        <v>9791188630066</v>
      </c>
      <c r="BE1680" t="str">
        <f t="shared" si="296"/>
        <v>판타지 웹소설 &gt; 현대 판타지</v>
      </c>
    </row>
    <row r="1681" spans="1:57" x14ac:dyDescent="0.3">
      <c r="A1681">
        <v>2313003101</v>
      </c>
      <c r="B1681">
        <v>2313003130</v>
      </c>
      <c r="C1681" t="str">
        <f>T("로드 오브 머니 30화")</f>
        <v>로드 오브 머니 30화</v>
      </c>
      <c r="D1681" t="str">
        <f>T("30")</f>
        <v>30</v>
      </c>
      <c r="E1681" t="str">
        <f t="shared" si="293"/>
        <v>무장</v>
      </c>
      <c r="H1681" t="str">
        <f t="shared" si="288"/>
        <v>스토리위즈</v>
      </c>
      <c r="I1681" t="str">
        <f t="shared" si="294"/>
        <v>로드 오브 머니</v>
      </c>
      <c r="J1681">
        <v>100</v>
      </c>
      <c r="K1681">
        <v>200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200</v>
      </c>
      <c r="AH1681">
        <v>2</v>
      </c>
      <c r="AI1681">
        <v>0</v>
      </c>
      <c r="AJ1681">
        <v>0</v>
      </c>
      <c r="AK1681">
        <v>200</v>
      </c>
      <c r="AL1681">
        <v>0</v>
      </c>
      <c r="AM1681">
        <v>0</v>
      </c>
      <c r="AN1681">
        <v>0</v>
      </c>
      <c r="AO1681">
        <v>0</v>
      </c>
      <c r="AP1681"/>
      <c r="AQ1681">
        <v>0</v>
      </c>
      <c r="AR1681">
        <v>0</v>
      </c>
      <c r="AT1681">
        <v>0</v>
      </c>
      <c r="AU1681">
        <v>0</v>
      </c>
      <c r="AW1681">
        <v>0</v>
      </c>
      <c r="AX1681">
        <v>0</v>
      </c>
      <c r="AY1681">
        <v>140</v>
      </c>
      <c r="BC1681" t="str">
        <f t="shared" si="295"/>
        <v>9791188630066</v>
      </c>
      <c r="BE1681" t="str">
        <f t="shared" si="296"/>
        <v>판타지 웹소설 &gt; 현대 판타지</v>
      </c>
    </row>
    <row r="1682" spans="1:57" x14ac:dyDescent="0.3">
      <c r="A1682">
        <v>2313003101</v>
      </c>
      <c r="B1682">
        <v>2313003131</v>
      </c>
      <c r="C1682" t="str">
        <f>T("로드 오브 머니 31화")</f>
        <v>로드 오브 머니 31화</v>
      </c>
      <c r="D1682" t="str">
        <f>T("31")</f>
        <v>31</v>
      </c>
      <c r="E1682" t="str">
        <f t="shared" si="293"/>
        <v>무장</v>
      </c>
      <c r="H1682" t="str">
        <f t="shared" si="288"/>
        <v>스토리위즈</v>
      </c>
      <c r="I1682" t="str">
        <f t="shared" si="294"/>
        <v>로드 오브 머니</v>
      </c>
      <c r="J1682">
        <v>100</v>
      </c>
      <c r="K1682">
        <v>200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200</v>
      </c>
      <c r="AH1682">
        <v>2</v>
      </c>
      <c r="AI1682">
        <v>0</v>
      </c>
      <c r="AJ1682">
        <v>0</v>
      </c>
      <c r="AK1682">
        <v>200</v>
      </c>
      <c r="AL1682">
        <v>0</v>
      </c>
      <c r="AM1682">
        <v>0</v>
      </c>
      <c r="AN1682">
        <v>0</v>
      </c>
      <c r="AO1682">
        <v>0</v>
      </c>
      <c r="AP1682"/>
      <c r="AQ1682">
        <v>0</v>
      </c>
      <c r="AR1682">
        <v>0</v>
      </c>
      <c r="AT1682">
        <v>0</v>
      </c>
      <c r="AU1682">
        <v>0</v>
      </c>
      <c r="AW1682">
        <v>0</v>
      </c>
      <c r="AX1682">
        <v>0</v>
      </c>
      <c r="AY1682">
        <v>140</v>
      </c>
      <c r="BC1682" t="str">
        <f t="shared" si="295"/>
        <v>9791188630066</v>
      </c>
      <c r="BE1682" t="str">
        <f t="shared" si="296"/>
        <v>판타지 웹소설 &gt; 현대 판타지</v>
      </c>
    </row>
    <row r="1683" spans="1:57" x14ac:dyDescent="0.3">
      <c r="A1683">
        <v>2313003101</v>
      </c>
      <c r="B1683">
        <v>2313003132</v>
      </c>
      <c r="C1683" t="str">
        <f>T("로드 오브 머니 32화")</f>
        <v>로드 오브 머니 32화</v>
      </c>
      <c r="D1683" t="str">
        <f>T("32")</f>
        <v>32</v>
      </c>
      <c r="E1683" t="str">
        <f t="shared" si="293"/>
        <v>무장</v>
      </c>
      <c r="H1683" t="str">
        <f t="shared" si="288"/>
        <v>스토리위즈</v>
      </c>
      <c r="I1683" t="str">
        <f t="shared" si="294"/>
        <v>로드 오브 머니</v>
      </c>
      <c r="J1683">
        <v>100</v>
      </c>
      <c r="K1683">
        <v>200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200</v>
      </c>
      <c r="AH1683">
        <v>2</v>
      </c>
      <c r="AI1683">
        <v>0</v>
      </c>
      <c r="AJ1683">
        <v>0</v>
      </c>
      <c r="AK1683">
        <v>200</v>
      </c>
      <c r="AL1683">
        <v>0</v>
      </c>
      <c r="AM1683">
        <v>0</v>
      </c>
      <c r="AN1683">
        <v>0</v>
      </c>
      <c r="AO1683">
        <v>0</v>
      </c>
      <c r="AP1683"/>
      <c r="AQ1683">
        <v>0</v>
      </c>
      <c r="AR1683">
        <v>0</v>
      </c>
      <c r="AT1683">
        <v>0</v>
      </c>
      <c r="AU1683">
        <v>0</v>
      </c>
      <c r="AW1683">
        <v>0</v>
      </c>
      <c r="AX1683">
        <v>0</v>
      </c>
      <c r="AY1683">
        <v>140</v>
      </c>
      <c r="BC1683" t="str">
        <f t="shared" si="295"/>
        <v>9791188630066</v>
      </c>
      <c r="BE1683" t="str">
        <f t="shared" si="296"/>
        <v>판타지 웹소설 &gt; 현대 판타지</v>
      </c>
    </row>
    <row r="1684" spans="1:57" x14ac:dyDescent="0.3">
      <c r="A1684">
        <v>2313003101</v>
      </c>
      <c r="B1684">
        <v>2313003133</v>
      </c>
      <c r="C1684" t="str">
        <f>T("로드 오브 머니 33화")</f>
        <v>로드 오브 머니 33화</v>
      </c>
      <c r="D1684" t="str">
        <f>T("33")</f>
        <v>33</v>
      </c>
      <c r="E1684" t="str">
        <f t="shared" si="293"/>
        <v>무장</v>
      </c>
      <c r="H1684" t="str">
        <f t="shared" si="288"/>
        <v>스토리위즈</v>
      </c>
      <c r="I1684" t="str">
        <f t="shared" si="294"/>
        <v>로드 오브 머니</v>
      </c>
      <c r="J1684">
        <v>100</v>
      </c>
      <c r="K1684">
        <v>200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200</v>
      </c>
      <c r="AH1684">
        <v>2</v>
      </c>
      <c r="AI1684">
        <v>0</v>
      </c>
      <c r="AJ1684">
        <v>0</v>
      </c>
      <c r="AK1684">
        <v>200</v>
      </c>
      <c r="AL1684">
        <v>0</v>
      </c>
      <c r="AM1684">
        <v>0</v>
      </c>
      <c r="AN1684">
        <v>0</v>
      </c>
      <c r="AO1684">
        <v>0</v>
      </c>
      <c r="AP1684"/>
      <c r="AQ1684">
        <v>0</v>
      </c>
      <c r="AR1684">
        <v>0</v>
      </c>
      <c r="AT1684">
        <v>0</v>
      </c>
      <c r="AU1684">
        <v>0</v>
      </c>
      <c r="AW1684">
        <v>0</v>
      </c>
      <c r="AX1684">
        <v>0</v>
      </c>
      <c r="AY1684">
        <v>140</v>
      </c>
      <c r="BC1684" t="str">
        <f t="shared" si="295"/>
        <v>9791188630066</v>
      </c>
      <c r="BE1684" t="str">
        <f t="shared" si="296"/>
        <v>판타지 웹소설 &gt; 현대 판타지</v>
      </c>
    </row>
    <row r="1685" spans="1:57" x14ac:dyDescent="0.3">
      <c r="A1685">
        <v>2313003101</v>
      </c>
      <c r="B1685">
        <v>2313003134</v>
      </c>
      <c r="C1685" t="str">
        <f>T("로드 오브 머니 34화")</f>
        <v>로드 오브 머니 34화</v>
      </c>
      <c r="D1685" t="str">
        <f>T("34")</f>
        <v>34</v>
      </c>
      <c r="E1685" t="str">
        <f t="shared" si="293"/>
        <v>무장</v>
      </c>
      <c r="H1685" t="str">
        <f t="shared" si="288"/>
        <v>스토리위즈</v>
      </c>
      <c r="I1685" t="str">
        <f t="shared" si="294"/>
        <v>로드 오브 머니</v>
      </c>
      <c r="J1685">
        <v>100</v>
      </c>
      <c r="K1685">
        <v>200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200</v>
      </c>
      <c r="AH1685">
        <v>2</v>
      </c>
      <c r="AI1685">
        <v>0</v>
      </c>
      <c r="AJ1685">
        <v>0</v>
      </c>
      <c r="AK1685">
        <v>200</v>
      </c>
      <c r="AL1685">
        <v>0</v>
      </c>
      <c r="AM1685">
        <v>0</v>
      </c>
      <c r="AN1685">
        <v>0</v>
      </c>
      <c r="AO1685">
        <v>0</v>
      </c>
      <c r="AP1685"/>
      <c r="AQ1685">
        <v>0</v>
      </c>
      <c r="AR1685">
        <v>0</v>
      </c>
      <c r="AT1685">
        <v>0</v>
      </c>
      <c r="AU1685">
        <v>0</v>
      </c>
      <c r="AW1685">
        <v>0</v>
      </c>
      <c r="AX1685">
        <v>0</v>
      </c>
      <c r="AY1685">
        <v>140</v>
      </c>
      <c r="BC1685" t="str">
        <f t="shared" si="295"/>
        <v>9791188630066</v>
      </c>
      <c r="BE1685" t="str">
        <f t="shared" si="296"/>
        <v>판타지 웹소설 &gt; 현대 판타지</v>
      </c>
    </row>
    <row r="1686" spans="1:57" x14ac:dyDescent="0.3">
      <c r="A1686">
        <v>2313003101</v>
      </c>
      <c r="B1686">
        <v>2313003135</v>
      </c>
      <c r="C1686" t="str">
        <f>T("로드 오브 머니 35화")</f>
        <v>로드 오브 머니 35화</v>
      </c>
      <c r="D1686" t="str">
        <f>T("35")</f>
        <v>35</v>
      </c>
      <c r="E1686" t="str">
        <f t="shared" si="293"/>
        <v>무장</v>
      </c>
      <c r="H1686" t="str">
        <f t="shared" si="288"/>
        <v>스토리위즈</v>
      </c>
      <c r="I1686" t="str">
        <f t="shared" si="294"/>
        <v>로드 오브 머니</v>
      </c>
      <c r="J1686">
        <v>100</v>
      </c>
      <c r="K1686">
        <v>200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200</v>
      </c>
      <c r="AH1686">
        <v>2</v>
      </c>
      <c r="AI1686">
        <v>0</v>
      </c>
      <c r="AJ1686">
        <v>0</v>
      </c>
      <c r="AK1686">
        <v>200</v>
      </c>
      <c r="AL1686">
        <v>0</v>
      </c>
      <c r="AM1686">
        <v>0</v>
      </c>
      <c r="AN1686">
        <v>0</v>
      </c>
      <c r="AO1686">
        <v>0</v>
      </c>
      <c r="AP1686"/>
      <c r="AQ1686">
        <v>0</v>
      </c>
      <c r="AR1686">
        <v>0</v>
      </c>
      <c r="AT1686">
        <v>0</v>
      </c>
      <c r="AU1686">
        <v>0</v>
      </c>
      <c r="AW1686">
        <v>0</v>
      </c>
      <c r="AX1686">
        <v>0</v>
      </c>
      <c r="AY1686">
        <v>140</v>
      </c>
      <c r="BC1686" t="str">
        <f t="shared" si="295"/>
        <v>9791188630066</v>
      </c>
      <c r="BE1686" t="str">
        <f t="shared" si="296"/>
        <v>판타지 웹소설 &gt; 현대 판타지</v>
      </c>
    </row>
    <row r="1687" spans="1:57" x14ac:dyDescent="0.3">
      <c r="A1687">
        <v>2313003101</v>
      </c>
      <c r="B1687">
        <v>2313003136</v>
      </c>
      <c r="C1687" t="str">
        <f>T("로드 오브 머니 36화")</f>
        <v>로드 오브 머니 36화</v>
      </c>
      <c r="D1687" t="str">
        <f>T("36")</f>
        <v>36</v>
      </c>
      <c r="E1687" t="str">
        <f t="shared" si="293"/>
        <v>무장</v>
      </c>
      <c r="H1687" t="str">
        <f t="shared" si="288"/>
        <v>스토리위즈</v>
      </c>
      <c r="I1687" t="str">
        <f t="shared" si="294"/>
        <v>로드 오브 머니</v>
      </c>
      <c r="J1687">
        <v>100</v>
      </c>
      <c r="K1687">
        <v>200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200</v>
      </c>
      <c r="AH1687">
        <v>2</v>
      </c>
      <c r="AI1687">
        <v>0</v>
      </c>
      <c r="AJ1687">
        <v>0</v>
      </c>
      <c r="AK1687">
        <v>200</v>
      </c>
      <c r="AL1687">
        <v>0</v>
      </c>
      <c r="AM1687">
        <v>0</v>
      </c>
      <c r="AN1687">
        <v>0</v>
      </c>
      <c r="AO1687">
        <v>0</v>
      </c>
      <c r="AP1687"/>
      <c r="AQ1687">
        <v>0</v>
      </c>
      <c r="AR1687">
        <v>0</v>
      </c>
      <c r="AT1687">
        <v>0</v>
      </c>
      <c r="AU1687">
        <v>0</v>
      </c>
      <c r="AW1687">
        <v>0</v>
      </c>
      <c r="AX1687">
        <v>0</v>
      </c>
      <c r="AY1687">
        <v>140</v>
      </c>
      <c r="BC1687" t="str">
        <f t="shared" si="295"/>
        <v>9791188630066</v>
      </c>
      <c r="BE1687" t="str">
        <f t="shared" si="296"/>
        <v>판타지 웹소설 &gt; 현대 판타지</v>
      </c>
    </row>
    <row r="1688" spans="1:57" x14ac:dyDescent="0.3">
      <c r="A1688">
        <v>2313003101</v>
      </c>
      <c r="B1688">
        <v>2313003137</v>
      </c>
      <c r="C1688" t="str">
        <f>T("로드 오브 머니 37화")</f>
        <v>로드 오브 머니 37화</v>
      </c>
      <c r="D1688" t="str">
        <f>T("37")</f>
        <v>37</v>
      </c>
      <c r="E1688" t="str">
        <f t="shared" si="293"/>
        <v>무장</v>
      </c>
      <c r="H1688" t="str">
        <f t="shared" si="288"/>
        <v>스토리위즈</v>
      </c>
      <c r="I1688" t="str">
        <f t="shared" si="294"/>
        <v>로드 오브 머니</v>
      </c>
      <c r="J1688">
        <v>100</v>
      </c>
      <c r="K1688">
        <v>200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200</v>
      </c>
      <c r="AH1688">
        <v>2</v>
      </c>
      <c r="AI1688">
        <v>0</v>
      </c>
      <c r="AJ1688">
        <v>0</v>
      </c>
      <c r="AK1688">
        <v>200</v>
      </c>
      <c r="AL1688">
        <v>0</v>
      </c>
      <c r="AM1688">
        <v>0</v>
      </c>
      <c r="AN1688">
        <v>0</v>
      </c>
      <c r="AO1688">
        <v>0</v>
      </c>
      <c r="AP1688"/>
      <c r="AQ1688">
        <v>0</v>
      </c>
      <c r="AR1688">
        <v>0</v>
      </c>
      <c r="AT1688">
        <v>0</v>
      </c>
      <c r="AU1688">
        <v>0</v>
      </c>
      <c r="AW1688">
        <v>0</v>
      </c>
      <c r="AX1688">
        <v>0</v>
      </c>
      <c r="AY1688">
        <v>140</v>
      </c>
      <c r="BC1688" t="str">
        <f t="shared" si="295"/>
        <v>9791188630066</v>
      </c>
      <c r="BE1688" t="str">
        <f t="shared" si="296"/>
        <v>판타지 웹소설 &gt; 현대 판타지</v>
      </c>
    </row>
    <row r="1689" spans="1:57" x14ac:dyDescent="0.3">
      <c r="A1689">
        <v>2313003101</v>
      </c>
      <c r="B1689">
        <v>2313003138</v>
      </c>
      <c r="C1689" t="str">
        <f>T("로드 오브 머니 38화")</f>
        <v>로드 오브 머니 38화</v>
      </c>
      <c r="D1689" t="str">
        <f>T("38")</f>
        <v>38</v>
      </c>
      <c r="E1689" t="str">
        <f t="shared" si="293"/>
        <v>무장</v>
      </c>
      <c r="H1689" t="str">
        <f t="shared" si="288"/>
        <v>스토리위즈</v>
      </c>
      <c r="I1689" t="str">
        <f t="shared" si="294"/>
        <v>로드 오브 머니</v>
      </c>
      <c r="J1689">
        <v>100</v>
      </c>
      <c r="K1689">
        <v>200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200</v>
      </c>
      <c r="AH1689">
        <v>2</v>
      </c>
      <c r="AI1689">
        <v>0</v>
      </c>
      <c r="AJ1689">
        <v>0</v>
      </c>
      <c r="AK1689">
        <v>200</v>
      </c>
      <c r="AL1689">
        <v>0</v>
      </c>
      <c r="AM1689">
        <v>0</v>
      </c>
      <c r="AN1689">
        <v>0</v>
      </c>
      <c r="AO1689">
        <v>0</v>
      </c>
      <c r="AP1689"/>
      <c r="AQ1689">
        <v>0</v>
      </c>
      <c r="AR1689">
        <v>0</v>
      </c>
      <c r="AT1689">
        <v>0</v>
      </c>
      <c r="AU1689">
        <v>0</v>
      </c>
      <c r="AW1689">
        <v>0</v>
      </c>
      <c r="AX1689">
        <v>0</v>
      </c>
      <c r="AY1689">
        <v>140</v>
      </c>
      <c r="BC1689" t="str">
        <f t="shared" si="295"/>
        <v>9791188630066</v>
      </c>
      <c r="BE1689" t="str">
        <f t="shared" si="296"/>
        <v>판타지 웹소설 &gt; 현대 판타지</v>
      </c>
    </row>
    <row r="1690" spans="1:57" x14ac:dyDescent="0.3">
      <c r="A1690">
        <v>2313003101</v>
      </c>
      <c r="B1690">
        <v>2313003139</v>
      </c>
      <c r="C1690" t="str">
        <f>T("로드 오브 머니 39화")</f>
        <v>로드 오브 머니 39화</v>
      </c>
      <c r="D1690" t="str">
        <f>T("39")</f>
        <v>39</v>
      </c>
      <c r="E1690" t="str">
        <f t="shared" si="293"/>
        <v>무장</v>
      </c>
      <c r="H1690" t="str">
        <f t="shared" si="288"/>
        <v>스토리위즈</v>
      </c>
      <c r="I1690" t="str">
        <f t="shared" si="294"/>
        <v>로드 오브 머니</v>
      </c>
      <c r="J1690">
        <v>100</v>
      </c>
      <c r="K1690">
        <v>200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200</v>
      </c>
      <c r="AH1690">
        <v>2</v>
      </c>
      <c r="AI1690">
        <v>0</v>
      </c>
      <c r="AJ1690">
        <v>0</v>
      </c>
      <c r="AK1690">
        <v>200</v>
      </c>
      <c r="AL1690">
        <v>0</v>
      </c>
      <c r="AM1690">
        <v>0</v>
      </c>
      <c r="AN1690">
        <v>0</v>
      </c>
      <c r="AO1690">
        <v>0</v>
      </c>
      <c r="AP1690"/>
      <c r="AQ1690">
        <v>0</v>
      </c>
      <c r="AR1690">
        <v>0</v>
      </c>
      <c r="AT1690">
        <v>0</v>
      </c>
      <c r="AU1690">
        <v>0</v>
      </c>
      <c r="AW1690">
        <v>0</v>
      </c>
      <c r="AX1690">
        <v>0</v>
      </c>
      <c r="AY1690">
        <v>140</v>
      </c>
      <c r="BC1690" t="str">
        <f t="shared" si="295"/>
        <v>9791188630066</v>
      </c>
      <c r="BE1690" t="str">
        <f t="shared" si="296"/>
        <v>판타지 웹소설 &gt; 현대 판타지</v>
      </c>
    </row>
    <row r="1691" spans="1:57" x14ac:dyDescent="0.3">
      <c r="A1691">
        <v>2313003101</v>
      </c>
      <c r="B1691">
        <v>2313003140</v>
      </c>
      <c r="C1691" t="str">
        <f>T("로드 오브 머니 40화")</f>
        <v>로드 오브 머니 40화</v>
      </c>
      <c r="D1691" t="str">
        <f>T("40")</f>
        <v>40</v>
      </c>
      <c r="E1691" t="str">
        <f t="shared" si="293"/>
        <v>무장</v>
      </c>
      <c r="H1691" t="str">
        <f t="shared" si="288"/>
        <v>스토리위즈</v>
      </c>
      <c r="I1691" t="str">
        <f t="shared" si="294"/>
        <v>로드 오브 머니</v>
      </c>
      <c r="J1691">
        <v>100</v>
      </c>
      <c r="K1691">
        <v>200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200</v>
      </c>
      <c r="AH1691">
        <v>2</v>
      </c>
      <c r="AI1691">
        <v>0</v>
      </c>
      <c r="AJ1691">
        <v>0</v>
      </c>
      <c r="AK1691">
        <v>200</v>
      </c>
      <c r="AL1691">
        <v>0</v>
      </c>
      <c r="AM1691">
        <v>0</v>
      </c>
      <c r="AN1691">
        <v>0</v>
      </c>
      <c r="AO1691">
        <v>0</v>
      </c>
      <c r="AP1691"/>
      <c r="AQ1691">
        <v>0</v>
      </c>
      <c r="AR1691">
        <v>0</v>
      </c>
      <c r="AT1691">
        <v>0</v>
      </c>
      <c r="AU1691">
        <v>0</v>
      </c>
      <c r="AW1691">
        <v>0</v>
      </c>
      <c r="AX1691">
        <v>0</v>
      </c>
      <c r="AY1691">
        <v>140</v>
      </c>
      <c r="BC1691" t="str">
        <f t="shared" si="295"/>
        <v>9791188630066</v>
      </c>
      <c r="BE1691" t="str">
        <f t="shared" si="296"/>
        <v>판타지 웹소설 &gt; 현대 판타지</v>
      </c>
    </row>
    <row r="1692" spans="1:57" x14ac:dyDescent="0.3">
      <c r="A1692">
        <v>2313003101</v>
      </c>
      <c r="B1692">
        <v>2313003141</v>
      </c>
      <c r="C1692" t="str">
        <f>T("로드 오브 머니 41화")</f>
        <v>로드 오브 머니 41화</v>
      </c>
      <c r="D1692" t="str">
        <f>T("41")</f>
        <v>41</v>
      </c>
      <c r="E1692" t="str">
        <f t="shared" si="293"/>
        <v>무장</v>
      </c>
      <c r="H1692" t="str">
        <f t="shared" si="288"/>
        <v>스토리위즈</v>
      </c>
      <c r="I1692" t="str">
        <f t="shared" si="294"/>
        <v>로드 오브 머니</v>
      </c>
      <c r="J1692">
        <v>100</v>
      </c>
      <c r="K1692">
        <v>200</v>
      </c>
      <c r="L1692">
        <v>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200</v>
      </c>
      <c r="AH1692">
        <v>2</v>
      </c>
      <c r="AI1692">
        <v>0</v>
      </c>
      <c r="AJ1692">
        <v>0</v>
      </c>
      <c r="AK1692">
        <v>200</v>
      </c>
      <c r="AL1692">
        <v>0</v>
      </c>
      <c r="AM1692">
        <v>0</v>
      </c>
      <c r="AN1692">
        <v>0</v>
      </c>
      <c r="AO1692">
        <v>0</v>
      </c>
      <c r="AP1692"/>
      <c r="AQ1692">
        <v>0</v>
      </c>
      <c r="AR1692">
        <v>0</v>
      </c>
      <c r="AT1692">
        <v>0</v>
      </c>
      <c r="AU1692">
        <v>0</v>
      </c>
      <c r="AW1692">
        <v>0</v>
      </c>
      <c r="AX1692">
        <v>0</v>
      </c>
      <c r="AY1692">
        <v>140</v>
      </c>
      <c r="BC1692" t="str">
        <f t="shared" si="295"/>
        <v>9791188630066</v>
      </c>
      <c r="BE1692" t="str">
        <f t="shared" si="296"/>
        <v>판타지 웹소설 &gt; 현대 판타지</v>
      </c>
    </row>
    <row r="1693" spans="1:57" x14ac:dyDescent="0.3">
      <c r="A1693">
        <v>2313003101</v>
      </c>
      <c r="B1693">
        <v>2313003142</v>
      </c>
      <c r="C1693" t="str">
        <f>T("로드 오브 머니 42화")</f>
        <v>로드 오브 머니 42화</v>
      </c>
      <c r="D1693" t="str">
        <f>T("42")</f>
        <v>42</v>
      </c>
      <c r="E1693" t="str">
        <f t="shared" si="293"/>
        <v>무장</v>
      </c>
      <c r="H1693" t="str">
        <f t="shared" si="288"/>
        <v>스토리위즈</v>
      </c>
      <c r="I1693" t="str">
        <f t="shared" si="294"/>
        <v>로드 오브 머니</v>
      </c>
      <c r="J1693">
        <v>100</v>
      </c>
      <c r="K1693">
        <v>200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200</v>
      </c>
      <c r="AH1693">
        <v>2</v>
      </c>
      <c r="AI1693">
        <v>0</v>
      </c>
      <c r="AJ1693">
        <v>0</v>
      </c>
      <c r="AK1693">
        <v>200</v>
      </c>
      <c r="AL1693">
        <v>0</v>
      </c>
      <c r="AM1693">
        <v>0</v>
      </c>
      <c r="AN1693">
        <v>0</v>
      </c>
      <c r="AO1693">
        <v>0</v>
      </c>
      <c r="AP1693"/>
      <c r="AQ1693">
        <v>0</v>
      </c>
      <c r="AR1693">
        <v>0</v>
      </c>
      <c r="AT1693">
        <v>0</v>
      </c>
      <c r="AU1693">
        <v>0</v>
      </c>
      <c r="AW1693">
        <v>0</v>
      </c>
      <c r="AX1693">
        <v>0</v>
      </c>
      <c r="AY1693">
        <v>140</v>
      </c>
      <c r="BC1693" t="str">
        <f t="shared" si="295"/>
        <v>9791188630066</v>
      </c>
      <c r="BE1693" t="str">
        <f t="shared" si="296"/>
        <v>판타지 웹소설 &gt; 현대 판타지</v>
      </c>
    </row>
    <row r="1694" spans="1:57" x14ac:dyDescent="0.3">
      <c r="A1694">
        <v>2313003101</v>
      </c>
      <c r="B1694">
        <v>2313003163</v>
      </c>
      <c r="C1694" t="str">
        <f>T("로드 오브 머니 63화")</f>
        <v>로드 오브 머니 63화</v>
      </c>
      <c r="D1694" t="str">
        <f>T("63")</f>
        <v>63</v>
      </c>
      <c r="E1694" t="str">
        <f t="shared" si="293"/>
        <v>무장</v>
      </c>
      <c r="H1694" t="str">
        <f t="shared" si="288"/>
        <v>스토리위즈</v>
      </c>
      <c r="I1694" t="str">
        <f t="shared" si="294"/>
        <v>로드 오브 머니</v>
      </c>
      <c r="J1694">
        <v>100</v>
      </c>
      <c r="K1694">
        <v>200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200</v>
      </c>
      <c r="AH1694">
        <v>2</v>
      </c>
      <c r="AI1694">
        <v>0</v>
      </c>
      <c r="AJ1694">
        <v>0</v>
      </c>
      <c r="AK1694">
        <v>200</v>
      </c>
      <c r="AL1694">
        <v>0</v>
      </c>
      <c r="AM1694">
        <v>0</v>
      </c>
      <c r="AN1694">
        <v>0</v>
      </c>
      <c r="AO1694">
        <v>0</v>
      </c>
      <c r="AP1694"/>
      <c r="AQ1694">
        <v>0</v>
      </c>
      <c r="AR1694">
        <v>0</v>
      </c>
      <c r="AT1694">
        <v>0</v>
      </c>
      <c r="AU1694">
        <v>0</v>
      </c>
      <c r="AW1694">
        <v>0</v>
      </c>
      <c r="AX1694">
        <v>0</v>
      </c>
      <c r="AY1694">
        <v>140</v>
      </c>
      <c r="BC1694" t="str">
        <f t="shared" si="295"/>
        <v>9791188630066</v>
      </c>
      <c r="BE1694" t="str">
        <f t="shared" si="296"/>
        <v>판타지 웹소설 &gt; 현대 판타지</v>
      </c>
    </row>
    <row r="1695" spans="1:57" x14ac:dyDescent="0.3">
      <c r="A1695">
        <v>2313003101</v>
      </c>
      <c r="B1695">
        <v>2313003164</v>
      </c>
      <c r="C1695" t="str">
        <f>T("로드 오브 머니 64화")</f>
        <v>로드 오브 머니 64화</v>
      </c>
      <c r="D1695" t="str">
        <f>T("64")</f>
        <v>64</v>
      </c>
      <c r="E1695" t="str">
        <f t="shared" si="293"/>
        <v>무장</v>
      </c>
      <c r="H1695" t="str">
        <f t="shared" si="288"/>
        <v>스토리위즈</v>
      </c>
      <c r="I1695" t="str">
        <f t="shared" si="294"/>
        <v>로드 오브 머니</v>
      </c>
      <c r="J1695">
        <v>100</v>
      </c>
      <c r="K1695">
        <v>200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200</v>
      </c>
      <c r="AH1695">
        <v>2</v>
      </c>
      <c r="AI1695">
        <v>0</v>
      </c>
      <c r="AJ1695">
        <v>0</v>
      </c>
      <c r="AK1695">
        <v>200</v>
      </c>
      <c r="AL1695">
        <v>0</v>
      </c>
      <c r="AM1695">
        <v>0</v>
      </c>
      <c r="AN1695">
        <v>0</v>
      </c>
      <c r="AO1695">
        <v>0</v>
      </c>
      <c r="AP1695"/>
      <c r="AQ1695">
        <v>0</v>
      </c>
      <c r="AR1695">
        <v>0</v>
      </c>
      <c r="AT1695">
        <v>0</v>
      </c>
      <c r="AU1695">
        <v>0</v>
      </c>
      <c r="AW1695">
        <v>0</v>
      </c>
      <c r="AX1695">
        <v>0</v>
      </c>
      <c r="AY1695">
        <v>140</v>
      </c>
      <c r="BC1695" t="str">
        <f t="shared" si="295"/>
        <v>9791188630066</v>
      </c>
      <c r="BE1695" t="str">
        <f t="shared" si="296"/>
        <v>판타지 웹소설 &gt; 현대 판타지</v>
      </c>
    </row>
    <row r="1696" spans="1:57" x14ac:dyDescent="0.3">
      <c r="A1696">
        <v>2313003101</v>
      </c>
      <c r="B1696">
        <v>2313003165</v>
      </c>
      <c r="C1696" t="str">
        <f>T("로드 오브 머니 65화")</f>
        <v>로드 오브 머니 65화</v>
      </c>
      <c r="D1696" t="str">
        <f>T("65")</f>
        <v>65</v>
      </c>
      <c r="E1696" t="str">
        <f t="shared" si="293"/>
        <v>무장</v>
      </c>
      <c r="H1696" t="str">
        <f t="shared" si="288"/>
        <v>스토리위즈</v>
      </c>
      <c r="I1696" t="str">
        <f t="shared" si="294"/>
        <v>로드 오브 머니</v>
      </c>
      <c r="J1696">
        <v>100</v>
      </c>
      <c r="K1696">
        <v>200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200</v>
      </c>
      <c r="AH1696">
        <v>2</v>
      </c>
      <c r="AI1696">
        <v>0</v>
      </c>
      <c r="AJ1696">
        <v>0</v>
      </c>
      <c r="AK1696">
        <v>200</v>
      </c>
      <c r="AL1696">
        <v>0</v>
      </c>
      <c r="AM1696">
        <v>0</v>
      </c>
      <c r="AN1696">
        <v>0</v>
      </c>
      <c r="AO1696">
        <v>0</v>
      </c>
      <c r="AP1696"/>
      <c r="AQ1696">
        <v>0</v>
      </c>
      <c r="AR1696">
        <v>0</v>
      </c>
      <c r="AT1696">
        <v>0</v>
      </c>
      <c r="AU1696">
        <v>0</v>
      </c>
      <c r="AW1696">
        <v>0</v>
      </c>
      <c r="AX1696">
        <v>0</v>
      </c>
      <c r="AY1696">
        <v>140</v>
      </c>
      <c r="BC1696" t="str">
        <f t="shared" si="295"/>
        <v>9791188630066</v>
      </c>
      <c r="BE1696" t="str">
        <f t="shared" si="296"/>
        <v>판타지 웹소설 &gt; 현대 판타지</v>
      </c>
    </row>
    <row r="1697" spans="1:57" x14ac:dyDescent="0.3">
      <c r="A1697">
        <v>2313003101</v>
      </c>
      <c r="B1697">
        <v>2313003166</v>
      </c>
      <c r="C1697" t="str">
        <f>T("로드 오브 머니 66화")</f>
        <v>로드 오브 머니 66화</v>
      </c>
      <c r="D1697" t="str">
        <f>T("66")</f>
        <v>66</v>
      </c>
      <c r="E1697" t="str">
        <f t="shared" si="293"/>
        <v>무장</v>
      </c>
      <c r="H1697" t="str">
        <f t="shared" si="288"/>
        <v>스토리위즈</v>
      </c>
      <c r="I1697" t="str">
        <f t="shared" si="294"/>
        <v>로드 오브 머니</v>
      </c>
      <c r="J1697">
        <v>100</v>
      </c>
      <c r="K1697">
        <v>200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200</v>
      </c>
      <c r="AH1697">
        <v>2</v>
      </c>
      <c r="AI1697">
        <v>0</v>
      </c>
      <c r="AJ1697">
        <v>0</v>
      </c>
      <c r="AK1697">
        <v>200</v>
      </c>
      <c r="AL1697">
        <v>0</v>
      </c>
      <c r="AM1697">
        <v>0</v>
      </c>
      <c r="AN1697">
        <v>0</v>
      </c>
      <c r="AO1697">
        <v>0</v>
      </c>
      <c r="AP1697"/>
      <c r="AQ1697">
        <v>0</v>
      </c>
      <c r="AR1697">
        <v>0</v>
      </c>
      <c r="AT1697">
        <v>0</v>
      </c>
      <c r="AU1697">
        <v>0</v>
      </c>
      <c r="AW1697">
        <v>0</v>
      </c>
      <c r="AX1697">
        <v>0</v>
      </c>
      <c r="AY1697">
        <v>140</v>
      </c>
      <c r="BC1697" t="str">
        <f t="shared" si="295"/>
        <v>9791188630066</v>
      </c>
      <c r="BE1697" t="str">
        <f t="shared" si="296"/>
        <v>판타지 웹소설 &gt; 현대 판타지</v>
      </c>
    </row>
    <row r="1698" spans="1:57" x14ac:dyDescent="0.3">
      <c r="A1698">
        <v>2313003101</v>
      </c>
      <c r="B1698">
        <v>2313003167</v>
      </c>
      <c r="C1698" t="str">
        <f>T("로드 오브 머니 67화")</f>
        <v>로드 오브 머니 67화</v>
      </c>
      <c r="D1698" t="str">
        <f>T("67")</f>
        <v>67</v>
      </c>
      <c r="E1698" t="str">
        <f t="shared" si="293"/>
        <v>무장</v>
      </c>
      <c r="H1698" t="str">
        <f t="shared" si="288"/>
        <v>스토리위즈</v>
      </c>
      <c r="I1698" t="str">
        <f t="shared" si="294"/>
        <v>로드 오브 머니</v>
      </c>
      <c r="J1698">
        <v>100</v>
      </c>
      <c r="K1698">
        <v>200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200</v>
      </c>
      <c r="AH1698">
        <v>2</v>
      </c>
      <c r="AI1698">
        <v>0</v>
      </c>
      <c r="AJ1698">
        <v>0</v>
      </c>
      <c r="AK1698">
        <v>200</v>
      </c>
      <c r="AL1698">
        <v>0</v>
      </c>
      <c r="AM1698">
        <v>0</v>
      </c>
      <c r="AN1698">
        <v>0</v>
      </c>
      <c r="AO1698">
        <v>0</v>
      </c>
      <c r="AP1698"/>
      <c r="AQ1698">
        <v>0</v>
      </c>
      <c r="AR1698">
        <v>0</v>
      </c>
      <c r="AT1698">
        <v>0</v>
      </c>
      <c r="AU1698">
        <v>0</v>
      </c>
      <c r="AW1698">
        <v>0</v>
      </c>
      <c r="AX1698">
        <v>0</v>
      </c>
      <c r="AY1698">
        <v>140</v>
      </c>
      <c r="BC1698" t="str">
        <f t="shared" si="295"/>
        <v>9791188630066</v>
      </c>
      <c r="BE1698" t="str">
        <f t="shared" si="296"/>
        <v>판타지 웹소설 &gt; 현대 판타지</v>
      </c>
    </row>
    <row r="1699" spans="1:57" x14ac:dyDescent="0.3">
      <c r="A1699">
        <v>2313003101</v>
      </c>
      <c r="B1699">
        <v>2313003168</v>
      </c>
      <c r="C1699" t="str">
        <f>T("로드 오브 머니 68화")</f>
        <v>로드 오브 머니 68화</v>
      </c>
      <c r="D1699" t="str">
        <f>T("68")</f>
        <v>68</v>
      </c>
      <c r="E1699" t="str">
        <f t="shared" si="293"/>
        <v>무장</v>
      </c>
      <c r="H1699" t="str">
        <f t="shared" si="288"/>
        <v>스토리위즈</v>
      </c>
      <c r="I1699" t="str">
        <f t="shared" si="294"/>
        <v>로드 오브 머니</v>
      </c>
      <c r="J1699">
        <v>100</v>
      </c>
      <c r="K1699">
        <v>200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200</v>
      </c>
      <c r="AH1699">
        <v>2</v>
      </c>
      <c r="AI1699">
        <v>0</v>
      </c>
      <c r="AJ1699">
        <v>0</v>
      </c>
      <c r="AK1699">
        <v>200</v>
      </c>
      <c r="AL1699">
        <v>0</v>
      </c>
      <c r="AM1699">
        <v>0</v>
      </c>
      <c r="AN1699">
        <v>0</v>
      </c>
      <c r="AO1699">
        <v>0</v>
      </c>
      <c r="AP1699"/>
      <c r="AQ1699">
        <v>0</v>
      </c>
      <c r="AR1699">
        <v>0</v>
      </c>
      <c r="AT1699">
        <v>0</v>
      </c>
      <c r="AU1699">
        <v>0</v>
      </c>
      <c r="AW1699">
        <v>0</v>
      </c>
      <c r="AX1699">
        <v>0</v>
      </c>
      <c r="AY1699">
        <v>140</v>
      </c>
      <c r="BC1699" t="str">
        <f t="shared" si="295"/>
        <v>9791188630066</v>
      </c>
      <c r="BE1699" t="str">
        <f t="shared" si="296"/>
        <v>판타지 웹소설 &gt; 현대 판타지</v>
      </c>
    </row>
    <row r="1700" spans="1:57" x14ac:dyDescent="0.3">
      <c r="A1700">
        <v>2313003101</v>
      </c>
      <c r="B1700">
        <v>2313003169</v>
      </c>
      <c r="C1700" t="str">
        <f>T("로드 오브 머니 69화")</f>
        <v>로드 오브 머니 69화</v>
      </c>
      <c r="D1700" t="str">
        <f>T("69")</f>
        <v>69</v>
      </c>
      <c r="E1700" t="str">
        <f t="shared" si="293"/>
        <v>무장</v>
      </c>
      <c r="H1700" t="str">
        <f t="shared" si="288"/>
        <v>스토리위즈</v>
      </c>
      <c r="I1700" t="str">
        <f t="shared" si="294"/>
        <v>로드 오브 머니</v>
      </c>
      <c r="J1700">
        <v>100</v>
      </c>
      <c r="K1700">
        <v>200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200</v>
      </c>
      <c r="AH1700">
        <v>2</v>
      </c>
      <c r="AI1700">
        <v>0</v>
      </c>
      <c r="AJ1700">
        <v>0</v>
      </c>
      <c r="AK1700">
        <v>200</v>
      </c>
      <c r="AL1700">
        <v>0</v>
      </c>
      <c r="AM1700">
        <v>0</v>
      </c>
      <c r="AN1700">
        <v>0</v>
      </c>
      <c r="AO1700">
        <v>0</v>
      </c>
      <c r="AP1700"/>
      <c r="AQ1700">
        <v>0</v>
      </c>
      <c r="AR1700">
        <v>0</v>
      </c>
      <c r="AT1700">
        <v>0</v>
      </c>
      <c r="AU1700">
        <v>0</v>
      </c>
      <c r="AW1700">
        <v>0</v>
      </c>
      <c r="AX1700">
        <v>0</v>
      </c>
      <c r="AY1700">
        <v>140</v>
      </c>
      <c r="BC1700" t="str">
        <f t="shared" si="295"/>
        <v>9791188630066</v>
      </c>
      <c r="BE1700" t="str">
        <f t="shared" si="296"/>
        <v>판타지 웹소설 &gt; 현대 판타지</v>
      </c>
    </row>
    <row r="1701" spans="1:57" x14ac:dyDescent="0.3">
      <c r="A1701">
        <v>2313003101</v>
      </c>
      <c r="B1701">
        <v>2313003170</v>
      </c>
      <c r="C1701" t="str">
        <f>T("로드 오브 머니 70화")</f>
        <v>로드 오브 머니 70화</v>
      </c>
      <c r="D1701" t="str">
        <f>T("70")</f>
        <v>70</v>
      </c>
      <c r="E1701" t="str">
        <f t="shared" si="293"/>
        <v>무장</v>
      </c>
      <c r="H1701" t="str">
        <f t="shared" si="288"/>
        <v>스토리위즈</v>
      </c>
      <c r="I1701" t="str">
        <f t="shared" si="294"/>
        <v>로드 오브 머니</v>
      </c>
      <c r="J1701">
        <v>100</v>
      </c>
      <c r="K1701">
        <v>200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200</v>
      </c>
      <c r="AH1701">
        <v>2</v>
      </c>
      <c r="AI1701">
        <v>0</v>
      </c>
      <c r="AJ1701">
        <v>0</v>
      </c>
      <c r="AK1701">
        <v>200</v>
      </c>
      <c r="AL1701">
        <v>0</v>
      </c>
      <c r="AM1701">
        <v>0</v>
      </c>
      <c r="AN1701">
        <v>0</v>
      </c>
      <c r="AO1701">
        <v>0</v>
      </c>
      <c r="AP1701"/>
      <c r="AQ1701">
        <v>0</v>
      </c>
      <c r="AR1701">
        <v>0</v>
      </c>
      <c r="AT1701">
        <v>0</v>
      </c>
      <c r="AU1701">
        <v>0</v>
      </c>
      <c r="AW1701">
        <v>0</v>
      </c>
      <c r="AX1701">
        <v>0</v>
      </c>
      <c r="AY1701">
        <v>140</v>
      </c>
      <c r="BC1701" t="str">
        <f t="shared" si="295"/>
        <v>9791188630066</v>
      </c>
      <c r="BE1701" t="str">
        <f t="shared" si="296"/>
        <v>판타지 웹소설 &gt; 현대 판타지</v>
      </c>
    </row>
    <row r="1702" spans="1:57" x14ac:dyDescent="0.3">
      <c r="A1702">
        <v>2313003101</v>
      </c>
      <c r="B1702">
        <v>2313003171</v>
      </c>
      <c r="C1702" t="str">
        <f>T("로드 오브 머니 71화")</f>
        <v>로드 오브 머니 71화</v>
      </c>
      <c r="D1702" t="str">
        <f>T("71")</f>
        <v>71</v>
      </c>
      <c r="E1702" t="str">
        <f t="shared" si="293"/>
        <v>무장</v>
      </c>
      <c r="H1702" t="str">
        <f t="shared" si="288"/>
        <v>스토리위즈</v>
      </c>
      <c r="I1702" t="str">
        <f t="shared" si="294"/>
        <v>로드 오브 머니</v>
      </c>
      <c r="J1702">
        <v>100</v>
      </c>
      <c r="K1702">
        <v>200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200</v>
      </c>
      <c r="AH1702">
        <v>2</v>
      </c>
      <c r="AI1702">
        <v>0</v>
      </c>
      <c r="AJ1702">
        <v>0</v>
      </c>
      <c r="AK1702">
        <v>200</v>
      </c>
      <c r="AL1702">
        <v>0</v>
      </c>
      <c r="AM1702">
        <v>0</v>
      </c>
      <c r="AN1702">
        <v>0</v>
      </c>
      <c r="AO1702">
        <v>0</v>
      </c>
      <c r="AP1702"/>
      <c r="AQ1702">
        <v>0</v>
      </c>
      <c r="AR1702">
        <v>0</v>
      </c>
      <c r="AT1702">
        <v>0</v>
      </c>
      <c r="AU1702">
        <v>0</v>
      </c>
      <c r="AW1702">
        <v>0</v>
      </c>
      <c r="AX1702">
        <v>0</v>
      </c>
      <c r="AY1702">
        <v>140</v>
      </c>
      <c r="BC1702" t="str">
        <f t="shared" si="295"/>
        <v>9791188630066</v>
      </c>
      <c r="BE1702" t="str">
        <f t="shared" si="296"/>
        <v>판타지 웹소설 &gt; 현대 판타지</v>
      </c>
    </row>
    <row r="1703" spans="1:57" x14ac:dyDescent="0.3">
      <c r="A1703">
        <v>2313003101</v>
      </c>
      <c r="B1703">
        <v>2313003172</v>
      </c>
      <c r="C1703" t="str">
        <f>T("로드 오브 머니 72화")</f>
        <v>로드 오브 머니 72화</v>
      </c>
      <c r="D1703" t="str">
        <f>T("72")</f>
        <v>72</v>
      </c>
      <c r="E1703" t="str">
        <f t="shared" si="293"/>
        <v>무장</v>
      </c>
      <c r="H1703" t="str">
        <f t="shared" ref="H1703:H1766" si="297">T("스토리위즈")</f>
        <v>스토리위즈</v>
      </c>
      <c r="I1703" t="str">
        <f t="shared" si="294"/>
        <v>로드 오브 머니</v>
      </c>
      <c r="J1703">
        <v>100</v>
      </c>
      <c r="K1703">
        <v>200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200</v>
      </c>
      <c r="AH1703">
        <v>2</v>
      </c>
      <c r="AI1703">
        <v>0</v>
      </c>
      <c r="AJ1703">
        <v>0</v>
      </c>
      <c r="AK1703">
        <v>200</v>
      </c>
      <c r="AL1703">
        <v>0</v>
      </c>
      <c r="AM1703">
        <v>0</v>
      </c>
      <c r="AN1703">
        <v>0</v>
      </c>
      <c r="AO1703">
        <v>0</v>
      </c>
      <c r="AP1703"/>
      <c r="AQ1703">
        <v>0</v>
      </c>
      <c r="AR1703">
        <v>0</v>
      </c>
      <c r="AT1703">
        <v>0</v>
      </c>
      <c r="AU1703">
        <v>0</v>
      </c>
      <c r="AW1703">
        <v>0</v>
      </c>
      <c r="AX1703">
        <v>0</v>
      </c>
      <c r="AY1703">
        <v>140</v>
      </c>
      <c r="BC1703" t="str">
        <f t="shared" si="295"/>
        <v>9791188630066</v>
      </c>
      <c r="BE1703" t="str">
        <f t="shared" si="296"/>
        <v>판타지 웹소설 &gt; 현대 판타지</v>
      </c>
    </row>
    <row r="1704" spans="1:57" x14ac:dyDescent="0.3">
      <c r="A1704">
        <v>2313003101</v>
      </c>
      <c r="B1704">
        <v>2313003173</v>
      </c>
      <c r="C1704" t="str">
        <f>T("로드 오브 머니 73화")</f>
        <v>로드 오브 머니 73화</v>
      </c>
      <c r="D1704" t="str">
        <f>T("73")</f>
        <v>73</v>
      </c>
      <c r="E1704" t="str">
        <f t="shared" si="293"/>
        <v>무장</v>
      </c>
      <c r="H1704" t="str">
        <f t="shared" si="297"/>
        <v>스토리위즈</v>
      </c>
      <c r="I1704" t="str">
        <f t="shared" si="294"/>
        <v>로드 오브 머니</v>
      </c>
      <c r="J1704">
        <v>100</v>
      </c>
      <c r="K1704">
        <v>200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200</v>
      </c>
      <c r="AH1704">
        <v>2</v>
      </c>
      <c r="AI1704">
        <v>0</v>
      </c>
      <c r="AJ1704">
        <v>0</v>
      </c>
      <c r="AK1704">
        <v>200</v>
      </c>
      <c r="AL1704">
        <v>0</v>
      </c>
      <c r="AM1704">
        <v>0</v>
      </c>
      <c r="AN1704">
        <v>0</v>
      </c>
      <c r="AO1704">
        <v>0</v>
      </c>
      <c r="AP1704"/>
      <c r="AQ1704">
        <v>0</v>
      </c>
      <c r="AR1704">
        <v>0</v>
      </c>
      <c r="AT1704">
        <v>0</v>
      </c>
      <c r="AU1704">
        <v>0</v>
      </c>
      <c r="AW1704">
        <v>0</v>
      </c>
      <c r="AX1704">
        <v>0</v>
      </c>
      <c r="AY1704">
        <v>140</v>
      </c>
      <c r="BC1704" t="str">
        <f t="shared" si="295"/>
        <v>9791188630066</v>
      </c>
      <c r="BE1704" t="str">
        <f t="shared" si="296"/>
        <v>판타지 웹소설 &gt; 현대 판타지</v>
      </c>
    </row>
    <row r="1705" spans="1:57" x14ac:dyDescent="0.3">
      <c r="A1705">
        <v>2313003101</v>
      </c>
      <c r="B1705">
        <v>2313003174</v>
      </c>
      <c r="C1705" t="str">
        <f>T("로드 오브 머니 74화")</f>
        <v>로드 오브 머니 74화</v>
      </c>
      <c r="D1705" t="str">
        <f>T("74")</f>
        <v>74</v>
      </c>
      <c r="E1705" t="str">
        <f t="shared" si="293"/>
        <v>무장</v>
      </c>
      <c r="H1705" t="str">
        <f t="shared" si="297"/>
        <v>스토리위즈</v>
      </c>
      <c r="I1705" t="str">
        <f t="shared" si="294"/>
        <v>로드 오브 머니</v>
      </c>
      <c r="J1705">
        <v>100</v>
      </c>
      <c r="K1705">
        <v>200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200</v>
      </c>
      <c r="AH1705">
        <v>2</v>
      </c>
      <c r="AI1705">
        <v>0</v>
      </c>
      <c r="AJ1705">
        <v>0</v>
      </c>
      <c r="AK1705">
        <v>200</v>
      </c>
      <c r="AL1705">
        <v>0</v>
      </c>
      <c r="AM1705">
        <v>0</v>
      </c>
      <c r="AN1705">
        <v>0</v>
      </c>
      <c r="AO1705">
        <v>0</v>
      </c>
      <c r="AP1705"/>
      <c r="AQ1705">
        <v>0</v>
      </c>
      <c r="AR1705">
        <v>0</v>
      </c>
      <c r="AT1705">
        <v>0</v>
      </c>
      <c r="AU1705">
        <v>0</v>
      </c>
      <c r="AW1705">
        <v>0</v>
      </c>
      <c r="AX1705">
        <v>0</v>
      </c>
      <c r="AY1705">
        <v>140</v>
      </c>
      <c r="BC1705" t="str">
        <f t="shared" si="295"/>
        <v>9791188630066</v>
      </c>
      <c r="BE1705" t="str">
        <f t="shared" si="296"/>
        <v>판타지 웹소설 &gt; 현대 판타지</v>
      </c>
    </row>
    <row r="1706" spans="1:57" x14ac:dyDescent="0.3">
      <c r="A1706">
        <v>2313003101</v>
      </c>
      <c r="B1706">
        <v>2313003175</v>
      </c>
      <c r="C1706" t="str">
        <f>T("로드 오브 머니 75화")</f>
        <v>로드 오브 머니 75화</v>
      </c>
      <c r="D1706" t="str">
        <f>T("75")</f>
        <v>75</v>
      </c>
      <c r="E1706" t="str">
        <f t="shared" si="293"/>
        <v>무장</v>
      </c>
      <c r="H1706" t="str">
        <f t="shared" si="297"/>
        <v>스토리위즈</v>
      </c>
      <c r="I1706" t="str">
        <f t="shared" si="294"/>
        <v>로드 오브 머니</v>
      </c>
      <c r="J1706">
        <v>100</v>
      </c>
      <c r="K1706">
        <v>200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200</v>
      </c>
      <c r="AH1706">
        <v>2</v>
      </c>
      <c r="AI1706">
        <v>0</v>
      </c>
      <c r="AJ1706">
        <v>0</v>
      </c>
      <c r="AK1706">
        <v>200</v>
      </c>
      <c r="AL1706">
        <v>0</v>
      </c>
      <c r="AM1706">
        <v>0</v>
      </c>
      <c r="AN1706">
        <v>0</v>
      </c>
      <c r="AO1706">
        <v>0</v>
      </c>
      <c r="AP1706"/>
      <c r="AQ1706">
        <v>0</v>
      </c>
      <c r="AR1706">
        <v>0</v>
      </c>
      <c r="AT1706">
        <v>0</v>
      </c>
      <c r="AU1706">
        <v>0</v>
      </c>
      <c r="AW1706">
        <v>0</v>
      </c>
      <c r="AX1706">
        <v>0</v>
      </c>
      <c r="AY1706">
        <v>140</v>
      </c>
      <c r="BC1706" t="str">
        <f t="shared" si="295"/>
        <v>9791188630066</v>
      </c>
      <c r="BE1706" t="str">
        <f t="shared" si="296"/>
        <v>판타지 웹소설 &gt; 현대 판타지</v>
      </c>
    </row>
    <row r="1707" spans="1:57" x14ac:dyDescent="0.3">
      <c r="A1707">
        <v>2313003101</v>
      </c>
      <c r="B1707">
        <v>2313003176</v>
      </c>
      <c r="C1707" t="str">
        <f>T("로드 오브 머니 76화")</f>
        <v>로드 오브 머니 76화</v>
      </c>
      <c r="D1707" t="str">
        <f>T("76")</f>
        <v>76</v>
      </c>
      <c r="E1707" t="str">
        <f t="shared" si="293"/>
        <v>무장</v>
      </c>
      <c r="H1707" t="str">
        <f t="shared" si="297"/>
        <v>스토리위즈</v>
      </c>
      <c r="I1707" t="str">
        <f t="shared" si="294"/>
        <v>로드 오브 머니</v>
      </c>
      <c r="J1707">
        <v>100</v>
      </c>
      <c r="K1707">
        <v>200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200</v>
      </c>
      <c r="AH1707">
        <v>2</v>
      </c>
      <c r="AI1707">
        <v>0</v>
      </c>
      <c r="AJ1707">
        <v>0</v>
      </c>
      <c r="AK1707">
        <v>200</v>
      </c>
      <c r="AL1707">
        <v>0</v>
      </c>
      <c r="AM1707">
        <v>0</v>
      </c>
      <c r="AN1707">
        <v>0</v>
      </c>
      <c r="AO1707">
        <v>0</v>
      </c>
      <c r="AP1707"/>
      <c r="AQ1707">
        <v>0</v>
      </c>
      <c r="AR1707">
        <v>0</v>
      </c>
      <c r="AT1707">
        <v>0</v>
      </c>
      <c r="AU1707">
        <v>0</v>
      </c>
      <c r="AW1707">
        <v>0</v>
      </c>
      <c r="AX1707">
        <v>0</v>
      </c>
      <c r="AY1707">
        <v>140</v>
      </c>
      <c r="BC1707" t="str">
        <f t="shared" si="295"/>
        <v>9791188630066</v>
      </c>
      <c r="BE1707" t="str">
        <f t="shared" si="296"/>
        <v>판타지 웹소설 &gt; 현대 판타지</v>
      </c>
    </row>
    <row r="1708" spans="1:57" x14ac:dyDescent="0.3">
      <c r="A1708">
        <v>2313003101</v>
      </c>
      <c r="B1708">
        <v>2313003177</v>
      </c>
      <c r="C1708" t="str">
        <f>T("로드 오브 머니 77화")</f>
        <v>로드 오브 머니 77화</v>
      </c>
      <c r="D1708" t="str">
        <f>T("77")</f>
        <v>77</v>
      </c>
      <c r="E1708" t="str">
        <f t="shared" si="293"/>
        <v>무장</v>
      </c>
      <c r="H1708" t="str">
        <f t="shared" si="297"/>
        <v>스토리위즈</v>
      </c>
      <c r="I1708" t="str">
        <f t="shared" si="294"/>
        <v>로드 오브 머니</v>
      </c>
      <c r="J1708">
        <v>100</v>
      </c>
      <c r="K1708">
        <v>200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200</v>
      </c>
      <c r="AH1708">
        <v>2</v>
      </c>
      <c r="AI1708">
        <v>0</v>
      </c>
      <c r="AJ1708">
        <v>0</v>
      </c>
      <c r="AK1708">
        <v>200</v>
      </c>
      <c r="AL1708">
        <v>0</v>
      </c>
      <c r="AM1708">
        <v>0</v>
      </c>
      <c r="AN1708">
        <v>0</v>
      </c>
      <c r="AO1708">
        <v>0</v>
      </c>
      <c r="AP1708"/>
      <c r="AQ1708">
        <v>0</v>
      </c>
      <c r="AR1708">
        <v>0</v>
      </c>
      <c r="AT1708">
        <v>0</v>
      </c>
      <c r="AU1708">
        <v>0</v>
      </c>
      <c r="AW1708">
        <v>0</v>
      </c>
      <c r="AX1708">
        <v>0</v>
      </c>
      <c r="AY1708">
        <v>140</v>
      </c>
      <c r="BC1708" t="str">
        <f t="shared" si="295"/>
        <v>9791188630066</v>
      </c>
      <c r="BE1708" t="str">
        <f t="shared" si="296"/>
        <v>판타지 웹소설 &gt; 현대 판타지</v>
      </c>
    </row>
    <row r="1709" spans="1:57" x14ac:dyDescent="0.3">
      <c r="A1709">
        <v>2313003101</v>
      </c>
      <c r="B1709">
        <v>2313003178</v>
      </c>
      <c r="C1709" t="str">
        <f>T("로드 오브 머니 78화")</f>
        <v>로드 오브 머니 78화</v>
      </c>
      <c r="D1709" t="str">
        <f>T("78")</f>
        <v>78</v>
      </c>
      <c r="E1709" t="str">
        <f t="shared" si="293"/>
        <v>무장</v>
      </c>
      <c r="H1709" t="str">
        <f t="shared" si="297"/>
        <v>스토리위즈</v>
      </c>
      <c r="I1709" t="str">
        <f t="shared" si="294"/>
        <v>로드 오브 머니</v>
      </c>
      <c r="J1709">
        <v>100</v>
      </c>
      <c r="K1709">
        <v>200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200</v>
      </c>
      <c r="AH1709">
        <v>2</v>
      </c>
      <c r="AI1709">
        <v>0</v>
      </c>
      <c r="AJ1709">
        <v>0</v>
      </c>
      <c r="AK1709">
        <v>200</v>
      </c>
      <c r="AL1709">
        <v>0</v>
      </c>
      <c r="AM1709">
        <v>0</v>
      </c>
      <c r="AN1709">
        <v>0</v>
      </c>
      <c r="AO1709">
        <v>0</v>
      </c>
      <c r="AP1709"/>
      <c r="AQ1709">
        <v>0</v>
      </c>
      <c r="AR1709">
        <v>0</v>
      </c>
      <c r="AT1709">
        <v>0</v>
      </c>
      <c r="AU1709">
        <v>0</v>
      </c>
      <c r="AW1709">
        <v>0</v>
      </c>
      <c r="AX1709">
        <v>0</v>
      </c>
      <c r="AY1709">
        <v>140</v>
      </c>
      <c r="BC1709" t="str">
        <f t="shared" si="295"/>
        <v>9791188630066</v>
      </c>
      <c r="BE1709" t="str">
        <f t="shared" si="296"/>
        <v>판타지 웹소설 &gt; 현대 판타지</v>
      </c>
    </row>
    <row r="1710" spans="1:57" x14ac:dyDescent="0.3">
      <c r="A1710">
        <v>2313003101</v>
      </c>
      <c r="B1710">
        <v>2313003179</v>
      </c>
      <c r="C1710" t="str">
        <f>T("로드 오브 머니 79화")</f>
        <v>로드 오브 머니 79화</v>
      </c>
      <c r="D1710" t="str">
        <f>T("79")</f>
        <v>79</v>
      </c>
      <c r="E1710" t="str">
        <f t="shared" si="293"/>
        <v>무장</v>
      </c>
      <c r="H1710" t="str">
        <f t="shared" si="297"/>
        <v>스토리위즈</v>
      </c>
      <c r="I1710" t="str">
        <f t="shared" si="294"/>
        <v>로드 오브 머니</v>
      </c>
      <c r="J1710">
        <v>100</v>
      </c>
      <c r="K1710">
        <v>200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200</v>
      </c>
      <c r="AH1710">
        <v>2</v>
      </c>
      <c r="AI1710">
        <v>0</v>
      </c>
      <c r="AJ1710">
        <v>0</v>
      </c>
      <c r="AK1710">
        <v>200</v>
      </c>
      <c r="AL1710">
        <v>0</v>
      </c>
      <c r="AM1710">
        <v>0</v>
      </c>
      <c r="AN1710">
        <v>0</v>
      </c>
      <c r="AO1710">
        <v>0</v>
      </c>
      <c r="AP1710"/>
      <c r="AQ1710">
        <v>0</v>
      </c>
      <c r="AR1710">
        <v>0</v>
      </c>
      <c r="AT1710">
        <v>0</v>
      </c>
      <c r="AU1710">
        <v>0</v>
      </c>
      <c r="AW1710">
        <v>0</v>
      </c>
      <c r="AX1710">
        <v>0</v>
      </c>
      <c r="AY1710">
        <v>140</v>
      </c>
      <c r="BC1710" t="str">
        <f t="shared" si="295"/>
        <v>9791188630066</v>
      </c>
      <c r="BE1710" t="str">
        <f t="shared" si="296"/>
        <v>판타지 웹소설 &gt; 현대 판타지</v>
      </c>
    </row>
    <row r="1711" spans="1:57" x14ac:dyDescent="0.3">
      <c r="A1711">
        <v>2313003101</v>
      </c>
      <c r="B1711">
        <v>2313003180</v>
      </c>
      <c r="C1711" t="str">
        <f>T("로드 오브 머니 80화")</f>
        <v>로드 오브 머니 80화</v>
      </c>
      <c r="D1711" t="str">
        <f>T("80")</f>
        <v>80</v>
      </c>
      <c r="E1711" t="str">
        <f t="shared" si="293"/>
        <v>무장</v>
      </c>
      <c r="H1711" t="str">
        <f t="shared" si="297"/>
        <v>스토리위즈</v>
      </c>
      <c r="I1711" t="str">
        <f t="shared" si="294"/>
        <v>로드 오브 머니</v>
      </c>
      <c r="J1711">
        <v>100</v>
      </c>
      <c r="K1711">
        <v>200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200</v>
      </c>
      <c r="AH1711">
        <v>2</v>
      </c>
      <c r="AI1711">
        <v>0</v>
      </c>
      <c r="AJ1711">
        <v>0</v>
      </c>
      <c r="AK1711">
        <v>200</v>
      </c>
      <c r="AL1711">
        <v>0</v>
      </c>
      <c r="AM1711">
        <v>0</v>
      </c>
      <c r="AN1711">
        <v>0</v>
      </c>
      <c r="AO1711">
        <v>0</v>
      </c>
      <c r="AP1711"/>
      <c r="AQ1711">
        <v>0</v>
      </c>
      <c r="AR1711">
        <v>0</v>
      </c>
      <c r="AT1711">
        <v>0</v>
      </c>
      <c r="AU1711">
        <v>0</v>
      </c>
      <c r="AW1711">
        <v>0</v>
      </c>
      <c r="AX1711">
        <v>0</v>
      </c>
      <c r="AY1711">
        <v>140</v>
      </c>
      <c r="BC1711" t="str">
        <f t="shared" si="295"/>
        <v>9791188630066</v>
      </c>
      <c r="BE1711" t="str">
        <f t="shared" si="296"/>
        <v>판타지 웹소설 &gt; 현대 판타지</v>
      </c>
    </row>
    <row r="1712" spans="1:57" x14ac:dyDescent="0.3">
      <c r="A1712">
        <v>2313003101</v>
      </c>
      <c r="B1712">
        <v>2313003181</v>
      </c>
      <c r="C1712" t="str">
        <f>T("로드 오브 머니 81화")</f>
        <v>로드 오브 머니 81화</v>
      </c>
      <c r="D1712" t="str">
        <f>T("81")</f>
        <v>81</v>
      </c>
      <c r="E1712" t="str">
        <f t="shared" si="293"/>
        <v>무장</v>
      </c>
      <c r="H1712" t="str">
        <f t="shared" si="297"/>
        <v>스토리위즈</v>
      </c>
      <c r="I1712" t="str">
        <f t="shared" si="294"/>
        <v>로드 오브 머니</v>
      </c>
      <c r="J1712">
        <v>100</v>
      </c>
      <c r="K1712">
        <v>200</v>
      </c>
      <c r="L1712">
        <v>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200</v>
      </c>
      <c r="AH1712">
        <v>2</v>
      </c>
      <c r="AI1712">
        <v>0</v>
      </c>
      <c r="AJ1712">
        <v>0</v>
      </c>
      <c r="AK1712">
        <v>200</v>
      </c>
      <c r="AL1712">
        <v>0</v>
      </c>
      <c r="AM1712">
        <v>0</v>
      </c>
      <c r="AN1712">
        <v>0</v>
      </c>
      <c r="AO1712">
        <v>0</v>
      </c>
      <c r="AP1712"/>
      <c r="AQ1712">
        <v>0</v>
      </c>
      <c r="AR1712">
        <v>0</v>
      </c>
      <c r="AT1712">
        <v>0</v>
      </c>
      <c r="AU1712">
        <v>0</v>
      </c>
      <c r="AW1712">
        <v>0</v>
      </c>
      <c r="AX1712">
        <v>0</v>
      </c>
      <c r="AY1712">
        <v>140</v>
      </c>
      <c r="BC1712" t="str">
        <f t="shared" si="295"/>
        <v>9791188630066</v>
      </c>
      <c r="BE1712" t="str">
        <f t="shared" si="296"/>
        <v>판타지 웹소설 &gt; 현대 판타지</v>
      </c>
    </row>
    <row r="1713" spans="1:57" x14ac:dyDescent="0.3">
      <c r="A1713">
        <v>2313003101</v>
      </c>
      <c r="B1713">
        <v>2313003182</v>
      </c>
      <c r="C1713" t="str">
        <f>T("로드 오브 머니 82화")</f>
        <v>로드 오브 머니 82화</v>
      </c>
      <c r="D1713" t="str">
        <f>T("82")</f>
        <v>82</v>
      </c>
      <c r="E1713" t="str">
        <f t="shared" si="293"/>
        <v>무장</v>
      </c>
      <c r="H1713" t="str">
        <f t="shared" si="297"/>
        <v>스토리위즈</v>
      </c>
      <c r="I1713" t="str">
        <f t="shared" si="294"/>
        <v>로드 오브 머니</v>
      </c>
      <c r="J1713">
        <v>100</v>
      </c>
      <c r="K1713">
        <v>200</v>
      </c>
      <c r="L1713">
        <v>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200</v>
      </c>
      <c r="AH1713">
        <v>2</v>
      </c>
      <c r="AI1713">
        <v>0</v>
      </c>
      <c r="AJ1713">
        <v>0</v>
      </c>
      <c r="AK1713">
        <v>200</v>
      </c>
      <c r="AL1713">
        <v>0</v>
      </c>
      <c r="AM1713">
        <v>0</v>
      </c>
      <c r="AN1713">
        <v>0</v>
      </c>
      <c r="AO1713">
        <v>0</v>
      </c>
      <c r="AP1713"/>
      <c r="AQ1713">
        <v>0</v>
      </c>
      <c r="AR1713">
        <v>0</v>
      </c>
      <c r="AT1713">
        <v>0</v>
      </c>
      <c r="AU1713">
        <v>0</v>
      </c>
      <c r="AW1713">
        <v>0</v>
      </c>
      <c r="AX1713">
        <v>0</v>
      </c>
      <c r="AY1713">
        <v>140</v>
      </c>
      <c r="BC1713" t="str">
        <f t="shared" si="295"/>
        <v>9791188630066</v>
      </c>
      <c r="BE1713" t="str">
        <f t="shared" si="296"/>
        <v>판타지 웹소설 &gt; 현대 판타지</v>
      </c>
    </row>
    <row r="1714" spans="1:57" x14ac:dyDescent="0.3">
      <c r="A1714">
        <v>2313003101</v>
      </c>
      <c r="B1714">
        <v>2313003183</v>
      </c>
      <c r="C1714" t="str">
        <f>T("로드 오브 머니 83화")</f>
        <v>로드 오브 머니 83화</v>
      </c>
      <c r="D1714" t="str">
        <f>T("83")</f>
        <v>83</v>
      </c>
      <c r="E1714" t="str">
        <f t="shared" si="293"/>
        <v>무장</v>
      </c>
      <c r="H1714" t="str">
        <f t="shared" si="297"/>
        <v>스토리위즈</v>
      </c>
      <c r="I1714" t="str">
        <f t="shared" si="294"/>
        <v>로드 오브 머니</v>
      </c>
      <c r="J1714">
        <v>100</v>
      </c>
      <c r="K1714">
        <v>200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200</v>
      </c>
      <c r="AH1714">
        <v>2</v>
      </c>
      <c r="AI1714">
        <v>0</v>
      </c>
      <c r="AJ1714">
        <v>0</v>
      </c>
      <c r="AK1714">
        <v>200</v>
      </c>
      <c r="AL1714">
        <v>0</v>
      </c>
      <c r="AM1714">
        <v>0</v>
      </c>
      <c r="AN1714">
        <v>0</v>
      </c>
      <c r="AO1714">
        <v>0</v>
      </c>
      <c r="AP1714"/>
      <c r="AQ1714">
        <v>0</v>
      </c>
      <c r="AR1714">
        <v>0</v>
      </c>
      <c r="AT1714">
        <v>0</v>
      </c>
      <c r="AU1714">
        <v>0</v>
      </c>
      <c r="AW1714">
        <v>0</v>
      </c>
      <c r="AX1714">
        <v>0</v>
      </c>
      <c r="AY1714">
        <v>140</v>
      </c>
      <c r="BC1714" t="str">
        <f t="shared" si="295"/>
        <v>9791188630066</v>
      </c>
      <c r="BE1714" t="str">
        <f t="shared" si="296"/>
        <v>판타지 웹소설 &gt; 현대 판타지</v>
      </c>
    </row>
    <row r="1715" spans="1:57" x14ac:dyDescent="0.3">
      <c r="A1715">
        <v>2313003101</v>
      </c>
      <c r="B1715">
        <v>2313003184</v>
      </c>
      <c r="C1715" t="str">
        <f>T("로드 오브 머니 84화")</f>
        <v>로드 오브 머니 84화</v>
      </c>
      <c r="D1715" t="str">
        <f>T("84")</f>
        <v>84</v>
      </c>
      <c r="E1715" t="str">
        <f t="shared" si="293"/>
        <v>무장</v>
      </c>
      <c r="H1715" t="str">
        <f t="shared" si="297"/>
        <v>스토리위즈</v>
      </c>
      <c r="I1715" t="str">
        <f t="shared" si="294"/>
        <v>로드 오브 머니</v>
      </c>
      <c r="J1715">
        <v>100</v>
      </c>
      <c r="K1715">
        <v>200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200</v>
      </c>
      <c r="AH1715">
        <v>2</v>
      </c>
      <c r="AI1715">
        <v>0</v>
      </c>
      <c r="AJ1715">
        <v>0</v>
      </c>
      <c r="AK1715">
        <v>200</v>
      </c>
      <c r="AL1715">
        <v>0</v>
      </c>
      <c r="AM1715">
        <v>0</v>
      </c>
      <c r="AN1715">
        <v>0</v>
      </c>
      <c r="AO1715">
        <v>0</v>
      </c>
      <c r="AP1715"/>
      <c r="AQ1715">
        <v>0</v>
      </c>
      <c r="AR1715">
        <v>0</v>
      </c>
      <c r="AT1715">
        <v>0</v>
      </c>
      <c r="AU1715">
        <v>0</v>
      </c>
      <c r="AW1715">
        <v>0</v>
      </c>
      <c r="AX1715">
        <v>0</v>
      </c>
      <c r="AY1715">
        <v>140</v>
      </c>
      <c r="BC1715" t="str">
        <f t="shared" si="295"/>
        <v>9791188630066</v>
      </c>
      <c r="BE1715" t="str">
        <f t="shared" si="296"/>
        <v>판타지 웹소설 &gt; 현대 판타지</v>
      </c>
    </row>
    <row r="1716" spans="1:57" x14ac:dyDescent="0.3">
      <c r="A1716">
        <v>2313003101</v>
      </c>
      <c r="B1716">
        <v>2313003185</v>
      </c>
      <c r="C1716" t="str">
        <f>T("로드 오브 머니 85화")</f>
        <v>로드 오브 머니 85화</v>
      </c>
      <c r="D1716" t="str">
        <f>T("85")</f>
        <v>85</v>
      </c>
      <c r="E1716" t="str">
        <f t="shared" si="293"/>
        <v>무장</v>
      </c>
      <c r="H1716" t="str">
        <f t="shared" si="297"/>
        <v>스토리위즈</v>
      </c>
      <c r="I1716" t="str">
        <f t="shared" si="294"/>
        <v>로드 오브 머니</v>
      </c>
      <c r="J1716">
        <v>100</v>
      </c>
      <c r="K1716">
        <v>200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200</v>
      </c>
      <c r="AH1716">
        <v>2</v>
      </c>
      <c r="AI1716">
        <v>0</v>
      </c>
      <c r="AJ1716">
        <v>0</v>
      </c>
      <c r="AK1716">
        <v>200</v>
      </c>
      <c r="AL1716">
        <v>0</v>
      </c>
      <c r="AM1716">
        <v>0</v>
      </c>
      <c r="AN1716">
        <v>0</v>
      </c>
      <c r="AO1716">
        <v>0</v>
      </c>
      <c r="AP1716"/>
      <c r="AQ1716">
        <v>0</v>
      </c>
      <c r="AR1716">
        <v>0</v>
      </c>
      <c r="AT1716">
        <v>0</v>
      </c>
      <c r="AU1716">
        <v>0</v>
      </c>
      <c r="AW1716">
        <v>0</v>
      </c>
      <c r="AX1716">
        <v>0</v>
      </c>
      <c r="AY1716">
        <v>140</v>
      </c>
      <c r="BC1716" t="str">
        <f t="shared" si="295"/>
        <v>9791188630066</v>
      </c>
      <c r="BE1716" t="str">
        <f t="shared" si="296"/>
        <v>판타지 웹소설 &gt; 현대 판타지</v>
      </c>
    </row>
    <row r="1717" spans="1:57" x14ac:dyDescent="0.3">
      <c r="A1717">
        <v>2313003101</v>
      </c>
      <c r="B1717">
        <v>2313003186</v>
      </c>
      <c r="C1717" t="str">
        <f>T("로드 오브 머니 86화")</f>
        <v>로드 오브 머니 86화</v>
      </c>
      <c r="D1717" t="str">
        <f>T("86")</f>
        <v>86</v>
      </c>
      <c r="E1717" t="str">
        <f t="shared" si="293"/>
        <v>무장</v>
      </c>
      <c r="H1717" t="str">
        <f t="shared" si="297"/>
        <v>스토리위즈</v>
      </c>
      <c r="I1717" t="str">
        <f t="shared" si="294"/>
        <v>로드 오브 머니</v>
      </c>
      <c r="J1717">
        <v>100</v>
      </c>
      <c r="K1717">
        <v>200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200</v>
      </c>
      <c r="AH1717">
        <v>2</v>
      </c>
      <c r="AI1717">
        <v>0</v>
      </c>
      <c r="AJ1717">
        <v>0</v>
      </c>
      <c r="AK1717">
        <v>200</v>
      </c>
      <c r="AL1717">
        <v>0</v>
      </c>
      <c r="AM1717">
        <v>0</v>
      </c>
      <c r="AN1717">
        <v>0</v>
      </c>
      <c r="AO1717">
        <v>0</v>
      </c>
      <c r="AP1717"/>
      <c r="AQ1717">
        <v>0</v>
      </c>
      <c r="AR1717">
        <v>0</v>
      </c>
      <c r="AT1717">
        <v>0</v>
      </c>
      <c r="AU1717">
        <v>0</v>
      </c>
      <c r="AW1717">
        <v>0</v>
      </c>
      <c r="AX1717">
        <v>0</v>
      </c>
      <c r="AY1717">
        <v>140</v>
      </c>
      <c r="BC1717" t="str">
        <f t="shared" si="295"/>
        <v>9791188630066</v>
      </c>
      <c r="BE1717" t="str">
        <f t="shared" si="296"/>
        <v>판타지 웹소설 &gt; 현대 판타지</v>
      </c>
    </row>
    <row r="1718" spans="1:57" x14ac:dyDescent="0.3">
      <c r="A1718">
        <v>2313003101</v>
      </c>
      <c r="B1718">
        <v>2313003187</v>
      </c>
      <c r="C1718" t="str">
        <f>T("로드 오브 머니 87화")</f>
        <v>로드 오브 머니 87화</v>
      </c>
      <c r="D1718" t="str">
        <f>T("87")</f>
        <v>87</v>
      </c>
      <c r="E1718" t="str">
        <f t="shared" si="293"/>
        <v>무장</v>
      </c>
      <c r="H1718" t="str">
        <f t="shared" si="297"/>
        <v>스토리위즈</v>
      </c>
      <c r="I1718" t="str">
        <f t="shared" si="294"/>
        <v>로드 오브 머니</v>
      </c>
      <c r="J1718">
        <v>100</v>
      </c>
      <c r="K1718">
        <v>200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200</v>
      </c>
      <c r="AH1718">
        <v>2</v>
      </c>
      <c r="AI1718">
        <v>0</v>
      </c>
      <c r="AJ1718">
        <v>0</v>
      </c>
      <c r="AK1718">
        <v>200</v>
      </c>
      <c r="AL1718">
        <v>0</v>
      </c>
      <c r="AM1718">
        <v>0</v>
      </c>
      <c r="AN1718">
        <v>0</v>
      </c>
      <c r="AO1718">
        <v>0</v>
      </c>
      <c r="AP1718"/>
      <c r="AQ1718">
        <v>0</v>
      </c>
      <c r="AR1718">
        <v>0</v>
      </c>
      <c r="AT1718">
        <v>0</v>
      </c>
      <c r="AU1718">
        <v>0</v>
      </c>
      <c r="AW1718">
        <v>0</v>
      </c>
      <c r="AX1718">
        <v>0</v>
      </c>
      <c r="AY1718">
        <v>140</v>
      </c>
      <c r="BC1718" t="str">
        <f t="shared" si="295"/>
        <v>9791188630066</v>
      </c>
      <c r="BE1718" t="str">
        <f t="shared" si="296"/>
        <v>판타지 웹소설 &gt; 현대 판타지</v>
      </c>
    </row>
    <row r="1719" spans="1:57" x14ac:dyDescent="0.3">
      <c r="A1719">
        <v>2313003101</v>
      </c>
      <c r="B1719">
        <v>2313003188</v>
      </c>
      <c r="C1719" t="str">
        <f>T("로드 오브 머니 88화")</f>
        <v>로드 오브 머니 88화</v>
      </c>
      <c r="D1719" t="str">
        <f>T("88")</f>
        <v>88</v>
      </c>
      <c r="E1719" t="str">
        <f t="shared" si="293"/>
        <v>무장</v>
      </c>
      <c r="H1719" t="str">
        <f t="shared" si="297"/>
        <v>스토리위즈</v>
      </c>
      <c r="I1719" t="str">
        <f t="shared" si="294"/>
        <v>로드 오브 머니</v>
      </c>
      <c r="J1719">
        <v>100</v>
      </c>
      <c r="K1719">
        <v>200</v>
      </c>
      <c r="L1719">
        <v>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200</v>
      </c>
      <c r="AH1719">
        <v>2</v>
      </c>
      <c r="AI1719">
        <v>0</v>
      </c>
      <c r="AJ1719">
        <v>0</v>
      </c>
      <c r="AK1719">
        <v>200</v>
      </c>
      <c r="AL1719">
        <v>0</v>
      </c>
      <c r="AM1719">
        <v>0</v>
      </c>
      <c r="AN1719">
        <v>0</v>
      </c>
      <c r="AO1719">
        <v>0</v>
      </c>
      <c r="AP1719"/>
      <c r="AQ1719">
        <v>0</v>
      </c>
      <c r="AR1719">
        <v>0</v>
      </c>
      <c r="AT1719">
        <v>0</v>
      </c>
      <c r="AU1719">
        <v>0</v>
      </c>
      <c r="AW1719">
        <v>0</v>
      </c>
      <c r="AX1719">
        <v>0</v>
      </c>
      <c r="AY1719">
        <v>140</v>
      </c>
      <c r="BC1719" t="str">
        <f t="shared" si="295"/>
        <v>9791188630066</v>
      </c>
      <c r="BE1719" t="str">
        <f t="shared" si="296"/>
        <v>판타지 웹소설 &gt; 현대 판타지</v>
      </c>
    </row>
    <row r="1720" spans="1:57" x14ac:dyDescent="0.3">
      <c r="A1720">
        <v>2313003101</v>
      </c>
      <c r="B1720">
        <v>2313003189</v>
      </c>
      <c r="C1720" t="str">
        <f>T("로드 오브 머니 89화")</f>
        <v>로드 오브 머니 89화</v>
      </c>
      <c r="D1720" t="str">
        <f>T("89")</f>
        <v>89</v>
      </c>
      <c r="E1720" t="str">
        <f t="shared" si="293"/>
        <v>무장</v>
      </c>
      <c r="H1720" t="str">
        <f t="shared" si="297"/>
        <v>스토리위즈</v>
      </c>
      <c r="I1720" t="str">
        <f t="shared" si="294"/>
        <v>로드 오브 머니</v>
      </c>
      <c r="J1720">
        <v>100</v>
      </c>
      <c r="K1720">
        <v>200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200</v>
      </c>
      <c r="AH1720">
        <v>2</v>
      </c>
      <c r="AI1720">
        <v>0</v>
      </c>
      <c r="AJ1720">
        <v>0</v>
      </c>
      <c r="AK1720">
        <v>200</v>
      </c>
      <c r="AL1720">
        <v>0</v>
      </c>
      <c r="AM1720">
        <v>0</v>
      </c>
      <c r="AN1720">
        <v>0</v>
      </c>
      <c r="AO1720">
        <v>0</v>
      </c>
      <c r="AP1720"/>
      <c r="AQ1720">
        <v>0</v>
      </c>
      <c r="AR1720">
        <v>0</v>
      </c>
      <c r="AT1720">
        <v>0</v>
      </c>
      <c r="AU1720">
        <v>0</v>
      </c>
      <c r="AW1720">
        <v>0</v>
      </c>
      <c r="AX1720">
        <v>0</v>
      </c>
      <c r="AY1720">
        <v>140</v>
      </c>
      <c r="BC1720" t="str">
        <f t="shared" si="295"/>
        <v>9791188630066</v>
      </c>
      <c r="BE1720" t="str">
        <f t="shared" si="296"/>
        <v>판타지 웹소설 &gt; 현대 판타지</v>
      </c>
    </row>
    <row r="1721" spans="1:57" x14ac:dyDescent="0.3">
      <c r="A1721">
        <v>2313003101</v>
      </c>
      <c r="B1721">
        <v>2313003190</v>
      </c>
      <c r="C1721" t="str">
        <f>T("로드 오브 머니 90화")</f>
        <v>로드 오브 머니 90화</v>
      </c>
      <c r="D1721" t="str">
        <f>T("90")</f>
        <v>90</v>
      </c>
      <c r="E1721" t="str">
        <f t="shared" si="293"/>
        <v>무장</v>
      </c>
      <c r="H1721" t="str">
        <f t="shared" si="297"/>
        <v>스토리위즈</v>
      </c>
      <c r="I1721" t="str">
        <f t="shared" si="294"/>
        <v>로드 오브 머니</v>
      </c>
      <c r="J1721">
        <v>100</v>
      </c>
      <c r="K1721">
        <v>200</v>
      </c>
      <c r="L1721">
        <v>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200</v>
      </c>
      <c r="AH1721">
        <v>2</v>
      </c>
      <c r="AI1721">
        <v>0</v>
      </c>
      <c r="AJ1721">
        <v>0</v>
      </c>
      <c r="AK1721">
        <v>200</v>
      </c>
      <c r="AL1721">
        <v>0</v>
      </c>
      <c r="AM1721">
        <v>0</v>
      </c>
      <c r="AN1721">
        <v>0</v>
      </c>
      <c r="AO1721">
        <v>0</v>
      </c>
      <c r="AP1721"/>
      <c r="AQ1721">
        <v>0</v>
      </c>
      <c r="AR1721">
        <v>0</v>
      </c>
      <c r="AT1721">
        <v>0</v>
      </c>
      <c r="AU1721">
        <v>0</v>
      </c>
      <c r="AW1721">
        <v>0</v>
      </c>
      <c r="AX1721">
        <v>0</v>
      </c>
      <c r="AY1721">
        <v>140</v>
      </c>
      <c r="BC1721" t="str">
        <f t="shared" si="295"/>
        <v>9791188630066</v>
      </c>
      <c r="BE1721" t="str">
        <f t="shared" si="296"/>
        <v>판타지 웹소설 &gt; 현대 판타지</v>
      </c>
    </row>
    <row r="1722" spans="1:57" x14ac:dyDescent="0.3">
      <c r="A1722">
        <v>2313003101</v>
      </c>
      <c r="B1722">
        <v>2313003191</v>
      </c>
      <c r="C1722" t="str">
        <f>T("로드 오브 머니 91화")</f>
        <v>로드 오브 머니 91화</v>
      </c>
      <c r="D1722" t="str">
        <f>T("91")</f>
        <v>91</v>
      </c>
      <c r="E1722" t="str">
        <f t="shared" si="293"/>
        <v>무장</v>
      </c>
      <c r="H1722" t="str">
        <f t="shared" si="297"/>
        <v>스토리위즈</v>
      </c>
      <c r="I1722" t="str">
        <f t="shared" si="294"/>
        <v>로드 오브 머니</v>
      </c>
      <c r="J1722">
        <v>100</v>
      </c>
      <c r="K1722">
        <v>200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200</v>
      </c>
      <c r="AH1722">
        <v>2</v>
      </c>
      <c r="AI1722">
        <v>0</v>
      </c>
      <c r="AJ1722">
        <v>0</v>
      </c>
      <c r="AK1722">
        <v>200</v>
      </c>
      <c r="AL1722">
        <v>0</v>
      </c>
      <c r="AM1722">
        <v>0</v>
      </c>
      <c r="AN1722">
        <v>0</v>
      </c>
      <c r="AO1722">
        <v>0</v>
      </c>
      <c r="AP1722"/>
      <c r="AQ1722">
        <v>0</v>
      </c>
      <c r="AR1722">
        <v>0</v>
      </c>
      <c r="AT1722">
        <v>0</v>
      </c>
      <c r="AU1722">
        <v>0</v>
      </c>
      <c r="AW1722">
        <v>0</v>
      </c>
      <c r="AX1722">
        <v>0</v>
      </c>
      <c r="AY1722">
        <v>140</v>
      </c>
      <c r="BC1722" t="str">
        <f t="shared" si="295"/>
        <v>9791188630066</v>
      </c>
      <c r="BE1722" t="str">
        <f t="shared" si="296"/>
        <v>판타지 웹소설 &gt; 현대 판타지</v>
      </c>
    </row>
    <row r="1723" spans="1:57" x14ac:dyDescent="0.3">
      <c r="A1723">
        <v>2313003101</v>
      </c>
      <c r="B1723">
        <v>2313003192</v>
      </c>
      <c r="C1723" t="str">
        <f>T("로드 오브 머니 92화")</f>
        <v>로드 오브 머니 92화</v>
      </c>
      <c r="D1723" t="str">
        <f>T("92")</f>
        <v>92</v>
      </c>
      <c r="E1723" t="str">
        <f t="shared" si="293"/>
        <v>무장</v>
      </c>
      <c r="H1723" t="str">
        <f t="shared" si="297"/>
        <v>스토리위즈</v>
      </c>
      <c r="I1723" t="str">
        <f t="shared" si="294"/>
        <v>로드 오브 머니</v>
      </c>
      <c r="J1723">
        <v>100</v>
      </c>
      <c r="K1723">
        <v>200</v>
      </c>
      <c r="L1723">
        <v>2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200</v>
      </c>
      <c r="AH1723">
        <v>2</v>
      </c>
      <c r="AI1723">
        <v>0</v>
      </c>
      <c r="AJ1723">
        <v>0</v>
      </c>
      <c r="AK1723">
        <v>200</v>
      </c>
      <c r="AL1723">
        <v>0</v>
      </c>
      <c r="AM1723">
        <v>0</v>
      </c>
      <c r="AN1723">
        <v>0</v>
      </c>
      <c r="AO1723">
        <v>0</v>
      </c>
      <c r="AP1723"/>
      <c r="AQ1723">
        <v>0</v>
      </c>
      <c r="AR1723">
        <v>0</v>
      </c>
      <c r="AT1723">
        <v>0</v>
      </c>
      <c r="AU1723">
        <v>0</v>
      </c>
      <c r="AW1723">
        <v>0</v>
      </c>
      <c r="AX1723">
        <v>0</v>
      </c>
      <c r="AY1723">
        <v>140</v>
      </c>
      <c r="BC1723" t="str">
        <f t="shared" si="295"/>
        <v>9791188630066</v>
      </c>
      <c r="BE1723" t="str">
        <f t="shared" si="296"/>
        <v>판타지 웹소설 &gt; 현대 판타지</v>
      </c>
    </row>
    <row r="1724" spans="1:57" x14ac:dyDescent="0.3">
      <c r="A1724">
        <v>2313003101</v>
      </c>
      <c r="B1724">
        <v>2313003193</v>
      </c>
      <c r="C1724" t="str">
        <f>T("로드 오브 머니 93화")</f>
        <v>로드 오브 머니 93화</v>
      </c>
      <c r="D1724" t="str">
        <f>T("93")</f>
        <v>93</v>
      </c>
      <c r="E1724" t="str">
        <f t="shared" si="293"/>
        <v>무장</v>
      </c>
      <c r="H1724" t="str">
        <f t="shared" si="297"/>
        <v>스토리위즈</v>
      </c>
      <c r="I1724" t="str">
        <f t="shared" si="294"/>
        <v>로드 오브 머니</v>
      </c>
      <c r="J1724">
        <v>100</v>
      </c>
      <c r="K1724">
        <v>200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200</v>
      </c>
      <c r="AH1724">
        <v>2</v>
      </c>
      <c r="AI1724">
        <v>0</v>
      </c>
      <c r="AJ1724">
        <v>0</v>
      </c>
      <c r="AK1724">
        <v>200</v>
      </c>
      <c r="AL1724">
        <v>0</v>
      </c>
      <c r="AM1724">
        <v>0</v>
      </c>
      <c r="AN1724">
        <v>0</v>
      </c>
      <c r="AO1724">
        <v>0</v>
      </c>
      <c r="AP1724"/>
      <c r="AQ1724">
        <v>0</v>
      </c>
      <c r="AR1724">
        <v>0</v>
      </c>
      <c r="AT1724">
        <v>0</v>
      </c>
      <c r="AU1724">
        <v>0</v>
      </c>
      <c r="AW1724">
        <v>0</v>
      </c>
      <c r="AX1724">
        <v>0</v>
      </c>
      <c r="AY1724">
        <v>140</v>
      </c>
      <c r="BC1724" t="str">
        <f t="shared" si="295"/>
        <v>9791188630066</v>
      </c>
      <c r="BE1724" t="str">
        <f t="shared" si="296"/>
        <v>판타지 웹소설 &gt; 현대 판타지</v>
      </c>
    </row>
    <row r="1725" spans="1:57" x14ac:dyDescent="0.3">
      <c r="A1725">
        <v>2313003101</v>
      </c>
      <c r="B1725">
        <v>2313003194</v>
      </c>
      <c r="C1725" t="str">
        <f>T("로드 오브 머니 94화")</f>
        <v>로드 오브 머니 94화</v>
      </c>
      <c r="D1725" t="str">
        <f>T("94")</f>
        <v>94</v>
      </c>
      <c r="E1725" t="str">
        <f t="shared" si="293"/>
        <v>무장</v>
      </c>
      <c r="H1725" t="str">
        <f t="shared" si="297"/>
        <v>스토리위즈</v>
      </c>
      <c r="I1725" t="str">
        <f t="shared" si="294"/>
        <v>로드 오브 머니</v>
      </c>
      <c r="J1725">
        <v>100</v>
      </c>
      <c r="K1725">
        <v>200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200</v>
      </c>
      <c r="AH1725">
        <v>2</v>
      </c>
      <c r="AI1725">
        <v>0</v>
      </c>
      <c r="AJ1725">
        <v>0</v>
      </c>
      <c r="AK1725">
        <v>200</v>
      </c>
      <c r="AL1725">
        <v>0</v>
      </c>
      <c r="AM1725">
        <v>0</v>
      </c>
      <c r="AN1725">
        <v>0</v>
      </c>
      <c r="AO1725">
        <v>0</v>
      </c>
      <c r="AP1725"/>
      <c r="AQ1725">
        <v>0</v>
      </c>
      <c r="AR1725">
        <v>0</v>
      </c>
      <c r="AT1725">
        <v>0</v>
      </c>
      <c r="AU1725">
        <v>0</v>
      </c>
      <c r="AW1725">
        <v>0</v>
      </c>
      <c r="AX1725">
        <v>0</v>
      </c>
      <c r="AY1725">
        <v>140</v>
      </c>
      <c r="BC1725" t="str">
        <f t="shared" si="295"/>
        <v>9791188630066</v>
      </c>
      <c r="BE1725" t="str">
        <f t="shared" si="296"/>
        <v>판타지 웹소설 &gt; 현대 판타지</v>
      </c>
    </row>
    <row r="1726" spans="1:57" x14ac:dyDescent="0.3">
      <c r="A1726">
        <v>2313003101</v>
      </c>
      <c r="B1726">
        <v>2313003195</v>
      </c>
      <c r="C1726" t="str">
        <f>T("로드 오브 머니 95화")</f>
        <v>로드 오브 머니 95화</v>
      </c>
      <c r="D1726" t="str">
        <f>T("95")</f>
        <v>95</v>
      </c>
      <c r="E1726" t="str">
        <f t="shared" si="293"/>
        <v>무장</v>
      </c>
      <c r="H1726" t="str">
        <f t="shared" si="297"/>
        <v>스토리위즈</v>
      </c>
      <c r="I1726" t="str">
        <f t="shared" si="294"/>
        <v>로드 오브 머니</v>
      </c>
      <c r="J1726">
        <v>100</v>
      </c>
      <c r="K1726">
        <v>200</v>
      </c>
      <c r="L1726">
        <v>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200</v>
      </c>
      <c r="AH1726">
        <v>2</v>
      </c>
      <c r="AI1726">
        <v>0</v>
      </c>
      <c r="AJ1726">
        <v>0</v>
      </c>
      <c r="AK1726">
        <v>200</v>
      </c>
      <c r="AL1726">
        <v>0</v>
      </c>
      <c r="AM1726">
        <v>0</v>
      </c>
      <c r="AN1726">
        <v>0</v>
      </c>
      <c r="AO1726">
        <v>0</v>
      </c>
      <c r="AP1726"/>
      <c r="AQ1726">
        <v>0</v>
      </c>
      <c r="AR1726">
        <v>0</v>
      </c>
      <c r="AT1726">
        <v>0</v>
      </c>
      <c r="AU1726">
        <v>0</v>
      </c>
      <c r="AW1726">
        <v>0</v>
      </c>
      <c r="AX1726">
        <v>0</v>
      </c>
      <c r="AY1726">
        <v>140</v>
      </c>
      <c r="BC1726" t="str">
        <f t="shared" si="295"/>
        <v>9791188630066</v>
      </c>
      <c r="BE1726" t="str">
        <f t="shared" si="296"/>
        <v>판타지 웹소설 &gt; 현대 판타지</v>
      </c>
    </row>
    <row r="1727" spans="1:57" x14ac:dyDescent="0.3">
      <c r="A1727">
        <v>2313003101</v>
      </c>
      <c r="B1727">
        <v>2313003196</v>
      </c>
      <c r="C1727" t="str">
        <f>T("로드 오브 머니 96화")</f>
        <v>로드 오브 머니 96화</v>
      </c>
      <c r="D1727" t="str">
        <f>T("96")</f>
        <v>96</v>
      </c>
      <c r="E1727" t="str">
        <f t="shared" si="293"/>
        <v>무장</v>
      </c>
      <c r="H1727" t="str">
        <f t="shared" si="297"/>
        <v>스토리위즈</v>
      </c>
      <c r="I1727" t="str">
        <f t="shared" si="294"/>
        <v>로드 오브 머니</v>
      </c>
      <c r="J1727">
        <v>100</v>
      </c>
      <c r="K1727">
        <v>200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200</v>
      </c>
      <c r="AH1727">
        <v>2</v>
      </c>
      <c r="AI1727">
        <v>0</v>
      </c>
      <c r="AJ1727">
        <v>0</v>
      </c>
      <c r="AK1727">
        <v>200</v>
      </c>
      <c r="AL1727">
        <v>0</v>
      </c>
      <c r="AM1727">
        <v>0</v>
      </c>
      <c r="AN1727">
        <v>0</v>
      </c>
      <c r="AO1727">
        <v>0</v>
      </c>
      <c r="AP1727"/>
      <c r="AQ1727">
        <v>0</v>
      </c>
      <c r="AR1727">
        <v>0</v>
      </c>
      <c r="AT1727">
        <v>0</v>
      </c>
      <c r="AU1727">
        <v>0</v>
      </c>
      <c r="AW1727">
        <v>0</v>
      </c>
      <c r="AX1727">
        <v>0</v>
      </c>
      <c r="AY1727">
        <v>140</v>
      </c>
      <c r="BC1727" t="str">
        <f t="shared" si="295"/>
        <v>9791188630066</v>
      </c>
      <c r="BE1727" t="str">
        <f t="shared" si="296"/>
        <v>판타지 웹소설 &gt; 현대 판타지</v>
      </c>
    </row>
    <row r="1728" spans="1:57" x14ac:dyDescent="0.3">
      <c r="A1728">
        <v>2313003101</v>
      </c>
      <c r="B1728">
        <v>2313003197</v>
      </c>
      <c r="C1728" t="str">
        <f>T("로드 오브 머니 97화")</f>
        <v>로드 오브 머니 97화</v>
      </c>
      <c r="D1728" t="str">
        <f>T("97")</f>
        <v>97</v>
      </c>
      <c r="E1728" t="str">
        <f t="shared" si="293"/>
        <v>무장</v>
      </c>
      <c r="H1728" t="str">
        <f t="shared" si="297"/>
        <v>스토리위즈</v>
      </c>
      <c r="I1728" t="str">
        <f t="shared" si="294"/>
        <v>로드 오브 머니</v>
      </c>
      <c r="J1728">
        <v>100</v>
      </c>
      <c r="K1728">
        <v>200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200</v>
      </c>
      <c r="AH1728">
        <v>2</v>
      </c>
      <c r="AI1728">
        <v>0</v>
      </c>
      <c r="AJ1728">
        <v>0</v>
      </c>
      <c r="AK1728">
        <v>200</v>
      </c>
      <c r="AL1728">
        <v>0</v>
      </c>
      <c r="AM1728">
        <v>0</v>
      </c>
      <c r="AN1728">
        <v>0</v>
      </c>
      <c r="AO1728">
        <v>0</v>
      </c>
      <c r="AP1728"/>
      <c r="AQ1728">
        <v>0</v>
      </c>
      <c r="AR1728">
        <v>0</v>
      </c>
      <c r="AT1728">
        <v>0</v>
      </c>
      <c r="AU1728">
        <v>0</v>
      </c>
      <c r="AW1728">
        <v>0</v>
      </c>
      <c r="AX1728">
        <v>0</v>
      </c>
      <c r="AY1728">
        <v>140</v>
      </c>
      <c r="BC1728" t="str">
        <f t="shared" si="295"/>
        <v>9791188630066</v>
      </c>
      <c r="BE1728" t="str">
        <f t="shared" si="296"/>
        <v>판타지 웹소설 &gt; 현대 판타지</v>
      </c>
    </row>
    <row r="1729" spans="1:57" x14ac:dyDescent="0.3">
      <c r="A1729">
        <v>2313003101</v>
      </c>
      <c r="B1729">
        <v>2313003198</v>
      </c>
      <c r="C1729" t="str">
        <f>T("로드 오브 머니 98화")</f>
        <v>로드 오브 머니 98화</v>
      </c>
      <c r="D1729" t="str">
        <f>T("98")</f>
        <v>98</v>
      </c>
      <c r="E1729" t="str">
        <f t="shared" si="293"/>
        <v>무장</v>
      </c>
      <c r="H1729" t="str">
        <f t="shared" si="297"/>
        <v>스토리위즈</v>
      </c>
      <c r="I1729" t="str">
        <f t="shared" si="294"/>
        <v>로드 오브 머니</v>
      </c>
      <c r="J1729">
        <v>100</v>
      </c>
      <c r="K1729">
        <v>200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200</v>
      </c>
      <c r="AH1729">
        <v>2</v>
      </c>
      <c r="AI1729">
        <v>0</v>
      </c>
      <c r="AJ1729">
        <v>0</v>
      </c>
      <c r="AK1729">
        <v>200</v>
      </c>
      <c r="AL1729">
        <v>0</v>
      </c>
      <c r="AM1729">
        <v>0</v>
      </c>
      <c r="AN1729">
        <v>0</v>
      </c>
      <c r="AO1729">
        <v>0</v>
      </c>
      <c r="AP1729"/>
      <c r="AQ1729">
        <v>0</v>
      </c>
      <c r="AR1729">
        <v>0</v>
      </c>
      <c r="AT1729">
        <v>0</v>
      </c>
      <c r="AU1729">
        <v>0</v>
      </c>
      <c r="AW1729">
        <v>0</v>
      </c>
      <c r="AX1729">
        <v>0</v>
      </c>
      <c r="AY1729">
        <v>140</v>
      </c>
      <c r="BC1729" t="str">
        <f t="shared" si="295"/>
        <v>9791188630066</v>
      </c>
      <c r="BE1729" t="str">
        <f t="shared" si="296"/>
        <v>판타지 웹소설 &gt; 현대 판타지</v>
      </c>
    </row>
    <row r="1730" spans="1:57" x14ac:dyDescent="0.3">
      <c r="A1730">
        <v>2313003101</v>
      </c>
      <c r="B1730">
        <v>2313003199</v>
      </c>
      <c r="C1730" t="str">
        <f>T("로드 오브 머니 99화")</f>
        <v>로드 오브 머니 99화</v>
      </c>
      <c r="D1730" t="str">
        <f>T("99")</f>
        <v>99</v>
      </c>
      <c r="E1730" t="str">
        <f t="shared" si="293"/>
        <v>무장</v>
      </c>
      <c r="H1730" t="str">
        <f t="shared" si="297"/>
        <v>스토리위즈</v>
      </c>
      <c r="I1730" t="str">
        <f t="shared" si="294"/>
        <v>로드 오브 머니</v>
      </c>
      <c r="J1730">
        <v>100</v>
      </c>
      <c r="K1730">
        <v>200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200</v>
      </c>
      <c r="AH1730">
        <v>2</v>
      </c>
      <c r="AI1730">
        <v>0</v>
      </c>
      <c r="AJ1730">
        <v>0</v>
      </c>
      <c r="AK1730">
        <v>200</v>
      </c>
      <c r="AL1730">
        <v>0</v>
      </c>
      <c r="AM1730">
        <v>0</v>
      </c>
      <c r="AN1730">
        <v>0</v>
      </c>
      <c r="AO1730">
        <v>0</v>
      </c>
      <c r="AP1730"/>
      <c r="AQ1730">
        <v>0</v>
      </c>
      <c r="AR1730">
        <v>0</v>
      </c>
      <c r="AT1730">
        <v>0</v>
      </c>
      <c r="AU1730">
        <v>0</v>
      </c>
      <c r="AW1730">
        <v>0</v>
      </c>
      <c r="AX1730">
        <v>0</v>
      </c>
      <c r="AY1730">
        <v>140</v>
      </c>
      <c r="BC1730" t="str">
        <f t="shared" si="295"/>
        <v>9791188630066</v>
      </c>
      <c r="BE1730" t="str">
        <f t="shared" si="296"/>
        <v>판타지 웹소설 &gt; 현대 판타지</v>
      </c>
    </row>
    <row r="1731" spans="1:57" x14ac:dyDescent="0.3">
      <c r="A1731">
        <v>2313003101</v>
      </c>
      <c r="B1731">
        <v>2313003200</v>
      </c>
      <c r="C1731" t="str">
        <f>T("로드 오브 머니 100화")</f>
        <v>로드 오브 머니 100화</v>
      </c>
      <c r="D1731" t="str">
        <f>T("100")</f>
        <v>100</v>
      </c>
      <c r="E1731" t="str">
        <f t="shared" si="293"/>
        <v>무장</v>
      </c>
      <c r="H1731" t="str">
        <f t="shared" si="297"/>
        <v>스토리위즈</v>
      </c>
      <c r="I1731" t="str">
        <f t="shared" si="294"/>
        <v>로드 오브 머니</v>
      </c>
      <c r="J1731">
        <v>100</v>
      </c>
      <c r="K1731">
        <v>200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200</v>
      </c>
      <c r="AH1731">
        <v>2</v>
      </c>
      <c r="AI1731">
        <v>0</v>
      </c>
      <c r="AJ1731">
        <v>0</v>
      </c>
      <c r="AK1731">
        <v>200</v>
      </c>
      <c r="AL1731">
        <v>0</v>
      </c>
      <c r="AM1731">
        <v>0</v>
      </c>
      <c r="AN1731">
        <v>0</v>
      </c>
      <c r="AO1731">
        <v>0</v>
      </c>
      <c r="AP1731"/>
      <c r="AQ1731">
        <v>0</v>
      </c>
      <c r="AR1731">
        <v>0</v>
      </c>
      <c r="AT1731">
        <v>0</v>
      </c>
      <c r="AU1731">
        <v>0</v>
      </c>
      <c r="AW1731">
        <v>0</v>
      </c>
      <c r="AX1731">
        <v>0</v>
      </c>
      <c r="AY1731">
        <v>140</v>
      </c>
      <c r="BC1731" t="str">
        <f t="shared" si="295"/>
        <v>9791188630066</v>
      </c>
      <c r="BE1731" t="str">
        <f t="shared" si="296"/>
        <v>판타지 웹소설 &gt; 현대 판타지</v>
      </c>
    </row>
    <row r="1732" spans="1:57" x14ac:dyDescent="0.3">
      <c r="A1732">
        <v>2313003101</v>
      </c>
      <c r="B1732">
        <v>2313003201</v>
      </c>
      <c r="C1732" t="str">
        <f>T("로드 오브 머니 101화")</f>
        <v>로드 오브 머니 101화</v>
      </c>
      <c r="D1732" t="str">
        <f>T("101")</f>
        <v>101</v>
      </c>
      <c r="E1732" t="str">
        <f t="shared" si="293"/>
        <v>무장</v>
      </c>
      <c r="H1732" t="str">
        <f t="shared" si="297"/>
        <v>스토리위즈</v>
      </c>
      <c r="I1732" t="str">
        <f t="shared" si="294"/>
        <v>로드 오브 머니</v>
      </c>
      <c r="J1732">
        <v>100</v>
      </c>
      <c r="K1732">
        <v>200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200</v>
      </c>
      <c r="AH1732">
        <v>2</v>
      </c>
      <c r="AI1732">
        <v>0</v>
      </c>
      <c r="AJ1732">
        <v>0</v>
      </c>
      <c r="AK1732">
        <v>200</v>
      </c>
      <c r="AL1732">
        <v>0</v>
      </c>
      <c r="AM1732">
        <v>0</v>
      </c>
      <c r="AN1732">
        <v>0</v>
      </c>
      <c r="AO1732">
        <v>0</v>
      </c>
      <c r="AP1732"/>
      <c r="AQ1732">
        <v>0</v>
      </c>
      <c r="AR1732">
        <v>0</v>
      </c>
      <c r="AT1732">
        <v>0</v>
      </c>
      <c r="AU1732">
        <v>0</v>
      </c>
      <c r="AW1732">
        <v>0</v>
      </c>
      <c r="AX1732">
        <v>0</v>
      </c>
      <c r="AY1732">
        <v>140</v>
      </c>
      <c r="BC1732" t="str">
        <f t="shared" si="295"/>
        <v>9791188630066</v>
      </c>
      <c r="BE1732" t="str">
        <f t="shared" si="296"/>
        <v>판타지 웹소설 &gt; 현대 판타지</v>
      </c>
    </row>
    <row r="1733" spans="1:57" x14ac:dyDescent="0.3">
      <c r="A1733">
        <v>2313003101</v>
      </c>
      <c r="B1733">
        <v>2313003202</v>
      </c>
      <c r="C1733" t="str">
        <f>T("로드 오브 머니 102화")</f>
        <v>로드 오브 머니 102화</v>
      </c>
      <c r="D1733" t="str">
        <f>T("102")</f>
        <v>102</v>
      </c>
      <c r="E1733" t="str">
        <f t="shared" si="293"/>
        <v>무장</v>
      </c>
      <c r="H1733" t="str">
        <f t="shared" si="297"/>
        <v>스토리위즈</v>
      </c>
      <c r="I1733" t="str">
        <f t="shared" si="294"/>
        <v>로드 오브 머니</v>
      </c>
      <c r="J1733">
        <v>100</v>
      </c>
      <c r="K1733">
        <v>200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200</v>
      </c>
      <c r="AH1733">
        <v>2</v>
      </c>
      <c r="AI1733">
        <v>0</v>
      </c>
      <c r="AJ1733">
        <v>0</v>
      </c>
      <c r="AK1733">
        <v>200</v>
      </c>
      <c r="AL1733">
        <v>0</v>
      </c>
      <c r="AM1733">
        <v>0</v>
      </c>
      <c r="AN1733">
        <v>0</v>
      </c>
      <c r="AO1733">
        <v>0</v>
      </c>
      <c r="AP1733"/>
      <c r="AQ1733">
        <v>0</v>
      </c>
      <c r="AR1733">
        <v>0</v>
      </c>
      <c r="AT1733">
        <v>0</v>
      </c>
      <c r="AU1733">
        <v>0</v>
      </c>
      <c r="AW1733">
        <v>0</v>
      </c>
      <c r="AX1733">
        <v>0</v>
      </c>
      <c r="AY1733">
        <v>140</v>
      </c>
      <c r="BC1733" t="str">
        <f t="shared" si="295"/>
        <v>9791188630066</v>
      </c>
      <c r="BE1733" t="str">
        <f t="shared" si="296"/>
        <v>판타지 웹소설 &gt; 현대 판타지</v>
      </c>
    </row>
    <row r="1734" spans="1:57" x14ac:dyDescent="0.3">
      <c r="A1734">
        <v>2313003101</v>
      </c>
      <c r="B1734">
        <v>2313003203</v>
      </c>
      <c r="C1734" t="str">
        <f>T("로드 오브 머니 103화")</f>
        <v>로드 오브 머니 103화</v>
      </c>
      <c r="D1734" t="str">
        <f>T("103")</f>
        <v>103</v>
      </c>
      <c r="E1734" t="str">
        <f t="shared" si="293"/>
        <v>무장</v>
      </c>
      <c r="H1734" t="str">
        <f t="shared" si="297"/>
        <v>스토리위즈</v>
      </c>
      <c r="I1734" t="str">
        <f t="shared" si="294"/>
        <v>로드 오브 머니</v>
      </c>
      <c r="J1734">
        <v>100</v>
      </c>
      <c r="K1734">
        <v>200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200</v>
      </c>
      <c r="AH1734">
        <v>2</v>
      </c>
      <c r="AI1734">
        <v>0</v>
      </c>
      <c r="AJ1734">
        <v>0</v>
      </c>
      <c r="AK1734">
        <v>200</v>
      </c>
      <c r="AL1734">
        <v>0</v>
      </c>
      <c r="AM1734">
        <v>0</v>
      </c>
      <c r="AN1734">
        <v>0</v>
      </c>
      <c r="AO1734">
        <v>0</v>
      </c>
      <c r="AP1734"/>
      <c r="AQ1734">
        <v>0</v>
      </c>
      <c r="AR1734">
        <v>0</v>
      </c>
      <c r="AT1734">
        <v>0</v>
      </c>
      <c r="AU1734">
        <v>0</v>
      </c>
      <c r="AW1734">
        <v>0</v>
      </c>
      <c r="AX1734">
        <v>0</v>
      </c>
      <c r="AY1734">
        <v>140</v>
      </c>
      <c r="BC1734" t="str">
        <f t="shared" si="295"/>
        <v>9791188630066</v>
      </c>
      <c r="BE1734" t="str">
        <f t="shared" si="296"/>
        <v>판타지 웹소설 &gt; 현대 판타지</v>
      </c>
    </row>
    <row r="1735" spans="1:57" x14ac:dyDescent="0.3">
      <c r="A1735">
        <v>2313003101</v>
      </c>
      <c r="B1735">
        <v>2313003204</v>
      </c>
      <c r="C1735" t="str">
        <f>T("로드 오브 머니 104화")</f>
        <v>로드 오브 머니 104화</v>
      </c>
      <c r="D1735" t="str">
        <f>T("104")</f>
        <v>104</v>
      </c>
      <c r="E1735" t="str">
        <f t="shared" si="293"/>
        <v>무장</v>
      </c>
      <c r="H1735" t="str">
        <f t="shared" si="297"/>
        <v>스토리위즈</v>
      </c>
      <c r="I1735" t="str">
        <f t="shared" si="294"/>
        <v>로드 오브 머니</v>
      </c>
      <c r="J1735">
        <v>100</v>
      </c>
      <c r="K1735">
        <v>200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200</v>
      </c>
      <c r="AH1735">
        <v>2</v>
      </c>
      <c r="AI1735">
        <v>0</v>
      </c>
      <c r="AJ1735">
        <v>0</v>
      </c>
      <c r="AK1735">
        <v>200</v>
      </c>
      <c r="AL1735">
        <v>0</v>
      </c>
      <c r="AM1735">
        <v>0</v>
      </c>
      <c r="AN1735">
        <v>0</v>
      </c>
      <c r="AO1735">
        <v>0</v>
      </c>
      <c r="AP1735"/>
      <c r="AQ1735">
        <v>0</v>
      </c>
      <c r="AR1735">
        <v>0</v>
      </c>
      <c r="AT1735">
        <v>0</v>
      </c>
      <c r="AU1735">
        <v>0</v>
      </c>
      <c r="AW1735">
        <v>0</v>
      </c>
      <c r="AX1735">
        <v>0</v>
      </c>
      <c r="AY1735">
        <v>140</v>
      </c>
      <c r="BC1735" t="str">
        <f t="shared" si="295"/>
        <v>9791188630066</v>
      </c>
      <c r="BE1735" t="str">
        <f t="shared" si="296"/>
        <v>판타지 웹소설 &gt; 현대 판타지</v>
      </c>
    </row>
    <row r="1736" spans="1:57" x14ac:dyDescent="0.3">
      <c r="A1736">
        <v>2313003101</v>
      </c>
      <c r="B1736">
        <v>2313003205</v>
      </c>
      <c r="C1736" t="str">
        <f>T("로드 오브 머니 105화")</f>
        <v>로드 오브 머니 105화</v>
      </c>
      <c r="D1736" t="str">
        <f>T("105")</f>
        <v>105</v>
      </c>
      <c r="E1736" t="str">
        <f t="shared" si="293"/>
        <v>무장</v>
      </c>
      <c r="H1736" t="str">
        <f t="shared" si="297"/>
        <v>스토리위즈</v>
      </c>
      <c r="I1736" t="str">
        <f t="shared" si="294"/>
        <v>로드 오브 머니</v>
      </c>
      <c r="J1736">
        <v>100</v>
      </c>
      <c r="K1736">
        <v>200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200</v>
      </c>
      <c r="AH1736">
        <v>2</v>
      </c>
      <c r="AI1736">
        <v>0</v>
      </c>
      <c r="AJ1736">
        <v>0</v>
      </c>
      <c r="AK1736">
        <v>200</v>
      </c>
      <c r="AL1736">
        <v>0</v>
      </c>
      <c r="AM1736">
        <v>0</v>
      </c>
      <c r="AN1736">
        <v>0</v>
      </c>
      <c r="AO1736">
        <v>0</v>
      </c>
      <c r="AP1736"/>
      <c r="AQ1736">
        <v>0</v>
      </c>
      <c r="AR1736">
        <v>0</v>
      </c>
      <c r="AT1736">
        <v>0</v>
      </c>
      <c r="AU1736">
        <v>0</v>
      </c>
      <c r="AW1736">
        <v>0</v>
      </c>
      <c r="AX1736">
        <v>0</v>
      </c>
      <c r="AY1736">
        <v>140</v>
      </c>
      <c r="BC1736" t="str">
        <f t="shared" si="295"/>
        <v>9791188630066</v>
      </c>
      <c r="BE1736" t="str">
        <f t="shared" si="296"/>
        <v>판타지 웹소설 &gt; 현대 판타지</v>
      </c>
    </row>
    <row r="1737" spans="1:57" x14ac:dyDescent="0.3">
      <c r="A1737">
        <v>2313003101</v>
      </c>
      <c r="B1737">
        <v>2313003206</v>
      </c>
      <c r="C1737" t="str">
        <f>T("로드 오브 머니 106화")</f>
        <v>로드 오브 머니 106화</v>
      </c>
      <c r="D1737" t="str">
        <f>T("106")</f>
        <v>106</v>
      </c>
      <c r="E1737" t="str">
        <f t="shared" si="293"/>
        <v>무장</v>
      </c>
      <c r="H1737" t="str">
        <f t="shared" si="297"/>
        <v>스토리위즈</v>
      </c>
      <c r="I1737" t="str">
        <f t="shared" si="294"/>
        <v>로드 오브 머니</v>
      </c>
      <c r="J1737">
        <v>100</v>
      </c>
      <c r="K1737">
        <v>200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200</v>
      </c>
      <c r="AH1737">
        <v>2</v>
      </c>
      <c r="AI1737">
        <v>0</v>
      </c>
      <c r="AJ1737">
        <v>0</v>
      </c>
      <c r="AK1737">
        <v>200</v>
      </c>
      <c r="AL1737">
        <v>0</v>
      </c>
      <c r="AM1737">
        <v>0</v>
      </c>
      <c r="AN1737">
        <v>0</v>
      </c>
      <c r="AO1737">
        <v>0</v>
      </c>
      <c r="AP1737"/>
      <c r="AQ1737">
        <v>0</v>
      </c>
      <c r="AR1737">
        <v>0</v>
      </c>
      <c r="AT1737">
        <v>0</v>
      </c>
      <c r="AU1737">
        <v>0</v>
      </c>
      <c r="AW1737">
        <v>0</v>
      </c>
      <c r="AX1737">
        <v>0</v>
      </c>
      <c r="AY1737">
        <v>140</v>
      </c>
      <c r="BC1737" t="str">
        <f t="shared" si="295"/>
        <v>9791188630066</v>
      </c>
      <c r="BE1737" t="str">
        <f t="shared" si="296"/>
        <v>판타지 웹소설 &gt; 현대 판타지</v>
      </c>
    </row>
    <row r="1738" spans="1:57" x14ac:dyDescent="0.3">
      <c r="A1738">
        <v>2313003101</v>
      </c>
      <c r="B1738">
        <v>2313003207</v>
      </c>
      <c r="C1738" t="str">
        <f>T("로드 오브 머니 107화")</f>
        <v>로드 오브 머니 107화</v>
      </c>
      <c r="D1738" t="str">
        <f>T("107")</f>
        <v>107</v>
      </c>
      <c r="E1738" t="str">
        <f t="shared" si="293"/>
        <v>무장</v>
      </c>
      <c r="H1738" t="str">
        <f t="shared" si="297"/>
        <v>스토리위즈</v>
      </c>
      <c r="I1738" t="str">
        <f t="shared" si="294"/>
        <v>로드 오브 머니</v>
      </c>
      <c r="J1738">
        <v>100</v>
      </c>
      <c r="K1738">
        <v>200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200</v>
      </c>
      <c r="AH1738">
        <v>2</v>
      </c>
      <c r="AI1738">
        <v>0</v>
      </c>
      <c r="AJ1738">
        <v>0</v>
      </c>
      <c r="AK1738">
        <v>100</v>
      </c>
      <c r="AL1738">
        <v>0</v>
      </c>
      <c r="AM1738">
        <v>120</v>
      </c>
      <c r="AN1738">
        <v>-12</v>
      </c>
      <c r="AO1738">
        <v>0</v>
      </c>
      <c r="AP1738"/>
      <c r="AQ1738">
        <v>0</v>
      </c>
      <c r="AR1738">
        <v>0</v>
      </c>
      <c r="AS1738">
        <v>120</v>
      </c>
      <c r="AT1738">
        <v>-12</v>
      </c>
      <c r="AU1738">
        <v>0</v>
      </c>
      <c r="AW1738">
        <v>0</v>
      </c>
      <c r="AX1738">
        <v>0</v>
      </c>
      <c r="AY1738">
        <v>145.6</v>
      </c>
      <c r="BC1738" t="str">
        <f t="shared" si="295"/>
        <v>9791188630066</v>
      </c>
      <c r="BE1738" t="str">
        <f t="shared" si="296"/>
        <v>판타지 웹소설 &gt; 현대 판타지</v>
      </c>
    </row>
    <row r="1739" spans="1:57" x14ac:dyDescent="0.3">
      <c r="A1739">
        <v>2313003101</v>
      </c>
      <c r="B1739">
        <v>2313003208</v>
      </c>
      <c r="C1739" t="str">
        <f>T("로드 오브 머니 108화")</f>
        <v>로드 오브 머니 108화</v>
      </c>
      <c r="D1739" t="str">
        <f>T("108")</f>
        <v>108</v>
      </c>
      <c r="E1739" t="str">
        <f t="shared" si="293"/>
        <v>무장</v>
      </c>
      <c r="H1739" t="str">
        <f t="shared" si="297"/>
        <v>스토리위즈</v>
      </c>
      <c r="I1739" t="str">
        <f t="shared" si="294"/>
        <v>로드 오브 머니</v>
      </c>
      <c r="J1739">
        <v>100</v>
      </c>
      <c r="K1739">
        <v>200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200</v>
      </c>
      <c r="AH1739">
        <v>2</v>
      </c>
      <c r="AI1739">
        <v>0</v>
      </c>
      <c r="AJ1739">
        <v>0</v>
      </c>
      <c r="AK1739">
        <v>100</v>
      </c>
      <c r="AL1739">
        <v>0</v>
      </c>
      <c r="AM1739">
        <v>120</v>
      </c>
      <c r="AN1739">
        <v>-12</v>
      </c>
      <c r="AO1739">
        <v>0</v>
      </c>
      <c r="AP1739"/>
      <c r="AQ1739">
        <v>0</v>
      </c>
      <c r="AR1739">
        <v>0</v>
      </c>
      <c r="AS1739">
        <v>120</v>
      </c>
      <c r="AT1739">
        <v>-12</v>
      </c>
      <c r="AU1739">
        <v>0</v>
      </c>
      <c r="AW1739">
        <v>0</v>
      </c>
      <c r="AX1739">
        <v>0</v>
      </c>
      <c r="AY1739">
        <v>145.6</v>
      </c>
      <c r="BC1739" t="str">
        <f t="shared" si="295"/>
        <v>9791188630066</v>
      </c>
      <c r="BE1739" t="str">
        <f t="shared" si="296"/>
        <v>판타지 웹소설 &gt; 현대 판타지</v>
      </c>
    </row>
    <row r="1740" spans="1:57" x14ac:dyDescent="0.3">
      <c r="A1740">
        <v>2313003101</v>
      </c>
      <c r="B1740">
        <v>2313003209</v>
      </c>
      <c r="C1740" t="str">
        <f>T("로드 오브 머니 109화")</f>
        <v>로드 오브 머니 109화</v>
      </c>
      <c r="D1740" t="str">
        <f>T("109")</f>
        <v>109</v>
      </c>
      <c r="E1740" t="str">
        <f t="shared" si="293"/>
        <v>무장</v>
      </c>
      <c r="H1740" t="str">
        <f t="shared" si="297"/>
        <v>스토리위즈</v>
      </c>
      <c r="I1740" t="str">
        <f t="shared" si="294"/>
        <v>로드 오브 머니</v>
      </c>
      <c r="J1740">
        <v>100</v>
      </c>
      <c r="K1740">
        <v>200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200</v>
      </c>
      <c r="AH1740">
        <v>2</v>
      </c>
      <c r="AI1740">
        <v>0</v>
      </c>
      <c r="AJ1740">
        <v>0</v>
      </c>
      <c r="AK1740">
        <v>100</v>
      </c>
      <c r="AL1740">
        <v>0</v>
      </c>
      <c r="AM1740">
        <v>120</v>
      </c>
      <c r="AN1740">
        <v>-12</v>
      </c>
      <c r="AO1740">
        <v>0</v>
      </c>
      <c r="AP1740"/>
      <c r="AQ1740">
        <v>0</v>
      </c>
      <c r="AR1740">
        <v>0</v>
      </c>
      <c r="AS1740">
        <v>120</v>
      </c>
      <c r="AT1740">
        <v>-12</v>
      </c>
      <c r="AU1740">
        <v>0</v>
      </c>
      <c r="AW1740">
        <v>0</v>
      </c>
      <c r="AX1740">
        <v>0</v>
      </c>
      <c r="AY1740">
        <v>145.6</v>
      </c>
      <c r="BC1740" t="str">
        <f t="shared" si="295"/>
        <v>9791188630066</v>
      </c>
      <c r="BE1740" t="str">
        <f t="shared" si="296"/>
        <v>판타지 웹소설 &gt; 현대 판타지</v>
      </c>
    </row>
    <row r="1741" spans="1:57" x14ac:dyDescent="0.3">
      <c r="A1741">
        <v>2313003101</v>
      </c>
      <c r="B1741">
        <v>2313003210</v>
      </c>
      <c r="C1741" t="str">
        <f>T("로드 오브 머니 110화")</f>
        <v>로드 오브 머니 110화</v>
      </c>
      <c r="D1741" t="str">
        <f>T("110")</f>
        <v>110</v>
      </c>
      <c r="E1741" t="str">
        <f t="shared" si="293"/>
        <v>무장</v>
      </c>
      <c r="H1741" t="str">
        <f t="shared" si="297"/>
        <v>스토리위즈</v>
      </c>
      <c r="I1741" t="str">
        <f t="shared" si="294"/>
        <v>로드 오브 머니</v>
      </c>
      <c r="J1741">
        <v>100</v>
      </c>
      <c r="K1741">
        <v>200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200</v>
      </c>
      <c r="AH1741">
        <v>2</v>
      </c>
      <c r="AI1741">
        <v>0</v>
      </c>
      <c r="AJ1741">
        <v>0</v>
      </c>
      <c r="AK1741">
        <v>100</v>
      </c>
      <c r="AL1741">
        <v>0</v>
      </c>
      <c r="AM1741">
        <v>120</v>
      </c>
      <c r="AN1741">
        <v>-12</v>
      </c>
      <c r="AO1741">
        <v>0</v>
      </c>
      <c r="AP1741"/>
      <c r="AQ1741">
        <v>0</v>
      </c>
      <c r="AR1741">
        <v>0</v>
      </c>
      <c r="AS1741">
        <v>120</v>
      </c>
      <c r="AT1741">
        <v>-12</v>
      </c>
      <c r="AU1741">
        <v>0</v>
      </c>
      <c r="AW1741">
        <v>0</v>
      </c>
      <c r="AX1741">
        <v>0</v>
      </c>
      <c r="AY1741">
        <v>145.6</v>
      </c>
      <c r="BC1741" t="str">
        <f t="shared" si="295"/>
        <v>9791188630066</v>
      </c>
      <c r="BE1741" t="str">
        <f t="shared" si="296"/>
        <v>판타지 웹소설 &gt; 현대 판타지</v>
      </c>
    </row>
    <row r="1742" spans="1:57" x14ac:dyDescent="0.3">
      <c r="A1742">
        <v>2313003101</v>
      </c>
      <c r="B1742">
        <v>2313003211</v>
      </c>
      <c r="C1742" t="str">
        <f>T("로드 오브 머니 111화")</f>
        <v>로드 오브 머니 111화</v>
      </c>
      <c r="D1742" t="str">
        <f>T("111")</f>
        <v>111</v>
      </c>
      <c r="E1742" t="str">
        <f t="shared" ref="E1742:E1771" si="298">T("무장")</f>
        <v>무장</v>
      </c>
      <c r="H1742" t="str">
        <f t="shared" si="297"/>
        <v>스토리위즈</v>
      </c>
      <c r="I1742" t="str">
        <f t="shared" ref="I1742:I1771" si="299">T("로드 오브 머니")</f>
        <v>로드 오브 머니</v>
      </c>
      <c r="J1742">
        <v>100</v>
      </c>
      <c r="K1742">
        <v>200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200</v>
      </c>
      <c r="AH1742">
        <v>2</v>
      </c>
      <c r="AI1742">
        <v>0</v>
      </c>
      <c r="AJ1742">
        <v>0</v>
      </c>
      <c r="AK1742">
        <v>100</v>
      </c>
      <c r="AL1742">
        <v>0</v>
      </c>
      <c r="AM1742">
        <v>120</v>
      </c>
      <c r="AN1742">
        <v>-12</v>
      </c>
      <c r="AO1742">
        <v>0</v>
      </c>
      <c r="AP1742"/>
      <c r="AQ1742">
        <v>0</v>
      </c>
      <c r="AR1742">
        <v>0</v>
      </c>
      <c r="AS1742">
        <v>120</v>
      </c>
      <c r="AT1742">
        <v>-12</v>
      </c>
      <c r="AU1742">
        <v>0</v>
      </c>
      <c r="AW1742">
        <v>0</v>
      </c>
      <c r="AX1742">
        <v>0</v>
      </c>
      <c r="AY1742">
        <v>145.6</v>
      </c>
      <c r="BC1742" t="str">
        <f t="shared" ref="BC1742:BC1771" si="300">T("9791188630066")</f>
        <v>9791188630066</v>
      </c>
      <c r="BE1742" t="str">
        <f t="shared" ref="BE1742:BE1771" si="301">T("판타지 웹소설 &gt; 현대 판타지")</f>
        <v>판타지 웹소설 &gt; 현대 판타지</v>
      </c>
    </row>
    <row r="1743" spans="1:57" x14ac:dyDescent="0.3">
      <c r="A1743">
        <v>2313003101</v>
      </c>
      <c r="B1743">
        <v>2313003212</v>
      </c>
      <c r="C1743" t="str">
        <f>T("로드 오브 머니 112화")</f>
        <v>로드 오브 머니 112화</v>
      </c>
      <c r="D1743" t="str">
        <f>T("112")</f>
        <v>112</v>
      </c>
      <c r="E1743" t="str">
        <f t="shared" si="298"/>
        <v>무장</v>
      </c>
      <c r="H1743" t="str">
        <f t="shared" si="297"/>
        <v>스토리위즈</v>
      </c>
      <c r="I1743" t="str">
        <f t="shared" si="299"/>
        <v>로드 오브 머니</v>
      </c>
      <c r="J1743">
        <v>100</v>
      </c>
      <c r="K1743">
        <v>200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200</v>
      </c>
      <c r="AH1743">
        <v>2</v>
      </c>
      <c r="AI1743">
        <v>0</v>
      </c>
      <c r="AJ1743">
        <v>0</v>
      </c>
      <c r="AK1743">
        <v>100</v>
      </c>
      <c r="AL1743">
        <v>0</v>
      </c>
      <c r="AM1743">
        <v>120</v>
      </c>
      <c r="AN1743">
        <v>-12</v>
      </c>
      <c r="AO1743">
        <v>0</v>
      </c>
      <c r="AP1743"/>
      <c r="AQ1743">
        <v>0</v>
      </c>
      <c r="AR1743">
        <v>0</v>
      </c>
      <c r="AS1743">
        <v>120</v>
      </c>
      <c r="AT1743">
        <v>-12</v>
      </c>
      <c r="AU1743">
        <v>0</v>
      </c>
      <c r="AW1743">
        <v>0</v>
      </c>
      <c r="AX1743">
        <v>0</v>
      </c>
      <c r="AY1743">
        <v>145.6</v>
      </c>
      <c r="BC1743" t="str">
        <f t="shared" si="300"/>
        <v>9791188630066</v>
      </c>
      <c r="BE1743" t="str">
        <f t="shared" si="301"/>
        <v>판타지 웹소설 &gt; 현대 판타지</v>
      </c>
    </row>
    <row r="1744" spans="1:57" x14ac:dyDescent="0.3">
      <c r="A1744">
        <v>2313003101</v>
      </c>
      <c r="B1744">
        <v>2313003213</v>
      </c>
      <c r="C1744" t="str">
        <f>T("로드 오브 머니 113화")</f>
        <v>로드 오브 머니 113화</v>
      </c>
      <c r="D1744" t="str">
        <f>T("113")</f>
        <v>113</v>
      </c>
      <c r="E1744" t="str">
        <f t="shared" si="298"/>
        <v>무장</v>
      </c>
      <c r="H1744" t="str">
        <f t="shared" si="297"/>
        <v>스토리위즈</v>
      </c>
      <c r="I1744" t="str">
        <f t="shared" si="299"/>
        <v>로드 오브 머니</v>
      </c>
      <c r="J1744">
        <v>100</v>
      </c>
      <c r="K1744">
        <v>200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200</v>
      </c>
      <c r="AH1744">
        <v>2</v>
      </c>
      <c r="AI1744">
        <v>0</v>
      </c>
      <c r="AJ1744">
        <v>0</v>
      </c>
      <c r="AK1744">
        <v>100</v>
      </c>
      <c r="AL1744">
        <v>0</v>
      </c>
      <c r="AM1744">
        <v>120</v>
      </c>
      <c r="AN1744">
        <v>-12</v>
      </c>
      <c r="AO1744">
        <v>0</v>
      </c>
      <c r="AP1744"/>
      <c r="AQ1744">
        <v>0</v>
      </c>
      <c r="AR1744">
        <v>0</v>
      </c>
      <c r="AS1744">
        <v>120</v>
      </c>
      <c r="AT1744">
        <v>-12</v>
      </c>
      <c r="AU1744">
        <v>0</v>
      </c>
      <c r="AW1744">
        <v>0</v>
      </c>
      <c r="AX1744">
        <v>0</v>
      </c>
      <c r="AY1744">
        <v>145.6</v>
      </c>
      <c r="BC1744" t="str">
        <f t="shared" si="300"/>
        <v>9791188630066</v>
      </c>
      <c r="BE1744" t="str">
        <f t="shared" si="301"/>
        <v>판타지 웹소설 &gt; 현대 판타지</v>
      </c>
    </row>
    <row r="1745" spans="1:57" x14ac:dyDescent="0.3">
      <c r="A1745">
        <v>2313003101</v>
      </c>
      <c r="B1745">
        <v>2313003214</v>
      </c>
      <c r="C1745" t="str">
        <f>T("로드 오브 머니 114화")</f>
        <v>로드 오브 머니 114화</v>
      </c>
      <c r="D1745" t="str">
        <f>T("114")</f>
        <v>114</v>
      </c>
      <c r="E1745" t="str">
        <f t="shared" si="298"/>
        <v>무장</v>
      </c>
      <c r="H1745" t="str">
        <f t="shared" si="297"/>
        <v>스토리위즈</v>
      </c>
      <c r="I1745" t="str">
        <f t="shared" si="299"/>
        <v>로드 오브 머니</v>
      </c>
      <c r="J1745">
        <v>100</v>
      </c>
      <c r="K1745">
        <v>200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200</v>
      </c>
      <c r="AH1745">
        <v>2</v>
      </c>
      <c r="AI1745">
        <v>0</v>
      </c>
      <c r="AJ1745">
        <v>0</v>
      </c>
      <c r="AK1745">
        <v>100</v>
      </c>
      <c r="AL1745">
        <v>0</v>
      </c>
      <c r="AM1745">
        <v>120</v>
      </c>
      <c r="AN1745">
        <v>-12</v>
      </c>
      <c r="AO1745">
        <v>0</v>
      </c>
      <c r="AP1745"/>
      <c r="AQ1745">
        <v>0</v>
      </c>
      <c r="AR1745">
        <v>0</v>
      </c>
      <c r="AS1745">
        <v>120</v>
      </c>
      <c r="AT1745">
        <v>-12</v>
      </c>
      <c r="AU1745">
        <v>0</v>
      </c>
      <c r="AW1745">
        <v>0</v>
      </c>
      <c r="AX1745">
        <v>0</v>
      </c>
      <c r="AY1745">
        <v>145.6</v>
      </c>
      <c r="BC1745" t="str">
        <f t="shared" si="300"/>
        <v>9791188630066</v>
      </c>
      <c r="BE1745" t="str">
        <f t="shared" si="301"/>
        <v>판타지 웹소설 &gt; 현대 판타지</v>
      </c>
    </row>
    <row r="1746" spans="1:57" x14ac:dyDescent="0.3">
      <c r="A1746">
        <v>2313003101</v>
      </c>
      <c r="B1746">
        <v>2313003215</v>
      </c>
      <c r="C1746" t="str">
        <f>T("로드 오브 머니 115화")</f>
        <v>로드 오브 머니 115화</v>
      </c>
      <c r="D1746" t="str">
        <f>T("115")</f>
        <v>115</v>
      </c>
      <c r="E1746" t="str">
        <f t="shared" si="298"/>
        <v>무장</v>
      </c>
      <c r="H1746" t="str">
        <f t="shared" si="297"/>
        <v>스토리위즈</v>
      </c>
      <c r="I1746" t="str">
        <f t="shared" si="299"/>
        <v>로드 오브 머니</v>
      </c>
      <c r="J1746">
        <v>100</v>
      </c>
      <c r="K1746">
        <v>200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200</v>
      </c>
      <c r="AH1746">
        <v>2</v>
      </c>
      <c r="AI1746">
        <v>0</v>
      </c>
      <c r="AJ1746">
        <v>0</v>
      </c>
      <c r="AK1746">
        <v>100</v>
      </c>
      <c r="AL1746">
        <v>0</v>
      </c>
      <c r="AM1746">
        <v>120</v>
      </c>
      <c r="AN1746">
        <v>-12</v>
      </c>
      <c r="AO1746">
        <v>0</v>
      </c>
      <c r="AP1746"/>
      <c r="AQ1746">
        <v>0</v>
      </c>
      <c r="AR1746">
        <v>0</v>
      </c>
      <c r="AS1746">
        <v>120</v>
      </c>
      <c r="AT1746">
        <v>-12</v>
      </c>
      <c r="AU1746">
        <v>0</v>
      </c>
      <c r="AW1746">
        <v>0</v>
      </c>
      <c r="AX1746">
        <v>0</v>
      </c>
      <c r="AY1746">
        <v>145.6</v>
      </c>
      <c r="BC1746" t="str">
        <f t="shared" si="300"/>
        <v>9791188630066</v>
      </c>
      <c r="BE1746" t="str">
        <f t="shared" si="301"/>
        <v>판타지 웹소설 &gt; 현대 판타지</v>
      </c>
    </row>
    <row r="1747" spans="1:57" x14ac:dyDescent="0.3">
      <c r="A1747">
        <v>2313003101</v>
      </c>
      <c r="B1747">
        <v>2313003216</v>
      </c>
      <c r="C1747" t="str">
        <f>T("로드 오브 머니 116화")</f>
        <v>로드 오브 머니 116화</v>
      </c>
      <c r="D1747" t="str">
        <f>T("116")</f>
        <v>116</v>
      </c>
      <c r="E1747" t="str">
        <f t="shared" si="298"/>
        <v>무장</v>
      </c>
      <c r="H1747" t="str">
        <f t="shared" si="297"/>
        <v>스토리위즈</v>
      </c>
      <c r="I1747" t="str">
        <f t="shared" si="299"/>
        <v>로드 오브 머니</v>
      </c>
      <c r="J1747">
        <v>100</v>
      </c>
      <c r="K1747">
        <v>200</v>
      </c>
      <c r="L1747">
        <v>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200</v>
      </c>
      <c r="AH1747">
        <v>2</v>
      </c>
      <c r="AI1747">
        <v>0</v>
      </c>
      <c r="AJ1747">
        <v>0</v>
      </c>
      <c r="AK1747">
        <v>100</v>
      </c>
      <c r="AL1747">
        <v>0</v>
      </c>
      <c r="AM1747">
        <v>120</v>
      </c>
      <c r="AN1747">
        <v>-12</v>
      </c>
      <c r="AO1747">
        <v>0</v>
      </c>
      <c r="AP1747"/>
      <c r="AQ1747">
        <v>0</v>
      </c>
      <c r="AR1747">
        <v>0</v>
      </c>
      <c r="AS1747">
        <v>120</v>
      </c>
      <c r="AT1747">
        <v>-12</v>
      </c>
      <c r="AU1747">
        <v>0</v>
      </c>
      <c r="AW1747">
        <v>0</v>
      </c>
      <c r="AX1747">
        <v>0</v>
      </c>
      <c r="AY1747">
        <v>145.6</v>
      </c>
      <c r="BC1747" t="str">
        <f t="shared" si="300"/>
        <v>9791188630066</v>
      </c>
      <c r="BE1747" t="str">
        <f t="shared" si="301"/>
        <v>판타지 웹소설 &gt; 현대 판타지</v>
      </c>
    </row>
    <row r="1748" spans="1:57" x14ac:dyDescent="0.3">
      <c r="A1748">
        <v>2313003101</v>
      </c>
      <c r="B1748">
        <v>2313003217</v>
      </c>
      <c r="C1748" t="str">
        <f>T("로드 오브 머니 117화")</f>
        <v>로드 오브 머니 117화</v>
      </c>
      <c r="D1748" t="str">
        <f>T("117")</f>
        <v>117</v>
      </c>
      <c r="E1748" t="str">
        <f t="shared" si="298"/>
        <v>무장</v>
      </c>
      <c r="H1748" t="str">
        <f t="shared" si="297"/>
        <v>스토리위즈</v>
      </c>
      <c r="I1748" t="str">
        <f t="shared" si="299"/>
        <v>로드 오브 머니</v>
      </c>
      <c r="J1748">
        <v>100</v>
      </c>
      <c r="K1748">
        <v>200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200</v>
      </c>
      <c r="AH1748">
        <v>2</v>
      </c>
      <c r="AI1748">
        <v>0</v>
      </c>
      <c r="AJ1748">
        <v>0</v>
      </c>
      <c r="AK1748">
        <v>100</v>
      </c>
      <c r="AL1748">
        <v>0</v>
      </c>
      <c r="AM1748">
        <v>120</v>
      </c>
      <c r="AN1748">
        <v>-12</v>
      </c>
      <c r="AO1748">
        <v>0</v>
      </c>
      <c r="AP1748"/>
      <c r="AQ1748">
        <v>0</v>
      </c>
      <c r="AR1748">
        <v>0</v>
      </c>
      <c r="AS1748">
        <v>120</v>
      </c>
      <c r="AT1748">
        <v>-12</v>
      </c>
      <c r="AU1748">
        <v>0</v>
      </c>
      <c r="AW1748">
        <v>0</v>
      </c>
      <c r="AX1748">
        <v>0</v>
      </c>
      <c r="AY1748">
        <v>145.6</v>
      </c>
      <c r="BC1748" t="str">
        <f t="shared" si="300"/>
        <v>9791188630066</v>
      </c>
      <c r="BE1748" t="str">
        <f t="shared" si="301"/>
        <v>판타지 웹소설 &gt; 현대 판타지</v>
      </c>
    </row>
    <row r="1749" spans="1:57" x14ac:dyDescent="0.3">
      <c r="A1749">
        <v>2313003101</v>
      </c>
      <c r="B1749">
        <v>2313003218</v>
      </c>
      <c r="C1749" t="str">
        <f>T("로드 오브 머니 118화")</f>
        <v>로드 오브 머니 118화</v>
      </c>
      <c r="D1749" t="str">
        <f>T("118")</f>
        <v>118</v>
      </c>
      <c r="E1749" t="str">
        <f t="shared" si="298"/>
        <v>무장</v>
      </c>
      <c r="H1749" t="str">
        <f t="shared" si="297"/>
        <v>스토리위즈</v>
      </c>
      <c r="I1749" t="str">
        <f t="shared" si="299"/>
        <v>로드 오브 머니</v>
      </c>
      <c r="J1749">
        <v>100</v>
      </c>
      <c r="K1749">
        <v>200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200</v>
      </c>
      <c r="AH1749">
        <v>2</v>
      </c>
      <c r="AI1749">
        <v>0</v>
      </c>
      <c r="AJ1749">
        <v>0</v>
      </c>
      <c r="AK1749">
        <v>100</v>
      </c>
      <c r="AL1749">
        <v>0</v>
      </c>
      <c r="AM1749">
        <v>120</v>
      </c>
      <c r="AN1749">
        <v>-12</v>
      </c>
      <c r="AO1749">
        <v>0</v>
      </c>
      <c r="AP1749"/>
      <c r="AQ1749">
        <v>0</v>
      </c>
      <c r="AR1749">
        <v>0</v>
      </c>
      <c r="AS1749">
        <v>120</v>
      </c>
      <c r="AT1749">
        <v>-12</v>
      </c>
      <c r="AU1749">
        <v>0</v>
      </c>
      <c r="AW1749">
        <v>0</v>
      </c>
      <c r="AX1749">
        <v>0</v>
      </c>
      <c r="AY1749">
        <v>145.6</v>
      </c>
      <c r="BC1749" t="str">
        <f t="shared" si="300"/>
        <v>9791188630066</v>
      </c>
      <c r="BE1749" t="str">
        <f t="shared" si="301"/>
        <v>판타지 웹소설 &gt; 현대 판타지</v>
      </c>
    </row>
    <row r="1750" spans="1:57" x14ac:dyDescent="0.3">
      <c r="A1750">
        <v>2313003101</v>
      </c>
      <c r="B1750">
        <v>2313003219</v>
      </c>
      <c r="C1750" t="str">
        <f>T("로드 오브 머니 119화")</f>
        <v>로드 오브 머니 119화</v>
      </c>
      <c r="D1750" t="str">
        <f>T("119")</f>
        <v>119</v>
      </c>
      <c r="E1750" t="str">
        <f t="shared" si="298"/>
        <v>무장</v>
      </c>
      <c r="H1750" t="str">
        <f t="shared" si="297"/>
        <v>스토리위즈</v>
      </c>
      <c r="I1750" t="str">
        <f t="shared" si="299"/>
        <v>로드 오브 머니</v>
      </c>
      <c r="J1750">
        <v>100</v>
      </c>
      <c r="K1750">
        <v>200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200</v>
      </c>
      <c r="AH1750">
        <v>2</v>
      </c>
      <c r="AI1750">
        <v>0</v>
      </c>
      <c r="AJ1750">
        <v>0</v>
      </c>
      <c r="AK1750">
        <v>100</v>
      </c>
      <c r="AL1750">
        <v>0</v>
      </c>
      <c r="AM1750">
        <v>120</v>
      </c>
      <c r="AN1750">
        <v>-12</v>
      </c>
      <c r="AO1750">
        <v>0</v>
      </c>
      <c r="AP1750"/>
      <c r="AQ1750">
        <v>0</v>
      </c>
      <c r="AR1750">
        <v>0</v>
      </c>
      <c r="AS1750">
        <v>120</v>
      </c>
      <c r="AT1750">
        <v>-12</v>
      </c>
      <c r="AU1750">
        <v>0</v>
      </c>
      <c r="AW1750">
        <v>0</v>
      </c>
      <c r="AX1750">
        <v>0</v>
      </c>
      <c r="AY1750">
        <v>145.6</v>
      </c>
      <c r="BC1750" t="str">
        <f t="shared" si="300"/>
        <v>9791188630066</v>
      </c>
      <c r="BE1750" t="str">
        <f t="shared" si="301"/>
        <v>판타지 웹소설 &gt; 현대 판타지</v>
      </c>
    </row>
    <row r="1751" spans="1:57" x14ac:dyDescent="0.3">
      <c r="A1751">
        <v>2313003101</v>
      </c>
      <c r="B1751">
        <v>2313003220</v>
      </c>
      <c r="C1751" t="str">
        <f>T("로드 오브 머니 120화")</f>
        <v>로드 오브 머니 120화</v>
      </c>
      <c r="D1751" t="str">
        <f>T("120")</f>
        <v>120</v>
      </c>
      <c r="E1751" t="str">
        <f t="shared" si="298"/>
        <v>무장</v>
      </c>
      <c r="H1751" t="str">
        <f t="shared" si="297"/>
        <v>스토리위즈</v>
      </c>
      <c r="I1751" t="str">
        <f t="shared" si="299"/>
        <v>로드 오브 머니</v>
      </c>
      <c r="J1751">
        <v>100</v>
      </c>
      <c r="K1751">
        <v>200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200</v>
      </c>
      <c r="AH1751">
        <v>2</v>
      </c>
      <c r="AI1751">
        <v>0</v>
      </c>
      <c r="AJ1751">
        <v>0</v>
      </c>
      <c r="AK1751">
        <v>100</v>
      </c>
      <c r="AL1751">
        <v>0</v>
      </c>
      <c r="AM1751">
        <v>120</v>
      </c>
      <c r="AN1751">
        <v>-12</v>
      </c>
      <c r="AO1751">
        <v>0</v>
      </c>
      <c r="AP1751"/>
      <c r="AQ1751">
        <v>0</v>
      </c>
      <c r="AR1751">
        <v>0</v>
      </c>
      <c r="AS1751">
        <v>120</v>
      </c>
      <c r="AT1751">
        <v>-12</v>
      </c>
      <c r="AU1751">
        <v>0</v>
      </c>
      <c r="AW1751">
        <v>0</v>
      </c>
      <c r="AX1751">
        <v>0</v>
      </c>
      <c r="AY1751">
        <v>145.6</v>
      </c>
      <c r="BC1751" t="str">
        <f t="shared" si="300"/>
        <v>9791188630066</v>
      </c>
      <c r="BE1751" t="str">
        <f t="shared" si="301"/>
        <v>판타지 웹소설 &gt; 현대 판타지</v>
      </c>
    </row>
    <row r="1752" spans="1:57" x14ac:dyDescent="0.3">
      <c r="A1752">
        <v>2313003101</v>
      </c>
      <c r="B1752">
        <v>2313003221</v>
      </c>
      <c r="C1752" t="str">
        <f>T("로드 오브 머니 121화")</f>
        <v>로드 오브 머니 121화</v>
      </c>
      <c r="D1752" t="str">
        <f>T("121")</f>
        <v>121</v>
      </c>
      <c r="E1752" t="str">
        <f t="shared" si="298"/>
        <v>무장</v>
      </c>
      <c r="H1752" t="str">
        <f t="shared" si="297"/>
        <v>스토리위즈</v>
      </c>
      <c r="I1752" t="str">
        <f t="shared" si="299"/>
        <v>로드 오브 머니</v>
      </c>
      <c r="J1752">
        <v>100</v>
      </c>
      <c r="K1752">
        <v>200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200</v>
      </c>
      <c r="AH1752">
        <v>2</v>
      </c>
      <c r="AI1752">
        <v>0</v>
      </c>
      <c r="AJ1752">
        <v>0</v>
      </c>
      <c r="AK1752">
        <v>100</v>
      </c>
      <c r="AL1752">
        <v>0</v>
      </c>
      <c r="AM1752">
        <v>120</v>
      </c>
      <c r="AN1752">
        <v>-12</v>
      </c>
      <c r="AO1752">
        <v>0</v>
      </c>
      <c r="AP1752"/>
      <c r="AQ1752">
        <v>0</v>
      </c>
      <c r="AR1752">
        <v>0</v>
      </c>
      <c r="AS1752">
        <v>120</v>
      </c>
      <c r="AT1752">
        <v>-12</v>
      </c>
      <c r="AU1752">
        <v>0</v>
      </c>
      <c r="AW1752">
        <v>0</v>
      </c>
      <c r="AX1752">
        <v>0</v>
      </c>
      <c r="AY1752">
        <v>145.6</v>
      </c>
      <c r="BC1752" t="str">
        <f t="shared" si="300"/>
        <v>9791188630066</v>
      </c>
      <c r="BE1752" t="str">
        <f t="shared" si="301"/>
        <v>판타지 웹소설 &gt; 현대 판타지</v>
      </c>
    </row>
    <row r="1753" spans="1:57" x14ac:dyDescent="0.3">
      <c r="A1753">
        <v>2313003101</v>
      </c>
      <c r="B1753">
        <v>2313003222</v>
      </c>
      <c r="C1753" t="str">
        <f>T("로드 오브 머니 122화")</f>
        <v>로드 오브 머니 122화</v>
      </c>
      <c r="D1753" t="str">
        <f>T("122")</f>
        <v>122</v>
      </c>
      <c r="E1753" t="str">
        <f t="shared" si="298"/>
        <v>무장</v>
      </c>
      <c r="H1753" t="str">
        <f t="shared" si="297"/>
        <v>스토리위즈</v>
      </c>
      <c r="I1753" t="str">
        <f t="shared" si="299"/>
        <v>로드 오브 머니</v>
      </c>
      <c r="J1753">
        <v>100</v>
      </c>
      <c r="K1753">
        <v>200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200</v>
      </c>
      <c r="AH1753">
        <v>2</v>
      </c>
      <c r="AI1753">
        <v>0</v>
      </c>
      <c r="AJ1753">
        <v>0</v>
      </c>
      <c r="AK1753">
        <v>100</v>
      </c>
      <c r="AL1753">
        <v>0</v>
      </c>
      <c r="AM1753">
        <v>120</v>
      </c>
      <c r="AN1753">
        <v>-12</v>
      </c>
      <c r="AO1753">
        <v>0</v>
      </c>
      <c r="AP1753"/>
      <c r="AQ1753">
        <v>0</v>
      </c>
      <c r="AR1753">
        <v>0</v>
      </c>
      <c r="AS1753">
        <v>120</v>
      </c>
      <c r="AT1753">
        <v>-12</v>
      </c>
      <c r="AU1753">
        <v>0</v>
      </c>
      <c r="AW1753">
        <v>0</v>
      </c>
      <c r="AX1753">
        <v>0</v>
      </c>
      <c r="AY1753">
        <v>145.6</v>
      </c>
      <c r="BC1753" t="str">
        <f t="shared" si="300"/>
        <v>9791188630066</v>
      </c>
      <c r="BE1753" t="str">
        <f t="shared" si="301"/>
        <v>판타지 웹소설 &gt; 현대 판타지</v>
      </c>
    </row>
    <row r="1754" spans="1:57" x14ac:dyDescent="0.3">
      <c r="A1754">
        <v>2313003101</v>
      </c>
      <c r="B1754">
        <v>2313003223</v>
      </c>
      <c r="C1754" t="str">
        <f>T("로드 오브 머니 123화")</f>
        <v>로드 오브 머니 123화</v>
      </c>
      <c r="D1754" t="str">
        <f>T("123")</f>
        <v>123</v>
      </c>
      <c r="E1754" t="str">
        <f t="shared" si="298"/>
        <v>무장</v>
      </c>
      <c r="H1754" t="str">
        <f t="shared" si="297"/>
        <v>스토리위즈</v>
      </c>
      <c r="I1754" t="str">
        <f t="shared" si="299"/>
        <v>로드 오브 머니</v>
      </c>
      <c r="J1754">
        <v>100</v>
      </c>
      <c r="K1754">
        <v>200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200</v>
      </c>
      <c r="AH1754">
        <v>2</v>
      </c>
      <c r="AI1754">
        <v>0</v>
      </c>
      <c r="AJ1754">
        <v>0</v>
      </c>
      <c r="AK1754">
        <v>100</v>
      </c>
      <c r="AL1754">
        <v>0</v>
      </c>
      <c r="AM1754">
        <v>120</v>
      </c>
      <c r="AN1754">
        <v>-12</v>
      </c>
      <c r="AO1754">
        <v>0</v>
      </c>
      <c r="AP1754"/>
      <c r="AQ1754">
        <v>0</v>
      </c>
      <c r="AR1754">
        <v>0</v>
      </c>
      <c r="AS1754">
        <v>120</v>
      </c>
      <c r="AT1754">
        <v>-12</v>
      </c>
      <c r="AU1754">
        <v>0</v>
      </c>
      <c r="AW1754">
        <v>0</v>
      </c>
      <c r="AX1754">
        <v>0</v>
      </c>
      <c r="AY1754">
        <v>145.6</v>
      </c>
      <c r="BC1754" t="str">
        <f t="shared" si="300"/>
        <v>9791188630066</v>
      </c>
      <c r="BE1754" t="str">
        <f t="shared" si="301"/>
        <v>판타지 웹소설 &gt; 현대 판타지</v>
      </c>
    </row>
    <row r="1755" spans="1:57" x14ac:dyDescent="0.3">
      <c r="A1755">
        <v>2313003101</v>
      </c>
      <c r="B1755">
        <v>2313003224</v>
      </c>
      <c r="C1755" t="str">
        <f>T("로드 오브 머니 124화")</f>
        <v>로드 오브 머니 124화</v>
      </c>
      <c r="D1755" t="str">
        <f>T("124")</f>
        <v>124</v>
      </c>
      <c r="E1755" t="str">
        <f t="shared" si="298"/>
        <v>무장</v>
      </c>
      <c r="H1755" t="str">
        <f t="shared" si="297"/>
        <v>스토리위즈</v>
      </c>
      <c r="I1755" t="str">
        <f t="shared" si="299"/>
        <v>로드 오브 머니</v>
      </c>
      <c r="J1755">
        <v>100</v>
      </c>
      <c r="K1755">
        <v>200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200</v>
      </c>
      <c r="AH1755">
        <v>2</v>
      </c>
      <c r="AI1755">
        <v>0</v>
      </c>
      <c r="AJ1755">
        <v>0</v>
      </c>
      <c r="AK1755">
        <v>100</v>
      </c>
      <c r="AL1755">
        <v>0</v>
      </c>
      <c r="AM1755">
        <v>120</v>
      </c>
      <c r="AN1755">
        <v>-12</v>
      </c>
      <c r="AO1755">
        <v>0</v>
      </c>
      <c r="AP1755"/>
      <c r="AQ1755">
        <v>0</v>
      </c>
      <c r="AR1755">
        <v>0</v>
      </c>
      <c r="AS1755">
        <v>120</v>
      </c>
      <c r="AT1755">
        <v>-12</v>
      </c>
      <c r="AU1755">
        <v>0</v>
      </c>
      <c r="AW1755">
        <v>0</v>
      </c>
      <c r="AX1755">
        <v>0</v>
      </c>
      <c r="AY1755">
        <v>145.6</v>
      </c>
      <c r="BC1755" t="str">
        <f t="shared" si="300"/>
        <v>9791188630066</v>
      </c>
      <c r="BE1755" t="str">
        <f t="shared" si="301"/>
        <v>판타지 웹소설 &gt; 현대 판타지</v>
      </c>
    </row>
    <row r="1756" spans="1:57" x14ac:dyDescent="0.3">
      <c r="A1756">
        <v>2313003101</v>
      </c>
      <c r="B1756">
        <v>2313003225</v>
      </c>
      <c r="C1756" t="str">
        <f>T("로드 오브 머니 125화")</f>
        <v>로드 오브 머니 125화</v>
      </c>
      <c r="D1756" t="str">
        <f>T("125")</f>
        <v>125</v>
      </c>
      <c r="E1756" t="str">
        <f t="shared" si="298"/>
        <v>무장</v>
      </c>
      <c r="H1756" t="str">
        <f t="shared" si="297"/>
        <v>스토리위즈</v>
      </c>
      <c r="I1756" t="str">
        <f t="shared" si="299"/>
        <v>로드 오브 머니</v>
      </c>
      <c r="J1756">
        <v>100</v>
      </c>
      <c r="K1756">
        <v>200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200</v>
      </c>
      <c r="AH1756">
        <v>2</v>
      </c>
      <c r="AI1756">
        <v>0</v>
      </c>
      <c r="AJ1756">
        <v>0</v>
      </c>
      <c r="AK1756">
        <v>100</v>
      </c>
      <c r="AL1756">
        <v>0</v>
      </c>
      <c r="AM1756">
        <v>120</v>
      </c>
      <c r="AN1756">
        <v>-12</v>
      </c>
      <c r="AO1756">
        <v>0</v>
      </c>
      <c r="AP1756"/>
      <c r="AQ1756">
        <v>0</v>
      </c>
      <c r="AR1756">
        <v>0</v>
      </c>
      <c r="AS1756">
        <v>120</v>
      </c>
      <c r="AT1756">
        <v>-12</v>
      </c>
      <c r="AU1756">
        <v>0</v>
      </c>
      <c r="AW1756">
        <v>0</v>
      </c>
      <c r="AX1756">
        <v>0</v>
      </c>
      <c r="AY1756">
        <v>145.6</v>
      </c>
      <c r="BC1756" t="str">
        <f t="shared" si="300"/>
        <v>9791188630066</v>
      </c>
      <c r="BE1756" t="str">
        <f t="shared" si="301"/>
        <v>판타지 웹소설 &gt; 현대 판타지</v>
      </c>
    </row>
    <row r="1757" spans="1:57" x14ac:dyDescent="0.3">
      <c r="A1757">
        <v>2313003101</v>
      </c>
      <c r="B1757">
        <v>2313003226</v>
      </c>
      <c r="C1757" t="str">
        <f>T("로드 오브 머니 126화")</f>
        <v>로드 오브 머니 126화</v>
      </c>
      <c r="D1757" t="str">
        <f>T("126")</f>
        <v>126</v>
      </c>
      <c r="E1757" t="str">
        <f t="shared" si="298"/>
        <v>무장</v>
      </c>
      <c r="H1757" t="str">
        <f t="shared" si="297"/>
        <v>스토리위즈</v>
      </c>
      <c r="I1757" t="str">
        <f t="shared" si="299"/>
        <v>로드 오브 머니</v>
      </c>
      <c r="J1757">
        <v>100</v>
      </c>
      <c r="K1757">
        <v>200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200</v>
      </c>
      <c r="AH1757">
        <v>2</v>
      </c>
      <c r="AI1757">
        <v>0</v>
      </c>
      <c r="AJ1757">
        <v>0</v>
      </c>
      <c r="AK1757">
        <v>100</v>
      </c>
      <c r="AL1757">
        <v>0</v>
      </c>
      <c r="AM1757">
        <v>120</v>
      </c>
      <c r="AN1757">
        <v>-12</v>
      </c>
      <c r="AO1757">
        <v>0</v>
      </c>
      <c r="AP1757"/>
      <c r="AQ1757">
        <v>0</v>
      </c>
      <c r="AR1757">
        <v>0</v>
      </c>
      <c r="AS1757">
        <v>120</v>
      </c>
      <c r="AT1757">
        <v>-12</v>
      </c>
      <c r="AU1757">
        <v>0</v>
      </c>
      <c r="AW1757">
        <v>0</v>
      </c>
      <c r="AX1757">
        <v>0</v>
      </c>
      <c r="AY1757">
        <v>145.6</v>
      </c>
      <c r="BC1757" t="str">
        <f t="shared" si="300"/>
        <v>9791188630066</v>
      </c>
      <c r="BE1757" t="str">
        <f t="shared" si="301"/>
        <v>판타지 웹소설 &gt; 현대 판타지</v>
      </c>
    </row>
    <row r="1758" spans="1:57" x14ac:dyDescent="0.3">
      <c r="A1758">
        <v>2313003101</v>
      </c>
      <c r="B1758">
        <v>2313003227</v>
      </c>
      <c r="C1758" t="str">
        <f>T("로드 오브 머니 127화")</f>
        <v>로드 오브 머니 127화</v>
      </c>
      <c r="D1758" t="str">
        <f>T("127")</f>
        <v>127</v>
      </c>
      <c r="E1758" t="str">
        <f t="shared" si="298"/>
        <v>무장</v>
      </c>
      <c r="H1758" t="str">
        <f t="shared" si="297"/>
        <v>스토리위즈</v>
      </c>
      <c r="I1758" t="str">
        <f t="shared" si="299"/>
        <v>로드 오브 머니</v>
      </c>
      <c r="J1758">
        <v>100</v>
      </c>
      <c r="K1758">
        <v>200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200</v>
      </c>
      <c r="AH1758">
        <v>2</v>
      </c>
      <c r="AI1758">
        <v>0</v>
      </c>
      <c r="AJ1758">
        <v>0</v>
      </c>
      <c r="AK1758">
        <v>100</v>
      </c>
      <c r="AL1758">
        <v>0</v>
      </c>
      <c r="AM1758">
        <v>120</v>
      </c>
      <c r="AN1758">
        <v>-12</v>
      </c>
      <c r="AO1758">
        <v>0</v>
      </c>
      <c r="AP1758"/>
      <c r="AQ1758">
        <v>0</v>
      </c>
      <c r="AR1758">
        <v>0</v>
      </c>
      <c r="AS1758">
        <v>120</v>
      </c>
      <c r="AT1758">
        <v>-12</v>
      </c>
      <c r="AU1758">
        <v>0</v>
      </c>
      <c r="AW1758">
        <v>0</v>
      </c>
      <c r="AX1758">
        <v>0</v>
      </c>
      <c r="AY1758">
        <v>145.6</v>
      </c>
      <c r="BC1758" t="str">
        <f t="shared" si="300"/>
        <v>9791188630066</v>
      </c>
      <c r="BE1758" t="str">
        <f t="shared" si="301"/>
        <v>판타지 웹소설 &gt; 현대 판타지</v>
      </c>
    </row>
    <row r="1759" spans="1:57" x14ac:dyDescent="0.3">
      <c r="A1759">
        <v>2313003101</v>
      </c>
      <c r="B1759">
        <v>2313003237</v>
      </c>
      <c r="C1759" t="str">
        <f>T("로드 오브 머니 137화")</f>
        <v>로드 오브 머니 137화</v>
      </c>
      <c r="D1759" t="str">
        <f>T("137")</f>
        <v>137</v>
      </c>
      <c r="E1759" t="str">
        <f t="shared" si="298"/>
        <v>무장</v>
      </c>
      <c r="H1759" t="str">
        <f t="shared" si="297"/>
        <v>스토리위즈</v>
      </c>
      <c r="I1759" t="str">
        <f t="shared" si="299"/>
        <v>로드 오브 머니</v>
      </c>
      <c r="J1759">
        <v>100</v>
      </c>
      <c r="K1759">
        <v>200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200</v>
      </c>
      <c r="AH1759">
        <v>2</v>
      </c>
      <c r="AI1759">
        <v>0</v>
      </c>
      <c r="AJ1759">
        <v>0</v>
      </c>
      <c r="AK1759">
        <v>100</v>
      </c>
      <c r="AL1759">
        <v>0</v>
      </c>
      <c r="AM1759">
        <v>120</v>
      </c>
      <c r="AN1759">
        <v>-12</v>
      </c>
      <c r="AO1759">
        <v>0</v>
      </c>
      <c r="AP1759"/>
      <c r="AQ1759">
        <v>0</v>
      </c>
      <c r="AR1759">
        <v>0</v>
      </c>
      <c r="AS1759">
        <v>120</v>
      </c>
      <c r="AT1759">
        <v>-12</v>
      </c>
      <c r="AU1759">
        <v>0</v>
      </c>
      <c r="AW1759">
        <v>0</v>
      </c>
      <c r="AX1759">
        <v>0</v>
      </c>
      <c r="AY1759">
        <v>145.6</v>
      </c>
      <c r="BC1759" t="str">
        <f t="shared" si="300"/>
        <v>9791188630066</v>
      </c>
      <c r="BE1759" t="str">
        <f t="shared" si="301"/>
        <v>판타지 웹소설 &gt; 현대 판타지</v>
      </c>
    </row>
    <row r="1760" spans="1:57" x14ac:dyDescent="0.3">
      <c r="A1760">
        <v>2313003101</v>
      </c>
      <c r="B1760">
        <v>2313003238</v>
      </c>
      <c r="C1760" t="str">
        <f>T("로드 오브 머니 138화")</f>
        <v>로드 오브 머니 138화</v>
      </c>
      <c r="D1760" t="str">
        <f>T("138")</f>
        <v>138</v>
      </c>
      <c r="E1760" t="str">
        <f t="shared" si="298"/>
        <v>무장</v>
      </c>
      <c r="H1760" t="str">
        <f t="shared" si="297"/>
        <v>스토리위즈</v>
      </c>
      <c r="I1760" t="str">
        <f t="shared" si="299"/>
        <v>로드 오브 머니</v>
      </c>
      <c r="J1760">
        <v>100</v>
      </c>
      <c r="K1760">
        <v>200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200</v>
      </c>
      <c r="AH1760">
        <v>2</v>
      </c>
      <c r="AI1760">
        <v>0</v>
      </c>
      <c r="AJ1760">
        <v>0</v>
      </c>
      <c r="AK1760">
        <v>100</v>
      </c>
      <c r="AL1760">
        <v>0</v>
      </c>
      <c r="AM1760">
        <v>120</v>
      </c>
      <c r="AN1760">
        <v>-12</v>
      </c>
      <c r="AO1760">
        <v>0</v>
      </c>
      <c r="AP1760"/>
      <c r="AQ1760">
        <v>0</v>
      </c>
      <c r="AR1760">
        <v>0</v>
      </c>
      <c r="AS1760">
        <v>120</v>
      </c>
      <c r="AT1760">
        <v>-12</v>
      </c>
      <c r="AU1760">
        <v>0</v>
      </c>
      <c r="AW1760">
        <v>0</v>
      </c>
      <c r="AX1760">
        <v>0</v>
      </c>
      <c r="AY1760">
        <v>145.6</v>
      </c>
      <c r="BC1760" t="str">
        <f t="shared" si="300"/>
        <v>9791188630066</v>
      </c>
      <c r="BE1760" t="str">
        <f t="shared" si="301"/>
        <v>판타지 웹소설 &gt; 현대 판타지</v>
      </c>
    </row>
    <row r="1761" spans="1:57" x14ac:dyDescent="0.3">
      <c r="A1761">
        <v>2313003101</v>
      </c>
      <c r="B1761">
        <v>2313003239</v>
      </c>
      <c r="C1761" t="str">
        <f>T("로드 오브 머니 139화")</f>
        <v>로드 오브 머니 139화</v>
      </c>
      <c r="D1761" t="str">
        <f>T("139")</f>
        <v>139</v>
      </c>
      <c r="E1761" t="str">
        <f t="shared" si="298"/>
        <v>무장</v>
      </c>
      <c r="H1761" t="str">
        <f t="shared" si="297"/>
        <v>스토리위즈</v>
      </c>
      <c r="I1761" t="str">
        <f t="shared" si="299"/>
        <v>로드 오브 머니</v>
      </c>
      <c r="J1761">
        <v>100</v>
      </c>
      <c r="K1761">
        <v>200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200</v>
      </c>
      <c r="AH1761">
        <v>2</v>
      </c>
      <c r="AI1761">
        <v>0</v>
      </c>
      <c r="AJ1761">
        <v>0</v>
      </c>
      <c r="AK1761">
        <v>100</v>
      </c>
      <c r="AL1761">
        <v>0</v>
      </c>
      <c r="AM1761">
        <v>120</v>
      </c>
      <c r="AN1761">
        <v>-12</v>
      </c>
      <c r="AO1761">
        <v>0</v>
      </c>
      <c r="AP1761"/>
      <c r="AQ1761">
        <v>0</v>
      </c>
      <c r="AR1761">
        <v>0</v>
      </c>
      <c r="AS1761">
        <v>120</v>
      </c>
      <c r="AT1761">
        <v>-12</v>
      </c>
      <c r="AU1761">
        <v>0</v>
      </c>
      <c r="AW1761">
        <v>0</v>
      </c>
      <c r="AX1761">
        <v>0</v>
      </c>
      <c r="AY1761">
        <v>145.6</v>
      </c>
      <c r="BC1761" t="str">
        <f t="shared" si="300"/>
        <v>9791188630066</v>
      </c>
      <c r="BE1761" t="str">
        <f t="shared" si="301"/>
        <v>판타지 웹소설 &gt; 현대 판타지</v>
      </c>
    </row>
    <row r="1762" spans="1:57" x14ac:dyDescent="0.3">
      <c r="A1762">
        <v>2313003101</v>
      </c>
      <c r="B1762">
        <v>2313003240</v>
      </c>
      <c r="C1762" t="str">
        <f>T("로드 오브 머니 140화")</f>
        <v>로드 오브 머니 140화</v>
      </c>
      <c r="D1762" t="str">
        <f>T("140")</f>
        <v>140</v>
      </c>
      <c r="E1762" t="str">
        <f t="shared" si="298"/>
        <v>무장</v>
      </c>
      <c r="H1762" t="str">
        <f t="shared" si="297"/>
        <v>스토리위즈</v>
      </c>
      <c r="I1762" t="str">
        <f t="shared" si="299"/>
        <v>로드 오브 머니</v>
      </c>
      <c r="J1762">
        <v>100</v>
      </c>
      <c r="K1762">
        <v>200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200</v>
      </c>
      <c r="AH1762">
        <v>2</v>
      </c>
      <c r="AI1762">
        <v>0</v>
      </c>
      <c r="AJ1762">
        <v>0</v>
      </c>
      <c r="AK1762">
        <v>100</v>
      </c>
      <c r="AL1762">
        <v>0</v>
      </c>
      <c r="AM1762">
        <v>120</v>
      </c>
      <c r="AN1762">
        <v>-12</v>
      </c>
      <c r="AO1762">
        <v>0</v>
      </c>
      <c r="AP1762"/>
      <c r="AQ1762">
        <v>0</v>
      </c>
      <c r="AR1762">
        <v>0</v>
      </c>
      <c r="AS1762">
        <v>120</v>
      </c>
      <c r="AT1762">
        <v>-12</v>
      </c>
      <c r="AU1762">
        <v>0</v>
      </c>
      <c r="AW1762">
        <v>0</v>
      </c>
      <c r="AX1762">
        <v>0</v>
      </c>
      <c r="AY1762">
        <v>145.6</v>
      </c>
      <c r="BC1762" t="str">
        <f t="shared" si="300"/>
        <v>9791188630066</v>
      </c>
      <c r="BE1762" t="str">
        <f t="shared" si="301"/>
        <v>판타지 웹소설 &gt; 현대 판타지</v>
      </c>
    </row>
    <row r="1763" spans="1:57" x14ac:dyDescent="0.3">
      <c r="A1763">
        <v>2313003101</v>
      </c>
      <c r="B1763">
        <v>2313003241</v>
      </c>
      <c r="C1763" t="str">
        <f>T("로드 오브 머니 141화")</f>
        <v>로드 오브 머니 141화</v>
      </c>
      <c r="D1763" t="str">
        <f>T("141")</f>
        <v>141</v>
      </c>
      <c r="E1763" t="str">
        <f t="shared" si="298"/>
        <v>무장</v>
      </c>
      <c r="H1763" t="str">
        <f t="shared" si="297"/>
        <v>스토리위즈</v>
      </c>
      <c r="I1763" t="str">
        <f t="shared" si="299"/>
        <v>로드 오브 머니</v>
      </c>
      <c r="J1763">
        <v>100</v>
      </c>
      <c r="K1763">
        <v>200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200</v>
      </c>
      <c r="AH1763">
        <v>2</v>
      </c>
      <c r="AI1763">
        <v>0</v>
      </c>
      <c r="AJ1763">
        <v>0</v>
      </c>
      <c r="AK1763">
        <v>100</v>
      </c>
      <c r="AL1763">
        <v>0</v>
      </c>
      <c r="AM1763">
        <v>120</v>
      </c>
      <c r="AN1763">
        <v>-12</v>
      </c>
      <c r="AO1763">
        <v>0</v>
      </c>
      <c r="AP1763"/>
      <c r="AQ1763">
        <v>0</v>
      </c>
      <c r="AR1763">
        <v>0</v>
      </c>
      <c r="AS1763">
        <v>120</v>
      </c>
      <c r="AT1763">
        <v>-12</v>
      </c>
      <c r="AU1763">
        <v>0</v>
      </c>
      <c r="AW1763">
        <v>0</v>
      </c>
      <c r="AX1763">
        <v>0</v>
      </c>
      <c r="AY1763">
        <v>145.6</v>
      </c>
      <c r="BC1763" t="str">
        <f t="shared" si="300"/>
        <v>9791188630066</v>
      </c>
      <c r="BE1763" t="str">
        <f t="shared" si="301"/>
        <v>판타지 웹소설 &gt; 현대 판타지</v>
      </c>
    </row>
    <row r="1764" spans="1:57" x14ac:dyDescent="0.3">
      <c r="A1764">
        <v>2313003101</v>
      </c>
      <c r="B1764">
        <v>2313003242</v>
      </c>
      <c r="C1764" t="str">
        <f>T("로드 오브 머니 142화")</f>
        <v>로드 오브 머니 142화</v>
      </c>
      <c r="D1764" t="str">
        <f>T("142")</f>
        <v>142</v>
      </c>
      <c r="E1764" t="str">
        <f t="shared" si="298"/>
        <v>무장</v>
      </c>
      <c r="H1764" t="str">
        <f t="shared" si="297"/>
        <v>스토리위즈</v>
      </c>
      <c r="I1764" t="str">
        <f t="shared" si="299"/>
        <v>로드 오브 머니</v>
      </c>
      <c r="J1764">
        <v>100</v>
      </c>
      <c r="K1764">
        <v>200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200</v>
      </c>
      <c r="AH1764">
        <v>2</v>
      </c>
      <c r="AI1764">
        <v>0</v>
      </c>
      <c r="AJ1764">
        <v>0</v>
      </c>
      <c r="AK1764">
        <v>100</v>
      </c>
      <c r="AL1764">
        <v>0</v>
      </c>
      <c r="AM1764">
        <v>120</v>
      </c>
      <c r="AN1764">
        <v>-12</v>
      </c>
      <c r="AO1764">
        <v>0</v>
      </c>
      <c r="AP1764"/>
      <c r="AQ1764">
        <v>0</v>
      </c>
      <c r="AR1764">
        <v>0</v>
      </c>
      <c r="AS1764">
        <v>120</v>
      </c>
      <c r="AT1764">
        <v>-12</v>
      </c>
      <c r="AU1764">
        <v>0</v>
      </c>
      <c r="AW1764">
        <v>0</v>
      </c>
      <c r="AX1764">
        <v>0</v>
      </c>
      <c r="AY1764">
        <v>145.6</v>
      </c>
      <c r="BC1764" t="str">
        <f t="shared" si="300"/>
        <v>9791188630066</v>
      </c>
      <c r="BE1764" t="str">
        <f t="shared" si="301"/>
        <v>판타지 웹소설 &gt; 현대 판타지</v>
      </c>
    </row>
    <row r="1765" spans="1:57" x14ac:dyDescent="0.3">
      <c r="A1765">
        <v>2313003101</v>
      </c>
      <c r="B1765">
        <v>2313003243</v>
      </c>
      <c r="C1765" t="str">
        <f>T("로드 오브 머니 143화")</f>
        <v>로드 오브 머니 143화</v>
      </c>
      <c r="D1765" t="str">
        <f>T("143")</f>
        <v>143</v>
      </c>
      <c r="E1765" t="str">
        <f t="shared" si="298"/>
        <v>무장</v>
      </c>
      <c r="H1765" t="str">
        <f t="shared" si="297"/>
        <v>스토리위즈</v>
      </c>
      <c r="I1765" t="str">
        <f t="shared" si="299"/>
        <v>로드 오브 머니</v>
      </c>
      <c r="J1765">
        <v>100</v>
      </c>
      <c r="K1765">
        <v>200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200</v>
      </c>
      <c r="AH1765">
        <v>2</v>
      </c>
      <c r="AI1765">
        <v>0</v>
      </c>
      <c r="AJ1765">
        <v>0</v>
      </c>
      <c r="AK1765">
        <v>100</v>
      </c>
      <c r="AL1765">
        <v>0</v>
      </c>
      <c r="AM1765">
        <v>120</v>
      </c>
      <c r="AN1765">
        <v>-12</v>
      </c>
      <c r="AO1765">
        <v>0</v>
      </c>
      <c r="AP1765"/>
      <c r="AQ1765">
        <v>0</v>
      </c>
      <c r="AR1765">
        <v>0</v>
      </c>
      <c r="AS1765">
        <v>120</v>
      </c>
      <c r="AT1765">
        <v>-12</v>
      </c>
      <c r="AU1765">
        <v>0</v>
      </c>
      <c r="AW1765">
        <v>0</v>
      </c>
      <c r="AX1765">
        <v>0</v>
      </c>
      <c r="AY1765">
        <v>145.6</v>
      </c>
      <c r="BC1765" t="str">
        <f t="shared" si="300"/>
        <v>9791188630066</v>
      </c>
      <c r="BE1765" t="str">
        <f t="shared" si="301"/>
        <v>판타지 웹소설 &gt; 현대 판타지</v>
      </c>
    </row>
    <row r="1766" spans="1:57" x14ac:dyDescent="0.3">
      <c r="A1766">
        <v>2313003101</v>
      </c>
      <c r="B1766">
        <v>2313003244</v>
      </c>
      <c r="C1766" t="str">
        <f>T("로드 오브 머니 144화")</f>
        <v>로드 오브 머니 144화</v>
      </c>
      <c r="D1766" t="str">
        <f>T("144")</f>
        <v>144</v>
      </c>
      <c r="E1766" t="str">
        <f t="shared" si="298"/>
        <v>무장</v>
      </c>
      <c r="H1766" t="str">
        <f t="shared" si="297"/>
        <v>스토리위즈</v>
      </c>
      <c r="I1766" t="str">
        <f t="shared" si="299"/>
        <v>로드 오브 머니</v>
      </c>
      <c r="J1766">
        <v>100</v>
      </c>
      <c r="K1766">
        <v>200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200</v>
      </c>
      <c r="AH1766">
        <v>2</v>
      </c>
      <c r="AI1766">
        <v>0</v>
      </c>
      <c r="AJ1766">
        <v>0</v>
      </c>
      <c r="AK1766">
        <v>100</v>
      </c>
      <c r="AL1766">
        <v>0</v>
      </c>
      <c r="AM1766">
        <v>120</v>
      </c>
      <c r="AN1766">
        <v>-12</v>
      </c>
      <c r="AO1766">
        <v>0</v>
      </c>
      <c r="AP1766"/>
      <c r="AQ1766">
        <v>0</v>
      </c>
      <c r="AR1766">
        <v>0</v>
      </c>
      <c r="AS1766">
        <v>120</v>
      </c>
      <c r="AT1766">
        <v>-12</v>
      </c>
      <c r="AU1766">
        <v>0</v>
      </c>
      <c r="AW1766">
        <v>0</v>
      </c>
      <c r="AX1766">
        <v>0</v>
      </c>
      <c r="AY1766">
        <v>145.6</v>
      </c>
      <c r="BC1766" t="str">
        <f t="shared" si="300"/>
        <v>9791188630066</v>
      </c>
      <c r="BE1766" t="str">
        <f t="shared" si="301"/>
        <v>판타지 웹소설 &gt; 현대 판타지</v>
      </c>
    </row>
    <row r="1767" spans="1:57" x14ac:dyDescent="0.3">
      <c r="A1767">
        <v>2313003101</v>
      </c>
      <c r="B1767">
        <v>2313003245</v>
      </c>
      <c r="C1767" t="str">
        <f>T("로드 오브 머니 145화")</f>
        <v>로드 오브 머니 145화</v>
      </c>
      <c r="D1767" t="str">
        <f>T("145")</f>
        <v>145</v>
      </c>
      <c r="E1767" t="str">
        <f t="shared" si="298"/>
        <v>무장</v>
      </c>
      <c r="H1767" t="str">
        <f t="shared" ref="H1767:H1830" si="302">T("스토리위즈")</f>
        <v>스토리위즈</v>
      </c>
      <c r="I1767" t="str">
        <f t="shared" si="299"/>
        <v>로드 오브 머니</v>
      </c>
      <c r="J1767">
        <v>100</v>
      </c>
      <c r="K1767">
        <v>200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200</v>
      </c>
      <c r="AH1767">
        <v>2</v>
      </c>
      <c r="AI1767">
        <v>0</v>
      </c>
      <c r="AJ1767">
        <v>0</v>
      </c>
      <c r="AK1767">
        <v>100</v>
      </c>
      <c r="AL1767">
        <v>0</v>
      </c>
      <c r="AM1767">
        <v>120</v>
      </c>
      <c r="AN1767">
        <v>-12</v>
      </c>
      <c r="AO1767">
        <v>0</v>
      </c>
      <c r="AP1767"/>
      <c r="AQ1767">
        <v>0</v>
      </c>
      <c r="AR1767">
        <v>0</v>
      </c>
      <c r="AS1767">
        <v>120</v>
      </c>
      <c r="AT1767">
        <v>-12</v>
      </c>
      <c r="AU1767">
        <v>0</v>
      </c>
      <c r="AW1767">
        <v>0</v>
      </c>
      <c r="AX1767">
        <v>0</v>
      </c>
      <c r="AY1767">
        <v>145.6</v>
      </c>
      <c r="BC1767" t="str">
        <f t="shared" si="300"/>
        <v>9791188630066</v>
      </c>
      <c r="BE1767" t="str">
        <f t="shared" si="301"/>
        <v>판타지 웹소설 &gt; 현대 판타지</v>
      </c>
    </row>
    <row r="1768" spans="1:57" x14ac:dyDescent="0.3">
      <c r="A1768">
        <v>2313003101</v>
      </c>
      <c r="B1768">
        <v>2313003246</v>
      </c>
      <c r="C1768" t="str">
        <f>T("로드 오브 머니 146화")</f>
        <v>로드 오브 머니 146화</v>
      </c>
      <c r="D1768" t="str">
        <f>T("146")</f>
        <v>146</v>
      </c>
      <c r="E1768" t="str">
        <f t="shared" si="298"/>
        <v>무장</v>
      </c>
      <c r="H1768" t="str">
        <f t="shared" si="302"/>
        <v>스토리위즈</v>
      </c>
      <c r="I1768" t="str">
        <f t="shared" si="299"/>
        <v>로드 오브 머니</v>
      </c>
      <c r="J1768">
        <v>100</v>
      </c>
      <c r="K1768">
        <v>200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200</v>
      </c>
      <c r="AH1768">
        <v>2</v>
      </c>
      <c r="AI1768">
        <v>0</v>
      </c>
      <c r="AJ1768">
        <v>0</v>
      </c>
      <c r="AK1768">
        <v>100</v>
      </c>
      <c r="AL1768">
        <v>0</v>
      </c>
      <c r="AM1768">
        <v>120</v>
      </c>
      <c r="AN1768">
        <v>-12</v>
      </c>
      <c r="AO1768">
        <v>0</v>
      </c>
      <c r="AP1768"/>
      <c r="AQ1768">
        <v>0</v>
      </c>
      <c r="AR1768">
        <v>0</v>
      </c>
      <c r="AS1768">
        <v>120</v>
      </c>
      <c r="AT1768">
        <v>-12</v>
      </c>
      <c r="AU1768">
        <v>0</v>
      </c>
      <c r="AW1768">
        <v>0</v>
      </c>
      <c r="AX1768">
        <v>0</v>
      </c>
      <c r="AY1768">
        <v>145.6</v>
      </c>
      <c r="BC1768" t="str">
        <f t="shared" si="300"/>
        <v>9791188630066</v>
      </c>
      <c r="BE1768" t="str">
        <f t="shared" si="301"/>
        <v>판타지 웹소설 &gt; 현대 판타지</v>
      </c>
    </row>
    <row r="1769" spans="1:57" x14ac:dyDescent="0.3">
      <c r="A1769">
        <v>2313003101</v>
      </c>
      <c r="B1769">
        <v>2313003247</v>
      </c>
      <c r="C1769" t="str">
        <f>T("로드 오브 머니 147화")</f>
        <v>로드 오브 머니 147화</v>
      </c>
      <c r="D1769" t="str">
        <f>T("147")</f>
        <v>147</v>
      </c>
      <c r="E1769" t="str">
        <f t="shared" si="298"/>
        <v>무장</v>
      </c>
      <c r="H1769" t="str">
        <f t="shared" si="302"/>
        <v>스토리위즈</v>
      </c>
      <c r="I1769" t="str">
        <f t="shared" si="299"/>
        <v>로드 오브 머니</v>
      </c>
      <c r="J1769">
        <v>100</v>
      </c>
      <c r="K1769">
        <v>200</v>
      </c>
      <c r="L1769">
        <v>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200</v>
      </c>
      <c r="AH1769">
        <v>2</v>
      </c>
      <c r="AI1769">
        <v>0</v>
      </c>
      <c r="AJ1769">
        <v>0</v>
      </c>
      <c r="AK1769">
        <v>100</v>
      </c>
      <c r="AL1769">
        <v>0</v>
      </c>
      <c r="AM1769">
        <v>120</v>
      </c>
      <c r="AN1769">
        <v>-12</v>
      </c>
      <c r="AO1769">
        <v>0</v>
      </c>
      <c r="AP1769"/>
      <c r="AQ1769">
        <v>0</v>
      </c>
      <c r="AR1769">
        <v>0</v>
      </c>
      <c r="AS1769">
        <v>120</v>
      </c>
      <c r="AT1769">
        <v>-12</v>
      </c>
      <c r="AU1769">
        <v>0</v>
      </c>
      <c r="AW1769">
        <v>0</v>
      </c>
      <c r="AX1769">
        <v>0</v>
      </c>
      <c r="AY1769">
        <v>145.6</v>
      </c>
      <c r="BC1769" t="str">
        <f t="shared" si="300"/>
        <v>9791188630066</v>
      </c>
      <c r="BE1769" t="str">
        <f t="shared" si="301"/>
        <v>판타지 웹소설 &gt; 현대 판타지</v>
      </c>
    </row>
    <row r="1770" spans="1:57" x14ac:dyDescent="0.3">
      <c r="A1770">
        <v>2313003101</v>
      </c>
      <c r="B1770">
        <v>2313003248</v>
      </c>
      <c r="C1770" t="str">
        <f>T("로드 오브 머니 148화")</f>
        <v>로드 오브 머니 148화</v>
      </c>
      <c r="D1770" t="str">
        <f>T("148")</f>
        <v>148</v>
      </c>
      <c r="E1770" t="str">
        <f t="shared" si="298"/>
        <v>무장</v>
      </c>
      <c r="H1770" t="str">
        <f t="shared" si="302"/>
        <v>스토리위즈</v>
      </c>
      <c r="I1770" t="str">
        <f t="shared" si="299"/>
        <v>로드 오브 머니</v>
      </c>
      <c r="J1770">
        <v>100</v>
      </c>
      <c r="K1770">
        <v>200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200</v>
      </c>
      <c r="AH1770">
        <v>2</v>
      </c>
      <c r="AI1770">
        <v>0</v>
      </c>
      <c r="AJ1770">
        <v>0</v>
      </c>
      <c r="AK1770">
        <v>100</v>
      </c>
      <c r="AL1770">
        <v>0</v>
      </c>
      <c r="AM1770">
        <v>120</v>
      </c>
      <c r="AN1770">
        <v>-12</v>
      </c>
      <c r="AO1770">
        <v>0</v>
      </c>
      <c r="AP1770"/>
      <c r="AQ1770">
        <v>0</v>
      </c>
      <c r="AR1770">
        <v>0</v>
      </c>
      <c r="AS1770">
        <v>120</v>
      </c>
      <c r="AT1770">
        <v>-12</v>
      </c>
      <c r="AU1770">
        <v>0</v>
      </c>
      <c r="AW1770">
        <v>0</v>
      </c>
      <c r="AX1770">
        <v>0</v>
      </c>
      <c r="AY1770">
        <v>145.6</v>
      </c>
      <c r="BC1770" t="str">
        <f t="shared" si="300"/>
        <v>9791188630066</v>
      </c>
      <c r="BE1770" t="str">
        <f t="shared" si="301"/>
        <v>판타지 웹소설 &gt; 현대 판타지</v>
      </c>
    </row>
    <row r="1771" spans="1:57" x14ac:dyDescent="0.3">
      <c r="A1771">
        <v>2313003101</v>
      </c>
      <c r="B1771">
        <v>2313003249</v>
      </c>
      <c r="C1771" t="str">
        <f>T("로드 오브 머니 149화")</f>
        <v>로드 오브 머니 149화</v>
      </c>
      <c r="D1771" t="str">
        <f>T("149")</f>
        <v>149</v>
      </c>
      <c r="E1771" t="str">
        <f t="shared" si="298"/>
        <v>무장</v>
      </c>
      <c r="H1771" t="str">
        <f t="shared" si="302"/>
        <v>스토리위즈</v>
      </c>
      <c r="I1771" t="str">
        <f t="shared" si="299"/>
        <v>로드 오브 머니</v>
      </c>
      <c r="J1771">
        <v>100</v>
      </c>
      <c r="K1771">
        <v>200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200</v>
      </c>
      <c r="AH1771">
        <v>2</v>
      </c>
      <c r="AI1771">
        <v>0</v>
      </c>
      <c r="AJ1771">
        <v>0</v>
      </c>
      <c r="AK1771">
        <v>100</v>
      </c>
      <c r="AL1771">
        <v>0</v>
      </c>
      <c r="AM1771">
        <v>120</v>
      </c>
      <c r="AN1771">
        <v>-12</v>
      </c>
      <c r="AO1771">
        <v>0</v>
      </c>
      <c r="AP1771"/>
      <c r="AQ1771">
        <v>0</v>
      </c>
      <c r="AR1771">
        <v>0</v>
      </c>
      <c r="AS1771">
        <v>120</v>
      </c>
      <c r="AT1771">
        <v>-12</v>
      </c>
      <c r="AU1771">
        <v>0</v>
      </c>
      <c r="AW1771">
        <v>0</v>
      </c>
      <c r="AX1771">
        <v>0</v>
      </c>
      <c r="AY1771">
        <v>145.6</v>
      </c>
      <c r="BC1771" t="str">
        <f t="shared" si="300"/>
        <v>9791188630066</v>
      </c>
      <c r="BE1771" t="str">
        <f t="shared" si="301"/>
        <v>판타지 웹소설 &gt; 현대 판타지</v>
      </c>
    </row>
    <row r="1772" spans="1:57" x14ac:dyDescent="0.3">
      <c r="A1772">
        <v>2313004289</v>
      </c>
      <c r="B1772">
        <v>2313004330</v>
      </c>
      <c r="C1772" t="str">
        <f>T("SSS급 마왕의 귀환 42화")</f>
        <v>SSS급 마왕의 귀환 42화</v>
      </c>
      <c r="D1772" t="str">
        <f>T("42")</f>
        <v>42</v>
      </c>
      <c r="E1772" t="str">
        <f t="shared" ref="E1772:E1797" si="303">T("구유")</f>
        <v>구유</v>
      </c>
      <c r="H1772" t="str">
        <f t="shared" si="302"/>
        <v>스토리위즈</v>
      </c>
      <c r="I1772" t="str">
        <f t="shared" ref="I1772:I1797" si="304">T("SSS급 마왕의 귀환")</f>
        <v>SSS급 마왕의 귀환</v>
      </c>
      <c r="J1772">
        <v>100</v>
      </c>
      <c r="K1772">
        <v>200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200</v>
      </c>
      <c r="AH1772">
        <v>2</v>
      </c>
      <c r="AI1772">
        <v>0</v>
      </c>
      <c r="AJ1772">
        <v>0</v>
      </c>
      <c r="AK1772">
        <v>100</v>
      </c>
      <c r="AL1772">
        <v>0</v>
      </c>
      <c r="AM1772">
        <v>120</v>
      </c>
      <c r="AN1772">
        <v>-12</v>
      </c>
      <c r="AO1772">
        <v>0</v>
      </c>
      <c r="AP1772"/>
      <c r="AQ1772">
        <v>0</v>
      </c>
      <c r="AR1772">
        <v>0</v>
      </c>
      <c r="AS1772">
        <v>120</v>
      </c>
      <c r="AT1772">
        <v>-12</v>
      </c>
      <c r="AU1772">
        <v>0</v>
      </c>
      <c r="AW1772">
        <v>0</v>
      </c>
      <c r="AX1772">
        <v>0</v>
      </c>
      <c r="AY1772">
        <v>145.6</v>
      </c>
      <c r="BC1772" t="str">
        <f t="shared" ref="BC1772:BC1797" si="305">T("9791159289057")</f>
        <v>9791159289057</v>
      </c>
      <c r="BE1772" t="str">
        <f t="shared" ref="BE1772:BE1835" si="306">T("판타지 웹소설 &gt; 퓨전 판타지")</f>
        <v>판타지 웹소설 &gt; 퓨전 판타지</v>
      </c>
    </row>
    <row r="1773" spans="1:57" x14ac:dyDescent="0.3">
      <c r="A1773">
        <v>2313004289</v>
      </c>
      <c r="B1773">
        <v>2313004331</v>
      </c>
      <c r="C1773" t="str">
        <f>T("SSS급 마왕의 귀환 43화")</f>
        <v>SSS급 마왕의 귀환 43화</v>
      </c>
      <c r="D1773" t="str">
        <f>T("43")</f>
        <v>43</v>
      </c>
      <c r="E1773" t="str">
        <f t="shared" si="303"/>
        <v>구유</v>
      </c>
      <c r="H1773" t="str">
        <f t="shared" si="302"/>
        <v>스토리위즈</v>
      </c>
      <c r="I1773" t="str">
        <f t="shared" si="304"/>
        <v>SSS급 마왕의 귀환</v>
      </c>
      <c r="J1773">
        <v>100</v>
      </c>
      <c r="K1773">
        <v>200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200</v>
      </c>
      <c r="AH1773">
        <v>2</v>
      </c>
      <c r="AI1773">
        <v>0</v>
      </c>
      <c r="AJ1773">
        <v>0</v>
      </c>
      <c r="AK1773">
        <v>100</v>
      </c>
      <c r="AL1773">
        <v>0</v>
      </c>
      <c r="AM1773">
        <v>120</v>
      </c>
      <c r="AN1773">
        <v>-12</v>
      </c>
      <c r="AO1773">
        <v>0</v>
      </c>
      <c r="AP1773"/>
      <c r="AQ1773">
        <v>0</v>
      </c>
      <c r="AR1773">
        <v>0</v>
      </c>
      <c r="AS1773">
        <v>120</v>
      </c>
      <c r="AT1773">
        <v>-12</v>
      </c>
      <c r="AU1773">
        <v>0</v>
      </c>
      <c r="AW1773">
        <v>0</v>
      </c>
      <c r="AX1773">
        <v>0</v>
      </c>
      <c r="AY1773">
        <v>145.6</v>
      </c>
      <c r="BC1773" t="str">
        <f t="shared" si="305"/>
        <v>9791159289057</v>
      </c>
      <c r="BE1773" t="str">
        <f t="shared" si="306"/>
        <v>판타지 웹소설 &gt; 퓨전 판타지</v>
      </c>
    </row>
    <row r="1774" spans="1:57" x14ac:dyDescent="0.3">
      <c r="A1774">
        <v>2313004289</v>
      </c>
      <c r="B1774">
        <v>2313004332</v>
      </c>
      <c r="C1774" t="str">
        <f>T("SSS급 마왕의 귀환 44화")</f>
        <v>SSS급 마왕의 귀환 44화</v>
      </c>
      <c r="D1774" t="str">
        <f>T("44")</f>
        <v>44</v>
      </c>
      <c r="E1774" t="str">
        <f t="shared" si="303"/>
        <v>구유</v>
      </c>
      <c r="H1774" t="str">
        <f t="shared" si="302"/>
        <v>스토리위즈</v>
      </c>
      <c r="I1774" t="str">
        <f t="shared" si="304"/>
        <v>SSS급 마왕의 귀환</v>
      </c>
      <c r="J1774">
        <v>100</v>
      </c>
      <c r="K1774">
        <v>200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200</v>
      </c>
      <c r="AH1774">
        <v>2</v>
      </c>
      <c r="AI1774">
        <v>0</v>
      </c>
      <c r="AJ1774">
        <v>0</v>
      </c>
      <c r="AK1774">
        <v>100</v>
      </c>
      <c r="AL1774">
        <v>0</v>
      </c>
      <c r="AM1774">
        <v>120</v>
      </c>
      <c r="AN1774">
        <v>-12</v>
      </c>
      <c r="AO1774">
        <v>0</v>
      </c>
      <c r="AP1774"/>
      <c r="AQ1774">
        <v>0</v>
      </c>
      <c r="AR1774">
        <v>0</v>
      </c>
      <c r="AS1774">
        <v>120</v>
      </c>
      <c r="AT1774">
        <v>-12</v>
      </c>
      <c r="AU1774">
        <v>0</v>
      </c>
      <c r="AW1774">
        <v>0</v>
      </c>
      <c r="AX1774">
        <v>0</v>
      </c>
      <c r="AY1774">
        <v>145.6</v>
      </c>
      <c r="BC1774" t="str">
        <f t="shared" si="305"/>
        <v>9791159289057</v>
      </c>
      <c r="BE1774" t="str">
        <f t="shared" si="306"/>
        <v>판타지 웹소설 &gt; 퓨전 판타지</v>
      </c>
    </row>
    <row r="1775" spans="1:57" x14ac:dyDescent="0.3">
      <c r="A1775">
        <v>2313004289</v>
      </c>
      <c r="B1775">
        <v>2313004333</v>
      </c>
      <c r="C1775" t="str">
        <f>T("SSS급 마왕의 귀환 45화")</f>
        <v>SSS급 마왕의 귀환 45화</v>
      </c>
      <c r="D1775" t="str">
        <f>T("45")</f>
        <v>45</v>
      </c>
      <c r="E1775" t="str">
        <f t="shared" si="303"/>
        <v>구유</v>
      </c>
      <c r="H1775" t="str">
        <f t="shared" si="302"/>
        <v>스토리위즈</v>
      </c>
      <c r="I1775" t="str">
        <f t="shared" si="304"/>
        <v>SSS급 마왕의 귀환</v>
      </c>
      <c r="J1775">
        <v>100</v>
      </c>
      <c r="K1775">
        <v>200</v>
      </c>
      <c r="L1775">
        <v>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200</v>
      </c>
      <c r="AH1775">
        <v>2</v>
      </c>
      <c r="AI1775">
        <v>0</v>
      </c>
      <c r="AJ1775">
        <v>0</v>
      </c>
      <c r="AK1775">
        <v>100</v>
      </c>
      <c r="AL1775">
        <v>0</v>
      </c>
      <c r="AM1775">
        <v>120</v>
      </c>
      <c r="AN1775">
        <v>-12</v>
      </c>
      <c r="AO1775">
        <v>0</v>
      </c>
      <c r="AP1775"/>
      <c r="AQ1775">
        <v>0</v>
      </c>
      <c r="AR1775">
        <v>0</v>
      </c>
      <c r="AS1775">
        <v>120</v>
      </c>
      <c r="AT1775">
        <v>-12</v>
      </c>
      <c r="AU1775">
        <v>0</v>
      </c>
      <c r="AW1775">
        <v>0</v>
      </c>
      <c r="AX1775">
        <v>0</v>
      </c>
      <c r="AY1775">
        <v>145.6</v>
      </c>
      <c r="BC1775" t="str">
        <f t="shared" si="305"/>
        <v>9791159289057</v>
      </c>
      <c r="BE1775" t="str">
        <f t="shared" si="306"/>
        <v>판타지 웹소설 &gt; 퓨전 판타지</v>
      </c>
    </row>
    <row r="1776" spans="1:57" x14ac:dyDescent="0.3">
      <c r="A1776">
        <v>2313004289</v>
      </c>
      <c r="B1776">
        <v>2313004334</v>
      </c>
      <c r="C1776" t="str">
        <f>T("SSS급 마왕의 귀환 46화")</f>
        <v>SSS급 마왕의 귀환 46화</v>
      </c>
      <c r="D1776" t="str">
        <f>T("46")</f>
        <v>46</v>
      </c>
      <c r="E1776" t="str">
        <f t="shared" si="303"/>
        <v>구유</v>
      </c>
      <c r="H1776" t="str">
        <f t="shared" si="302"/>
        <v>스토리위즈</v>
      </c>
      <c r="I1776" t="str">
        <f t="shared" si="304"/>
        <v>SSS급 마왕의 귀환</v>
      </c>
      <c r="J1776">
        <v>100</v>
      </c>
      <c r="K1776">
        <v>200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200</v>
      </c>
      <c r="AH1776">
        <v>2</v>
      </c>
      <c r="AI1776">
        <v>0</v>
      </c>
      <c r="AJ1776">
        <v>0</v>
      </c>
      <c r="AK1776">
        <v>100</v>
      </c>
      <c r="AL1776">
        <v>0</v>
      </c>
      <c r="AM1776">
        <v>120</v>
      </c>
      <c r="AN1776">
        <v>-12</v>
      </c>
      <c r="AO1776">
        <v>0</v>
      </c>
      <c r="AP1776"/>
      <c r="AQ1776">
        <v>0</v>
      </c>
      <c r="AR1776">
        <v>0</v>
      </c>
      <c r="AS1776">
        <v>120</v>
      </c>
      <c r="AT1776">
        <v>-12</v>
      </c>
      <c r="AU1776">
        <v>0</v>
      </c>
      <c r="AW1776">
        <v>0</v>
      </c>
      <c r="AX1776">
        <v>0</v>
      </c>
      <c r="AY1776">
        <v>145.6</v>
      </c>
      <c r="BC1776" t="str">
        <f t="shared" si="305"/>
        <v>9791159289057</v>
      </c>
      <c r="BE1776" t="str">
        <f t="shared" si="306"/>
        <v>판타지 웹소설 &gt; 퓨전 판타지</v>
      </c>
    </row>
    <row r="1777" spans="1:57" x14ac:dyDescent="0.3">
      <c r="A1777">
        <v>2313004289</v>
      </c>
      <c r="B1777">
        <v>2313004335</v>
      </c>
      <c r="C1777" t="str">
        <f>T("SSS급 마왕의 귀환 47화")</f>
        <v>SSS급 마왕의 귀환 47화</v>
      </c>
      <c r="D1777" t="str">
        <f>T("47")</f>
        <v>47</v>
      </c>
      <c r="E1777" t="str">
        <f t="shared" si="303"/>
        <v>구유</v>
      </c>
      <c r="H1777" t="str">
        <f t="shared" si="302"/>
        <v>스토리위즈</v>
      </c>
      <c r="I1777" t="str">
        <f t="shared" si="304"/>
        <v>SSS급 마왕의 귀환</v>
      </c>
      <c r="J1777">
        <v>100</v>
      </c>
      <c r="K1777">
        <v>200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200</v>
      </c>
      <c r="AH1777">
        <v>2</v>
      </c>
      <c r="AI1777">
        <v>0</v>
      </c>
      <c r="AJ1777">
        <v>0</v>
      </c>
      <c r="AK1777">
        <v>100</v>
      </c>
      <c r="AL1777">
        <v>0</v>
      </c>
      <c r="AM1777">
        <v>120</v>
      </c>
      <c r="AN1777">
        <v>-12</v>
      </c>
      <c r="AO1777">
        <v>0</v>
      </c>
      <c r="AP1777"/>
      <c r="AQ1777">
        <v>0</v>
      </c>
      <c r="AR1777">
        <v>0</v>
      </c>
      <c r="AS1777">
        <v>120</v>
      </c>
      <c r="AT1777">
        <v>-12</v>
      </c>
      <c r="AU1777">
        <v>0</v>
      </c>
      <c r="AW1777">
        <v>0</v>
      </c>
      <c r="AX1777">
        <v>0</v>
      </c>
      <c r="AY1777">
        <v>145.6</v>
      </c>
      <c r="BC1777" t="str">
        <f t="shared" si="305"/>
        <v>9791159289057</v>
      </c>
      <c r="BE1777" t="str">
        <f t="shared" si="306"/>
        <v>판타지 웹소설 &gt; 퓨전 판타지</v>
      </c>
    </row>
    <row r="1778" spans="1:57" x14ac:dyDescent="0.3">
      <c r="A1778">
        <v>2313004289</v>
      </c>
      <c r="B1778">
        <v>2313004336</v>
      </c>
      <c r="C1778" t="str">
        <f>T("SSS급 마왕의 귀환 48화")</f>
        <v>SSS급 마왕의 귀환 48화</v>
      </c>
      <c r="D1778" t="str">
        <f>T("48")</f>
        <v>48</v>
      </c>
      <c r="E1778" t="str">
        <f t="shared" si="303"/>
        <v>구유</v>
      </c>
      <c r="H1778" t="str">
        <f t="shared" si="302"/>
        <v>스토리위즈</v>
      </c>
      <c r="I1778" t="str">
        <f t="shared" si="304"/>
        <v>SSS급 마왕의 귀환</v>
      </c>
      <c r="J1778">
        <v>100</v>
      </c>
      <c r="K1778">
        <v>200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200</v>
      </c>
      <c r="AH1778">
        <v>2</v>
      </c>
      <c r="AI1778">
        <v>0</v>
      </c>
      <c r="AJ1778">
        <v>0</v>
      </c>
      <c r="AK1778">
        <v>100</v>
      </c>
      <c r="AL1778">
        <v>0</v>
      </c>
      <c r="AM1778">
        <v>120</v>
      </c>
      <c r="AN1778">
        <v>-12</v>
      </c>
      <c r="AO1778">
        <v>0</v>
      </c>
      <c r="AP1778"/>
      <c r="AQ1778">
        <v>0</v>
      </c>
      <c r="AR1778">
        <v>0</v>
      </c>
      <c r="AS1778">
        <v>120</v>
      </c>
      <c r="AT1778">
        <v>-12</v>
      </c>
      <c r="AU1778">
        <v>0</v>
      </c>
      <c r="AW1778">
        <v>0</v>
      </c>
      <c r="AX1778">
        <v>0</v>
      </c>
      <c r="AY1778">
        <v>145.6</v>
      </c>
      <c r="BC1778" t="str">
        <f t="shared" si="305"/>
        <v>9791159289057</v>
      </c>
      <c r="BE1778" t="str">
        <f t="shared" si="306"/>
        <v>판타지 웹소설 &gt; 퓨전 판타지</v>
      </c>
    </row>
    <row r="1779" spans="1:57" x14ac:dyDescent="0.3">
      <c r="A1779">
        <v>2313004289</v>
      </c>
      <c r="B1779">
        <v>2313004337</v>
      </c>
      <c r="C1779" t="str">
        <f>T("SSS급 마왕의 귀환 49화")</f>
        <v>SSS급 마왕의 귀환 49화</v>
      </c>
      <c r="D1779" t="str">
        <f>T("49")</f>
        <v>49</v>
      </c>
      <c r="E1779" t="str">
        <f t="shared" si="303"/>
        <v>구유</v>
      </c>
      <c r="H1779" t="str">
        <f t="shared" si="302"/>
        <v>스토리위즈</v>
      </c>
      <c r="I1779" t="str">
        <f t="shared" si="304"/>
        <v>SSS급 마왕의 귀환</v>
      </c>
      <c r="J1779">
        <v>100</v>
      </c>
      <c r="K1779">
        <v>200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200</v>
      </c>
      <c r="AH1779">
        <v>2</v>
      </c>
      <c r="AI1779">
        <v>0</v>
      </c>
      <c r="AJ1779">
        <v>0</v>
      </c>
      <c r="AK1779">
        <v>100</v>
      </c>
      <c r="AL1779">
        <v>0</v>
      </c>
      <c r="AM1779">
        <v>120</v>
      </c>
      <c r="AN1779">
        <v>-12</v>
      </c>
      <c r="AO1779">
        <v>0</v>
      </c>
      <c r="AP1779"/>
      <c r="AQ1779">
        <v>0</v>
      </c>
      <c r="AR1779">
        <v>0</v>
      </c>
      <c r="AS1779">
        <v>120</v>
      </c>
      <c r="AT1779">
        <v>-12</v>
      </c>
      <c r="AU1779">
        <v>0</v>
      </c>
      <c r="AW1779">
        <v>0</v>
      </c>
      <c r="AX1779">
        <v>0</v>
      </c>
      <c r="AY1779">
        <v>145.6</v>
      </c>
      <c r="BC1779" t="str">
        <f t="shared" si="305"/>
        <v>9791159289057</v>
      </c>
      <c r="BE1779" t="str">
        <f t="shared" si="306"/>
        <v>판타지 웹소설 &gt; 퓨전 판타지</v>
      </c>
    </row>
    <row r="1780" spans="1:57" x14ac:dyDescent="0.3">
      <c r="A1780">
        <v>2313004289</v>
      </c>
      <c r="B1780">
        <v>2313004338</v>
      </c>
      <c r="C1780" t="str">
        <f>T("SSS급 마왕의 귀환 50화")</f>
        <v>SSS급 마왕의 귀환 50화</v>
      </c>
      <c r="D1780" t="str">
        <f>T("50")</f>
        <v>50</v>
      </c>
      <c r="E1780" t="str">
        <f t="shared" si="303"/>
        <v>구유</v>
      </c>
      <c r="H1780" t="str">
        <f t="shared" si="302"/>
        <v>스토리위즈</v>
      </c>
      <c r="I1780" t="str">
        <f t="shared" si="304"/>
        <v>SSS급 마왕의 귀환</v>
      </c>
      <c r="J1780">
        <v>100</v>
      </c>
      <c r="K1780">
        <v>200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200</v>
      </c>
      <c r="AH1780">
        <v>2</v>
      </c>
      <c r="AI1780">
        <v>0</v>
      </c>
      <c r="AJ1780">
        <v>0</v>
      </c>
      <c r="AK1780">
        <v>100</v>
      </c>
      <c r="AL1780">
        <v>0</v>
      </c>
      <c r="AM1780">
        <v>120</v>
      </c>
      <c r="AN1780">
        <v>-12</v>
      </c>
      <c r="AO1780">
        <v>0</v>
      </c>
      <c r="AP1780"/>
      <c r="AQ1780">
        <v>0</v>
      </c>
      <c r="AR1780">
        <v>0</v>
      </c>
      <c r="AS1780">
        <v>120</v>
      </c>
      <c r="AT1780">
        <v>-12</v>
      </c>
      <c r="AU1780">
        <v>0</v>
      </c>
      <c r="AW1780">
        <v>0</v>
      </c>
      <c r="AX1780">
        <v>0</v>
      </c>
      <c r="AY1780">
        <v>145.6</v>
      </c>
      <c r="BC1780" t="str">
        <f t="shared" si="305"/>
        <v>9791159289057</v>
      </c>
      <c r="BE1780" t="str">
        <f t="shared" si="306"/>
        <v>판타지 웹소설 &gt; 퓨전 판타지</v>
      </c>
    </row>
    <row r="1781" spans="1:57" x14ac:dyDescent="0.3">
      <c r="A1781">
        <v>2313004289</v>
      </c>
      <c r="B1781">
        <v>2313004339</v>
      </c>
      <c r="C1781" t="str">
        <f>T("SSS급 마왕의 귀환 51화")</f>
        <v>SSS급 마왕의 귀환 51화</v>
      </c>
      <c r="D1781" t="str">
        <f>T("51")</f>
        <v>51</v>
      </c>
      <c r="E1781" t="str">
        <f t="shared" si="303"/>
        <v>구유</v>
      </c>
      <c r="H1781" t="str">
        <f t="shared" si="302"/>
        <v>스토리위즈</v>
      </c>
      <c r="I1781" t="str">
        <f t="shared" si="304"/>
        <v>SSS급 마왕의 귀환</v>
      </c>
      <c r="J1781">
        <v>100</v>
      </c>
      <c r="K1781">
        <v>200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200</v>
      </c>
      <c r="AH1781">
        <v>2</v>
      </c>
      <c r="AI1781">
        <v>0</v>
      </c>
      <c r="AJ1781">
        <v>0</v>
      </c>
      <c r="AK1781">
        <v>100</v>
      </c>
      <c r="AL1781">
        <v>0</v>
      </c>
      <c r="AM1781">
        <v>120</v>
      </c>
      <c r="AN1781">
        <v>-12</v>
      </c>
      <c r="AO1781">
        <v>0</v>
      </c>
      <c r="AP1781"/>
      <c r="AQ1781">
        <v>0</v>
      </c>
      <c r="AR1781">
        <v>0</v>
      </c>
      <c r="AS1781">
        <v>120</v>
      </c>
      <c r="AT1781">
        <v>-12</v>
      </c>
      <c r="AU1781">
        <v>0</v>
      </c>
      <c r="AW1781">
        <v>0</v>
      </c>
      <c r="AX1781">
        <v>0</v>
      </c>
      <c r="AY1781">
        <v>145.6</v>
      </c>
      <c r="BC1781" t="str">
        <f t="shared" si="305"/>
        <v>9791159289057</v>
      </c>
      <c r="BE1781" t="str">
        <f t="shared" si="306"/>
        <v>판타지 웹소설 &gt; 퓨전 판타지</v>
      </c>
    </row>
    <row r="1782" spans="1:57" x14ac:dyDescent="0.3">
      <c r="A1782">
        <v>2313004289</v>
      </c>
      <c r="B1782">
        <v>2313004340</v>
      </c>
      <c r="C1782" t="str">
        <f>T("SSS급 마왕의 귀환 52화")</f>
        <v>SSS급 마왕의 귀환 52화</v>
      </c>
      <c r="D1782" t="str">
        <f>T("52")</f>
        <v>52</v>
      </c>
      <c r="E1782" t="str">
        <f t="shared" si="303"/>
        <v>구유</v>
      </c>
      <c r="H1782" t="str">
        <f t="shared" si="302"/>
        <v>스토리위즈</v>
      </c>
      <c r="I1782" t="str">
        <f t="shared" si="304"/>
        <v>SSS급 마왕의 귀환</v>
      </c>
      <c r="J1782">
        <v>100</v>
      </c>
      <c r="K1782">
        <v>200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200</v>
      </c>
      <c r="AH1782">
        <v>2</v>
      </c>
      <c r="AI1782">
        <v>0</v>
      </c>
      <c r="AJ1782">
        <v>0</v>
      </c>
      <c r="AK1782">
        <v>100</v>
      </c>
      <c r="AL1782">
        <v>0</v>
      </c>
      <c r="AM1782">
        <v>120</v>
      </c>
      <c r="AN1782">
        <v>-12</v>
      </c>
      <c r="AO1782">
        <v>0</v>
      </c>
      <c r="AP1782"/>
      <c r="AQ1782">
        <v>0</v>
      </c>
      <c r="AR1782">
        <v>0</v>
      </c>
      <c r="AS1782">
        <v>120</v>
      </c>
      <c r="AT1782">
        <v>-12</v>
      </c>
      <c r="AU1782">
        <v>0</v>
      </c>
      <c r="AW1782">
        <v>0</v>
      </c>
      <c r="AX1782">
        <v>0</v>
      </c>
      <c r="AY1782">
        <v>145.6</v>
      </c>
      <c r="BC1782" t="str">
        <f t="shared" si="305"/>
        <v>9791159289057</v>
      </c>
      <c r="BE1782" t="str">
        <f t="shared" si="306"/>
        <v>판타지 웹소설 &gt; 퓨전 판타지</v>
      </c>
    </row>
    <row r="1783" spans="1:57" x14ac:dyDescent="0.3">
      <c r="A1783">
        <v>2313004289</v>
      </c>
      <c r="B1783">
        <v>2313004341</v>
      </c>
      <c r="C1783" t="str">
        <f>T("SSS급 마왕의 귀환 53화")</f>
        <v>SSS급 마왕의 귀환 53화</v>
      </c>
      <c r="D1783" t="str">
        <f>T("53")</f>
        <v>53</v>
      </c>
      <c r="E1783" t="str">
        <f t="shared" si="303"/>
        <v>구유</v>
      </c>
      <c r="H1783" t="str">
        <f t="shared" si="302"/>
        <v>스토리위즈</v>
      </c>
      <c r="I1783" t="str">
        <f t="shared" si="304"/>
        <v>SSS급 마왕의 귀환</v>
      </c>
      <c r="J1783">
        <v>100</v>
      </c>
      <c r="K1783">
        <v>200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200</v>
      </c>
      <c r="AH1783">
        <v>2</v>
      </c>
      <c r="AI1783">
        <v>0</v>
      </c>
      <c r="AJ1783">
        <v>0</v>
      </c>
      <c r="AK1783">
        <v>100</v>
      </c>
      <c r="AL1783">
        <v>0</v>
      </c>
      <c r="AM1783">
        <v>120</v>
      </c>
      <c r="AN1783">
        <v>-12</v>
      </c>
      <c r="AO1783">
        <v>0</v>
      </c>
      <c r="AP1783"/>
      <c r="AQ1783">
        <v>0</v>
      </c>
      <c r="AR1783">
        <v>0</v>
      </c>
      <c r="AS1783">
        <v>120</v>
      </c>
      <c r="AT1783">
        <v>-12</v>
      </c>
      <c r="AU1783">
        <v>0</v>
      </c>
      <c r="AW1783">
        <v>0</v>
      </c>
      <c r="AX1783">
        <v>0</v>
      </c>
      <c r="AY1783">
        <v>145.6</v>
      </c>
      <c r="BC1783" t="str">
        <f t="shared" si="305"/>
        <v>9791159289057</v>
      </c>
      <c r="BE1783" t="str">
        <f t="shared" si="306"/>
        <v>판타지 웹소설 &gt; 퓨전 판타지</v>
      </c>
    </row>
    <row r="1784" spans="1:57" x14ac:dyDescent="0.3">
      <c r="A1784">
        <v>2313004289</v>
      </c>
      <c r="B1784">
        <v>2313004342</v>
      </c>
      <c r="C1784" t="str">
        <f>T("SSS급 마왕의 귀환 54화")</f>
        <v>SSS급 마왕의 귀환 54화</v>
      </c>
      <c r="D1784" t="str">
        <f>T("54")</f>
        <v>54</v>
      </c>
      <c r="E1784" t="str">
        <f t="shared" si="303"/>
        <v>구유</v>
      </c>
      <c r="H1784" t="str">
        <f t="shared" si="302"/>
        <v>스토리위즈</v>
      </c>
      <c r="I1784" t="str">
        <f t="shared" si="304"/>
        <v>SSS급 마왕의 귀환</v>
      </c>
      <c r="J1784">
        <v>100</v>
      </c>
      <c r="K1784">
        <v>200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200</v>
      </c>
      <c r="AH1784">
        <v>2</v>
      </c>
      <c r="AI1784">
        <v>0</v>
      </c>
      <c r="AJ1784">
        <v>0</v>
      </c>
      <c r="AK1784">
        <v>100</v>
      </c>
      <c r="AL1784">
        <v>0</v>
      </c>
      <c r="AM1784">
        <v>120</v>
      </c>
      <c r="AN1784">
        <v>-12</v>
      </c>
      <c r="AO1784">
        <v>0</v>
      </c>
      <c r="AP1784"/>
      <c r="AQ1784">
        <v>0</v>
      </c>
      <c r="AR1784">
        <v>0</v>
      </c>
      <c r="AS1784">
        <v>120</v>
      </c>
      <c r="AT1784">
        <v>-12</v>
      </c>
      <c r="AU1784">
        <v>0</v>
      </c>
      <c r="AW1784">
        <v>0</v>
      </c>
      <c r="AX1784">
        <v>0</v>
      </c>
      <c r="AY1784">
        <v>145.6</v>
      </c>
      <c r="BC1784" t="str">
        <f t="shared" si="305"/>
        <v>9791159289057</v>
      </c>
      <c r="BE1784" t="str">
        <f t="shared" si="306"/>
        <v>판타지 웹소설 &gt; 퓨전 판타지</v>
      </c>
    </row>
    <row r="1785" spans="1:57" x14ac:dyDescent="0.3">
      <c r="A1785">
        <v>2313004289</v>
      </c>
      <c r="B1785">
        <v>2313004343</v>
      </c>
      <c r="C1785" t="str">
        <f>T("SSS급 마왕의 귀환 55화")</f>
        <v>SSS급 마왕의 귀환 55화</v>
      </c>
      <c r="D1785" t="str">
        <f>T("55")</f>
        <v>55</v>
      </c>
      <c r="E1785" t="str">
        <f t="shared" si="303"/>
        <v>구유</v>
      </c>
      <c r="H1785" t="str">
        <f t="shared" si="302"/>
        <v>스토리위즈</v>
      </c>
      <c r="I1785" t="str">
        <f t="shared" si="304"/>
        <v>SSS급 마왕의 귀환</v>
      </c>
      <c r="J1785">
        <v>100</v>
      </c>
      <c r="K1785">
        <v>200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200</v>
      </c>
      <c r="AH1785">
        <v>2</v>
      </c>
      <c r="AI1785">
        <v>0</v>
      </c>
      <c r="AJ1785">
        <v>0</v>
      </c>
      <c r="AK1785">
        <v>100</v>
      </c>
      <c r="AL1785">
        <v>0</v>
      </c>
      <c r="AM1785">
        <v>120</v>
      </c>
      <c r="AN1785">
        <v>-12</v>
      </c>
      <c r="AO1785">
        <v>0</v>
      </c>
      <c r="AP1785"/>
      <c r="AQ1785">
        <v>0</v>
      </c>
      <c r="AR1785">
        <v>0</v>
      </c>
      <c r="AS1785">
        <v>120</v>
      </c>
      <c r="AT1785">
        <v>-12</v>
      </c>
      <c r="AU1785">
        <v>0</v>
      </c>
      <c r="AW1785">
        <v>0</v>
      </c>
      <c r="AX1785">
        <v>0</v>
      </c>
      <c r="AY1785">
        <v>145.6</v>
      </c>
      <c r="BC1785" t="str">
        <f t="shared" si="305"/>
        <v>9791159289057</v>
      </c>
      <c r="BE1785" t="str">
        <f t="shared" si="306"/>
        <v>판타지 웹소설 &gt; 퓨전 판타지</v>
      </c>
    </row>
    <row r="1786" spans="1:57" x14ac:dyDescent="0.3">
      <c r="A1786">
        <v>2313004289</v>
      </c>
      <c r="B1786">
        <v>2313004344</v>
      </c>
      <c r="C1786" t="str">
        <f>T("SSS급 마왕의 귀환 56화")</f>
        <v>SSS급 마왕의 귀환 56화</v>
      </c>
      <c r="D1786" t="str">
        <f>T("56")</f>
        <v>56</v>
      </c>
      <c r="E1786" t="str">
        <f t="shared" si="303"/>
        <v>구유</v>
      </c>
      <c r="H1786" t="str">
        <f t="shared" si="302"/>
        <v>스토리위즈</v>
      </c>
      <c r="I1786" t="str">
        <f t="shared" si="304"/>
        <v>SSS급 마왕의 귀환</v>
      </c>
      <c r="J1786">
        <v>100</v>
      </c>
      <c r="K1786">
        <v>200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200</v>
      </c>
      <c r="AH1786">
        <v>2</v>
      </c>
      <c r="AI1786">
        <v>0</v>
      </c>
      <c r="AJ1786">
        <v>0</v>
      </c>
      <c r="AK1786">
        <v>100</v>
      </c>
      <c r="AL1786">
        <v>0</v>
      </c>
      <c r="AM1786">
        <v>120</v>
      </c>
      <c r="AN1786">
        <v>-12</v>
      </c>
      <c r="AO1786">
        <v>0</v>
      </c>
      <c r="AP1786"/>
      <c r="AQ1786">
        <v>0</v>
      </c>
      <c r="AR1786">
        <v>0</v>
      </c>
      <c r="AS1786">
        <v>120</v>
      </c>
      <c r="AT1786">
        <v>-12</v>
      </c>
      <c r="AU1786">
        <v>0</v>
      </c>
      <c r="AW1786">
        <v>0</v>
      </c>
      <c r="AX1786">
        <v>0</v>
      </c>
      <c r="AY1786">
        <v>145.6</v>
      </c>
      <c r="BC1786" t="str">
        <f t="shared" si="305"/>
        <v>9791159289057</v>
      </c>
      <c r="BE1786" t="str">
        <f t="shared" si="306"/>
        <v>판타지 웹소설 &gt; 퓨전 판타지</v>
      </c>
    </row>
    <row r="1787" spans="1:57" x14ac:dyDescent="0.3">
      <c r="A1787">
        <v>2313004289</v>
      </c>
      <c r="B1787">
        <v>2313004345</v>
      </c>
      <c r="C1787" t="str">
        <f>T("SSS급 마왕의 귀환 57화")</f>
        <v>SSS급 마왕의 귀환 57화</v>
      </c>
      <c r="D1787" t="str">
        <f>T("57")</f>
        <v>57</v>
      </c>
      <c r="E1787" t="str">
        <f t="shared" si="303"/>
        <v>구유</v>
      </c>
      <c r="H1787" t="str">
        <f t="shared" si="302"/>
        <v>스토리위즈</v>
      </c>
      <c r="I1787" t="str">
        <f t="shared" si="304"/>
        <v>SSS급 마왕의 귀환</v>
      </c>
      <c r="J1787">
        <v>100</v>
      </c>
      <c r="K1787">
        <v>200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200</v>
      </c>
      <c r="AH1787">
        <v>2</v>
      </c>
      <c r="AI1787">
        <v>0</v>
      </c>
      <c r="AJ1787">
        <v>0</v>
      </c>
      <c r="AK1787">
        <v>100</v>
      </c>
      <c r="AL1787">
        <v>0</v>
      </c>
      <c r="AM1787">
        <v>120</v>
      </c>
      <c r="AN1787">
        <v>-12</v>
      </c>
      <c r="AO1787">
        <v>0</v>
      </c>
      <c r="AP1787"/>
      <c r="AQ1787">
        <v>0</v>
      </c>
      <c r="AR1787">
        <v>0</v>
      </c>
      <c r="AS1787">
        <v>120</v>
      </c>
      <c r="AT1787">
        <v>-12</v>
      </c>
      <c r="AU1787">
        <v>0</v>
      </c>
      <c r="AW1787">
        <v>0</v>
      </c>
      <c r="AX1787">
        <v>0</v>
      </c>
      <c r="AY1787">
        <v>145.6</v>
      </c>
      <c r="BC1787" t="str">
        <f t="shared" si="305"/>
        <v>9791159289057</v>
      </c>
      <c r="BE1787" t="str">
        <f t="shared" si="306"/>
        <v>판타지 웹소설 &gt; 퓨전 판타지</v>
      </c>
    </row>
    <row r="1788" spans="1:57" x14ac:dyDescent="0.3">
      <c r="A1788">
        <v>2313004289</v>
      </c>
      <c r="B1788">
        <v>2313004346</v>
      </c>
      <c r="C1788" t="str">
        <f>T("SSS급 마왕의 귀환 58화")</f>
        <v>SSS급 마왕의 귀환 58화</v>
      </c>
      <c r="D1788" t="str">
        <f>T("58")</f>
        <v>58</v>
      </c>
      <c r="E1788" t="str">
        <f t="shared" si="303"/>
        <v>구유</v>
      </c>
      <c r="H1788" t="str">
        <f t="shared" si="302"/>
        <v>스토리위즈</v>
      </c>
      <c r="I1788" t="str">
        <f t="shared" si="304"/>
        <v>SSS급 마왕의 귀환</v>
      </c>
      <c r="J1788">
        <v>100</v>
      </c>
      <c r="K1788">
        <v>200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200</v>
      </c>
      <c r="AH1788">
        <v>2</v>
      </c>
      <c r="AI1788">
        <v>0</v>
      </c>
      <c r="AJ1788">
        <v>0</v>
      </c>
      <c r="AK1788">
        <v>100</v>
      </c>
      <c r="AL1788">
        <v>0</v>
      </c>
      <c r="AM1788">
        <v>120</v>
      </c>
      <c r="AN1788">
        <v>-12</v>
      </c>
      <c r="AO1788">
        <v>0</v>
      </c>
      <c r="AP1788"/>
      <c r="AQ1788">
        <v>0</v>
      </c>
      <c r="AR1788">
        <v>0</v>
      </c>
      <c r="AS1788">
        <v>120</v>
      </c>
      <c r="AT1788">
        <v>-12</v>
      </c>
      <c r="AU1788">
        <v>0</v>
      </c>
      <c r="AW1788">
        <v>0</v>
      </c>
      <c r="AX1788">
        <v>0</v>
      </c>
      <c r="AY1788">
        <v>145.6</v>
      </c>
      <c r="BC1788" t="str">
        <f t="shared" si="305"/>
        <v>9791159289057</v>
      </c>
      <c r="BE1788" t="str">
        <f t="shared" si="306"/>
        <v>판타지 웹소설 &gt; 퓨전 판타지</v>
      </c>
    </row>
    <row r="1789" spans="1:57" x14ac:dyDescent="0.3">
      <c r="A1789">
        <v>2313004289</v>
      </c>
      <c r="B1789">
        <v>2313004347</v>
      </c>
      <c r="C1789" t="str">
        <f>T("SSS급 마왕의 귀환 59화")</f>
        <v>SSS급 마왕의 귀환 59화</v>
      </c>
      <c r="D1789" t="str">
        <f>T("59")</f>
        <v>59</v>
      </c>
      <c r="E1789" t="str">
        <f t="shared" si="303"/>
        <v>구유</v>
      </c>
      <c r="H1789" t="str">
        <f t="shared" si="302"/>
        <v>스토리위즈</v>
      </c>
      <c r="I1789" t="str">
        <f t="shared" si="304"/>
        <v>SSS급 마왕의 귀환</v>
      </c>
      <c r="J1789">
        <v>100</v>
      </c>
      <c r="K1789">
        <v>200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200</v>
      </c>
      <c r="AH1789">
        <v>2</v>
      </c>
      <c r="AI1789">
        <v>0</v>
      </c>
      <c r="AJ1789">
        <v>0</v>
      </c>
      <c r="AK1789">
        <v>100</v>
      </c>
      <c r="AL1789">
        <v>0</v>
      </c>
      <c r="AM1789">
        <v>120</v>
      </c>
      <c r="AN1789">
        <v>-12</v>
      </c>
      <c r="AO1789">
        <v>0</v>
      </c>
      <c r="AP1789"/>
      <c r="AQ1789">
        <v>0</v>
      </c>
      <c r="AR1789">
        <v>0</v>
      </c>
      <c r="AS1789">
        <v>120</v>
      </c>
      <c r="AT1789">
        <v>-12</v>
      </c>
      <c r="AU1789">
        <v>0</v>
      </c>
      <c r="AW1789">
        <v>0</v>
      </c>
      <c r="AX1789">
        <v>0</v>
      </c>
      <c r="AY1789">
        <v>145.6</v>
      </c>
      <c r="BC1789" t="str">
        <f t="shared" si="305"/>
        <v>9791159289057</v>
      </c>
      <c r="BE1789" t="str">
        <f t="shared" si="306"/>
        <v>판타지 웹소설 &gt; 퓨전 판타지</v>
      </c>
    </row>
    <row r="1790" spans="1:57" x14ac:dyDescent="0.3">
      <c r="A1790">
        <v>2313004289</v>
      </c>
      <c r="B1790">
        <v>2313004348</v>
      </c>
      <c r="C1790" t="str">
        <f>T("SSS급 마왕의 귀환 60화")</f>
        <v>SSS급 마왕의 귀환 60화</v>
      </c>
      <c r="D1790" t="str">
        <f>T("60")</f>
        <v>60</v>
      </c>
      <c r="E1790" t="str">
        <f t="shared" si="303"/>
        <v>구유</v>
      </c>
      <c r="H1790" t="str">
        <f t="shared" si="302"/>
        <v>스토리위즈</v>
      </c>
      <c r="I1790" t="str">
        <f t="shared" si="304"/>
        <v>SSS급 마왕의 귀환</v>
      </c>
      <c r="J1790">
        <v>100</v>
      </c>
      <c r="K1790">
        <v>200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200</v>
      </c>
      <c r="AH1790">
        <v>2</v>
      </c>
      <c r="AI1790">
        <v>0</v>
      </c>
      <c r="AJ1790">
        <v>0</v>
      </c>
      <c r="AK1790">
        <v>100</v>
      </c>
      <c r="AL1790">
        <v>0</v>
      </c>
      <c r="AM1790">
        <v>120</v>
      </c>
      <c r="AN1790">
        <v>-12</v>
      </c>
      <c r="AO1790">
        <v>0</v>
      </c>
      <c r="AP1790"/>
      <c r="AQ1790">
        <v>0</v>
      </c>
      <c r="AR1790">
        <v>0</v>
      </c>
      <c r="AS1790">
        <v>120</v>
      </c>
      <c r="AT1790">
        <v>-12</v>
      </c>
      <c r="AU1790">
        <v>0</v>
      </c>
      <c r="AW1790">
        <v>0</v>
      </c>
      <c r="AX1790">
        <v>0</v>
      </c>
      <c r="AY1790">
        <v>145.6</v>
      </c>
      <c r="BC1790" t="str">
        <f t="shared" si="305"/>
        <v>9791159289057</v>
      </c>
      <c r="BE1790" t="str">
        <f t="shared" si="306"/>
        <v>판타지 웹소설 &gt; 퓨전 판타지</v>
      </c>
    </row>
    <row r="1791" spans="1:57" x14ac:dyDescent="0.3">
      <c r="A1791">
        <v>2313004289</v>
      </c>
      <c r="B1791">
        <v>2313004349</v>
      </c>
      <c r="C1791" t="str">
        <f>T("SSS급 마왕의 귀환 61화")</f>
        <v>SSS급 마왕의 귀환 61화</v>
      </c>
      <c r="D1791" t="str">
        <f>T("61")</f>
        <v>61</v>
      </c>
      <c r="E1791" t="str">
        <f t="shared" si="303"/>
        <v>구유</v>
      </c>
      <c r="H1791" t="str">
        <f t="shared" si="302"/>
        <v>스토리위즈</v>
      </c>
      <c r="I1791" t="str">
        <f t="shared" si="304"/>
        <v>SSS급 마왕의 귀환</v>
      </c>
      <c r="J1791">
        <v>100</v>
      </c>
      <c r="K1791">
        <v>200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200</v>
      </c>
      <c r="AH1791">
        <v>2</v>
      </c>
      <c r="AI1791">
        <v>0</v>
      </c>
      <c r="AJ1791">
        <v>0</v>
      </c>
      <c r="AK1791">
        <v>100</v>
      </c>
      <c r="AL1791">
        <v>0</v>
      </c>
      <c r="AM1791">
        <v>120</v>
      </c>
      <c r="AN1791">
        <v>-12</v>
      </c>
      <c r="AO1791">
        <v>0</v>
      </c>
      <c r="AP1791"/>
      <c r="AQ1791">
        <v>0</v>
      </c>
      <c r="AR1791">
        <v>0</v>
      </c>
      <c r="AS1791">
        <v>120</v>
      </c>
      <c r="AT1791">
        <v>-12</v>
      </c>
      <c r="AU1791">
        <v>0</v>
      </c>
      <c r="AW1791">
        <v>0</v>
      </c>
      <c r="AX1791">
        <v>0</v>
      </c>
      <c r="AY1791">
        <v>145.6</v>
      </c>
      <c r="BC1791" t="str">
        <f t="shared" si="305"/>
        <v>9791159289057</v>
      </c>
      <c r="BE1791" t="str">
        <f t="shared" si="306"/>
        <v>판타지 웹소설 &gt; 퓨전 판타지</v>
      </c>
    </row>
    <row r="1792" spans="1:57" x14ac:dyDescent="0.3">
      <c r="A1792">
        <v>2313004289</v>
      </c>
      <c r="B1792">
        <v>2313004350</v>
      </c>
      <c r="C1792" t="str">
        <f>T("SSS급 마왕의 귀환 62화")</f>
        <v>SSS급 마왕의 귀환 62화</v>
      </c>
      <c r="D1792" t="str">
        <f>T("62")</f>
        <v>62</v>
      </c>
      <c r="E1792" t="str">
        <f t="shared" si="303"/>
        <v>구유</v>
      </c>
      <c r="H1792" t="str">
        <f t="shared" si="302"/>
        <v>스토리위즈</v>
      </c>
      <c r="I1792" t="str">
        <f t="shared" si="304"/>
        <v>SSS급 마왕의 귀환</v>
      </c>
      <c r="J1792">
        <v>100</v>
      </c>
      <c r="K1792">
        <v>200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200</v>
      </c>
      <c r="AH1792">
        <v>2</v>
      </c>
      <c r="AI1792">
        <v>0</v>
      </c>
      <c r="AJ1792">
        <v>0</v>
      </c>
      <c r="AK1792">
        <v>100</v>
      </c>
      <c r="AL1792">
        <v>0</v>
      </c>
      <c r="AM1792">
        <v>120</v>
      </c>
      <c r="AN1792">
        <v>-12</v>
      </c>
      <c r="AO1792">
        <v>0</v>
      </c>
      <c r="AP1792"/>
      <c r="AQ1792">
        <v>0</v>
      </c>
      <c r="AR1792">
        <v>0</v>
      </c>
      <c r="AS1792">
        <v>120</v>
      </c>
      <c r="AT1792">
        <v>-12</v>
      </c>
      <c r="AU1792">
        <v>0</v>
      </c>
      <c r="AW1792">
        <v>0</v>
      </c>
      <c r="AX1792">
        <v>0</v>
      </c>
      <c r="AY1792">
        <v>145.6</v>
      </c>
      <c r="BC1792" t="str">
        <f t="shared" si="305"/>
        <v>9791159289057</v>
      </c>
      <c r="BE1792" t="str">
        <f t="shared" si="306"/>
        <v>판타지 웹소설 &gt; 퓨전 판타지</v>
      </c>
    </row>
    <row r="1793" spans="1:57" x14ac:dyDescent="0.3">
      <c r="A1793">
        <v>2313004289</v>
      </c>
      <c r="B1793">
        <v>2313004351</v>
      </c>
      <c r="C1793" t="str">
        <f>T("SSS급 마왕의 귀환 63화")</f>
        <v>SSS급 마왕의 귀환 63화</v>
      </c>
      <c r="D1793" t="str">
        <f>T("63")</f>
        <v>63</v>
      </c>
      <c r="E1793" t="str">
        <f t="shared" si="303"/>
        <v>구유</v>
      </c>
      <c r="H1793" t="str">
        <f t="shared" si="302"/>
        <v>스토리위즈</v>
      </c>
      <c r="I1793" t="str">
        <f t="shared" si="304"/>
        <v>SSS급 마왕의 귀환</v>
      </c>
      <c r="J1793">
        <v>100</v>
      </c>
      <c r="K1793">
        <v>200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200</v>
      </c>
      <c r="AH1793">
        <v>2</v>
      </c>
      <c r="AI1793">
        <v>0</v>
      </c>
      <c r="AJ1793">
        <v>0</v>
      </c>
      <c r="AK1793">
        <v>100</v>
      </c>
      <c r="AL1793">
        <v>0</v>
      </c>
      <c r="AM1793">
        <v>120</v>
      </c>
      <c r="AN1793">
        <v>-12</v>
      </c>
      <c r="AO1793">
        <v>0</v>
      </c>
      <c r="AP1793"/>
      <c r="AQ1793">
        <v>0</v>
      </c>
      <c r="AR1793">
        <v>0</v>
      </c>
      <c r="AS1793">
        <v>120</v>
      </c>
      <c r="AT1793">
        <v>-12</v>
      </c>
      <c r="AU1793">
        <v>0</v>
      </c>
      <c r="AW1793">
        <v>0</v>
      </c>
      <c r="AX1793">
        <v>0</v>
      </c>
      <c r="AY1793">
        <v>145.6</v>
      </c>
      <c r="BC1793" t="str">
        <f t="shared" si="305"/>
        <v>9791159289057</v>
      </c>
      <c r="BE1793" t="str">
        <f t="shared" si="306"/>
        <v>판타지 웹소설 &gt; 퓨전 판타지</v>
      </c>
    </row>
    <row r="1794" spans="1:57" x14ac:dyDescent="0.3">
      <c r="A1794">
        <v>2313004289</v>
      </c>
      <c r="B1794">
        <v>2313004352</v>
      </c>
      <c r="C1794" t="str">
        <f>T("SSS급 마왕의 귀환 64화")</f>
        <v>SSS급 마왕의 귀환 64화</v>
      </c>
      <c r="D1794" t="str">
        <f>T("64")</f>
        <v>64</v>
      </c>
      <c r="E1794" t="str">
        <f t="shared" si="303"/>
        <v>구유</v>
      </c>
      <c r="H1794" t="str">
        <f t="shared" si="302"/>
        <v>스토리위즈</v>
      </c>
      <c r="I1794" t="str">
        <f t="shared" si="304"/>
        <v>SSS급 마왕의 귀환</v>
      </c>
      <c r="J1794">
        <v>100</v>
      </c>
      <c r="K1794">
        <v>200</v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200</v>
      </c>
      <c r="AH1794">
        <v>2</v>
      </c>
      <c r="AI1794">
        <v>0</v>
      </c>
      <c r="AJ1794">
        <v>0</v>
      </c>
      <c r="AK1794">
        <v>106</v>
      </c>
      <c r="AL1794">
        <v>0</v>
      </c>
      <c r="AM1794">
        <v>112.8</v>
      </c>
      <c r="AN1794">
        <v>-11.28</v>
      </c>
      <c r="AO1794">
        <v>0</v>
      </c>
      <c r="AP1794"/>
      <c r="AQ1794">
        <v>0</v>
      </c>
      <c r="AR1794">
        <v>0</v>
      </c>
      <c r="AS1794">
        <v>112.8</v>
      </c>
      <c r="AT1794">
        <v>-11.28</v>
      </c>
      <c r="AU1794">
        <v>0</v>
      </c>
      <c r="AW1794">
        <v>0</v>
      </c>
      <c r="AX1794">
        <v>0</v>
      </c>
      <c r="AY1794">
        <v>145.26</v>
      </c>
      <c r="BC1794" t="str">
        <f t="shared" si="305"/>
        <v>9791159289057</v>
      </c>
      <c r="BE1794" t="str">
        <f t="shared" si="306"/>
        <v>판타지 웹소설 &gt; 퓨전 판타지</v>
      </c>
    </row>
    <row r="1795" spans="1:57" x14ac:dyDescent="0.3">
      <c r="A1795">
        <v>2313004289</v>
      </c>
      <c r="B1795">
        <v>2313004353</v>
      </c>
      <c r="C1795" t="str">
        <f>T("SSS급 마왕의 귀환 65화")</f>
        <v>SSS급 마왕의 귀환 65화</v>
      </c>
      <c r="D1795" t="str">
        <f>T("65")</f>
        <v>65</v>
      </c>
      <c r="E1795" t="str">
        <f t="shared" si="303"/>
        <v>구유</v>
      </c>
      <c r="H1795" t="str">
        <f t="shared" si="302"/>
        <v>스토리위즈</v>
      </c>
      <c r="I1795" t="str">
        <f t="shared" si="304"/>
        <v>SSS급 마왕의 귀환</v>
      </c>
      <c r="J1795">
        <v>100</v>
      </c>
      <c r="K1795">
        <v>200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200</v>
      </c>
      <c r="AH1795">
        <v>2</v>
      </c>
      <c r="AI1795">
        <v>0</v>
      </c>
      <c r="AJ1795">
        <v>0</v>
      </c>
      <c r="AK1795">
        <v>100</v>
      </c>
      <c r="AL1795">
        <v>0</v>
      </c>
      <c r="AM1795">
        <v>120</v>
      </c>
      <c r="AN1795">
        <v>-12</v>
      </c>
      <c r="AO1795">
        <v>0</v>
      </c>
      <c r="AP1795"/>
      <c r="AQ1795">
        <v>0</v>
      </c>
      <c r="AR1795">
        <v>0</v>
      </c>
      <c r="AS1795">
        <v>120</v>
      </c>
      <c r="AT1795">
        <v>-12</v>
      </c>
      <c r="AU1795">
        <v>0</v>
      </c>
      <c r="AW1795">
        <v>0</v>
      </c>
      <c r="AX1795">
        <v>0</v>
      </c>
      <c r="AY1795">
        <v>145.6</v>
      </c>
      <c r="BC1795" t="str">
        <f t="shared" si="305"/>
        <v>9791159289057</v>
      </c>
      <c r="BE1795" t="str">
        <f t="shared" si="306"/>
        <v>판타지 웹소설 &gt; 퓨전 판타지</v>
      </c>
    </row>
    <row r="1796" spans="1:57" x14ac:dyDescent="0.3">
      <c r="A1796">
        <v>2313004289</v>
      </c>
      <c r="B1796">
        <v>2313004354</v>
      </c>
      <c r="C1796" t="str">
        <f>T("SSS급 마왕의 귀환 66화")</f>
        <v>SSS급 마왕의 귀환 66화</v>
      </c>
      <c r="D1796" t="str">
        <f>T("66")</f>
        <v>66</v>
      </c>
      <c r="E1796" t="str">
        <f t="shared" si="303"/>
        <v>구유</v>
      </c>
      <c r="H1796" t="str">
        <f t="shared" si="302"/>
        <v>스토리위즈</v>
      </c>
      <c r="I1796" t="str">
        <f t="shared" si="304"/>
        <v>SSS급 마왕의 귀환</v>
      </c>
      <c r="J1796">
        <v>100</v>
      </c>
      <c r="K1796">
        <v>200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200</v>
      </c>
      <c r="AH1796">
        <v>2</v>
      </c>
      <c r="AI1796">
        <v>0</v>
      </c>
      <c r="AJ1796">
        <v>0</v>
      </c>
      <c r="AK1796">
        <v>100</v>
      </c>
      <c r="AL1796">
        <v>0</v>
      </c>
      <c r="AM1796">
        <v>120</v>
      </c>
      <c r="AN1796">
        <v>-12</v>
      </c>
      <c r="AO1796">
        <v>0</v>
      </c>
      <c r="AP1796"/>
      <c r="AQ1796">
        <v>0</v>
      </c>
      <c r="AR1796">
        <v>0</v>
      </c>
      <c r="AS1796">
        <v>120</v>
      </c>
      <c r="AT1796">
        <v>-12</v>
      </c>
      <c r="AU1796">
        <v>0</v>
      </c>
      <c r="AW1796">
        <v>0</v>
      </c>
      <c r="AX1796">
        <v>0</v>
      </c>
      <c r="AY1796">
        <v>145.6</v>
      </c>
      <c r="BC1796" t="str">
        <f t="shared" si="305"/>
        <v>9791159289057</v>
      </c>
      <c r="BE1796" t="str">
        <f t="shared" si="306"/>
        <v>판타지 웹소설 &gt; 퓨전 판타지</v>
      </c>
    </row>
    <row r="1797" spans="1:57" x14ac:dyDescent="0.3">
      <c r="A1797">
        <v>2313004289</v>
      </c>
      <c r="B1797">
        <v>2313004355</v>
      </c>
      <c r="C1797" t="str">
        <f>T("SSS급 마왕의 귀환 67화")</f>
        <v>SSS급 마왕의 귀환 67화</v>
      </c>
      <c r="D1797" t="str">
        <f>T("67")</f>
        <v>67</v>
      </c>
      <c r="E1797" t="str">
        <f t="shared" si="303"/>
        <v>구유</v>
      </c>
      <c r="H1797" t="str">
        <f t="shared" si="302"/>
        <v>스토리위즈</v>
      </c>
      <c r="I1797" t="str">
        <f t="shared" si="304"/>
        <v>SSS급 마왕의 귀환</v>
      </c>
      <c r="J1797">
        <v>100</v>
      </c>
      <c r="K1797">
        <v>200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200</v>
      </c>
      <c r="AH1797">
        <v>2</v>
      </c>
      <c r="AI1797">
        <v>0</v>
      </c>
      <c r="AJ1797">
        <v>0</v>
      </c>
      <c r="AK1797">
        <v>100</v>
      </c>
      <c r="AL1797">
        <v>0</v>
      </c>
      <c r="AM1797">
        <v>120</v>
      </c>
      <c r="AN1797">
        <v>-12</v>
      </c>
      <c r="AO1797">
        <v>0</v>
      </c>
      <c r="AP1797"/>
      <c r="AQ1797">
        <v>0</v>
      </c>
      <c r="AR1797">
        <v>0</v>
      </c>
      <c r="AS1797">
        <v>120</v>
      </c>
      <c r="AT1797">
        <v>-12</v>
      </c>
      <c r="AU1797">
        <v>0</v>
      </c>
      <c r="AW1797">
        <v>0</v>
      </c>
      <c r="AX1797">
        <v>0</v>
      </c>
      <c r="AY1797">
        <v>145.6</v>
      </c>
      <c r="BC1797" t="str">
        <f t="shared" si="305"/>
        <v>9791159289057</v>
      </c>
      <c r="BE1797" t="str">
        <f t="shared" si="306"/>
        <v>판타지 웹소설 &gt; 퓨전 판타지</v>
      </c>
    </row>
    <row r="1798" spans="1:57" x14ac:dyDescent="0.3">
      <c r="A1798">
        <v>2313007845</v>
      </c>
      <c r="B1798">
        <v>2313007926</v>
      </c>
      <c r="C1798" t="str">
        <f>T("간신이 나라를 살림 82화")</f>
        <v>간신이 나라를 살림 82화</v>
      </c>
      <c r="D1798" t="str">
        <f>T("82")</f>
        <v>82</v>
      </c>
      <c r="E1798" t="str">
        <f>T("루이세")</f>
        <v>루이세</v>
      </c>
      <c r="H1798" t="str">
        <f t="shared" si="302"/>
        <v>스토리위즈</v>
      </c>
      <c r="I1798" t="str">
        <f>T("간신이 나라를 살림")</f>
        <v>간신이 나라를 살림</v>
      </c>
      <c r="J1798">
        <v>100</v>
      </c>
      <c r="K1798">
        <v>200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200</v>
      </c>
      <c r="AH1798">
        <v>2</v>
      </c>
      <c r="AI1798">
        <v>0</v>
      </c>
      <c r="AJ1798">
        <v>0</v>
      </c>
      <c r="AK1798">
        <v>200</v>
      </c>
      <c r="AL1798">
        <v>0</v>
      </c>
      <c r="AM1798">
        <v>0</v>
      </c>
      <c r="AN1798">
        <v>0</v>
      </c>
      <c r="AO1798">
        <v>0</v>
      </c>
      <c r="AP1798"/>
      <c r="AQ1798">
        <v>0</v>
      </c>
      <c r="AR1798">
        <v>0</v>
      </c>
      <c r="AT1798">
        <v>0</v>
      </c>
      <c r="AU1798">
        <v>0</v>
      </c>
      <c r="AW1798">
        <v>0</v>
      </c>
      <c r="AX1798">
        <v>0</v>
      </c>
      <c r="AY1798">
        <v>140</v>
      </c>
      <c r="BC1798" t="str">
        <f>T("9791159284663")</f>
        <v>9791159284663</v>
      </c>
      <c r="BE1798" t="str">
        <f t="shared" si="306"/>
        <v>판타지 웹소설 &gt; 퓨전 판타지</v>
      </c>
    </row>
    <row r="1799" spans="1:57" x14ac:dyDescent="0.3">
      <c r="A1799">
        <v>2313007845</v>
      </c>
      <c r="B1799">
        <v>2313007935</v>
      </c>
      <c r="C1799" t="str">
        <f>T("간신이 나라를 살림 91화")</f>
        <v>간신이 나라를 살림 91화</v>
      </c>
      <c r="D1799" t="str">
        <f>T("91")</f>
        <v>91</v>
      </c>
      <c r="E1799" t="str">
        <f>T("루이세")</f>
        <v>루이세</v>
      </c>
      <c r="H1799" t="str">
        <f t="shared" si="302"/>
        <v>스토리위즈</v>
      </c>
      <c r="I1799" t="str">
        <f>T("간신이 나라를 살림")</f>
        <v>간신이 나라를 살림</v>
      </c>
      <c r="J1799">
        <v>100</v>
      </c>
      <c r="K1799">
        <v>200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200</v>
      </c>
      <c r="AH1799">
        <v>2</v>
      </c>
      <c r="AI1799">
        <v>0</v>
      </c>
      <c r="AJ1799">
        <v>0</v>
      </c>
      <c r="AK1799">
        <v>200</v>
      </c>
      <c r="AL1799">
        <v>0</v>
      </c>
      <c r="AM1799">
        <v>0</v>
      </c>
      <c r="AN1799">
        <v>0</v>
      </c>
      <c r="AO1799">
        <v>0</v>
      </c>
      <c r="AP1799"/>
      <c r="AQ1799">
        <v>0</v>
      </c>
      <c r="AR1799">
        <v>0</v>
      </c>
      <c r="AT1799">
        <v>0</v>
      </c>
      <c r="AU1799">
        <v>0</v>
      </c>
      <c r="AW1799">
        <v>0</v>
      </c>
      <c r="AX1799">
        <v>0</v>
      </c>
      <c r="AY1799">
        <v>140</v>
      </c>
      <c r="BC1799" t="str">
        <f>T("9791159284663")</f>
        <v>9791159284663</v>
      </c>
      <c r="BE1799" t="str">
        <f t="shared" si="306"/>
        <v>판타지 웹소설 &gt; 퓨전 판타지</v>
      </c>
    </row>
    <row r="1800" spans="1:57" x14ac:dyDescent="0.3">
      <c r="A1800">
        <v>2313007845</v>
      </c>
      <c r="B1800">
        <v>2313007942</v>
      </c>
      <c r="C1800" t="str">
        <f>T("간신이 나라를 살림 98화")</f>
        <v>간신이 나라를 살림 98화</v>
      </c>
      <c r="D1800" t="str">
        <f>T("98")</f>
        <v>98</v>
      </c>
      <c r="E1800" t="str">
        <f>T("루이세")</f>
        <v>루이세</v>
      </c>
      <c r="H1800" t="str">
        <f t="shared" si="302"/>
        <v>스토리위즈</v>
      </c>
      <c r="I1800" t="str">
        <f>T("간신이 나라를 살림")</f>
        <v>간신이 나라를 살림</v>
      </c>
      <c r="J1800">
        <v>100</v>
      </c>
      <c r="K1800">
        <v>200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200</v>
      </c>
      <c r="AH1800">
        <v>2</v>
      </c>
      <c r="AI1800">
        <v>0</v>
      </c>
      <c r="AJ1800">
        <v>0</v>
      </c>
      <c r="AK1800">
        <v>200</v>
      </c>
      <c r="AL1800">
        <v>0</v>
      </c>
      <c r="AM1800">
        <v>0</v>
      </c>
      <c r="AN1800">
        <v>0</v>
      </c>
      <c r="AO1800">
        <v>0</v>
      </c>
      <c r="AP1800"/>
      <c r="AQ1800">
        <v>0</v>
      </c>
      <c r="AR1800">
        <v>0</v>
      </c>
      <c r="AT1800">
        <v>0</v>
      </c>
      <c r="AU1800">
        <v>0</v>
      </c>
      <c r="AW1800">
        <v>0</v>
      </c>
      <c r="AX1800">
        <v>0</v>
      </c>
      <c r="AY1800">
        <v>140</v>
      </c>
      <c r="BC1800" t="str">
        <f>T("9791159284663")</f>
        <v>9791159284663</v>
      </c>
      <c r="BE1800" t="str">
        <f t="shared" si="306"/>
        <v>판타지 웹소설 &gt; 퓨전 판타지</v>
      </c>
    </row>
    <row r="1801" spans="1:57" x14ac:dyDescent="0.3">
      <c r="A1801">
        <v>2313007845</v>
      </c>
      <c r="B1801">
        <v>2313007943</v>
      </c>
      <c r="C1801" t="str">
        <f>T("간신이 나라를 살림 99화")</f>
        <v>간신이 나라를 살림 99화</v>
      </c>
      <c r="D1801" t="str">
        <f>T("99")</f>
        <v>99</v>
      </c>
      <c r="E1801" t="str">
        <f>T("루이세")</f>
        <v>루이세</v>
      </c>
      <c r="H1801" t="str">
        <f t="shared" si="302"/>
        <v>스토리위즈</v>
      </c>
      <c r="I1801" t="str">
        <f>T("간신이 나라를 살림")</f>
        <v>간신이 나라를 살림</v>
      </c>
      <c r="J1801">
        <v>100</v>
      </c>
      <c r="K1801">
        <v>200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200</v>
      </c>
      <c r="AH1801">
        <v>2</v>
      </c>
      <c r="AI1801">
        <v>0</v>
      </c>
      <c r="AJ1801">
        <v>0</v>
      </c>
      <c r="AK1801">
        <v>200</v>
      </c>
      <c r="AL1801">
        <v>0</v>
      </c>
      <c r="AM1801">
        <v>0</v>
      </c>
      <c r="AN1801">
        <v>0</v>
      </c>
      <c r="AO1801">
        <v>0</v>
      </c>
      <c r="AP1801"/>
      <c r="AQ1801">
        <v>0</v>
      </c>
      <c r="AR1801">
        <v>0</v>
      </c>
      <c r="AT1801">
        <v>0</v>
      </c>
      <c r="AU1801">
        <v>0</v>
      </c>
      <c r="AW1801">
        <v>0</v>
      </c>
      <c r="AX1801">
        <v>0</v>
      </c>
      <c r="AY1801">
        <v>140</v>
      </c>
      <c r="BC1801" t="str">
        <f>T("9791159284663")</f>
        <v>9791159284663</v>
      </c>
      <c r="BE1801" t="str">
        <f t="shared" si="306"/>
        <v>판타지 웹소설 &gt; 퓨전 판타지</v>
      </c>
    </row>
    <row r="1802" spans="1:57" x14ac:dyDescent="0.3">
      <c r="A1802">
        <v>2313008150</v>
      </c>
      <c r="B1802">
        <v>2313008198</v>
      </c>
      <c r="C1802" t="str">
        <f>T("기사가문 망나니는 10클래스 49화")</f>
        <v>기사가문 망나니는 10클래스 49화</v>
      </c>
      <c r="D1802" t="str">
        <f>T("49")</f>
        <v>49</v>
      </c>
      <c r="E1802" t="str">
        <f t="shared" ref="E1802:E1865" si="307">T("예로나")</f>
        <v>예로나</v>
      </c>
      <c r="H1802" t="str">
        <f t="shared" si="302"/>
        <v>스토리위즈</v>
      </c>
      <c r="I1802" t="str">
        <f t="shared" ref="I1802:I1865" si="308">T("기사가문 망나니는 10클래스")</f>
        <v>기사가문 망나니는 10클래스</v>
      </c>
      <c r="J1802">
        <v>100</v>
      </c>
      <c r="K1802">
        <v>200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200</v>
      </c>
      <c r="AH1802">
        <v>2</v>
      </c>
      <c r="AI1802">
        <v>0</v>
      </c>
      <c r="AJ1802">
        <v>0</v>
      </c>
      <c r="AK1802">
        <v>200</v>
      </c>
      <c r="AL1802">
        <v>0</v>
      </c>
      <c r="AM1802">
        <v>0</v>
      </c>
      <c r="AN1802">
        <v>0</v>
      </c>
      <c r="AO1802">
        <v>0</v>
      </c>
      <c r="AP1802"/>
      <c r="AQ1802">
        <v>0</v>
      </c>
      <c r="AR1802">
        <v>0</v>
      </c>
      <c r="AT1802">
        <v>0</v>
      </c>
      <c r="AU1802">
        <v>0</v>
      </c>
      <c r="AW1802">
        <v>0</v>
      </c>
      <c r="AX1802">
        <v>0</v>
      </c>
      <c r="AY1802">
        <v>140</v>
      </c>
      <c r="BC1802" t="str">
        <f t="shared" ref="BC1802:BC1865" si="309">T("9791165310370")</f>
        <v>9791165310370</v>
      </c>
      <c r="BE1802" t="str">
        <f t="shared" si="306"/>
        <v>판타지 웹소설 &gt; 퓨전 판타지</v>
      </c>
    </row>
    <row r="1803" spans="1:57" x14ac:dyDescent="0.3">
      <c r="A1803">
        <v>2313008150</v>
      </c>
      <c r="B1803">
        <v>2313008199</v>
      </c>
      <c r="C1803" t="str">
        <f>T("기사가문 망나니는 10클래스 50화")</f>
        <v>기사가문 망나니는 10클래스 50화</v>
      </c>
      <c r="D1803" t="str">
        <f>T("50")</f>
        <v>50</v>
      </c>
      <c r="E1803" t="str">
        <f t="shared" si="307"/>
        <v>예로나</v>
      </c>
      <c r="H1803" t="str">
        <f t="shared" si="302"/>
        <v>스토리위즈</v>
      </c>
      <c r="I1803" t="str">
        <f t="shared" si="308"/>
        <v>기사가문 망나니는 10클래스</v>
      </c>
      <c r="J1803">
        <v>100</v>
      </c>
      <c r="K1803">
        <v>200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200</v>
      </c>
      <c r="AH1803">
        <v>2</v>
      </c>
      <c r="AI1803">
        <v>0</v>
      </c>
      <c r="AJ1803">
        <v>0</v>
      </c>
      <c r="AK1803">
        <v>200</v>
      </c>
      <c r="AL1803">
        <v>0</v>
      </c>
      <c r="AM1803">
        <v>0</v>
      </c>
      <c r="AN1803">
        <v>0</v>
      </c>
      <c r="AO1803">
        <v>0</v>
      </c>
      <c r="AP1803"/>
      <c r="AQ1803">
        <v>0</v>
      </c>
      <c r="AR1803">
        <v>0</v>
      </c>
      <c r="AT1803">
        <v>0</v>
      </c>
      <c r="AU1803">
        <v>0</v>
      </c>
      <c r="AW1803">
        <v>0</v>
      </c>
      <c r="AX1803">
        <v>0</v>
      </c>
      <c r="AY1803">
        <v>140</v>
      </c>
      <c r="BC1803" t="str">
        <f t="shared" si="309"/>
        <v>9791165310370</v>
      </c>
      <c r="BE1803" t="str">
        <f t="shared" si="306"/>
        <v>판타지 웹소설 &gt; 퓨전 판타지</v>
      </c>
    </row>
    <row r="1804" spans="1:57" x14ac:dyDescent="0.3">
      <c r="A1804">
        <v>2313008150</v>
      </c>
      <c r="B1804">
        <v>2313008200</v>
      </c>
      <c r="C1804" t="str">
        <f>T("기사가문 망나니는 10클래스 51화")</f>
        <v>기사가문 망나니는 10클래스 51화</v>
      </c>
      <c r="D1804" t="str">
        <f>T("51")</f>
        <v>51</v>
      </c>
      <c r="E1804" t="str">
        <f t="shared" si="307"/>
        <v>예로나</v>
      </c>
      <c r="H1804" t="str">
        <f t="shared" si="302"/>
        <v>스토리위즈</v>
      </c>
      <c r="I1804" t="str">
        <f t="shared" si="308"/>
        <v>기사가문 망나니는 10클래스</v>
      </c>
      <c r="J1804">
        <v>100</v>
      </c>
      <c r="K1804">
        <v>200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200</v>
      </c>
      <c r="AH1804">
        <v>2</v>
      </c>
      <c r="AI1804">
        <v>0</v>
      </c>
      <c r="AJ1804">
        <v>0</v>
      </c>
      <c r="AK1804">
        <v>200</v>
      </c>
      <c r="AL1804">
        <v>0</v>
      </c>
      <c r="AM1804">
        <v>0</v>
      </c>
      <c r="AN1804">
        <v>0</v>
      </c>
      <c r="AO1804">
        <v>0</v>
      </c>
      <c r="AP1804"/>
      <c r="AQ1804">
        <v>0</v>
      </c>
      <c r="AR1804">
        <v>0</v>
      </c>
      <c r="AT1804">
        <v>0</v>
      </c>
      <c r="AU1804">
        <v>0</v>
      </c>
      <c r="AW1804">
        <v>0</v>
      </c>
      <c r="AX1804">
        <v>0</v>
      </c>
      <c r="AY1804">
        <v>140</v>
      </c>
      <c r="BC1804" t="str">
        <f t="shared" si="309"/>
        <v>9791165310370</v>
      </c>
      <c r="BE1804" t="str">
        <f t="shared" si="306"/>
        <v>판타지 웹소설 &gt; 퓨전 판타지</v>
      </c>
    </row>
    <row r="1805" spans="1:57" x14ac:dyDescent="0.3">
      <c r="A1805">
        <v>2313008150</v>
      </c>
      <c r="B1805">
        <v>2313008201</v>
      </c>
      <c r="C1805" t="str">
        <f>T("기사가문 망나니는 10클래스 52화")</f>
        <v>기사가문 망나니는 10클래스 52화</v>
      </c>
      <c r="D1805" t="str">
        <f>T("52")</f>
        <v>52</v>
      </c>
      <c r="E1805" t="str">
        <f t="shared" si="307"/>
        <v>예로나</v>
      </c>
      <c r="H1805" t="str">
        <f t="shared" si="302"/>
        <v>스토리위즈</v>
      </c>
      <c r="I1805" t="str">
        <f t="shared" si="308"/>
        <v>기사가문 망나니는 10클래스</v>
      </c>
      <c r="J1805">
        <v>100</v>
      </c>
      <c r="K1805">
        <v>200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200</v>
      </c>
      <c r="AH1805">
        <v>2</v>
      </c>
      <c r="AI1805">
        <v>0</v>
      </c>
      <c r="AJ1805">
        <v>0</v>
      </c>
      <c r="AK1805">
        <v>200</v>
      </c>
      <c r="AL1805">
        <v>0</v>
      </c>
      <c r="AM1805">
        <v>0</v>
      </c>
      <c r="AN1805">
        <v>0</v>
      </c>
      <c r="AO1805">
        <v>0</v>
      </c>
      <c r="AP1805"/>
      <c r="AQ1805">
        <v>0</v>
      </c>
      <c r="AR1805">
        <v>0</v>
      </c>
      <c r="AT1805">
        <v>0</v>
      </c>
      <c r="AU1805">
        <v>0</v>
      </c>
      <c r="AW1805">
        <v>0</v>
      </c>
      <c r="AX1805">
        <v>0</v>
      </c>
      <c r="AY1805">
        <v>140</v>
      </c>
      <c r="BC1805" t="str">
        <f t="shared" si="309"/>
        <v>9791165310370</v>
      </c>
      <c r="BE1805" t="str">
        <f t="shared" si="306"/>
        <v>판타지 웹소설 &gt; 퓨전 판타지</v>
      </c>
    </row>
    <row r="1806" spans="1:57" x14ac:dyDescent="0.3">
      <c r="A1806">
        <v>2313008150</v>
      </c>
      <c r="B1806">
        <v>2313008202</v>
      </c>
      <c r="C1806" t="str">
        <f>T("기사가문 망나니는 10클래스 53화")</f>
        <v>기사가문 망나니는 10클래스 53화</v>
      </c>
      <c r="D1806" t="str">
        <f>T("53")</f>
        <v>53</v>
      </c>
      <c r="E1806" t="str">
        <f t="shared" si="307"/>
        <v>예로나</v>
      </c>
      <c r="H1806" t="str">
        <f t="shared" si="302"/>
        <v>스토리위즈</v>
      </c>
      <c r="I1806" t="str">
        <f t="shared" si="308"/>
        <v>기사가문 망나니는 10클래스</v>
      </c>
      <c r="J1806">
        <v>100</v>
      </c>
      <c r="K1806">
        <v>200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200</v>
      </c>
      <c r="AH1806">
        <v>2</v>
      </c>
      <c r="AI1806">
        <v>0</v>
      </c>
      <c r="AJ1806">
        <v>0</v>
      </c>
      <c r="AK1806">
        <v>200</v>
      </c>
      <c r="AL1806">
        <v>0</v>
      </c>
      <c r="AM1806">
        <v>0</v>
      </c>
      <c r="AN1806">
        <v>0</v>
      </c>
      <c r="AO1806">
        <v>0</v>
      </c>
      <c r="AP1806"/>
      <c r="AQ1806">
        <v>0</v>
      </c>
      <c r="AR1806">
        <v>0</v>
      </c>
      <c r="AT1806">
        <v>0</v>
      </c>
      <c r="AU1806">
        <v>0</v>
      </c>
      <c r="AW1806">
        <v>0</v>
      </c>
      <c r="AX1806">
        <v>0</v>
      </c>
      <c r="AY1806">
        <v>140</v>
      </c>
      <c r="BC1806" t="str">
        <f t="shared" si="309"/>
        <v>9791165310370</v>
      </c>
      <c r="BE1806" t="str">
        <f t="shared" si="306"/>
        <v>판타지 웹소설 &gt; 퓨전 판타지</v>
      </c>
    </row>
    <row r="1807" spans="1:57" x14ac:dyDescent="0.3">
      <c r="A1807">
        <v>2313008150</v>
      </c>
      <c r="B1807">
        <v>2313008203</v>
      </c>
      <c r="C1807" t="str">
        <f>T("기사가문 망나니는 10클래스 54화")</f>
        <v>기사가문 망나니는 10클래스 54화</v>
      </c>
      <c r="D1807" t="str">
        <f>T("54")</f>
        <v>54</v>
      </c>
      <c r="E1807" t="str">
        <f t="shared" si="307"/>
        <v>예로나</v>
      </c>
      <c r="H1807" t="str">
        <f t="shared" si="302"/>
        <v>스토리위즈</v>
      </c>
      <c r="I1807" t="str">
        <f t="shared" si="308"/>
        <v>기사가문 망나니는 10클래스</v>
      </c>
      <c r="J1807">
        <v>100</v>
      </c>
      <c r="K1807">
        <v>200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200</v>
      </c>
      <c r="AH1807">
        <v>2</v>
      </c>
      <c r="AI1807">
        <v>0</v>
      </c>
      <c r="AJ1807">
        <v>0</v>
      </c>
      <c r="AK1807">
        <v>200</v>
      </c>
      <c r="AL1807">
        <v>0</v>
      </c>
      <c r="AM1807">
        <v>0</v>
      </c>
      <c r="AN1807">
        <v>0</v>
      </c>
      <c r="AO1807">
        <v>0</v>
      </c>
      <c r="AP1807"/>
      <c r="AQ1807">
        <v>0</v>
      </c>
      <c r="AR1807">
        <v>0</v>
      </c>
      <c r="AT1807">
        <v>0</v>
      </c>
      <c r="AU1807">
        <v>0</v>
      </c>
      <c r="AW1807">
        <v>0</v>
      </c>
      <c r="AX1807">
        <v>0</v>
      </c>
      <c r="AY1807">
        <v>140</v>
      </c>
      <c r="BC1807" t="str">
        <f t="shared" si="309"/>
        <v>9791165310370</v>
      </c>
      <c r="BE1807" t="str">
        <f t="shared" si="306"/>
        <v>판타지 웹소설 &gt; 퓨전 판타지</v>
      </c>
    </row>
    <row r="1808" spans="1:57" x14ac:dyDescent="0.3">
      <c r="A1808">
        <v>2313008150</v>
      </c>
      <c r="B1808">
        <v>2313008204</v>
      </c>
      <c r="C1808" t="str">
        <f>T("기사가문 망나니는 10클래스 55화")</f>
        <v>기사가문 망나니는 10클래스 55화</v>
      </c>
      <c r="D1808" t="str">
        <f>T("55")</f>
        <v>55</v>
      </c>
      <c r="E1808" t="str">
        <f t="shared" si="307"/>
        <v>예로나</v>
      </c>
      <c r="H1808" t="str">
        <f t="shared" si="302"/>
        <v>스토리위즈</v>
      </c>
      <c r="I1808" t="str">
        <f t="shared" si="308"/>
        <v>기사가문 망나니는 10클래스</v>
      </c>
      <c r="J1808">
        <v>100</v>
      </c>
      <c r="K1808">
        <v>200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200</v>
      </c>
      <c r="AH1808">
        <v>2</v>
      </c>
      <c r="AI1808">
        <v>0</v>
      </c>
      <c r="AJ1808">
        <v>0</v>
      </c>
      <c r="AK1808">
        <v>200</v>
      </c>
      <c r="AL1808">
        <v>0</v>
      </c>
      <c r="AM1808">
        <v>0</v>
      </c>
      <c r="AN1808">
        <v>0</v>
      </c>
      <c r="AO1808">
        <v>0</v>
      </c>
      <c r="AP1808"/>
      <c r="AQ1808">
        <v>0</v>
      </c>
      <c r="AR1808">
        <v>0</v>
      </c>
      <c r="AT1808">
        <v>0</v>
      </c>
      <c r="AU1808">
        <v>0</v>
      </c>
      <c r="AW1808">
        <v>0</v>
      </c>
      <c r="AX1808">
        <v>0</v>
      </c>
      <c r="AY1808">
        <v>140</v>
      </c>
      <c r="BC1808" t="str">
        <f t="shared" si="309"/>
        <v>9791165310370</v>
      </c>
      <c r="BE1808" t="str">
        <f t="shared" si="306"/>
        <v>판타지 웹소설 &gt; 퓨전 판타지</v>
      </c>
    </row>
    <row r="1809" spans="1:57" x14ac:dyDescent="0.3">
      <c r="A1809">
        <v>2313008150</v>
      </c>
      <c r="B1809">
        <v>2313008205</v>
      </c>
      <c r="C1809" t="str">
        <f>T("기사가문 망나니는 10클래스 56화")</f>
        <v>기사가문 망나니는 10클래스 56화</v>
      </c>
      <c r="D1809" t="str">
        <f>T("56")</f>
        <v>56</v>
      </c>
      <c r="E1809" t="str">
        <f t="shared" si="307"/>
        <v>예로나</v>
      </c>
      <c r="H1809" t="str">
        <f t="shared" si="302"/>
        <v>스토리위즈</v>
      </c>
      <c r="I1809" t="str">
        <f t="shared" si="308"/>
        <v>기사가문 망나니는 10클래스</v>
      </c>
      <c r="J1809">
        <v>100</v>
      </c>
      <c r="K1809">
        <v>200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200</v>
      </c>
      <c r="AH1809">
        <v>2</v>
      </c>
      <c r="AI1809">
        <v>0</v>
      </c>
      <c r="AJ1809">
        <v>0</v>
      </c>
      <c r="AK1809">
        <v>200</v>
      </c>
      <c r="AL1809">
        <v>0</v>
      </c>
      <c r="AM1809">
        <v>0</v>
      </c>
      <c r="AN1809">
        <v>0</v>
      </c>
      <c r="AO1809">
        <v>0</v>
      </c>
      <c r="AP1809"/>
      <c r="AQ1809">
        <v>0</v>
      </c>
      <c r="AR1809">
        <v>0</v>
      </c>
      <c r="AT1809">
        <v>0</v>
      </c>
      <c r="AU1809">
        <v>0</v>
      </c>
      <c r="AW1809">
        <v>0</v>
      </c>
      <c r="AX1809">
        <v>0</v>
      </c>
      <c r="AY1809">
        <v>140</v>
      </c>
      <c r="BC1809" t="str">
        <f t="shared" si="309"/>
        <v>9791165310370</v>
      </c>
      <c r="BE1809" t="str">
        <f t="shared" si="306"/>
        <v>판타지 웹소설 &gt; 퓨전 판타지</v>
      </c>
    </row>
    <row r="1810" spans="1:57" x14ac:dyDescent="0.3">
      <c r="A1810">
        <v>2313008150</v>
      </c>
      <c r="B1810">
        <v>2313008206</v>
      </c>
      <c r="C1810" t="str">
        <f>T("기사가문 망나니는 10클래스 57화")</f>
        <v>기사가문 망나니는 10클래스 57화</v>
      </c>
      <c r="D1810" t="str">
        <f>T("57")</f>
        <v>57</v>
      </c>
      <c r="E1810" t="str">
        <f t="shared" si="307"/>
        <v>예로나</v>
      </c>
      <c r="H1810" t="str">
        <f t="shared" si="302"/>
        <v>스토리위즈</v>
      </c>
      <c r="I1810" t="str">
        <f t="shared" si="308"/>
        <v>기사가문 망나니는 10클래스</v>
      </c>
      <c r="J1810">
        <v>100</v>
      </c>
      <c r="K1810">
        <v>200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200</v>
      </c>
      <c r="AH1810">
        <v>2</v>
      </c>
      <c r="AI1810">
        <v>0</v>
      </c>
      <c r="AJ1810">
        <v>0</v>
      </c>
      <c r="AK1810">
        <v>200</v>
      </c>
      <c r="AL1810">
        <v>0</v>
      </c>
      <c r="AM1810">
        <v>0</v>
      </c>
      <c r="AN1810">
        <v>0</v>
      </c>
      <c r="AO1810">
        <v>0</v>
      </c>
      <c r="AP1810"/>
      <c r="AQ1810">
        <v>0</v>
      </c>
      <c r="AR1810">
        <v>0</v>
      </c>
      <c r="AT1810">
        <v>0</v>
      </c>
      <c r="AU1810">
        <v>0</v>
      </c>
      <c r="AW1810">
        <v>0</v>
      </c>
      <c r="AX1810">
        <v>0</v>
      </c>
      <c r="AY1810">
        <v>140</v>
      </c>
      <c r="BC1810" t="str">
        <f t="shared" si="309"/>
        <v>9791165310370</v>
      </c>
      <c r="BE1810" t="str">
        <f t="shared" si="306"/>
        <v>판타지 웹소설 &gt; 퓨전 판타지</v>
      </c>
    </row>
    <row r="1811" spans="1:57" x14ac:dyDescent="0.3">
      <c r="A1811">
        <v>2313008150</v>
      </c>
      <c r="B1811">
        <v>2313008207</v>
      </c>
      <c r="C1811" t="str">
        <f>T("기사가문 망나니는 10클래스 58화")</f>
        <v>기사가문 망나니는 10클래스 58화</v>
      </c>
      <c r="D1811" t="str">
        <f>T("58")</f>
        <v>58</v>
      </c>
      <c r="E1811" t="str">
        <f t="shared" si="307"/>
        <v>예로나</v>
      </c>
      <c r="H1811" t="str">
        <f t="shared" si="302"/>
        <v>스토리위즈</v>
      </c>
      <c r="I1811" t="str">
        <f t="shared" si="308"/>
        <v>기사가문 망나니는 10클래스</v>
      </c>
      <c r="J1811">
        <v>100</v>
      </c>
      <c r="K1811">
        <v>200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200</v>
      </c>
      <c r="AH1811">
        <v>2</v>
      </c>
      <c r="AI1811">
        <v>0</v>
      </c>
      <c r="AJ1811">
        <v>0</v>
      </c>
      <c r="AK1811">
        <v>200</v>
      </c>
      <c r="AL1811">
        <v>0</v>
      </c>
      <c r="AM1811">
        <v>0</v>
      </c>
      <c r="AN1811">
        <v>0</v>
      </c>
      <c r="AO1811">
        <v>0</v>
      </c>
      <c r="AP1811"/>
      <c r="AQ1811">
        <v>0</v>
      </c>
      <c r="AR1811">
        <v>0</v>
      </c>
      <c r="AT1811">
        <v>0</v>
      </c>
      <c r="AU1811">
        <v>0</v>
      </c>
      <c r="AW1811">
        <v>0</v>
      </c>
      <c r="AX1811">
        <v>0</v>
      </c>
      <c r="AY1811">
        <v>140</v>
      </c>
      <c r="BC1811" t="str">
        <f t="shared" si="309"/>
        <v>9791165310370</v>
      </c>
      <c r="BE1811" t="str">
        <f t="shared" si="306"/>
        <v>판타지 웹소설 &gt; 퓨전 판타지</v>
      </c>
    </row>
    <row r="1812" spans="1:57" x14ac:dyDescent="0.3">
      <c r="A1812">
        <v>2313008150</v>
      </c>
      <c r="B1812">
        <v>2313008208</v>
      </c>
      <c r="C1812" t="str">
        <f>T("기사가문 망나니는 10클래스 59화")</f>
        <v>기사가문 망나니는 10클래스 59화</v>
      </c>
      <c r="D1812" t="str">
        <f>T("59")</f>
        <v>59</v>
      </c>
      <c r="E1812" t="str">
        <f t="shared" si="307"/>
        <v>예로나</v>
      </c>
      <c r="H1812" t="str">
        <f t="shared" si="302"/>
        <v>스토리위즈</v>
      </c>
      <c r="I1812" t="str">
        <f t="shared" si="308"/>
        <v>기사가문 망나니는 10클래스</v>
      </c>
      <c r="J1812">
        <v>100</v>
      </c>
      <c r="K1812">
        <v>200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200</v>
      </c>
      <c r="AH1812">
        <v>2</v>
      </c>
      <c r="AI1812">
        <v>0</v>
      </c>
      <c r="AJ1812">
        <v>0</v>
      </c>
      <c r="AK1812">
        <v>200</v>
      </c>
      <c r="AL1812">
        <v>0</v>
      </c>
      <c r="AM1812">
        <v>0</v>
      </c>
      <c r="AN1812">
        <v>0</v>
      </c>
      <c r="AO1812">
        <v>0</v>
      </c>
      <c r="AP1812"/>
      <c r="AQ1812">
        <v>0</v>
      </c>
      <c r="AR1812">
        <v>0</v>
      </c>
      <c r="AT1812">
        <v>0</v>
      </c>
      <c r="AU1812">
        <v>0</v>
      </c>
      <c r="AW1812">
        <v>0</v>
      </c>
      <c r="AX1812">
        <v>0</v>
      </c>
      <c r="AY1812">
        <v>140</v>
      </c>
      <c r="BC1812" t="str">
        <f t="shared" si="309"/>
        <v>9791165310370</v>
      </c>
      <c r="BE1812" t="str">
        <f t="shared" si="306"/>
        <v>판타지 웹소설 &gt; 퓨전 판타지</v>
      </c>
    </row>
    <row r="1813" spans="1:57" x14ac:dyDescent="0.3">
      <c r="A1813">
        <v>2313008150</v>
      </c>
      <c r="B1813">
        <v>2313008209</v>
      </c>
      <c r="C1813" t="str">
        <f>T("기사가문 망나니는 10클래스 60화")</f>
        <v>기사가문 망나니는 10클래스 60화</v>
      </c>
      <c r="D1813" t="str">
        <f>T("60")</f>
        <v>60</v>
      </c>
      <c r="E1813" t="str">
        <f t="shared" si="307"/>
        <v>예로나</v>
      </c>
      <c r="H1813" t="str">
        <f t="shared" si="302"/>
        <v>스토리위즈</v>
      </c>
      <c r="I1813" t="str">
        <f t="shared" si="308"/>
        <v>기사가문 망나니는 10클래스</v>
      </c>
      <c r="J1813">
        <v>100</v>
      </c>
      <c r="K1813">
        <v>200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200</v>
      </c>
      <c r="AH1813">
        <v>2</v>
      </c>
      <c r="AI1813">
        <v>0</v>
      </c>
      <c r="AJ1813">
        <v>0</v>
      </c>
      <c r="AK1813">
        <v>200</v>
      </c>
      <c r="AL1813">
        <v>0</v>
      </c>
      <c r="AM1813">
        <v>0</v>
      </c>
      <c r="AN1813">
        <v>0</v>
      </c>
      <c r="AO1813">
        <v>0</v>
      </c>
      <c r="AP1813"/>
      <c r="AQ1813">
        <v>0</v>
      </c>
      <c r="AR1813">
        <v>0</v>
      </c>
      <c r="AT1813">
        <v>0</v>
      </c>
      <c r="AU1813">
        <v>0</v>
      </c>
      <c r="AW1813">
        <v>0</v>
      </c>
      <c r="AX1813">
        <v>0</v>
      </c>
      <c r="AY1813">
        <v>140</v>
      </c>
      <c r="BC1813" t="str">
        <f t="shared" si="309"/>
        <v>9791165310370</v>
      </c>
      <c r="BE1813" t="str">
        <f t="shared" si="306"/>
        <v>판타지 웹소설 &gt; 퓨전 판타지</v>
      </c>
    </row>
    <row r="1814" spans="1:57" x14ac:dyDescent="0.3">
      <c r="A1814">
        <v>2313008150</v>
      </c>
      <c r="B1814">
        <v>2313008210</v>
      </c>
      <c r="C1814" t="str">
        <f>T("기사가문 망나니는 10클래스 61화")</f>
        <v>기사가문 망나니는 10클래스 61화</v>
      </c>
      <c r="D1814" t="str">
        <f>T("61")</f>
        <v>61</v>
      </c>
      <c r="E1814" t="str">
        <f t="shared" si="307"/>
        <v>예로나</v>
      </c>
      <c r="H1814" t="str">
        <f t="shared" si="302"/>
        <v>스토리위즈</v>
      </c>
      <c r="I1814" t="str">
        <f t="shared" si="308"/>
        <v>기사가문 망나니는 10클래스</v>
      </c>
      <c r="J1814">
        <v>100</v>
      </c>
      <c r="K1814">
        <v>200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200</v>
      </c>
      <c r="AH1814">
        <v>2</v>
      </c>
      <c r="AI1814">
        <v>0</v>
      </c>
      <c r="AJ1814">
        <v>0</v>
      </c>
      <c r="AK1814">
        <v>200</v>
      </c>
      <c r="AL1814">
        <v>0</v>
      </c>
      <c r="AM1814">
        <v>0</v>
      </c>
      <c r="AN1814">
        <v>0</v>
      </c>
      <c r="AO1814">
        <v>0</v>
      </c>
      <c r="AP1814"/>
      <c r="AQ1814">
        <v>0</v>
      </c>
      <c r="AR1814">
        <v>0</v>
      </c>
      <c r="AT1814">
        <v>0</v>
      </c>
      <c r="AU1814">
        <v>0</v>
      </c>
      <c r="AW1814">
        <v>0</v>
      </c>
      <c r="AX1814">
        <v>0</v>
      </c>
      <c r="AY1814">
        <v>140</v>
      </c>
      <c r="BC1814" t="str">
        <f t="shared" si="309"/>
        <v>9791165310370</v>
      </c>
      <c r="BE1814" t="str">
        <f t="shared" si="306"/>
        <v>판타지 웹소설 &gt; 퓨전 판타지</v>
      </c>
    </row>
    <row r="1815" spans="1:57" x14ac:dyDescent="0.3">
      <c r="A1815">
        <v>2313008150</v>
      </c>
      <c r="B1815">
        <v>2313008211</v>
      </c>
      <c r="C1815" t="str">
        <f>T("기사가문 망나니는 10클래스 62화")</f>
        <v>기사가문 망나니는 10클래스 62화</v>
      </c>
      <c r="D1815" t="str">
        <f>T("62")</f>
        <v>62</v>
      </c>
      <c r="E1815" t="str">
        <f t="shared" si="307"/>
        <v>예로나</v>
      </c>
      <c r="H1815" t="str">
        <f t="shared" si="302"/>
        <v>스토리위즈</v>
      </c>
      <c r="I1815" t="str">
        <f t="shared" si="308"/>
        <v>기사가문 망나니는 10클래스</v>
      </c>
      <c r="J1815">
        <v>100</v>
      </c>
      <c r="K1815">
        <v>200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200</v>
      </c>
      <c r="AH1815">
        <v>2</v>
      </c>
      <c r="AI1815">
        <v>0</v>
      </c>
      <c r="AJ1815">
        <v>0</v>
      </c>
      <c r="AK1815">
        <v>200</v>
      </c>
      <c r="AL1815">
        <v>0</v>
      </c>
      <c r="AM1815">
        <v>0</v>
      </c>
      <c r="AN1815">
        <v>0</v>
      </c>
      <c r="AO1815">
        <v>0</v>
      </c>
      <c r="AP1815"/>
      <c r="AQ1815">
        <v>0</v>
      </c>
      <c r="AR1815">
        <v>0</v>
      </c>
      <c r="AT1815">
        <v>0</v>
      </c>
      <c r="AU1815">
        <v>0</v>
      </c>
      <c r="AW1815">
        <v>0</v>
      </c>
      <c r="AX1815">
        <v>0</v>
      </c>
      <c r="AY1815">
        <v>140</v>
      </c>
      <c r="BC1815" t="str">
        <f t="shared" si="309"/>
        <v>9791165310370</v>
      </c>
      <c r="BE1815" t="str">
        <f t="shared" si="306"/>
        <v>판타지 웹소설 &gt; 퓨전 판타지</v>
      </c>
    </row>
    <row r="1816" spans="1:57" x14ac:dyDescent="0.3">
      <c r="A1816">
        <v>2313008150</v>
      </c>
      <c r="B1816">
        <v>2313008212</v>
      </c>
      <c r="C1816" t="str">
        <f>T("기사가문 망나니는 10클래스 63화")</f>
        <v>기사가문 망나니는 10클래스 63화</v>
      </c>
      <c r="D1816" t="str">
        <f>T("63")</f>
        <v>63</v>
      </c>
      <c r="E1816" t="str">
        <f t="shared" si="307"/>
        <v>예로나</v>
      </c>
      <c r="H1816" t="str">
        <f t="shared" si="302"/>
        <v>스토리위즈</v>
      </c>
      <c r="I1816" t="str">
        <f t="shared" si="308"/>
        <v>기사가문 망나니는 10클래스</v>
      </c>
      <c r="J1816">
        <v>100</v>
      </c>
      <c r="K1816">
        <v>200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200</v>
      </c>
      <c r="AH1816">
        <v>2</v>
      </c>
      <c r="AI1816">
        <v>0</v>
      </c>
      <c r="AJ1816">
        <v>0</v>
      </c>
      <c r="AK1816">
        <v>200</v>
      </c>
      <c r="AL1816">
        <v>0</v>
      </c>
      <c r="AM1816">
        <v>0</v>
      </c>
      <c r="AN1816">
        <v>0</v>
      </c>
      <c r="AO1816">
        <v>0</v>
      </c>
      <c r="AP1816"/>
      <c r="AQ1816">
        <v>0</v>
      </c>
      <c r="AR1816">
        <v>0</v>
      </c>
      <c r="AT1816">
        <v>0</v>
      </c>
      <c r="AU1816">
        <v>0</v>
      </c>
      <c r="AW1816">
        <v>0</v>
      </c>
      <c r="AX1816">
        <v>0</v>
      </c>
      <c r="AY1816">
        <v>140</v>
      </c>
      <c r="BC1816" t="str">
        <f t="shared" si="309"/>
        <v>9791165310370</v>
      </c>
      <c r="BE1816" t="str">
        <f t="shared" si="306"/>
        <v>판타지 웹소설 &gt; 퓨전 판타지</v>
      </c>
    </row>
    <row r="1817" spans="1:57" x14ac:dyDescent="0.3">
      <c r="A1817">
        <v>2313008150</v>
      </c>
      <c r="B1817">
        <v>2313008213</v>
      </c>
      <c r="C1817" t="str">
        <f>T("기사가문 망나니는 10클래스 64화")</f>
        <v>기사가문 망나니는 10클래스 64화</v>
      </c>
      <c r="D1817" t="str">
        <f>T("64")</f>
        <v>64</v>
      </c>
      <c r="E1817" t="str">
        <f t="shared" si="307"/>
        <v>예로나</v>
      </c>
      <c r="H1817" t="str">
        <f t="shared" si="302"/>
        <v>스토리위즈</v>
      </c>
      <c r="I1817" t="str">
        <f t="shared" si="308"/>
        <v>기사가문 망나니는 10클래스</v>
      </c>
      <c r="J1817">
        <v>100</v>
      </c>
      <c r="K1817">
        <v>200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200</v>
      </c>
      <c r="AH1817">
        <v>2</v>
      </c>
      <c r="AI1817">
        <v>0</v>
      </c>
      <c r="AJ1817">
        <v>0</v>
      </c>
      <c r="AK1817">
        <v>200</v>
      </c>
      <c r="AL1817">
        <v>0</v>
      </c>
      <c r="AM1817">
        <v>0</v>
      </c>
      <c r="AN1817">
        <v>0</v>
      </c>
      <c r="AO1817">
        <v>0</v>
      </c>
      <c r="AP1817"/>
      <c r="AQ1817">
        <v>0</v>
      </c>
      <c r="AR1817">
        <v>0</v>
      </c>
      <c r="AT1817">
        <v>0</v>
      </c>
      <c r="AU1817">
        <v>0</v>
      </c>
      <c r="AW1817">
        <v>0</v>
      </c>
      <c r="AX1817">
        <v>0</v>
      </c>
      <c r="AY1817">
        <v>140</v>
      </c>
      <c r="BC1817" t="str">
        <f t="shared" si="309"/>
        <v>9791165310370</v>
      </c>
      <c r="BE1817" t="str">
        <f t="shared" si="306"/>
        <v>판타지 웹소설 &gt; 퓨전 판타지</v>
      </c>
    </row>
    <row r="1818" spans="1:57" x14ac:dyDescent="0.3">
      <c r="A1818">
        <v>2313008150</v>
      </c>
      <c r="B1818">
        <v>2313008214</v>
      </c>
      <c r="C1818" t="str">
        <f>T("기사가문 망나니는 10클래스 65화")</f>
        <v>기사가문 망나니는 10클래스 65화</v>
      </c>
      <c r="D1818" t="str">
        <f>T("65")</f>
        <v>65</v>
      </c>
      <c r="E1818" t="str">
        <f t="shared" si="307"/>
        <v>예로나</v>
      </c>
      <c r="H1818" t="str">
        <f t="shared" si="302"/>
        <v>스토리위즈</v>
      </c>
      <c r="I1818" t="str">
        <f t="shared" si="308"/>
        <v>기사가문 망나니는 10클래스</v>
      </c>
      <c r="J1818">
        <v>100</v>
      </c>
      <c r="K1818">
        <v>200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200</v>
      </c>
      <c r="AH1818">
        <v>2</v>
      </c>
      <c r="AI1818">
        <v>0</v>
      </c>
      <c r="AJ1818">
        <v>0</v>
      </c>
      <c r="AK1818">
        <v>200</v>
      </c>
      <c r="AL1818">
        <v>0</v>
      </c>
      <c r="AM1818">
        <v>0</v>
      </c>
      <c r="AN1818">
        <v>0</v>
      </c>
      <c r="AO1818">
        <v>0</v>
      </c>
      <c r="AP1818"/>
      <c r="AQ1818">
        <v>0</v>
      </c>
      <c r="AR1818">
        <v>0</v>
      </c>
      <c r="AT1818">
        <v>0</v>
      </c>
      <c r="AU1818">
        <v>0</v>
      </c>
      <c r="AW1818">
        <v>0</v>
      </c>
      <c r="AX1818">
        <v>0</v>
      </c>
      <c r="AY1818">
        <v>140</v>
      </c>
      <c r="BC1818" t="str">
        <f t="shared" si="309"/>
        <v>9791165310370</v>
      </c>
      <c r="BE1818" t="str">
        <f t="shared" si="306"/>
        <v>판타지 웹소설 &gt; 퓨전 판타지</v>
      </c>
    </row>
    <row r="1819" spans="1:57" x14ac:dyDescent="0.3">
      <c r="A1819">
        <v>2313008150</v>
      </c>
      <c r="B1819">
        <v>2313008215</v>
      </c>
      <c r="C1819" t="str">
        <f>T("기사가문 망나니는 10클래스 66화")</f>
        <v>기사가문 망나니는 10클래스 66화</v>
      </c>
      <c r="D1819" t="str">
        <f>T("66")</f>
        <v>66</v>
      </c>
      <c r="E1819" t="str">
        <f t="shared" si="307"/>
        <v>예로나</v>
      </c>
      <c r="H1819" t="str">
        <f t="shared" si="302"/>
        <v>스토리위즈</v>
      </c>
      <c r="I1819" t="str">
        <f t="shared" si="308"/>
        <v>기사가문 망나니는 10클래스</v>
      </c>
      <c r="J1819">
        <v>100</v>
      </c>
      <c r="K1819">
        <v>200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200</v>
      </c>
      <c r="AH1819">
        <v>2</v>
      </c>
      <c r="AI1819">
        <v>0</v>
      </c>
      <c r="AJ1819">
        <v>0</v>
      </c>
      <c r="AK1819">
        <v>200</v>
      </c>
      <c r="AL1819">
        <v>0</v>
      </c>
      <c r="AM1819">
        <v>0</v>
      </c>
      <c r="AN1819">
        <v>0</v>
      </c>
      <c r="AO1819">
        <v>0</v>
      </c>
      <c r="AP1819"/>
      <c r="AQ1819">
        <v>0</v>
      </c>
      <c r="AR1819">
        <v>0</v>
      </c>
      <c r="AT1819">
        <v>0</v>
      </c>
      <c r="AU1819">
        <v>0</v>
      </c>
      <c r="AW1819">
        <v>0</v>
      </c>
      <c r="AX1819">
        <v>0</v>
      </c>
      <c r="AY1819">
        <v>140</v>
      </c>
      <c r="BC1819" t="str">
        <f t="shared" si="309"/>
        <v>9791165310370</v>
      </c>
      <c r="BE1819" t="str">
        <f t="shared" si="306"/>
        <v>판타지 웹소설 &gt; 퓨전 판타지</v>
      </c>
    </row>
    <row r="1820" spans="1:57" x14ac:dyDescent="0.3">
      <c r="A1820">
        <v>2313008150</v>
      </c>
      <c r="B1820">
        <v>2313008216</v>
      </c>
      <c r="C1820" t="str">
        <f>T("기사가문 망나니는 10클래스 67화")</f>
        <v>기사가문 망나니는 10클래스 67화</v>
      </c>
      <c r="D1820" t="str">
        <f>T("67")</f>
        <v>67</v>
      </c>
      <c r="E1820" t="str">
        <f t="shared" si="307"/>
        <v>예로나</v>
      </c>
      <c r="H1820" t="str">
        <f t="shared" si="302"/>
        <v>스토리위즈</v>
      </c>
      <c r="I1820" t="str">
        <f t="shared" si="308"/>
        <v>기사가문 망나니는 10클래스</v>
      </c>
      <c r="J1820">
        <v>100</v>
      </c>
      <c r="K1820">
        <v>200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200</v>
      </c>
      <c r="AH1820">
        <v>2</v>
      </c>
      <c r="AI1820">
        <v>0</v>
      </c>
      <c r="AJ1820">
        <v>0</v>
      </c>
      <c r="AK1820">
        <v>200</v>
      </c>
      <c r="AL1820">
        <v>0</v>
      </c>
      <c r="AM1820">
        <v>0</v>
      </c>
      <c r="AN1820">
        <v>0</v>
      </c>
      <c r="AO1820">
        <v>0</v>
      </c>
      <c r="AP1820"/>
      <c r="AQ1820">
        <v>0</v>
      </c>
      <c r="AR1820">
        <v>0</v>
      </c>
      <c r="AT1820">
        <v>0</v>
      </c>
      <c r="AU1820">
        <v>0</v>
      </c>
      <c r="AW1820">
        <v>0</v>
      </c>
      <c r="AX1820">
        <v>0</v>
      </c>
      <c r="AY1820">
        <v>140</v>
      </c>
      <c r="BC1820" t="str">
        <f t="shared" si="309"/>
        <v>9791165310370</v>
      </c>
      <c r="BE1820" t="str">
        <f t="shared" si="306"/>
        <v>판타지 웹소설 &gt; 퓨전 판타지</v>
      </c>
    </row>
    <row r="1821" spans="1:57" x14ac:dyDescent="0.3">
      <c r="A1821">
        <v>2313008150</v>
      </c>
      <c r="B1821">
        <v>2313008217</v>
      </c>
      <c r="C1821" t="str">
        <f>T("기사가문 망나니는 10클래스 68화")</f>
        <v>기사가문 망나니는 10클래스 68화</v>
      </c>
      <c r="D1821" t="str">
        <f>T("68")</f>
        <v>68</v>
      </c>
      <c r="E1821" t="str">
        <f t="shared" si="307"/>
        <v>예로나</v>
      </c>
      <c r="H1821" t="str">
        <f t="shared" si="302"/>
        <v>스토리위즈</v>
      </c>
      <c r="I1821" t="str">
        <f t="shared" si="308"/>
        <v>기사가문 망나니는 10클래스</v>
      </c>
      <c r="J1821">
        <v>100</v>
      </c>
      <c r="K1821">
        <v>200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200</v>
      </c>
      <c r="AH1821">
        <v>2</v>
      </c>
      <c r="AI1821">
        <v>0</v>
      </c>
      <c r="AJ1821">
        <v>0</v>
      </c>
      <c r="AK1821">
        <v>200</v>
      </c>
      <c r="AL1821">
        <v>0</v>
      </c>
      <c r="AM1821">
        <v>0</v>
      </c>
      <c r="AN1821">
        <v>0</v>
      </c>
      <c r="AO1821">
        <v>0</v>
      </c>
      <c r="AP1821"/>
      <c r="AQ1821">
        <v>0</v>
      </c>
      <c r="AR1821">
        <v>0</v>
      </c>
      <c r="AT1821">
        <v>0</v>
      </c>
      <c r="AU1821">
        <v>0</v>
      </c>
      <c r="AW1821">
        <v>0</v>
      </c>
      <c r="AX1821">
        <v>0</v>
      </c>
      <c r="AY1821">
        <v>140</v>
      </c>
      <c r="BC1821" t="str">
        <f t="shared" si="309"/>
        <v>9791165310370</v>
      </c>
      <c r="BE1821" t="str">
        <f t="shared" si="306"/>
        <v>판타지 웹소설 &gt; 퓨전 판타지</v>
      </c>
    </row>
    <row r="1822" spans="1:57" x14ac:dyDescent="0.3">
      <c r="A1822">
        <v>2313008150</v>
      </c>
      <c r="B1822">
        <v>2313008218</v>
      </c>
      <c r="C1822" t="str">
        <f>T("기사가문 망나니는 10클래스 69화")</f>
        <v>기사가문 망나니는 10클래스 69화</v>
      </c>
      <c r="D1822" t="str">
        <f>T("69")</f>
        <v>69</v>
      </c>
      <c r="E1822" t="str">
        <f t="shared" si="307"/>
        <v>예로나</v>
      </c>
      <c r="H1822" t="str">
        <f t="shared" si="302"/>
        <v>스토리위즈</v>
      </c>
      <c r="I1822" t="str">
        <f t="shared" si="308"/>
        <v>기사가문 망나니는 10클래스</v>
      </c>
      <c r="J1822">
        <v>100</v>
      </c>
      <c r="K1822">
        <v>200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200</v>
      </c>
      <c r="AH1822">
        <v>2</v>
      </c>
      <c r="AI1822">
        <v>0</v>
      </c>
      <c r="AJ1822">
        <v>0</v>
      </c>
      <c r="AK1822">
        <v>200</v>
      </c>
      <c r="AL1822">
        <v>0</v>
      </c>
      <c r="AM1822">
        <v>0</v>
      </c>
      <c r="AN1822">
        <v>0</v>
      </c>
      <c r="AO1822">
        <v>0</v>
      </c>
      <c r="AP1822"/>
      <c r="AQ1822">
        <v>0</v>
      </c>
      <c r="AR1822">
        <v>0</v>
      </c>
      <c r="AT1822">
        <v>0</v>
      </c>
      <c r="AU1822">
        <v>0</v>
      </c>
      <c r="AW1822">
        <v>0</v>
      </c>
      <c r="AX1822">
        <v>0</v>
      </c>
      <c r="AY1822">
        <v>140</v>
      </c>
      <c r="BC1822" t="str">
        <f t="shared" si="309"/>
        <v>9791165310370</v>
      </c>
      <c r="BE1822" t="str">
        <f t="shared" si="306"/>
        <v>판타지 웹소설 &gt; 퓨전 판타지</v>
      </c>
    </row>
    <row r="1823" spans="1:57" x14ac:dyDescent="0.3">
      <c r="A1823">
        <v>2313008150</v>
      </c>
      <c r="B1823">
        <v>2313008219</v>
      </c>
      <c r="C1823" t="str">
        <f>T("기사가문 망나니는 10클래스 70화")</f>
        <v>기사가문 망나니는 10클래스 70화</v>
      </c>
      <c r="D1823" t="str">
        <f>T("70")</f>
        <v>70</v>
      </c>
      <c r="E1823" t="str">
        <f t="shared" si="307"/>
        <v>예로나</v>
      </c>
      <c r="H1823" t="str">
        <f t="shared" si="302"/>
        <v>스토리위즈</v>
      </c>
      <c r="I1823" t="str">
        <f t="shared" si="308"/>
        <v>기사가문 망나니는 10클래스</v>
      </c>
      <c r="J1823">
        <v>100</v>
      </c>
      <c r="K1823">
        <v>200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200</v>
      </c>
      <c r="AH1823">
        <v>2</v>
      </c>
      <c r="AI1823">
        <v>0</v>
      </c>
      <c r="AJ1823">
        <v>0</v>
      </c>
      <c r="AK1823">
        <v>200</v>
      </c>
      <c r="AL1823">
        <v>0</v>
      </c>
      <c r="AM1823">
        <v>0</v>
      </c>
      <c r="AN1823">
        <v>0</v>
      </c>
      <c r="AO1823">
        <v>0</v>
      </c>
      <c r="AP1823"/>
      <c r="AQ1823">
        <v>0</v>
      </c>
      <c r="AR1823">
        <v>0</v>
      </c>
      <c r="AT1823">
        <v>0</v>
      </c>
      <c r="AU1823">
        <v>0</v>
      </c>
      <c r="AW1823">
        <v>0</v>
      </c>
      <c r="AX1823">
        <v>0</v>
      </c>
      <c r="AY1823">
        <v>140</v>
      </c>
      <c r="BC1823" t="str">
        <f t="shared" si="309"/>
        <v>9791165310370</v>
      </c>
      <c r="BE1823" t="str">
        <f t="shared" si="306"/>
        <v>판타지 웹소설 &gt; 퓨전 판타지</v>
      </c>
    </row>
    <row r="1824" spans="1:57" x14ac:dyDescent="0.3">
      <c r="A1824">
        <v>2313008150</v>
      </c>
      <c r="B1824">
        <v>2313008220</v>
      </c>
      <c r="C1824" t="str">
        <f>T("기사가문 망나니는 10클래스 71화")</f>
        <v>기사가문 망나니는 10클래스 71화</v>
      </c>
      <c r="D1824" t="str">
        <f>T("71")</f>
        <v>71</v>
      </c>
      <c r="E1824" t="str">
        <f t="shared" si="307"/>
        <v>예로나</v>
      </c>
      <c r="H1824" t="str">
        <f t="shared" si="302"/>
        <v>스토리위즈</v>
      </c>
      <c r="I1824" t="str">
        <f t="shared" si="308"/>
        <v>기사가문 망나니는 10클래스</v>
      </c>
      <c r="J1824">
        <v>100</v>
      </c>
      <c r="K1824">
        <v>200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200</v>
      </c>
      <c r="AH1824">
        <v>2</v>
      </c>
      <c r="AI1824">
        <v>0</v>
      </c>
      <c r="AJ1824">
        <v>0</v>
      </c>
      <c r="AK1824">
        <v>200</v>
      </c>
      <c r="AL1824">
        <v>0</v>
      </c>
      <c r="AM1824">
        <v>0</v>
      </c>
      <c r="AN1824">
        <v>0</v>
      </c>
      <c r="AO1824">
        <v>0</v>
      </c>
      <c r="AP1824"/>
      <c r="AQ1824">
        <v>0</v>
      </c>
      <c r="AR1824">
        <v>0</v>
      </c>
      <c r="AT1824">
        <v>0</v>
      </c>
      <c r="AU1824">
        <v>0</v>
      </c>
      <c r="AW1824">
        <v>0</v>
      </c>
      <c r="AX1824">
        <v>0</v>
      </c>
      <c r="AY1824">
        <v>140</v>
      </c>
      <c r="BC1824" t="str">
        <f t="shared" si="309"/>
        <v>9791165310370</v>
      </c>
      <c r="BE1824" t="str">
        <f t="shared" si="306"/>
        <v>판타지 웹소설 &gt; 퓨전 판타지</v>
      </c>
    </row>
    <row r="1825" spans="1:57" x14ac:dyDescent="0.3">
      <c r="A1825">
        <v>2313008150</v>
      </c>
      <c r="B1825">
        <v>2313008221</v>
      </c>
      <c r="C1825" t="str">
        <f>T("기사가문 망나니는 10클래스 72화")</f>
        <v>기사가문 망나니는 10클래스 72화</v>
      </c>
      <c r="D1825" t="str">
        <f>T("72")</f>
        <v>72</v>
      </c>
      <c r="E1825" t="str">
        <f t="shared" si="307"/>
        <v>예로나</v>
      </c>
      <c r="H1825" t="str">
        <f t="shared" si="302"/>
        <v>스토리위즈</v>
      </c>
      <c r="I1825" t="str">
        <f t="shared" si="308"/>
        <v>기사가문 망나니는 10클래스</v>
      </c>
      <c r="J1825">
        <v>100</v>
      </c>
      <c r="K1825">
        <v>200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200</v>
      </c>
      <c r="AH1825">
        <v>2</v>
      </c>
      <c r="AI1825">
        <v>0</v>
      </c>
      <c r="AJ1825">
        <v>0</v>
      </c>
      <c r="AK1825">
        <v>200</v>
      </c>
      <c r="AL1825">
        <v>0</v>
      </c>
      <c r="AM1825">
        <v>0</v>
      </c>
      <c r="AN1825">
        <v>0</v>
      </c>
      <c r="AO1825">
        <v>0</v>
      </c>
      <c r="AP1825"/>
      <c r="AQ1825">
        <v>0</v>
      </c>
      <c r="AR1825">
        <v>0</v>
      </c>
      <c r="AT1825">
        <v>0</v>
      </c>
      <c r="AU1825">
        <v>0</v>
      </c>
      <c r="AW1825">
        <v>0</v>
      </c>
      <c r="AX1825">
        <v>0</v>
      </c>
      <c r="AY1825">
        <v>140</v>
      </c>
      <c r="BC1825" t="str">
        <f t="shared" si="309"/>
        <v>9791165310370</v>
      </c>
      <c r="BE1825" t="str">
        <f t="shared" si="306"/>
        <v>판타지 웹소설 &gt; 퓨전 판타지</v>
      </c>
    </row>
    <row r="1826" spans="1:57" x14ac:dyDescent="0.3">
      <c r="A1826">
        <v>2313008150</v>
      </c>
      <c r="B1826">
        <v>2313008222</v>
      </c>
      <c r="C1826" t="str">
        <f>T("기사가문 망나니는 10클래스 73화")</f>
        <v>기사가문 망나니는 10클래스 73화</v>
      </c>
      <c r="D1826" t="str">
        <f>T("73")</f>
        <v>73</v>
      </c>
      <c r="E1826" t="str">
        <f t="shared" si="307"/>
        <v>예로나</v>
      </c>
      <c r="H1826" t="str">
        <f t="shared" si="302"/>
        <v>스토리위즈</v>
      </c>
      <c r="I1826" t="str">
        <f t="shared" si="308"/>
        <v>기사가문 망나니는 10클래스</v>
      </c>
      <c r="J1826">
        <v>100</v>
      </c>
      <c r="K1826">
        <v>200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200</v>
      </c>
      <c r="AH1826">
        <v>2</v>
      </c>
      <c r="AI1826">
        <v>0</v>
      </c>
      <c r="AJ1826">
        <v>0</v>
      </c>
      <c r="AK1826">
        <v>200</v>
      </c>
      <c r="AL1826">
        <v>0</v>
      </c>
      <c r="AM1826">
        <v>0</v>
      </c>
      <c r="AN1826">
        <v>0</v>
      </c>
      <c r="AO1826">
        <v>0</v>
      </c>
      <c r="AP1826"/>
      <c r="AQ1826">
        <v>0</v>
      </c>
      <c r="AR1826">
        <v>0</v>
      </c>
      <c r="AT1826">
        <v>0</v>
      </c>
      <c r="AU1826">
        <v>0</v>
      </c>
      <c r="AW1826">
        <v>0</v>
      </c>
      <c r="AX1826">
        <v>0</v>
      </c>
      <c r="AY1826">
        <v>140</v>
      </c>
      <c r="BC1826" t="str">
        <f t="shared" si="309"/>
        <v>9791165310370</v>
      </c>
      <c r="BE1826" t="str">
        <f t="shared" si="306"/>
        <v>판타지 웹소설 &gt; 퓨전 판타지</v>
      </c>
    </row>
    <row r="1827" spans="1:57" x14ac:dyDescent="0.3">
      <c r="A1827">
        <v>2313008150</v>
      </c>
      <c r="B1827">
        <v>2313008223</v>
      </c>
      <c r="C1827" t="str">
        <f>T("기사가문 망나니는 10클래스 74화")</f>
        <v>기사가문 망나니는 10클래스 74화</v>
      </c>
      <c r="D1827" t="str">
        <f>T("74")</f>
        <v>74</v>
      </c>
      <c r="E1827" t="str">
        <f t="shared" si="307"/>
        <v>예로나</v>
      </c>
      <c r="H1827" t="str">
        <f t="shared" si="302"/>
        <v>스토리위즈</v>
      </c>
      <c r="I1827" t="str">
        <f t="shared" si="308"/>
        <v>기사가문 망나니는 10클래스</v>
      </c>
      <c r="J1827">
        <v>100</v>
      </c>
      <c r="K1827">
        <v>200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200</v>
      </c>
      <c r="AH1827">
        <v>2</v>
      </c>
      <c r="AI1827">
        <v>0</v>
      </c>
      <c r="AJ1827">
        <v>0</v>
      </c>
      <c r="AK1827">
        <v>200</v>
      </c>
      <c r="AL1827">
        <v>0</v>
      </c>
      <c r="AM1827">
        <v>0</v>
      </c>
      <c r="AN1827">
        <v>0</v>
      </c>
      <c r="AO1827">
        <v>0</v>
      </c>
      <c r="AP1827"/>
      <c r="AQ1827">
        <v>0</v>
      </c>
      <c r="AR1827">
        <v>0</v>
      </c>
      <c r="AT1827">
        <v>0</v>
      </c>
      <c r="AU1827">
        <v>0</v>
      </c>
      <c r="AW1827">
        <v>0</v>
      </c>
      <c r="AX1827">
        <v>0</v>
      </c>
      <c r="AY1827">
        <v>140</v>
      </c>
      <c r="BC1827" t="str">
        <f t="shared" si="309"/>
        <v>9791165310370</v>
      </c>
      <c r="BE1827" t="str">
        <f t="shared" si="306"/>
        <v>판타지 웹소설 &gt; 퓨전 판타지</v>
      </c>
    </row>
    <row r="1828" spans="1:57" x14ac:dyDescent="0.3">
      <c r="A1828">
        <v>2313008150</v>
      </c>
      <c r="B1828">
        <v>2313008224</v>
      </c>
      <c r="C1828" t="str">
        <f>T("기사가문 망나니는 10클래스 75화")</f>
        <v>기사가문 망나니는 10클래스 75화</v>
      </c>
      <c r="D1828" t="str">
        <f>T("75")</f>
        <v>75</v>
      </c>
      <c r="E1828" t="str">
        <f t="shared" si="307"/>
        <v>예로나</v>
      </c>
      <c r="H1828" t="str">
        <f t="shared" si="302"/>
        <v>스토리위즈</v>
      </c>
      <c r="I1828" t="str">
        <f t="shared" si="308"/>
        <v>기사가문 망나니는 10클래스</v>
      </c>
      <c r="J1828">
        <v>100</v>
      </c>
      <c r="K1828">
        <v>200</v>
      </c>
      <c r="L1828">
        <v>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200</v>
      </c>
      <c r="AH1828">
        <v>2</v>
      </c>
      <c r="AI1828">
        <v>0</v>
      </c>
      <c r="AJ1828">
        <v>0</v>
      </c>
      <c r="AK1828">
        <v>200</v>
      </c>
      <c r="AL1828">
        <v>0</v>
      </c>
      <c r="AM1828">
        <v>0</v>
      </c>
      <c r="AN1828">
        <v>0</v>
      </c>
      <c r="AO1828">
        <v>0</v>
      </c>
      <c r="AP1828"/>
      <c r="AQ1828">
        <v>0</v>
      </c>
      <c r="AR1828">
        <v>0</v>
      </c>
      <c r="AT1828">
        <v>0</v>
      </c>
      <c r="AU1828">
        <v>0</v>
      </c>
      <c r="AW1828">
        <v>0</v>
      </c>
      <c r="AX1828">
        <v>0</v>
      </c>
      <c r="AY1828">
        <v>140</v>
      </c>
      <c r="BC1828" t="str">
        <f t="shared" si="309"/>
        <v>9791165310370</v>
      </c>
      <c r="BE1828" t="str">
        <f t="shared" si="306"/>
        <v>판타지 웹소설 &gt; 퓨전 판타지</v>
      </c>
    </row>
    <row r="1829" spans="1:57" x14ac:dyDescent="0.3">
      <c r="A1829">
        <v>2313008150</v>
      </c>
      <c r="B1829">
        <v>2313008225</v>
      </c>
      <c r="C1829" t="str">
        <f>T("기사가문 망나니는 10클래스 76화")</f>
        <v>기사가문 망나니는 10클래스 76화</v>
      </c>
      <c r="D1829" t="str">
        <f>T("76")</f>
        <v>76</v>
      </c>
      <c r="E1829" t="str">
        <f t="shared" si="307"/>
        <v>예로나</v>
      </c>
      <c r="H1829" t="str">
        <f t="shared" si="302"/>
        <v>스토리위즈</v>
      </c>
      <c r="I1829" t="str">
        <f t="shared" si="308"/>
        <v>기사가문 망나니는 10클래스</v>
      </c>
      <c r="J1829">
        <v>100</v>
      </c>
      <c r="K1829">
        <v>200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200</v>
      </c>
      <c r="AH1829">
        <v>2</v>
      </c>
      <c r="AI1829">
        <v>0</v>
      </c>
      <c r="AJ1829">
        <v>0</v>
      </c>
      <c r="AK1829">
        <v>200</v>
      </c>
      <c r="AL1829">
        <v>0</v>
      </c>
      <c r="AM1829">
        <v>0</v>
      </c>
      <c r="AN1829">
        <v>0</v>
      </c>
      <c r="AO1829">
        <v>0</v>
      </c>
      <c r="AP1829"/>
      <c r="AQ1829">
        <v>0</v>
      </c>
      <c r="AR1829">
        <v>0</v>
      </c>
      <c r="AT1829">
        <v>0</v>
      </c>
      <c r="AU1829">
        <v>0</v>
      </c>
      <c r="AW1829">
        <v>0</v>
      </c>
      <c r="AX1829">
        <v>0</v>
      </c>
      <c r="AY1829">
        <v>140</v>
      </c>
      <c r="BC1829" t="str">
        <f t="shared" si="309"/>
        <v>9791165310370</v>
      </c>
      <c r="BE1829" t="str">
        <f t="shared" si="306"/>
        <v>판타지 웹소설 &gt; 퓨전 판타지</v>
      </c>
    </row>
    <row r="1830" spans="1:57" x14ac:dyDescent="0.3">
      <c r="A1830">
        <v>2313008150</v>
      </c>
      <c r="B1830">
        <v>2313008226</v>
      </c>
      <c r="C1830" t="str">
        <f>T("기사가문 망나니는 10클래스 77화")</f>
        <v>기사가문 망나니는 10클래스 77화</v>
      </c>
      <c r="D1830" t="str">
        <f>T("77")</f>
        <v>77</v>
      </c>
      <c r="E1830" t="str">
        <f t="shared" si="307"/>
        <v>예로나</v>
      </c>
      <c r="H1830" t="str">
        <f t="shared" si="302"/>
        <v>스토리위즈</v>
      </c>
      <c r="I1830" t="str">
        <f t="shared" si="308"/>
        <v>기사가문 망나니는 10클래스</v>
      </c>
      <c r="J1830">
        <v>100</v>
      </c>
      <c r="K1830">
        <v>200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200</v>
      </c>
      <c r="AH1830">
        <v>2</v>
      </c>
      <c r="AI1830">
        <v>0</v>
      </c>
      <c r="AJ1830">
        <v>0</v>
      </c>
      <c r="AK1830">
        <v>200</v>
      </c>
      <c r="AL1830">
        <v>0</v>
      </c>
      <c r="AM1830">
        <v>0</v>
      </c>
      <c r="AN1830">
        <v>0</v>
      </c>
      <c r="AO1830">
        <v>0</v>
      </c>
      <c r="AP1830"/>
      <c r="AQ1830">
        <v>0</v>
      </c>
      <c r="AR1830">
        <v>0</v>
      </c>
      <c r="AT1830">
        <v>0</v>
      </c>
      <c r="AU1830">
        <v>0</v>
      </c>
      <c r="AW1830">
        <v>0</v>
      </c>
      <c r="AX1830">
        <v>0</v>
      </c>
      <c r="AY1830">
        <v>140</v>
      </c>
      <c r="BC1830" t="str">
        <f t="shared" si="309"/>
        <v>9791165310370</v>
      </c>
      <c r="BE1830" t="str">
        <f t="shared" si="306"/>
        <v>판타지 웹소설 &gt; 퓨전 판타지</v>
      </c>
    </row>
    <row r="1831" spans="1:57" x14ac:dyDescent="0.3">
      <c r="A1831">
        <v>2313008150</v>
      </c>
      <c r="B1831">
        <v>2313008227</v>
      </c>
      <c r="C1831" t="str">
        <f>T("기사가문 망나니는 10클래스 78화")</f>
        <v>기사가문 망나니는 10클래스 78화</v>
      </c>
      <c r="D1831" t="str">
        <f>T("78")</f>
        <v>78</v>
      </c>
      <c r="E1831" t="str">
        <f t="shared" si="307"/>
        <v>예로나</v>
      </c>
      <c r="H1831" t="str">
        <f t="shared" ref="H1831:H1894" si="310">T("스토리위즈")</f>
        <v>스토리위즈</v>
      </c>
      <c r="I1831" t="str">
        <f t="shared" si="308"/>
        <v>기사가문 망나니는 10클래스</v>
      </c>
      <c r="J1831">
        <v>100</v>
      </c>
      <c r="K1831">
        <v>200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200</v>
      </c>
      <c r="AH1831">
        <v>2</v>
      </c>
      <c r="AI1831">
        <v>0</v>
      </c>
      <c r="AJ1831">
        <v>0</v>
      </c>
      <c r="AK1831">
        <v>200</v>
      </c>
      <c r="AL1831">
        <v>0</v>
      </c>
      <c r="AM1831">
        <v>0</v>
      </c>
      <c r="AN1831">
        <v>0</v>
      </c>
      <c r="AO1831">
        <v>0</v>
      </c>
      <c r="AP1831"/>
      <c r="AQ1831">
        <v>0</v>
      </c>
      <c r="AR1831">
        <v>0</v>
      </c>
      <c r="AT1831">
        <v>0</v>
      </c>
      <c r="AU1831">
        <v>0</v>
      </c>
      <c r="AW1831">
        <v>0</v>
      </c>
      <c r="AX1831">
        <v>0</v>
      </c>
      <c r="AY1831">
        <v>140</v>
      </c>
      <c r="BC1831" t="str">
        <f t="shared" si="309"/>
        <v>9791165310370</v>
      </c>
      <c r="BE1831" t="str">
        <f t="shared" si="306"/>
        <v>판타지 웹소설 &gt; 퓨전 판타지</v>
      </c>
    </row>
    <row r="1832" spans="1:57" x14ac:dyDescent="0.3">
      <c r="A1832">
        <v>2313008150</v>
      </c>
      <c r="B1832">
        <v>2313008228</v>
      </c>
      <c r="C1832" t="str">
        <f>T("기사가문 망나니는 10클래스 79화")</f>
        <v>기사가문 망나니는 10클래스 79화</v>
      </c>
      <c r="D1832" t="str">
        <f>T("79")</f>
        <v>79</v>
      </c>
      <c r="E1832" t="str">
        <f t="shared" si="307"/>
        <v>예로나</v>
      </c>
      <c r="H1832" t="str">
        <f t="shared" si="310"/>
        <v>스토리위즈</v>
      </c>
      <c r="I1832" t="str">
        <f t="shared" si="308"/>
        <v>기사가문 망나니는 10클래스</v>
      </c>
      <c r="J1832">
        <v>100</v>
      </c>
      <c r="K1832">
        <v>200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200</v>
      </c>
      <c r="AH1832">
        <v>2</v>
      </c>
      <c r="AI1832">
        <v>0</v>
      </c>
      <c r="AJ1832">
        <v>0</v>
      </c>
      <c r="AK1832">
        <v>200</v>
      </c>
      <c r="AL1832">
        <v>0</v>
      </c>
      <c r="AM1832">
        <v>0</v>
      </c>
      <c r="AN1832">
        <v>0</v>
      </c>
      <c r="AO1832">
        <v>0</v>
      </c>
      <c r="AP1832"/>
      <c r="AQ1832">
        <v>0</v>
      </c>
      <c r="AR1832">
        <v>0</v>
      </c>
      <c r="AT1832">
        <v>0</v>
      </c>
      <c r="AU1832">
        <v>0</v>
      </c>
      <c r="AW1832">
        <v>0</v>
      </c>
      <c r="AX1832">
        <v>0</v>
      </c>
      <c r="AY1832">
        <v>140</v>
      </c>
      <c r="BC1832" t="str">
        <f t="shared" si="309"/>
        <v>9791165310370</v>
      </c>
      <c r="BE1832" t="str">
        <f t="shared" si="306"/>
        <v>판타지 웹소설 &gt; 퓨전 판타지</v>
      </c>
    </row>
    <row r="1833" spans="1:57" x14ac:dyDescent="0.3">
      <c r="A1833">
        <v>2313008150</v>
      </c>
      <c r="B1833">
        <v>2313008229</v>
      </c>
      <c r="C1833" t="str">
        <f>T("기사가문 망나니는 10클래스 80화")</f>
        <v>기사가문 망나니는 10클래스 80화</v>
      </c>
      <c r="D1833" t="str">
        <f>T("80")</f>
        <v>80</v>
      </c>
      <c r="E1833" t="str">
        <f t="shared" si="307"/>
        <v>예로나</v>
      </c>
      <c r="H1833" t="str">
        <f t="shared" si="310"/>
        <v>스토리위즈</v>
      </c>
      <c r="I1833" t="str">
        <f t="shared" si="308"/>
        <v>기사가문 망나니는 10클래스</v>
      </c>
      <c r="J1833">
        <v>100</v>
      </c>
      <c r="K1833">
        <v>200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200</v>
      </c>
      <c r="AH1833">
        <v>2</v>
      </c>
      <c r="AI1833">
        <v>0</v>
      </c>
      <c r="AJ1833">
        <v>0</v>
      </c>
      <c r="AK1833">
        <v>200</v>
      </c>
      <c r="AL1833">
        <v>0</v>
      </c>
      <c r="AM1833">
        <v>0</v>
      </c>
      <c r="AN1833">
        <v>0</v>
      </c>
      <c r="AO1833">
        <v>0</v>
      </c>
      <c r="AP1833"/>
      <c r="AQ1833">
        <v>0</v>
      </c>
      <c r="AR1833">
        <v>0</v>
      </c>
      <c r="AT1833">
        <v>0</v>
      </c>
      <c r="AU1833">
        <v>0</v>
      </c>
      <c r="AW1833">
        <v>0</v>
      </c>
      <c r="AX1833">
        <v>0</v>
      </c>
      <c r="AY1833">
        <v>140</v>
      </c>
      <c r="BC1833" t="str">
        <f t="shared" si="309"/>
        <v>9791165310370</v>
      </c>
      <c r="BE1833" t="str">
        <f t="shared" si="306"/>
        <v>판타지 웹소설 &gt; 퓨전 판타지</v>
      </c>
    </row>
    <row r="1834" spans="1:57" x14ac:dyDescent="0.3">
      <c r="A1834">
        <v>2313008150</v>
      </c>
      <c r="B1834">
        <v>2313008230</v>
      </c>
      <c r="C1834" t="str">
        <f>T("기사가문 망나니는 10클래스 81화")</f>
        <v>기사가문 망나니는 10클래스 81화</v>
      </c>
      <c r="D1834" t="str">
        <f>T("81")</f>
        <v>81</v>
      </c>
      <c r="E1834" t="str">
        <f t="shared" si="307"/>
        <v>예로나</v>
      </c>
      <c r="H1834" t="str">
        <f t="shared" si="310"/>
        <v>스토리위즈</v>
      </c>
      <c r="I1834" t="str">
        <f t="shared" si="308"/>
        <v>기사가문 망나니는 10클래스</v>
      </c>
      <c r="J1834">
        <v>100</v>
      </c>
      <c r="K1834">
        <v>200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200</v>
      </c>
      <c r="AH1834">
        <v>2</v>
      </c>
      <c r="AI1834">
        <v>0</v>
      </c>
      <c r="AJ1834">
        <v>0</v>
      </c>
      <c r="AK1834">
        <v>200</v>
      </c>
      <c r="AL1834">
        <v>0</v>
      </c>
      <c r="AM1834">
        <v>0</v>
      </c>
      <c r="AN1834">
        <v>0</v>
      </c>
      <c r="AO1834">
        <v>0</v>
      </c>
      <c r="AP1834"/>
      <c r="AQ1834">
        <v>0</v>
      </c>
      <c r="AR1834">
        <v>0</v>
      </c>
      <c r="AT1834">
        <v>0</v>
      </c>
      <c r="AU1834">
        <v>0</v>
      </c>
      <c r="AW1834">
        <v>0</v>
      </c>
      <c r="AX1834">
        <v>0</v>
      </c>
      <c r="AY1834">
        <v>140</v>
      </c>
      <c r="BC1834" t="str">
        <f t="shared" si="309"/>
        <v>9791165310370</v>
      </c>
      <c r="BE1834" t="str">
        <f t="shared" si="306"/>
        <v>판타지 웹소설 &gt; 퓨전 판타지</v>
      </c>
    </row>
    <row r="1835" spans="1:57" x14ac:dyDescent="0.3">
      <c r="A1835">
        <v>2313008150</v>
      </c>
      <c r="B1835">
        <v>2313008231</v>
      </c>
      <c r="C1835" t="str">
        <f>T("기사가문 망나니는 10클래스 82화")</f>
        <v>기사가문 망나니는 10클래스 82화</v>
      </c>
      <c r="D1835" t="str">
        <f>T("82")</f>
        <v>82</v>
      </c>
      <c r="E1835" t="str">
        <f t="shared" si="307"/>
        <v>예로나</v>
      </c>
      <c r="H1835" t="str">
        <f t="shared" si="310"/>
        <v>스토리위즈</v>
      </c>
      <c r="I1835" t="str">
        <f t="shared" si="308"/>
        <v>기사가문 망나니는 10클래스</v>
      </c>
      <c r="J1835">
        <v>100</v>
      </c>
      <c r="K1835">
        <v>200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200</v>
      </c>
      <c r="AH1835">
        <v>2</v>
      </c>
      <c r="AI1835">
        <v>0</v>
      </c>
      <c r="AJ1835">
        <v>0</v>
      </c>
      <c r="AK1835">
        <v>200</v>
      </c>
      <c r="AL1835">
        <v>0</v>
      </c>
      <c r="AM1835">
        <v>0</v>
      </c>
      <c r="AN1835">
        <v>0</v>
      </c>
      <c r="AO1835">
        <v>0</v>
      </c>
      <c r="AP1835"/>
      <c r="AQ1835">
        <v>0</v>
      </c>
      <c r="AR1835">
        <v>0</v>
      </c>
      <c r="AT1835">
        <v>0</v>
      </c>
      <c r="AU1835">
        <v>0</v>
      </c>
      <c r="AW1835">
        <v>0</v>
      </c>
      <c r="AX1835">
        <v>0</v>
      </c>
      <c r="AY1835">
        <v>140</v>
      </c>
      <c r="BC1835" t="str">
        <f t="shared" si="309"/>
        <v>9791165310370</v>
      </c>
      <c r="BE1835" t="str">
        <f t="shared" si="306"/>
        <v>판타지 웹소설 &gt; 퓨전 판타지</v>
      </c>
    </row>
    <row r="1836" spans="1:57" x14ac:dyDescent="0.3">
      <c r="A1836">
        <v>2313008150</v>
      </c>
      <c r="B1836">
        <v>2313008232</v>
      </c>
      <c r="C1836" t="str">
        <f>T("기사가문 망나니는 10클래스 83화")</f>
        <v>기사가문 망나니는 10클래스 83화</v>
      </c>
      <c r="D1836" t="str">
        <f>T("83")</f>
        <v>83</v>
      </c>
      <c r="E1836" t="str">
        <f t="shared" si="307"/>
        <v>예로나</v>
      </c>
      <c r="H1836" t="str">
        <f t="shared" si="310"/>
        <v>스토리위즈</v>
      </c>
      <c r="I1836" t="str">
        <f t="shared" si="308"/>
        <v>기사가문 망나니는 10클래스</v>
      </c>
      <c r="J1836">
        <v>100</v>
      </c>
      <c r="K1836">
        <v>200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200</v>
      </c>
      <c r="AH1836">
        <v>2</v>
      </c>
      <c r="AI1836">
        <v>0</v>
      </c>
      <c r="AJ1836">
        <v>0</v>
      </c>
      <c r="AK1836">
        <v>200</v>
      </c>
      <c r="AL1836">
        <v>0</v>
      </c>
      <c r="AM1836">
        <v>0</v>
      </c>
      <c r="AN1836">
        <v>0</v>
      </c>
      <c r="AO1836">
        <v>0</v>
      </c>
      <c r="AP1836"/>
      <c r="AQ1836">
        <v>0</v>
      </c>
      <c r="AR1836">
        <v>0</v>
      </c>
      <c r="AT1836">
        <v>0</v>
      </c>
      <c r="AU1836">
        <v>0</v>
      </c>
      <c r="AW1836">
        <v>0</v>
      </c>
      <c r="AX1836">
        <v>0</v>
      </c>
      <c r="AY1836">
        <v>140</v>
      </c>
      <c r="BC1836" t="str">
        <f t="shared" si="309"/>
        <v>9791165310370</v>
      </c>
      <c r="BE1836" t="str">
        <f t="shared" ref="BE1836:BE1894" si="311">T("판타지 웹소설 &gt; 퓨전 판타지")</f>
        <v>판타지 웹소설 &gt; 퓨전 판타지</v>
      </c>
    </row>
    <row r="1837" spans="1:57" x14ac:dyDescent="0.3">
      <c r="A1837">
        <v>2313008150</v>
      </c>
      <c r="B1837">
        <v>2313008233</v>
      </c>
      <c r="C1837" t="str">
        <f>T("기사가문 망나니는 10클래스 84화")</f>
        <v>기사가문 망나니는 10클래스 84화</v>
      </c>
      <c r="D1837" t="str">
        <f>T("84")</f>
        <v>84</v>
      </c>
      <c r="E1837" t="str">
        <f t="shared" si="307"/>
        <v>예로나</v>
      </c>
      <c r="H1837" t="str">
        <f t="shared" si="310"/>
        <v>스토리위즈</v>
      </c>
      <c r="I1837" t="str">
        <f t="shared" si="308"/>
        <v>기사가문 망나니는 10클래스</v>
      </c>
      <c r="J1837">
        <v>100</v>
      </c>
      <c r="K1837">
        <v>200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200</v>
      </c>
      <c r="AH1837">
        <v>2</v>
      </c>
      <c r="AI1837">
        <v>0</v>
      </c>
      <c r="AJ1837">
        <v>0</v>
      </c>
      <c r="AK1837">
        <v>200</v>
      </c>
      <c r="AL1837">
        <v>0</v>
      </c>
      <c r="AM1837">
        <v>0</v>
      </c>
      <c r="AN1837">
        <v>0</v>
      </c>
      <c r="AO1837">
        <v>0</v>
      </c>
      <c r="AP1837"/>
      <c r="AQ1837">
        <v>0</v>
      </c>
      <c r="AR1837">
        <v>0</v>
      </c>
      <c r="AT1837">
        <v>0</v>
      </c>
      <c r="AU1837">
        <v>0</v>
      </c>
      <c r="AW1837">
        <v>0</v>
      </c>
      <c r="AX1837">
        <v>0</v>
      </c>
      <c r="AY1837">
        <v>140</v>
      </c>
      <c r="BC1837" t="str">
        <f t="shared" si="309"/>
        <v>9791165310370</v>
      </c>
      <c r="BE1837" t="str">
        <f t="shared" si="311"/>
        <v>판타지 웹소설 &gt; 퓨전 판타지</v>
      </c>
    </row>
    <row r="1838" spans="1:57" x14ac:dyDescent="0.3">
      <c r="A1838">
        <v>2313008150</v>
      </c>
      <c r="B1838">
        <v>2313008234</v>
      </c>
      <c r="C1838" t="str">
        <f>T("기사가문 망나니는 10클래스 85화")</f>
        <v>기사가문 망나니는 10클래스 85화</v>
      </c>
      <c r="D1838" t="str">
        <f>T("85")</f>
        <v>85</v>
      </c>
      <c r="E1838" t="str">
        <f t="shared" si="307"/>
        <v>예로나</v>
      </c>
      <c r="H1838" t="str">
        <f t="shared" si="310"/>
        <v>스토리위즈</v>
      </c>
      <c r="I1838" t="str">
        <f t="shared" si="308"/>
        <v>기사가문 망나니는 10클래스</v>
      </c>
      <c r="J1838">
        <v>100</v>
      </c>
      <c r="K1838">
        <v>200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200</v>
      </c>
      <c r="AH1838">
        <v>2</v>
      </c>
      <c r="AI1838">
        <v>0</v>
      </c>
      <c r="AJ1838">
        <v>0</v>
      </c>
      <c r="AK1838">
        <v>200</v>
      </c>
      <c r="AL1838">
        <v>0</v>
      </c>
      <c r="AM1838">
        <v>0</v>
      </c>
      <c r="AN1838">
        <v>0</v>
      </c>
      <c r="AO1838">
        <v>0</v>
      </c>
      <c r="AP1838"/>
      <c r="AQ1838">
        <v>0</v>
      </c>
      <c r="AR1838">
        <v>0</v>
      </c>
      <c r="AT1838">
        <v>0</v>
      </c>
      <c r="AU1838">
        <v>0</v>
      </c>
      <c r="AW1838">
        <v>0</v>
      </c>
      <c r="AX1838">
        <v>0</v>
      </c>
      <c r="AY1838">
        <v>140</v>
      </c>
      <c r="BC1838" t="str">
        <f t="shared" si="309"/>
        <v>9791165310370</v>
      </c>
      <c r="BE1838" t="str">
        <f t="shared" si="311"/>
        <v>판타지 웹소설 &gt; 퓨전 판타지</v>
      </c>
    </row>
    <row r="1839" spans="1:57" x14ac:dyDescent="0.3">
      <c r="A1839">
        <v>2313008150</v>
      </c>
      <c r="B1839">
        <v>2313008235</v>
      </c>
      <c r="C1839" t="str">
        <f>T("기사가문 망나니는 10클래스 86화")</f>
        <v>기사가문 망나니는 10클래스 86화</v>
      </c>
      <c r="D1839" t="str">
        <f>T("86")</f>
        <v>86</v>
      </c>
      <c r="E1839" t="str">
        <f t="shared" si="307"/>
        <v>예로나</v>
      </c>
      <c r="H1839" t="str">
        <f t="shared" si="310"/>
        <v>스토리위즈</v>
      </c>
      <c r="I1839" t="str">
        <f t="shared" si="308"/>
        <v>기사가문 망나니는 10클래스</v>
      </c>
      <c r="J1839">
        <v>100</v>
      </c>
      <c r="K1839">
        <v>200</v>
      </c>
      <c r="L1839">
        <v>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200</v>
      </c>
      <c r="AH1839">
        <v>2</v>
      </c>
      <c r="AI1839">
        <v>0</v>
      </c>
      <c r="AJ1839">
        <v>0</v>
      </c>
      <c r="AK1839">
        <v>200</v>
      </c>
      <c r="AL1839">
        <v>0</v>
      </c>
      <c r="AM1839">
        <v>0</v>
      </c>
      <c r="AN1839">
        <v>0</v>
      </c>
      <c r="AO1839">
        <v>0</v>
      </c>
      <c r="AP1839"/>
      <c r="AQ1839">
        <v>0</v>
      </c>
      <c r="AR1839">
        <v>0</v>
      </c>
      <c r="AT1839">
        <v>0</v>
      </c>
      <c r="AU1839">
        <v>0</v>
      </c>
      <c r="AW1839">
        <v>0</v>
      </c>
      <c r="AX1839">
        <v>0</v>
      </c>
      <c r="AY1839">
        <v>140</v>
      </c>
      <c r="BC1839" t="str">
        <f t="shared" si="309"/>
        <v>9791165310370</v>
      </c>
      <c r="BE1839" t="str">
        <f t="shared" si="311"/>
        <v>판타지 웹소설 &gt; 퓨전 판타지</v>
      </c>
    </row>
    <row r="1840" spans="1:57" x14ac:dyDescent="0.3">
      <c r="A1840">
        <v>2313008150</v>
      </c>
      <c r="B1840">
        <v>2313008236</v>
      </c>
      <c r="C1840" t="str">
        <f>T("기사가문 망나니는 10클래스 87화")</f>
        <v>기사가문 망나니는 10클래스 87화</v>
      </c>
      <c r="D1840" t="str">
        <f>T("87")</f>
        <v>87</v>
      </c>
      <c r="E1840" t="str">
        <f t="shared" si="307"/>
        <v>예로나</v>
      </c>
      <c r="H1840" t="str">
        <f t="shared" si="310"/>
        <v>스토리위즈</v>
      </c>
      <c r="I1840" t="str">
        <f t="shared" si="308"/>
        <v>기사가문 망나니는 10클래스</v>
      </c>
      <c r="J1840">
        <v>100</v>
      </c>
      <c r="K1840">
        <v>200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200</v>
      </c>
      <c r="AH1840">
        <v>2</v>
      </c>
      <c r="AI1840">
        <v>0</v>
      </c>
      <c r="AJ1840">
        <v>0</v>
      </c>
      <c r="AK1840">
        <v>200</v>
      </c>
      <c r="AL1840">
        <v>0</v>
      </c>
      <c r="AM1840">
        <v>0</v>
      </c>
      <c r="AN1840">
        <v>0</v>
      </c>
      <c r="AO1840">
        <v>0</v>
      </c>
      <c r="AP1840"/>
      <c r="AQ1840">
        <v>0</v>
      </c>
      <c r="AR1840">
        <v>0</v>
      </c>
      <c r="AT1840">
        <v>0</v>
      </c>
      <c r="AU1840">
        <v>0</v>
      </c>
      <c r="AW1840">
        <v>0</v>
      </c>
      <c r="AX1840">
        <v>0</v>
      </c>
      <c r="AY1840">
        <v>140</v>
      </c>
      <c r="BC1840" t="str">
        <f t="shared" si="309"/>
        <v>9791165310370</v>
      </c>
      <c r="BE1840" t="str">
        <f t="shared" si="311"/>
        <v>판타지 웹소설 &gt; 퓨전 판타지</v>
      </c>
    </row>
    <row r="1841" spans="1:57" x14ac:dyDescent="0.3">
      <c r="A1841">
        <v>2313008150</v>
      </c>
      <c r="B1841">
        <v>2313008237</v>
      </c>
      <c r="C1841" t="str">
        <f>T("기사가문 망나니는 10클래스 88화")</f>
        <v>기사가문 망나니는 10클래스 88화</v>
      </c>
      <c r="D1841" t="str">
        <f>T("88")</f>
        <v>88</v>
      </c>
      <c r="E1841" t="str">
        <f t="shared" si="307"/>
        <v>예로나</v>
      </c>
      <c r="H1841" t="str">
        <f t="shared" si="310"/>
        <v>스토리위즈</v>
      </c>
      <c r="I1841" t="str">
        <f t="shared" si="308"/>
        <v>기사가문 망나니는 10클래스</v>
      </c>
      <c r="J1841">
        <v>100</v>
      </c>
      <c r="K1841">
        <v>200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200</v>
      </c>
      <c r="AH1841">
        <v>2</v>
      </c>
      <c r="AI1841">
        <v>0</v>
      </c>
      <c r="AJ1841">
        <v>0</v>
      </c>
      <c r="AK1841">
        <v>200</v>
      </c>
      <c r="AL1841">
        <v>0</v>
      </c>
      <c r="AM1841">
        <v>0</v>
      </c>
      <c r="AN1841">
        <v>0</v>
      </c>
      <c r="AO1841">
        <v>0</v>
      </c>
      <c r="AP1841"/>
      <c r="AQ1841">
        <v>0</v>
      </c>
      <c r="AR1841">
        <v>0</v>
      </c>
      <c r="AT1841">
        <v>0</v>
      </c>
      <c r="AU1841">
        <v>0</v>
      </c>
      <c r="AW1841">
        <v>0</v>
      </c>
      <c r="AX1841">
        <v>0</v>
      </c>
      <c r="AY1841">
        <v>140</v>
      </c>
      <c r="BC1841" t="str">
        <f t="shared" si="309"/>
        <v>9791165310370</v>
      </c>
      <c r="BE1841" t="str">
        <f t="shared" si="311"/>
        <v>판타지 웹소설 &gt; 퓨전 판타지</v>
      </c>
    </row>
    <row r="1842" spans="1:57" x14ac:dyDescent="0.3">
      <c r="A1842">
        <v>2313008150</v>
      </c>
      <c r="B1842">
        <v>2313008238</v>
      </c>
      <c r="C1842" t="str">
        <f>T("기사가문 망나니는 10클래스 89화")</f>
        <v>기사가문 망나니는 10클래스 89화</v>
      </c>
      <c r="D1842" t="str">
        <f>T("89")</f>
        <v>89</v>
      </c>
      <c r="E1842" t="str">
        <f t="shared" si="307"/>
        <v>예로나</v>
      </c>
      <c r="H1842" t="str">
        <f t="shared" si="310"/>
        <v>스토리위즈</v>
      </c>
      <c r="I1842" t="str">
        <f t="shared" si="308"/>
        <v>기사가문 망나니는 10클래스</v>
      </c>
      <c r="J1842">
        <v>100</v>
      </c>
      <c r="K1842">
        <v>200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200</v>
      </c>
      <c r="AH1842">
        <v>2</v>
      </c>
      <c r="AI1842">
        <v>0</v>
      </c>
      <c r="AJ1842">
        <v>0</v>
      </c>
      <c r="AK1842">
        <v>200</v>
      </c>
      <c r="AL1842">
        <v>0</v>
      </c>
      <c r="AM1842">
        <v>0</v>
      </c>
      <c r="AN1842">
        <v>0</v>
      </c>
      <c r="AO1842">
        <v>0</v>
      </c>
      <c r="AP1842"/>
      <c r="AQ1842">
        <v>0</v>
      </c>
      <c r="AR1842">
        <v>0</v>
      </c>
      <c r="AT1842">
        <v>0</v>
      </c>
      <c r="AU1842">
        <v>0</v>
      </c>
      <c r="AW1842">
        <v>0</v>
      </c>
      <c r="AX1842">
        <v>0</v>
      </c>
      <c r="AY1842">
        <v>140</v>
      </c>
      <c r="BC1842" t="str">
        <f t="shared" si="309"/>
        <v>9791165310370</v>
      </c>
      <c r="BE1842" t="str">
        <f t="shared" si="311"/>
        <v>판타지 웹소설 &gt; 퓨전 판타지</v>
      </c>
    </row>
    <row r="1843" spans="1:57" x14ac:dyDescent="0.3">
      <c r="A1843">
        <v>2313008150</v>
      </c>
      <c r="B1843">
        <v>2313008239</v>
      </c>
      <c r="C1843" t="str">
        <f>T("기사가문 망나니는 10클래스 90화")</f>
        <v>기사가문 망나니는 10클래스 90화</v>
      </c>
      <c r="D1843" t="str">
        <f>T("90")</f>
        <v>90</v>
      </c>
      <c r="E1843" t="str">
        <f t="shared" si="307"/>
        <v>예로나</v>
      </c>
      <c r="H1843" t="str">
        <f t="shared" si="310"/>
        <v>스토리위즈</v>
      </c>
      <c r="I1843" t="str">
        <f t="shared" si="308"/>
        <v>기사가문 망나니는 10클래스</v>
      </c>
      <c r="J1843">
        <v>100</v>
      </c>
      <c r="K1843">
        <v>200</v>
      </c>
      <c r="L1843">
        <v>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200</v>
      </c>
      <c r="AH1843">
        <v>2</v>
      </c>
      <c r="AI1843">
        <v>0</v>
      </c>
      <c r="AJ1843">
        <v>0</v>
      </c>
      <c r="AK1843">
        <v>200</v>
      </c>
      <c r="AL1843">
        <v>0</v>
      </c>
      <c r="AM1843">
        <v>0</v>
      </c>
      <c r="AN1843">
        <v>0</v>
      </c>
      <c r="AO1843">
        <v>0</v>
      </c>
      <c r="AP1843"/>
      <c r="AQ1843">
        <v>0</v>
      </c>
      <c r="AR1843">
        <v>0</v>
      </c>
      <c r="AT1843">
        <v>0</v>
      </c>
      <c r="AU1843">
        <v>0</v>
      </c>
      <c r="AW1843">
        <v>0</v>
      </c>
      <c r="AX1843">
        <v>0</v>
      </c>
      <c r="AY1843">
        <v>140</v>
      </c>
      <c r="BC1843" t="str">
        <f t="shared" si="309"/>
        <v>9791165310370</v>
      </c>
      <c r="BE1843" t="str">
        <f t="shared" si="311"/>
        <v>판타지 웹소설 &gt; 퓨전 판타지</v>
      </c>
    </row>
    <row r="1844" spans="1:57" x14ac:dyDescent="0.3">
      <c r="A1844">
        <v>2313008150</v>
      </c>
      <c r="B1844">
        <v>2313008240</v>
      </c>
      <c r="C1844" t="str">
        <f>T("기사가문 망나니는 10클래스 91화")</f>
        <v>기사가문 망나니는 10클래스 91화</v>
      </c>
      <c r="D1844" t="str">
        <f>T("91")</f>
        <v>91</v>
      </c>
      <c r="E1844" t="str">
        <f t="shared" si="307"/>
        <v>예로나</v>
      </c>
      <c r="H1844" t="str">
        <f t="shared" si="310"/>
        <v>스토리위즈</v>
      </c>
      <c r="I1844" t="str">
        <f t="shared" si="308"/>
        <v>기사가문 망나니는 10클래스</v>
      </c>
      <c r="J1844">
        <v>100</v>
      </c>
      <c r="K1844">
        <v>200</v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200</v>
      </c>
      <c r="AH1844">
        <v>2</v>
      </c>
      <c r="AI1844">
        <v>0</v>
      </c>
      <c r="AJ1844">
        <v>0</v>
      </c>
      <c r="AK1844">
        <v>200</v>
      </c>
      <c r="AL1844">
        <v>0</v>
      </c>
      <c r="AM1844">
        <v>0</v>
      </c>
      <c r="AN1844">
        <v>0</v>
      </c>
      <c r="AO1844">
        <v>0</v>
      </c>
      <c r="AP1844"/>
      <c r="AQ1844">
        <v>0</v>
      </c>
      <c r="AR1844">
        <v>0</v>
      </c>
      <c r="AT1844">
        <v>0</v>
      </c>
      <c r="AU1844">
        <v>0</v>
      </c>
      <c r="AW1844">
        <v>0</v>
      </c>
      <c r="AX1844">
        <v>0</v>
      </c>
      <c r="AY1844">
        <v>140</v>
      </c>
      <c r="BC1844" t="str">
        <f t="shared" si="309"/>
        <v>9791165310370</v>
      </c>
      <c r="BE1844" t="str">
        <f t="shared" si="311"/>
        <v>판타지 웹소설 &gt; 퓨전 판타지</v>
      </c>
    </row>
    <row r="1845" spans="1:57" x14ac:dyDescent="0.3">
      <c r="A1845">
        <v>2313008150</v>
      </c>
      <c r="B1845">
        <v>2313008241</v>
      </c>
      <c r="C1845" t="str">
        <f>T("기사가문 망나니는 10클래스 92화")</f>
        <v>기사가문 망나니는 10클래스 92화</v>
      </c>
      <c r="D1845" t="str">
        <f>T("92")</f>
        <v>92</v>
      </c>
      <c r="E1845" t="str">
        <f t="shared" si="307"/>
        <v>예로나</v>
      </c>
      <c r="H1845" t="str">
        <f t="shared" si="310"/>
        <v>스토리위즈</v>
      </c>
      <c r="I1845" t="str">
        <f t="shared" si="308"/>
        <v>기사가문 망나니는 10클래스</v>
      </c>
      <c r="J1845">
        <v>100</v>
      </c>
      <c r="K1845">
        <v>200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200</v>
      </c>
      <c r="AH1845">
        <v>2</v>
      </c>
      <c r="AI1845">
        <v>0</v>
      </c>
      <c r="AJ1845">
        <v>0</v>
      </c>
      <c r="AK1845">
        <v>200</v>
      </c>
      <c r="AL1845">
        <v>0</v>
      </c>
      <c r="AM1845">
        <v>0</v>
      </c>
      <c r="AN1845">
        <v>0</v>
      </c>
      <c r="AO1845">
        <v>0</v>
      </c>
      <c r="AP1845"/>
      <c r="AQ1845">
        <v>0</v>
      </c>
      <c r="AR1845">
        <v>0</v>
      </c>
      <c r="AT1845">
        <v>0</v>
      </c>
      <c r="AU1845">
        <v>0</v>
      </c>
      <c r="AW1845">
        <v>0</v>
      </c>
      <c r="AX1845">
        <v>0</v>
      </c>
      <c r="AY1845">
        <v>140</v>
      </c>
      <c r="BC1845" t="str">
        <f t="shared" si="309"/>
        <v>9791165310370</v>
      </c>
      <c r="BE1845" t="str">
        <f t="shared" si="311"/>
        <v>판타지 웹소설 &gt; 퓨전 판타지</v>
      </c>
    </row>
    <row r="1846" spans="1:57" x14ac:dyDescent="0.3">
      <c r="A1846">
        <v>2313008150</v>
      </c>
      <c r="B1846">
        <v>2313008242</v>
      </c>
      <c r="C1846" t="str">
        <f>T("기사가문 망나니는 10클래스 93화")</f>
        <v>기사가문 망나니는 10클래스 93화</v>
      </c>
      <c r="D1846" t="str">
        <f>T("93")</f>
        <v>93</v>
      </c>
      <c r="E1846" t="str">
        <f t="shared" si="307"/>
        <v>예로나</v>
      </c>
      <c r="H1846" t="str">
        <f t="shared" si="310"/>
        <v>스토리위즈</v>
      </c>
      <c r="I1846" t="str">
        <f t="shared" si="308"/>
        <v>기사가문 망나니는 10클래스</v>
      </c>
      <c r="J1846">
        <v>100</v>
      </c>
      <c r="K1846">
        <v>200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200</v>
      </c>
      <c r="AH1846">
        <v>2</v>
      </c>
      <c r="AI1846">
        <v>0</v>
      </c>
      <c r="AJ1846">
        <v>0</v>
      </c>
      <c r="AK1846">
        <v>200</v>
      </c>
      <c r="AL1846">
        <v>0</v>
      </c>
      <c r="AM1846">
        <v>0</v>
      </c>
      <c r="AN1846">
        <v>0</v>
      </c>
      <c r="AO1846">
        <v>0</v>
      </c>
      <c r="AP1846"/>
      <c r="AQ1846">
        <v>0</v>
      </c>
      <c r="AR1846">
        <v>0</v>
      </c>
      <c r="AT1846">
        <v>0</v>
      </c>
      <c r="AU1846">
        <v>0</v>
      </c>
      <c r="AW1846">
        <v>0</v>
      </c>
      <c r="AX1846">
        <v>0</v>
      </c>
      <c r="AY1846">
        <v>140</v>
      </c>
      <c r="BC1846" t="str">
        <f t="shared" si="309"/>
        <v>9791165310370</v>
      </c>
      <c r="BE1846" t="str">
        <f t="shared" si="311"/>
        <v>판타지 웹소설 &gt; 퓨전 판타지</v>
      </c>
    </row>
    <row r="1847" spans="1:57" x14ac:dyDescent="0.3">
      <c r="A1847">
        <v>2313008150</v>
      </c>
      <c r="B1847">
        <v>2313008243</v>
      </c>
      <c r="C1847" t="str">
        <f>T("기사가문 망나니는 10클래스 94화")</f>
        <v>기사가문 망나니는 10클래스 94화</v>
      </c>
      <c r="D1847" t="str">
        <f>T("94")</f>
        <v>94</v>
      </c>
      <c r="E1847" t="str">
        <f t="shared" si="307"/>
        <v>예로나</v>
      </c>
      <c r="H1847" t="str">
        <f t="shared" si="310"/>
        <v>스토리위즈</v>
      </c>
      <c r="I1847" t="str">
        <f t="shared" si="308"/>
        <v>기사가문 망나니는 10클래스</v>
      </c>
      <c r="J1847">
        <v>100</v>
      </c>
      <c r="K1847">
        <v>200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200</v>
      </c>
      <c r="AH1847">
        <v>2</v>
      </c>
      <c r="AI1847">
        <v>0</v>
      </c>
      <c r="AJ1847">
        <v>0</v>
      </c>
      <c r="AK1847">
        <v>200</v>
      </c>
      <c r="AL1847">
        <v>0</v>
      </c>
      <c r="AM1847">
        <v>0</v>
      </c>
      <c r="AN1847">
        <v>0</v>
      </c>
      <c r="AO1847">
        <v>0</v>
      </c>
      <c r="AP1847"/>
      <c r="AQ1847">
        <v>0</v>
      </c>
      <c r="AR1847">
        <v>0</v>
      </c>
      <c r="AT1847">
        <v>0</v>
      </c>
      <c r="AU1847">
        <v>0</v>
      </c>
      <c r="AW1847">
        <v>0</v>
      </c>
      <c r="AX1847">
        <v>0</v>
      </c>
      <c r="AY1847">
        <v>140</v>
      </c>
      <c r="BC1847" t="str">
        <f t="shared" si="309"/>
        <v>9791165310370</v>
      </c>
      <c r="BE1847" t="str">
        <f t="shared" si="311"/>
        <v>판타지 웹소설 &gt; 퓨전 판타지</v>
      </c>
    </row>
    <row r="1848" spans="1:57" x14ac:dyDescent="0.3">
      <c r="A1848">
        <v>2313008150</v>
      </c>
      <c r="B1848">
        <v>2313008244</v>
      </c>
      <c r="C1848" t="str">
        <f>T("기사가문 망나니는 10클래스 95화")</f>
        <v>기사가문 망나니는 10클래스 95화</v>
      </c>
      <c r="D1848" t="str">
        <f>T("95")</f>
        <v>95</v>
      </c>
      <c r="E1848" t="str">
        <f t="shared" si="307"/>
        <v>예로나</v>
      </c>
      <c r="H1848" t="str">
        <f t="shared" si="310"/>
        <v>스토리위즈</v>
      </c>
      <c r="I1848" t="str">
        <f t="shared" si="308"/>
        <v>기사가문 망나니는 10클래스</v>
      </c>
      <c r="J1848">
        <v>100</v>
      </c>
      <c r="K1848">
        <v>200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200</v>
      </c>
      <c r="AH1848">
        <v>2</v>
      </c>
      <c r="AI1848">
        <v>0</v>
      </c>
      <c r="AJ1848">
        <v>0</v>
      </c>
      <c r="AK1848">
        <v>200</v>
      </c>
      <c r="AL1848">
        <v>0</v>
      </c>
      <c r="AM1848">
        <v>0</v>
      </c>
      <c r="AN1848">
        <v>0</v>
      </c>
      <c r="AO1848">
        <v>0</v>
      </c>
      <c r="AP1848"/>
      <c r="AQ1848">
        <v>0</v>
      </c>
      <c r="AR1848">
        <v>0</v>
      </c>
      <c r="AT1848">
        <v>0</v>
      </c>
      <c r="AU1848">
        <v>0</v>
      </c>
      <c r="AW1848">
        <v>0</v>
      </c>
      <c r="AX1848">
        <v>0</v>
      </c>
      <c r="AY1848">
        <v>140</v>
      </c>
      <c r="BC1848" t="str">
        <f t="shared" si="309"/>
        <v>9791165310370</v>
      </c>
      <c r="BE1848" t="str">
        <f t="shared" si="311"/>
        <v>판타지 웹소설 &gt; 퓨전 판타지</v>
      </c>
    </row>
    <row r="1849" spans="1:57" x14ac:dyDescent="0.3">
      <c r="A1849">
        <v>2313008150</v>
      </c>
      <c r="B1849">
        <v>2313008245</v>
      </c>
      <c r="C1849" t="str">
        <f>T("기사가문 망나니는 10클래스 96화")</f>
        <v>기사가문 망나니는 10클래스 96화</v>
      </c>
      <c r="D1849" t="str">
        <f>T("96")</f>
        <v>96</v>
      </c>
      <c r="E1849" t="str">
        <f t="shared" si="307"/>
        <v>예로나</v>
      </c>
      <c r="H1849" t="str">
        <f t="shared" si="310"/>
        <v>스토리위즈</v>
      </c>
      <c r="I1849" t="str">
        <f t="shared" si="308"/>
        <v>기사가문 망나니는 10클래스</v>
      </c>
      <c r="J1849">
        <v>100</v>
      </c>
      <c r="K1849">
        <v>200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200</v>
      </c>
      <c r="AH1849">
        <v>2</v>
      </c>
      <c r="AI1849">
        <v>0</v>
      </c>
      <c r="AJ1849">
        <v>0</v>
      </c>
      <c r="AK1849">
        <v>200</v>
      </c>
      <c r="AL1849">
        <v>0</v>
      </c>
      <c r="AM1849">
        <v>0</v>
      </c>
      <c r="AN1849">
        <v>0</v>
      </c>
      <c r="AO1849">
        <v>0</v>
      </c>
      <c r="AP1849"/>
      <c r="AQ1849">
        <v>0</v>
      </c>
      <c r="AR1849">
        <v>0</v>
      </c>
      <c r="AT1849">
        <v>0</v>
      </c>
      <c r="AU1849">
        <v>0</v>
      </c>
      <c r="AW1849">
        <v>0</v>
      </c>
      <c r="AX1849">
        <v>0</v>
      </c>
      <c r="AY1849">
        <v>140</v>
      </c>
      <c r="BC1849" t="str">
        <f t="shared" si="309"/>
        <v>9791165310370</v>
      </c>
      <c r="BE1849" t="str">
        <f t="shared" si="311"/>
        <v>판타지 웹소설 &gt; 퓨전 판타지</v>
      </c>
    </row>
    <row r="1850" spans="1:57" x14ac:dyDescent="0.3">
      <c r="A1850">
        <v>2313008150</v>
      </c>
      <c r="B1850">
        <v>2313008246</v>
      </c>
      <c r="C1850" t="str">
        <f>T("기사가문 망나니는 10클래스 97화")</f>
        <v>기사가문 망나니는 10클래스 97화</v>
      </c>
      <c r="D1850" t="str">
        <f>T("97")</f>
        <v>97</v>
      </c>
      <c r="E1850" t="str">
        <f t="shared" si="307"/>
        <v>예로나</v>
      </c>
      <c r="H1850" t="str">
        <f t="shared" si="310"/>
        <v>스토리위즈</v>
      </c>
      <c r="I1850" t="str">
        <f t="shared" si="308"/>
        <v>기사가문 망나니는 10클래스</v>
      </c>
      <c r="J1850">
        <v>100</v>
      </c>
      <c r="K1850">
        <v>200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200</v>
      </c>
      <c r="AH1850">
        <v>2</v>
      </c>
      <c r="AI1850">
        <v>0</v>
      </c>
      <c r="AJ1850">
        <v>0</v>
      </c>
      <c r="AK1850">
        <v>200</v>
      </c>
      <c r="AL1850">
        <v>0</v>
      </c>
      <c r="AM1850">
        <v>0</v>
      </c>
      <c r="AN1850">
        <v>0</v>
      </c>
      <c r="AO1850">
        <v>0</v>
      </c>
      <c r="AP1850"/>
      <c r="AQ1850">
        <v>0</v>
      </c>
      <c r="AR1850">
        <v>0</v>
      </c>
      <c r="AT1850">
        <v>0</v>
      </c>
      <c r="AU1850">
        <v>0</v>
      </c>
      <c r="AW1850">
        <v>0</v>
      </c>
      <c r="AX1850">
        <v>0</v>
      </c>
      <c r="AY1850">
        <v>140</v>
      </c>
      <c r="BC1850" t="str">
        <f t="shared" si="309"/>
        <v>9791165310370</v>
      </c>
      <c r="BE1850" t="str">
        <f t="shared" si="311"/>
        <v>판타지 웹소설 &gt; 퓨전 판타지</v>
      </c>
    </row>
    <row r="1851" spans="1:57" x14ac:dyDescent="0.3">
      <c r="A1851">
        <v>2313008150</v>
      </c>
      <c r="B1851">
        <v>2313008247</v>
      </c>
      <c r="C1851" t="str">
        <f>T("기사가문 망나니는 10클래스 98화")</f>
        <v>기사가문 망나니는 10클래스 98화</v>
      </c>
      <c r="D1851" t="str">
        <f>T("98")</f>
        <v>98</v>
      </c>
      <c r="E1851" t="str">
        <f t="shared" si="307"/>
        <v>예로나</v>
      </c>
      <c r="H1851" t="str">
        <f t="shared" si="310"/>
        <v>스토리위즈</v>
      </c>
      <c r="I1851" t="str">
        <f t="shared" si="308"/>
        <v>기사가문 망나니는 10클래스</v>
      </c>
      <c r="J1851">
        <v>100</v>
      </c>
      <c r="K1851">
        <v>200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200</v>
      </c>
      <c r="AH1851">
        <v>2</v>
      </c>
      <c r="AI1851">
        <v>0</v>
      </c>
      <c r="AJ1851">
        <v>0</v>
      </c>
      <c r="AK1851">
        <v>200</v>
      </c>
      <c r="AL1851">
        <v>0</v>
      </c>
      <c r="AM1851">
        <v>0</v>
      </c>
      <c r="AN1851">
        <v>0</v>
      </c>
      <c r="AO1851">
        <v>0</v>
      </c>
      <c r="AP1851"/>
      <c r="AQ1851">
        <v>0</v>
      </c>
      <c r="AR1851">
        <v>0</v>
      </c>
      <c r="AT1851">
        <v>0</v>
      </c>
      <c r="AU1851">
        <v>0</v>
      </c>
      <c r="AW1851">
        <v>0</v>
      </c>
      <c r="AX1851">
        <v>0</v>
      </c>
      <c r="AY1851">
        <v>140</v>
      </c>
      <c r="BC1851" t="str">
        <f t="shared" si="309"/>
        <v>9791165310370</v>
      </c>
      <c r="BE1851" t="str">
        <f t="shared" si="311"/>
        <v>판타지 웹소설 &gt; 퓨전 판타지</v>
      </c>
    </row>
    <row r="1852" spans="1:57" x14ac:dyDescent="0.3">
      <c r="A1852">
        <v>2313008150</v>
      </c>
      <c r="B1852">
        <v>2313008248</v>
      </c>
      <c r="C1852" t="str">
        <f>T("기사가문 망나니는 10클래스 99화")</f>
        <v>기사가문 망나니는 10클래스 99화</v>
      </c>
      <c r="D1852" t="str">
        <f>T("99")</f>
        <v>99</v>
      </c>
      <c r="E1852" t="str">
        <f t="shared" si="307"/>
        <v>예로나</v>
      </c>
      <c r="H1852" t="str">
        <f t="shared" si="310"/>
        <v>스토리위즈</v>
      </c>
      <c r="I1852" t="str">
        <f t="shared" si="308"/>
        <v>기사가문 망나니는 10클래스</v>
      </c>
      <c r="J1852">
        <v>100</v>
      </c>
      <c r="K1852">
        <v>200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200</v>
      </c>
      <c r="AH1852">
        <v>2</v>
      </c>
      <c r="AI1852">
        <v>0</v>
      </c>
      <c r="AJ1852">
        <v>0</v>
      </c>
      <c r="AK1852">
        <v>200</v>
      </c>
      <c r="AL1852">
        <v>0</v>
      </c>
      <c r="AM1852">
        <v>0</v>
      </c>
      <c r="AN1852">
        <v>0</v>
      </c>
      <c r="AO1852">
        <v>0</v>
      </c>
      <c r="AP1852"/>
      <c r="AQ1852">
        <v>0</v>
      </c>
      <c r="AR1852">
        <v>0</v>
      </c>
      <c r="AT1852">
        <v>0</v>
      </c>
      <c r="AU1852">
        <v>0</v>
      </c>
      <c r="AW1852">
        <v>0</v>
      </c>
      <c r="AX1852">
        <v>0</v>
      </c>
      <c r="AY1852">
        <v>140</v>
      </c>
      <c r="BC1852" t="str">
        <f t="shared" si="309"/>
        <v>9791165310370</v>
      </c>
      <c r="BE1852" t="str">
        <f t="shared" si="311"/>
        <v>판타지 웹소설 &gt; 퓨전 판타지</v>
      </c>
    </row>
    <row r="1853" spans="1:57" x14ac:dyDescent="0.3">
      <c r="A1853">
        <v>2313008150</v>
      </c>
      <c r="B1853">
        <v>2313008249</v>
      </c>
      <c r="C1853" t="str">
        <f>T("기사가문 망나니는 10클래스 100화")</f>
        <v>기사가문 망나니는 10클래스 100화</v>
      </c>
      <c r="D1853" t="str">
        <f>T("100")</f>
        <v>100</v>
      </c>
      <c r="E1853" t="str">
        <f t="shared" si="307"/>
        <v>예로나</v>
      </c>
      <c r="H1853" t="str">
        <f t="shared" si="310"/>
        <v>스토리위즈</v>
      </c>
      <c r="I1853" t="str">
        <f t="shared" si="308"/>
        <v>기사가문 망나니는 10클래스</v>
      </c>
      <c r="J1853">
        <v>100</v>
      </c>
      <c r="K1853">
        <v>200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200</v>
      </c>
      <c r="AH1853">
        <v>2</v>
      </c>
      <c r="AI1853">
        <v>0</v>
      </c>
      <c r="AJ1853">
        <v>0</v>
      </c>
      <c r="AK1853">
        <v>200</v>
      </c>
      <c r="AL1853">
        <v>0</v>
      </c>
      <c r="AM1853">
        <v>0</v>
      </c>
      <c r="AN1853">
        <v>0</v>
      </c>
      <c r="AO1853">
        <v>0</v>
      </c>
      <c r="AP1853"/>
      <c r="AQ1853">
        <v>0</v>
      </c>
      <c r="AR1853">
        <v>0</v>
      </c>
      <c r="AT1853">
        <v>0</v>
      </c>
      <c r="AU1853">
        <v>0</v>
      </c>
      <c r="AW1853">
        <v>0</v>
      </c>
      <c r="AX1853">
        <v>0</v>
      </c>
      <c r="AY1853">
        <v>140</v>
      </c>
      <c r="BC1853" t="str">
        <f t="shared" si="309"/>
        <v>9791165310370</v>
      </c>
      <c r="BE1853" t="str">
        <f t="shared" si="311"/>
        <v>판타지 웹소설 &gt; 퓨전 판타지</v>
      </c>
    </row>
    <row r="1854" spans="1:57" x14ac:dyDescent="0.3">
      <c r="A1854">
        <v>2313008150</v>
      </c>
      <c r="B1854">
        <v>2313008250</v>
      </c>
      <c r="C1854" t="str">
        <f>T("기사가문 망나니는 10클래스 101화")</f>
        <v>기사가문 망나니는 10클래스 101화</v>
      </c>
      <c r="D1854" t="str">
        <f>T("101")</f>
        <v>101</v>
      </c>
      <c r="E1854" t="str">
        <f t="shared" si="307"/>
        <v>예로나</v>
      </c>
      <c r="H1854" t="str">
        <f t="shared" si="310"/>
        <v>스토리위즈</v>
      </c>
      <c r="I1854" t="str">
        <f t="shared" si="308"/>
        <v>기사가문 망나니는 10클래스</v>
      </c>
      <c r="J1854">
        <v>100</v>
      </c>
      <c r="K1854">
        <v>200</v>
      </c>
      <c r="L1854">
        <v>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200</v>
      </c>
      <c r="AH1854">
        <v>2</v>
      </c>
      <c r="AI1854">
        <v>0</v>
      </c>
      <c r="AJ1854">
        <v>0</v>
      </c>
      <c r="AK1854">
        <v>200</v>
      </c>
      <c r="AL1854">
        <v>0</v>
      </c>
      <c r="AM1854">
        <v>0</v>
      </c>
      <c r="AN1854">
        <v>0</v>
      </c>
      <c r="AO1854">
        <v>0</v>
      </c>
      <c r="AP1854"/>
      <c r="AQ1854">
        <v>0</v>
      </c>
      <c r="AR1854">
        <v>0</v>
      </c>
      <c r="AT1854">
        <v>0</v>
      </c>
      <c r="AU1854">
        <v>0</v>
      </c>
      <c r="AW1854">
        <v>0</v>
      </c>
      <c r="AX1854">
        <v>0</v>
      </c>
      <c r="AY1854">
        <v>140</v>
      </c>
      <c r="BC1854" t="str">
        <f t="shared" si="309"/>
        <v>9791165310370</v>
      </c>
      <c r="BE1854" t="str">
        <f t="shared" si="311"/>
        <v>판타지 웹소설 &gt; 퓨전 판타지</v>
      </c>
    </row>
    <row r="1855" spans="1:57" x14ac:dyDescent="0.3">
      <c r="A1855">
        <v>2313008150</v>
      </c>
      <c r="B1855">
        <v>2313008251</v>
      </c>
      <c r="C1855" t="str">
        <f>T("기사가문 망나니는 10클래스 102화")</f>
        <v>기사가문 망나니는 10클래스 102화</v>
      </c>
      <c r="D1855" t="str">
        <f>T("102")</f>
        <v>102</v>
      </c>
      <c r="E1855" t="str">
        <f t="shared" si="307"/>
        <v>예로나</v>
      </c>
      <c r="H1855" t="str">
        <f t="shared" si="310"/>
        <v>스토리위즈</v>
      </c>
      <c r="I1855" t="str">
        <f t="shared" si="308"/>
        <v>기사가문 망나니는 10클래스</v>
      </c>
      <c r="J1855">
        <v>100</v>
      </c>
      <c r="K1855">
        <v>200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200</v>
      </c>
      <c r="AH1855">
        <v>2</v>
      </c>
      <c r="AI1855">
        <v>0</v>
      </c>
      <c r="AJ1855">
        <v>0</v>
      </c>
      <c r="AK1855">
        <v>200</v>
      </c>
      <c r="AL1855">
        <v>0</v>
      </c>
      <c r="AM1855">
        <v>0</v>
      </c>
      <c r="AN1855">
        <v>0</v>
      </c>
      <c r="AO1855">
        <v>0</v>
      </c>
      <c r="AP1855"/>
      <c r="AQ1855">
        <v>0</v>
      </c>
      <c r="AR1855">
        <v>0</v>
      </c>
      <c r="AT1855">
        <v>0</v>
      </c>
      <c r="AU1855">
        <v>0</v>
      </c>
      <c r="AW1855">
        <v>0</v>
      </c>
      <c r="AX1855">
        <v>0</v>
      </c>
      <c r="AY1855">
        <v>140</v>
      </c>
      <c r="BC1855" t="str">
        <f t="shared" si="309"/>
        <v>9791165310370</v>
      </c>
      <c r="BE1855" t="str">
        <f t="shared" si="311"/>
        <v>판타지 웹소설 &gt; 퓨전 판타지</v>
      </c>
    </row>
    <row r="1856" spans="1:57" x14ac:dyDescent="0.3">
      <c r="A1856">
        <v>2313008150</v>
      </c>
      <c r="B1856">
        <v>2313008252</v>
      </c>
      <c r="C1856" t="str">
        <f>T("기사가문 망나니는 10클래스 103화")</f>
        <v>기사가문 망나니는 10클래스 103화</v>
      </c>
      <c r="D1856" t="str">
        <f>T("103")</f>
        <v>103</v>
      </c>
      <c r="E1856" t="str">
        <f t="shared" si="307"/>
        <v>예로나</v>
      </c>
      <c r="H1856" t="str">
        <f t="shared" si="310"/>
        <v>스토리위즈</v>
      </c>
      <c r="I1856" t="str">
        <f t="shared" si="308"/>
        <v>기사가문 망나니는 10클래스</v>
      </c>
      <c r="J1856">
        <v>100</v>
      </c>
      <c r="K1856">
        <v>200</v>
      </c>
      <c r="L1856">
        <v>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200</v>
      </c>
      <c r="AH1856">
        <v>2</v>
      </c>
      <c r="AI1856">
        <v>0</v>
      </c>
      <c r="AJ1856">
        <v>0</v>
      </c>
      <c r="AK1856">
        <v>200</v>
      </c>
      <c r="AL1856">
        <v>0</v>
      </c>
      <c r="AM1856">
        <v>0</v>
      </c>
      <c r="AN1856">
        <v>0</v>
      </c>
      <c r="AO1856">
        <v>0</v>
      </c>
      <c r="AP1856"/>
      <c r="AQ1856">
        <v>0</v>
      </c>
      <c r="AR1856">
        <v>0</v>
      </c>
      <c r="AT1856">
        <v>0</v>
      </c>
      <c r="AU1856">
        <v>0</v>
      </c>
      <c r="AW1856">
        <v>0</v>
      </c>
      <c r="AX1856">
        <v>0</v>
      </c>
      <c r="AY1856">
        <v>140</v>
      </c>
      <c r="BC1856" t="str">
        <f t="shared" si="309"/>
        <v>9791165310370</v>
      </c>
      <c r="BE1856" t="str">
        <f t="shared" si="311"/>
        <v>판타지 웹소설 &gt; 퓨전 판타지</v>
      </c>
    </row>
    <row r="1857" spans="1:57" x14ac:dyDescent="0.3">
      <c r="A1857">
        <v>2313008150</v>
      </c>
      <c r="B1857">
        <v>2313008253</v>
      </c>
      <c r="C1857" t="str">
        <f>T("기사가문 망나니는 10클래스 104화")</f>
        <v>기사가문 망나니는 10클래스 104화</v>
      </c>
      <c r="D1857" t="str">
        <f>T("104")</f>
        <v>104</v>
      </c>
      <c r="E1857" t="str">
        <f t="shared" si="307"/>
        <v>예로나</v>
      </c>
      <c r="H1857" t="str">
        <f t="shared" si="310"/>
        <v>스토리위즈</v>
      </c>
      <c r="I1857" t="str">
        <f t="shared" si="308"/>
        <v>기사가문 망나니는 10클래스</v>
      </c>
      <c r="J1857">
        <v>100</v>
      </c>
      <c r="K1857">
        <v>200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200</v>
      </c>
      <c r="AH1857">
        <v>2</v>
      </c>
      <c r="AI1857">
        <v>0</v>
      </c>
      <c r="AJ1857">
        <v>0</v>
      </c>
      <c r="AK1857">
        <v>200</v>
      </c>
      <c r="AL1857">
        <v>0</v>
      </c>
      <c r="AM1857">
        <v>0</v>
      </c>
      <c r="AN1857">
        <v>0</v>
      </c>
      <c r="AO1857">
        <v>0</v>
      </c>
      <c r="AP1857"/>
      <c r="AQ1857">
        <v>0</v>
      </c>
      <c r="AR1857">
        <v>0</v>
      </c>
      <c r="AT1857">
        <v>0</v>
      </c>
      <c r="AU1857">
        <v>0</v>
      </c>
      <c r="AW1857">
        <v>0</v>
      </c>
      <c r="AX1857">
        <v>0</v>
      </c>
      <c r="AY1857">
        <v>140</v>
      </c>
      <c r="BC1857" t="str">
        <f t="shared" si="309"/>
        <v>9791165310370</v>
      </c>
      <c r="BE1857" t="str">
        <f t="shared" si="311"/>
        <v>판타지 웹소설 &gt; 퓨전 판타지</v>
      </c>
    </row>
    <row r="1858" spans="1:57" x14ac:dyDescent="0.3">
      <c r="A1858">
        <v>2313008150</v>
      </c>
      <c r="B1858">
        <v>2313008254</v>
      </c>
      <c r="C1858" t="str">
        <f>T("기사가문 망나니는 10클래스 105화")</f>
        <v>기사가문 망나니는 10클래스 105화</v>
      </c>
      <c r="D1858" t="str">
        <f>T("105")</f>
        <v>105</v>
      </c>
      <c r="E1858" t="str">
        <f t="shared" si="307"/>
        <v>예로나</v>
      </c>
      <c r="H1858" t="str">
        <f t="shared" si="310"/>
        <v>스토리위즈</v>
      </c>
      <c r="I1858" t="str">
        <f t="shared" si="308"/>
        <v>기사가문 망나니는 10클래스</v>
      </c>
      <c r="J1858">
        <v>100</v>
      </c>
      <c r="K1858">
        <v>200</v>
      </c>
      <c r="L1858">
        <v>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200</v>
      </c>
      <c r="AH1858">
        <v>2</v>
      </c>
      <c r="AI1858">
        <v>0</v>
      </c>
      <c r="AJ1858">
        <v>0</v>
      </c>
      <c r="AK1858">
        <v>200</v>
      </c>
      <c r="AL1858">
        <v>0</v>
      </c>
      <c r="AM1858">
        <v>0</v>
      </c>
      <c r="AN1858">
        <v>0</v>
      </c>
      <c r="AO1858">
        <v>0</v>
      </c>
      <c r="AP1858"/>
      <c r="AQ1858">
        <v>0</v>
      </c>
      <c r="AR1858">
        <v>0</v>
      </c>
      <c r="AT1858">
        <v>0</v>
      </c>
      <c r="AU1858">
        <v>0</v>
      </c>
      <c r="AW1858">
        <v>0</v>
      </c>
      <c r="AX1858">
        <v>0</v>
      </c>
      <c r="AY1858">
        <v>140</v>
      </c>
      <c r="BC1858" t="str">
        <f t="shared" si="309"/>
        <v>9791165310370</v>
      </c>
      <c r="BE1858" t="str">
        <f t="shared" si="311"/>
        <v>판타지 웹소설 &gt; 퓨전 판타지</v>
      </c>
    </row>
    <row r="1859" spans="1:57" x14ac:dyDescent="0.3">
      <c r="A1859">
        <v>2313008150</v>
      </c>
      <c r="B1859">
        <v>2313008255</v>
      </c>
      <c r="C1859" t="str">
        <f>T("기사가문 망나니는 10클래스 106화")</f>
        <v>기사가문 망나니는 10클래스 106화</v>
      </c>
      <c r="D1859" t="str">
        <f>T("106")</f>
        <v>106</v>
      </c>
      <c r="E1859" t="str">
        <f t="shared" si="307"/>
        <v>예로나</v>
      </c>
      <c r="H1859" t="str">
        <f t="shared" si="310"/>
        <v>스토리위즈</v>
      </c>
      <c r="I1859" t="str">
        <f t="shared" si="308"/>
        <v>기사가문 망나니는 10클래스</v>
      </c>
      <c r="J1859">
        <v>100</v>
      </c>
      <c r="K1859">
        <v>200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200</v>
      </c>
      <c r="AH1859">
        <v>2</v>
      </c>
      <c r="AI1859">
        <v>0</v>
      </c>
      <c r="AJ1859">
        <v>0</v>
      </c>
      <c r="AK1859">
        <v>200</v>
      </c>
      <c r="AL1859">
        <v>0</v>
      </c>
      <c r="AM1859">
        <v>0</v>
      </c>
      <c r="AN1859">
        <v>0</v>
      </c>
      <c r="AO1859">
        <v>0</v>
      </c>
      <c r="AP1859"/>
      <c r="AQ1859">
        <v>0</v>
      </c>
      <c r="AR1859">
        <v>0</v>
      </c>
      <c r="AT1859">
        <v>0</v>
      </c>
      <c r="AU1859">
        <v>0</v>
      </c>
      <c r="AW1859">
        <v>0</v>
      </c>
      <c r="AX1859">
        <v>0</v>
      </c>
      <c r="AY1859">
        <v>140</v>
      </c>
      <c r="BC1859" t="str">
        <f t="shared" si="309"/>
        <v>9791165310370</v>
      </c>
      <c r="BE1859" t="str">
        <f t="shared" si="311"/>
        <v>판타지 웹소설 &gt; 퓨전 판타지</v>
      </c>
    </row>
    <row r="1860" spans="1:57" x14ac:dyDescent="0.3">
      <c r="A1860">
        <v>2313008150</v>
      </c>
      <c r="B1860">
        <v>2313008256</v>
      </c>
      <c r="C1860" t="str">
        <f>T("기사가문 망나니는 10클래스 107화")</f>
        <v>기사가문 망나니는 10클래스 107화</v>
      </c>
      <c r="D1860" t="str">
        <f>T("107")</f>
        <v>107</v>
      </c>
      <c r="E1860" t="str">
        <f t="shared" si="307"/>
        <v>예로나</v>
      </c>
      <c r="H1860" t="str">
        <f t="shared" si="310"/>
        <v>스토리위즈</v>
      </c>
      <c r="I1860" t="str">
        <f t="shared" si="308"/>
        <v>기사가문 망나니는 10클래스</v>
      </c>
      <c r="J1860">
        <v>100</v>
      </c>
      <c r="K1860">
        <v>200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200</v>
      </c>
      <c r="AH1860">
        <v>2</v>
      </c>
      <c r="AI1860">
        <v>0</v>
      </c>
      <c r="AJ1860">
        <v>0</v>
      </c>
      <c r="AK1860">
        <v>200</v>
      </c>
      <c r="AL1860">
        <v>0</v>
      </c>
      <c r="AM1860">
        <v>0</v>
      </c>
      <c r="AN1860">
        <v>0</v>
      </c>
      <c r="AO1860">
        <v>0</v>
      </c>
      <c r="AP1860"/>
      <c r="AQ1860">
        <v>0</v>
      </c>
      <c r="AR1860">
        <v>0</v>
      </c>
      <c r="AT1860">
        <v>0</v>
      </c>
      <c r="AU1860">
        <v>0</v>
      </c>
      <c r="AW1860">
        <v>0</v>
      </c>
      <c r="AX1860">
        <v>0</v>
      </c>
      <c r="AY1860">
        <v>140</v>
      </c>
      <c r="BC1860" t="str">
        <f t="shared" si="309"/>
        <v>9791165310370</v>
      </c>
      <c r="BE1860" t="str">
        <f t="shared" si="311"/>
        <v>판타지 웹소설 &gt; 퓨전 판타지</v>
      </c>
    </row>
    <row r="1861" spans="1:57" x14ac:dyDescent="0.3">
      <c r="A1861">
        <v>2313008150</v>
      </c>
      <c r="B1861">
        <v>2313008257</v>
      </c>
      <c r="C1861" t="str">
        <f>T("기사가문 망나니는 10클래스 108화")</f>
        <v>기사가문 망나니는 10클래스 108화</v>
      </c>
      <c r="D1861" t="str">
        <f>T("108")</f>
        <v>108</v>
      </c>
      <c r="E1861" t="str">
        <f t="shared" si="307"/>
        <v>예로나</v>
      </c>
      <c r="H1861" t="str">
        <f t="shared" si="310"/>
        <v>스토리위즈</v>
      </c>
      <c r="I1861" t="str">
        <f t="shared" si="308"/>
        <v>기사가문 망나니는 10클래스</v>
      </c>
      <c r="J1861">
        <v>100</v>
      </c>
      <c r="K1861">
        <v>200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200</v>
      </c>
      <c r="AH1861">
        <v>2</v>
      </c>
      <c r="AI1861">
        <v>0</v>
      </c>
      <c r="AJ1861">
        <v>0</v>
      </c>
      <c r="AK1861">
        <v>200</v>
      </c>
      <c r="AL1861">
        <v>0</v>
      </c>
      <c r="AM1861">
        <v>0</v>
      </c>
      <c r="AN1861">
        <v>0</v>
      </c>
      <c r="AO1861">
        <v>0</v>
      </c>
      <c r="AP1861"/>
      <c r="AQ1861">
        <v>0</v>
      </c>
      <c r="AR1861">
        <v>0</v>
      </c>
      <c r="AT1861">
        <v>0</v>
      </c>
      <c r="AU1861">
        <v>0</v>
      </c>
      <c r="AW1861">
        <v>0</v>
      </c>
      <c r="AX1861">
        <v>0</v>
      </c>
      <c r="AY1861">
        <v>140</v>
      </c>
      <c r="BC1861" t="str">
        <f t="shared" si="309"/>
        <v>9791165310370</v>
      </c>
      <c r="BE1861" t="str">
        <f t="shared" si="311"/>
        <v>판타지 웹소설 &gt; 퓨전 판타지</v>
      </c>
    </row>
    <row r="1862" spans="1:57" x14ac:dyDescent="0.3">
      <c r="A1862">
        <v>2313008150</v>
      </c>
      <c r="B1862">
        <v>2313008258</v>
      </c>
      <c r="C1862" t="str">
        <f>T("기사가문 망나니는 10클래스 109화")</f>
        <v>기사가문 망나니는 10클래스 109화</v>
      </c>
      <c r="D1862" t="str">
        <f>T("109")</f>
        <v>109</v>
      </c>
      <c r="E1862" t="str">
        <f t="shared" si="307"/>
        <v>예로나</v>
      </c>
      <c r="H1862" t="str">
        <f t="shared" si="310"/>
        <v>스토리위즈</v>
      </c>
      <c r="I1862" t="str">
        <f t="shared" si="308"/>
        <v>기사가문 망나니는 10클래스</v>
      </c>
      <c r="J1862">
        <v>100</v>
      </c>
      <c r="K1862">
        <v>200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200</v>
      </c>
      <c r="AH1862">
        <v>2</v>
      </c>
      <c r="AI1862">
        <v>0</v>
      </c>
      <c r="AJ1862">
        <v>0</v>
      </c>
      <c r="AK1862">
        <v>200</v>
      </c>
      <c r="AL1862">
        <v>0</v>
      </c>
      <c r="AM1862">
        <v>0</v>
      </c>
      <c r="AN1862">
        <v>0</v>
      </c>
      <c r="AO1862">
        <v>0</v>
      </c>
      <c r="AP1862"/>
      <c r="AQ1862">
        <v>0</v>
      </c>
      <c r="AR1862">
        <v>0</v>
      </c>
      <c r="AT1862">
        <v>0</v>
      </c>
      <c r="AU1862">
        <v>0</v>
      </c>
      <c r="AW1862">
        <v>0</v>
      </c>
      <c r="AX1862">
        <v>0</v>
      </c>
      <c r="AY1862">
        <v>140</v>
      </c>
      <c r="BC1862" t="str">
        <f t="shared" si="309"/>
        <v>9791165310370</v>
      </c>
      <c r="BE1862" t="str">
        <f t="shared" si="311"/>
        <v>판타지 웹소설 &gt; 퓨전 판타지</v>
      </c>
    </row>
    <row r="1863" spans="1:57" x14ac:dyDescent="0.3">
      <c r="A1863">
        <v>2313008150</v>
      </c>
      <c r="B1863">
        <v>2313008259</v>
      </c>
      <c r="C1863" t="str">
        <f>T("기사가문 망나니는 10클래스 110화")</f>
        <v>기사가문 망나니는 10클래스 110화</v>
      </c>
      <c r="D1863" t="str">
        <f>T("110")</f>
        <v>110</v>
      </c>
      <c r="E1863" t="str">
        <f t="shared" si="307"/>
        <v>예로나</v>
      </c>
      <c r="H1863" t="str">
        <f t="shared" si="310"/>
        <v>스토리위즈</v>
      </c>
      <c r="I1863" t="str">
        <f t="shared" si="308"/>
        <v>기사가문 망나니는 10클래스</v>
      </c>
      <c r="J1863">
        <v>100</v>
      </c>
      <c r="K1863">
        <v>200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200</v>
      </c>
      <c r="AH1863">
        <v>2</v>
      </c>
      <c r="AI1863">
        <v>0</v>
      </c>
      <c r="AJ1863">
        <v>0</v>
      </c>
      <c r="AK1863">
        <v>200</v>
      </c>
      <c r="AL1863">
        <v>0</v>
      </c>
      <c r="AM1863">
        <v>0</v>
      </c>
      <c r="AN1863">
        <v>0</v>
      </c>
      <c r="AO1863">
        <v>0</v>
      </c>
      <c r="AP1863"/>
      <c r="AQ1863">
        <v>0</v>
      </c>
      <c r="AR1863">
        <v>0</v>
      </c>
      <c r="AT1863">
        <v>0</v>
      </c>
      <c r="AU1863">
        <v>0</v>
      </c>
      <c r="AW1863">
        <v>0</v>
      </c>
      <c r="AX1863">
        <v>0</v>
      </c>
      <c r="AY1863">
        <v>140</v>
      </c>
      <c r="BC1863" t="str">
        <f t="shared" si="309"/>
        <v>9791165310370</v>
      </c>
      <c r="BE1863" t="str">
        <f t="shared" si="311"/>
        <v>판타지 웹소설 &gt; 퓨전 판타지</v>
      </c>
    </row>
    <row r="1864" spans="1:57" x14ac:dyDescent="0.3">
      <c r="A1864">
        <v>2313008150</v>
      </c>
      <c r="B1864">
        <v>2313008260</v>
      </c>
      <c r="C1864" t="str">
        <f>T("기사가문 망나니는 10클래스 111화")</f>
        <v>기사가문 망나니는 10클래스 111화</v>
      </c>
      <c r="D1864" t="str">
        <f>T("111")</f>
        <v>111</v>
      </c>
      <c r="E1864" t="str">
        <f t="shared" si="307"/>
        <v>예로나</v>
      </c>
      <c r="H1864" t="str">
        <f t="shared" si="310"/>
        <v>스토리위즈</v>
      </c>
      <c r="I1864" t="str">
        <f t="shared" si="308"/>
        <v>기사가문 망나니는 10클래스</v>
      </c>
      <c r="J1864">
        <v>100</v>
      </c>
      <c r="K1864">
        <v>200</v>
      </c>
      <c r="L1864">
        <v>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200</v>
      </c>
      <c r="AH1864">
        <v>2</v>
      </c>
      <c r="AI1864">
        <v>0</v>
      </c>
      <c r="AJ1864">
        <v>0</v>
      </c>
      <c r="AK1864">
        <v>200</v>
      </c>
      <c r="AL1864">
        <v>0</v>
      </c>
      <c r="AM1864">
        <v>0</v>
      </c>
      <c r="AN1864">
        <v>0</v>
      </c>
      <c r="AO1864">
        <v>0</v>
      </c>
      <c r="AP1864"/>
      <c r="AQ1864">
        <v>0</v>
      </c>
      <c r="AR1864">
        <v>0</v>
      </c>
      <c r="AT1864">
        <v>0</v>
      </c>
      <c r="AU1864">
        <v>0</v>
      </c>
      <c r="AW1864">
        <v>0</v>
      </c>
      <c r="AX1864">
        <v>0</v>
      </c>
      <c r="AY1864">
        <v>140</v>
      </c>
      <c r="BC1864" t="str">
        <f t="shared" si="309"/>
        <v>9791165310370</v>
      </c>
      <c r="BE1864" t="str">
        <f t="shared" si="311"/>
        <v>판타지 웹소설 &gt; 퓨전 판타지</v>
      </c>
    </row>
    <row r="1865" spans="1:57" x14ac:dyDescent="0.3">
      <c r="A1865">
        <v>2313008150</v>
      </c>
      <c r="B1865">
        <v>2313008261</v>
      </c>
      <c r="C1865" t="str">
        <f>T("기사가문 망나니는 10클래스 112화")</f>
        <v>기사가문 망나니는 10클래스 112화</v>
      </c>
      <c r="D1865" t="str">
        <f>T("112")</f>
        <v>112</v>
      </c>
      <c r="E1865" t="str">
        <f t="shared" si="307"/>
        <v>예로나</v>
      </c>
      <c r="H1865" t="str">
        <f t="shared" si="310"/>
        <v>스토리위즈</v>
      </c>
      <c r="I1865" t="str">
        <f t="shared" si="308"/>
        <v>기사가문 망나니는 10클래스</v>
      </c>
      <c r="J1865">
        <v>100</v>
      </c>
      <c r="K1865">
        <v>200</v>
      </c>
      <c r="L1865">
        <v>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200</v>
      </c>
      <c r="AH1865">
        <v>2</v>
      </c>
      <c r="AI1865">
        <v>0</v>
      </c>
      <c r="AJ1865">
        <v>0</v>
      </c>
      <c r="AK1865">
        <v>200</v>
      </c>
      <c r="AL1865">
        <v>0</v>
      </c>
      <c r="AM1865">
        <v>0</v>
      </c>
      <c r="AN1865">
        <v>0</v>
      </c>
      <c r="AO1865">
        <v>0</v>
      </c>
      <c r="AP1865"/>
      <c r="AQ1865">
        <v>0</v>
      </c>
      <c r="AR1865">
        <v>0</v>
      </c>
      <c r="AT1865">
        <v>0</v>
      </c>
      <c r="AU1865">
        <v>0</v>
      </c>
      <c r="AW1865">
        <v>0</v>
      </c>
      <c r="AX1865">
        <v>0</v>
      </c>
      <c r="AY1865">
        <v>140</v>
      </c>
      <c r="BC1865" t="str">
        <f t="shared" si="309"/>
        <v>9791165310370</v>
      </c>
      <c r="BE1865" t="str">
        <f t="shared" si="311"/>
        <v>판타지 웹소설 &gt; 퓨전 판타지</v>
      </c>
    </row>
    <row r="1866" spans="1:57" x14ac:dyDescent="0.3">
      <c r="A1866">
        <v>2313008150</v>
      </c>
      <c r="B1866">
        <v>2313008262</v>
      </c>
      <c r="C1866" t="str">
        <f>T("기사가문 망나니는 10클래스 113화")</f>
        <v>기사가문 망나니는 10클래스 113화</v>
      </c>
      <c r="D1866" t="str">
        <f>T("113")</f>
        <v>113</v>
      </c>
      <c r="E1866" t="str">
        <f t="shared" ref="E1866:E1894" si="312">T("예로나")</f>
        <v>예로나</v>
      </c>
      <c r="H1866" t="str">
        <f t="shared" si="310"/>
        <v>스토리위즈</v>
      </c>
      <c r="I1866" t="str">
        <f t="shared" ref="I1866:I1894" si="313">T("기사가문 망나니는 10클래스")</f>
        <v>기사가문 망나니는 10클래스</v>
      </c>
      <c r="J1866">
        <v>100</v>
      </c>
      <c r="K1866">
        <v>200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200</v>
      </c>
      <c r="AH1866">
        <v>2</v>
      </c>
      <c r="AI1866">
        <v>0</v>
      </c>
      <c r="AJ1866">
        <v>0</v>
      </c>
      <c r="AK1866">
        <v>200</v>
      </c>
      <c r="AL1866">
        <v>0</v>
      </c>
      <c r="AM1866">
        <v>0</v>
      </c>
      <c r="AN1866">
        <v>0</v>
      </c>
      <c r="AO1866">
        <v>0</v>
      </c>
      <c r="AP1866"/>
      <c r="AQ1866">
        <v>0</v>
      </c>
      <c r="AR1866">
        <v>0</v>
      </c>
      <c r="AT1866">
        <v>0</v>
      </c>
      <c r="AU1866">
        <v>0</v>
      </c>
      <c r="AW1866">
        <v>0</v>
      </c>
      <c r="AX1866">
        <v>0</v>
      </c>
      <c r="AY1866">
        <v>140</v>
      </c>
      <c r="BC1866" t="str">
        <f t="shared" ref="BC1866:BC1894" si="314">T("9791165310370")</f>
        <v>9791165310370</v>
      </c>
      <c r="BE1866" t="str">
        <f t="shared" si="311"/>
        <v>판타지 웹소설 &gt; 퓨전 판타지</v>
      </c>
    </row>
    <row r="1867" spans="1:57" x14ac:dyDescent="0.3">
      <c r="A1867">
        <v>2313008150</v>
      </c>
      <c r="B1867">
        <v>2313008263</v>
      </c>
      <c r="C1867" t="str">
        <f>T("기사가문 망나니는 10클래스 114화")</f>
        <v>기사가문 망나니는 10클래스 114화</v>
      </c>
      <c r="D1867" t="str">
        <f>T("114")</f>
        <v>114</v>
      </c>
      <c r="E1867" t="str">
        <f t="shared" si="312"/>
        <v>예로나</v>
      </c>
      <c r="H1867" t="str">
        <f t="shared" si="310"/>
        <v>스토리위즈</v>
      </c>
      <c r="I1867" t="str">
        <f t="shared" si="313"/>
        <v>기사가문 망나니는 10클래스</v>
      </c>
      <c r="J1867">
        <v>100</v>
      </c>
      <c r="K1867">
        <v>200</v>
      </c>
      <c r="L1867">
        <v>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200</v>
      </c>
      <c r="AH1867">
        <v>2</v>
      </c>
      <c r="AI1867">
        <v>0</v>
      </c>
      <c r="AJ1867">
        <v>0</v>
      </c>
      <c r="AK1867">
        <v>200</v>
      </c>
      <c r="AL1867">
        <v>0</v>
      </c>
      <c r="AM1867">
        <v>0</v>
      </c>
      <c r="AN1867">
        <v>0</v>
      </c>
      <c r="AO1867">
        <v>0</v>
      </c>
      <c r="AP1867"/>
      <c r="AQ1867">
        <v>0</v>
      </c>
      <c r="AR1867">
        <v>0</v>
      </c>
      <c r="AT1867">
        <v>0</v>
      </c>
      <c r="AU1867">
        <v>0</v>
      </c>
      <c r="AW1867">
        <v>0</v>
      </c>
      <c r="AX1867">
        <v>0</v>
      </c>
      <c r="AY1867">
        <v>140</v>
      </c>
      <c r="BC1867" t="str">
        <f t="shared" si="314"/>
        <v>9791165310370</v>
      </c>
      <c r="BE1867" t="str">
        <f t="shared" si="311"/>
        <v>판타지 웹소설 &gt; 퓨전 판타지</v>
      </c>
    </row>
    <row r="1868" spans="1:57" x14ac:dyDescent="0.3">
      <c r="A1868">
        <v>2313008150</v>
      </c>
      <c r="B1868">
        <v>2313008264</v>
      </c>
      <c r="C1868" t="str">
        <f>T("기사가문 망나니는 10클래스 115화")</f>
        <v>기사가문 망나니는 10클래스 115화</v>
      </c>
      <c r="D1868" t="str">
        <f>T("115")</f>
        <v>115</v>
      </c>
      <c r="E1868" t="str">
        <f t="shared" si="312"/>
        <v>예로나</v>
      </c>
      <c r="H1868" t="str">
        <f t="shared" si="310"/>
        <v>스토리위즈</v>
      </c>
      <c r="I1868" t="str">
        <f t="shared" si="313"/>
        <v>기사가문 망나니는 10클래스</v>
      </c>
      <c r="J1868">
        <v>100</v>
      </c>
      <c r="K1868">
        <v>200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200</v>
      </c>
      <c r="AH1868">
        <v>2</v>
      </c>
      <c r="AI1868">
        <v>0</v>
      </c>
      <c r="AJ1868">
        <v>0</v>
      </c>
      <c r="AK1868">
        <v>200</v>
      </c>
      <c r="AL1868">
        <v>0</v>
      </c>
      <c r="AM1868">
        <v>0</v>
      </c>
      <c r="AN1868">
        <v>0</v>
      </c>
      <c r="AO1868">
        <v>0</v>
      </c>
      <c r="AP1868"/>
      <c r="AQ1868">
        <v>0</v>
      </c>
      <c r="AR1868">
        <v>0</v>
      </c>
      <c r="AT1868">
        <v>0</v>
      </c>
      <c r="AU1868">
        <v>0</v>
      </c>
      <c r="AW1868">
        <v>0</v>
      </c>
      <c r="AX1868">
        <v>0</v>
      </c>
      <c r="AY1868">
        <v>140</v>
      </c>
      <c r="BC1868" t="str">
        <f t="shared" si="314"/>
        <v>9791165310370</v>
      </c>
      <c r="BE1868" t="str">
        <f t="shared" si="311"/>
        <v>판타지 웹소설 &gt; 퓨전 판타지</v>
      </c>
    </row>
    <row r="1869" spans="1:57" x14ac:dyDescent="0.3">
      <c r="A1869">
        <v>2313008150</v>
      </c>
      <c r="B1869">
        <v>2313008265</v>
      </c>
      <c r="C1869" t="str">
        <f>T("기사가문 망나니는 10클래스 116화")</f>
        <v>기사가문 망나니는 10클래스 116화</v>
      </c>
      <c r="D1869" t="str">
        <f>T("116")</f>
        <v>116</v>
      </c>
      <c r="E1869" t="str">
        <f t="shared" si="312"/>
        <v>예로나</v>
      </c>
      <c r="H1869" t="str">
        <f t="shared" si="310"/>
        <v>스토리위즈</v>
      </c>
      <c r="I1869" t="str">
        <f t="shared" si="313"/>
        <v>기사가문 망나니는 10클래스</v>
      </c>
      <c r="J1869">
        <v>100</v>
      </c>
      <c r="K1869">
        <v>200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200</v>
      </c>
      <c r="AH1869">
        <v>2</v>
      </c>
      <c r="AI1869">
        <v>0</v>
      </c>
      <c r="AJ1869">
        <v>0</v>
      </c>
      <c r="AK1869">
        <v>200</v>
      </c>
      <c r="AL1869">
        <v>0</v>
      </c>
      <c r="AM1869">
        <v>0</v>
      </c>
      <c r="AN1869">
        <v>0</v>
      </c>
      <c r="AO1869">
        <v>0</v>
      </c>
      <c r="AP1869"/>
      <c r="AQ1869">
        <v>0</v>
      </c>
      <c r="AR1869">
        <v>0</v>
      </c>
      <c r="AT1869">
        <v>0</v>
      </c>
      <c r="AU1869">
        <v>0</v>
      </c>
      <c r="AW1869">
        <v>0</v>
      </c>
      <c r="AX1869">
        <v>0</v>
      </c>
      <c r="AY1869">
        <v>140</v>
      </c>
      <c r="BC1869" t="str">
        <f t="shared" si="314"/>
        <v>9791165310370</v>
      </c>
      <c r="BE1869" t="str">
        <f t="shared" si="311"/>
        <v>판타지 웹소설 &gt; 퓨전 판타지</v>
      </c>
    </row>
    <row r="1870" spans="1:57" x14ac:dyDescent="0.3">
      <c r="A1870">
        <v>2313008150</v>
      </c>
      <c r="B1870">
        <v>2313008266</v>
      </c>
      <c r="C1870" t="str">
        <f>T("기사가문 망나니는 10클래스 117화")</f>
        <v>기사가문 망나니는 10클래스 117화</v>
      </c>
      <c r="D1870" t="str">
        <f>T("117")</f>
        <v>117</v>
      </c>
      <c r="E1870" t="str">
        <f t="shared" si="312"/>
        <v>예로나</v>
      </c>
      <c r="H1870" t="str">
        <f t="shared" si="310"/>
        <v>스토리위즈</v>
      </c>
      <c r="I1870" t="str">
        <f t="shared" si="313"/>
        <v>기사가문 망나니는 10클래스</v>
      </c>
      <c r="J1870">
        <v>100</v>
      </c>
      <c r="K1870">
        <v>200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200</v>
      </c>
      <c r="AH1870">
        <v>2</v>
      </c>
      <c r="AI1870">
        <v>0</v>
      </c>
      <c r="AJ1870">
        <v>0</v>
      </c>
      <c r="AK1870">
        <v>200</v>
      </c>
      <c r="AL1870">
        <v>0</v>
      </c>
      <c r="AM1870">
        <v>0</v>
      </c>
      <c r="AN1870">
        <v>0</v>
      </c>
      <c r="AO1870">
        <v>0</v>
      </c>
      <c r="AP1870"/>
      <c r="AQ1870">
        <v>0</v>
      </c>
      <c r="AR1870">
        <v>0</v>
      </c>
      <c r="AT1870">
        <v>0</v>
      </c>
      <c r="AU1870">
        <v>0</v>
      </c>
      <c r="AW1870">
        <v>0</v>
      </c>
      <c r="AX1870">
        <v>0</v>
      </c>
      <c r="AY1870">
        <v>140</v>
      </c>
      <c r="BC1870" t="str">
        <f t="shared" si="314"/>
        <v>9791165310370</v>
      </c>
      <c r="BE1870" t="str">
        <f t="shared" si="311"/>
        <v>판타지 웹소설 &gt; 퓨전 판타지</v>
      </c>
    </row>
    <row r="1871" spans="1:57" x14ac:dyDescent="0.3">
      <c r="A1871">
        <v>2313008150</v>
      </c>
      <c r="B1871">
        <v>2313008267</v>
      </c>
      <c r="C1871" t="str">
        <f>T("기사가문 망나니는 10클래스 118화")</f>
        <v>기사가문 망나니는 10클래스 118화</v>
      </c>
      <c r="D1871" t="str">
        <f>T("118")</f>
        <v>118</v>
      </c>
      <c r="E1871" t="str">
        <f t="shared" si="312"/>
        <v>예로나</v>
      </c>
      <c r="H1871" t="str">
        <f t="shared" si="310"/>
        <v>스토리위즈</v>
      </c>
      <c r="I1871" t="str">
        <f t="shared" si="313"/>
        <v>기사가문 망나니는 10클래스</v>
      </c>
      <c r="J1871">
        <v>100</v>
      </c>
      <c r="K1871">
        <v>200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200</v>
      </c>
      <c r="AH1871">
        <v>2</v>
      </c>
      <c r="AI1871">
        <v>0</v>
      </c>
      <c r="AJ1871">
        <v>0</v>
      </c>
      <c r="AK1871">
        <v>200</v>
      </c>
      <c r="AL1871">
        <v>0</v>
      </c>
      <c r="AM1871">
        <v>0</v>
      </c>
      <c r="AN1871">
        <v>0</v>
      </c>
      <c r="AO1871">
        <v>0</v>
      </c>
      <c r="AP1871"/>
      <c r="AQ1871">
        <v>0</v>
      </c>
      <c r="AR1871">
        <v>0</v>
      </c>
      <c r="AT1871">
        <v>0</v>
      </c>
      <c r="AU1871">
        <v>0</v>
      </c>
      <c r="AW1871">
        <v>0</v>
      </c>
      <c r="AX1871">
        <v>0</v>
      </c>
      <c r="AY1871">
        <v>140</v>
      </c>
      <c r="BC1871" t="str">
        <f t="shared" si="314"/>
        <v>9791165310370</v>
      </c>
      <c r="BE1871" t="str">
        <f t="shared" si="311"/>
        <v>판타지 웹소설 &gt; 퓨전 판타지</v>
      </c>
    </row>
    <row r="1872" spans="1:57" x14ac:dyDescent="0.3">
      <c r="A1872">
        <v>2313008150</v>
      </c>
      <c r="B1872">
        <v>2313008268</v>
      </c>
      <c r="C1872" t="str">
        <f>T("기사가문 망나니는 10클래스 119화")</f>
        <v>기사가문 망나니는 10클래스 119화</v>
      </c>
      <c r="D1872" t="str">
        <f>T("119")</f>
        <v>119</v>
      </c>
      <c r="E1872" t="str">
        <f t="shared" si="312"/>
        <v>예로나</v>
      </c>
      <c r="H1872" t="str">
        <f t="shared" si="310"/>
        <v>스토리위즈</v>
      </c>
      <c r="I1872" t="str">
        <f t="shared" si="313"/>
        <v>기사가문 망나니는 10클래스</v>
      </c>
      <c r="J1872">
        <v>100</v>
      </c>
      <c r="K1872">
        <v>200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200</v>
      </c>
      <c r="AH1872">
        <v>2</v>
      </c>
      <c r="AI1872">
        <v>0</v>
      </c>
      <c r="AJ1872">
        <v>0</v>
      </c>
      <c r="AK1872">
        <v>200</v>
      </c>
      <c r="AL1872">
        <v>0</v>
      </c>
      <c r="AM1872">
        <v>0</v>
      </c>
      <c r="AN1872">
        <v>0</v>
      </c>
      <c r="AO1872">
        <v>0</v>
      </c>
      <c r="AP1872"/>
      <c r="AQ1872">
        <v>0</v>
      </c>
      <c r="AR1872">
        <v>0</v>
      </c>
      <c r="AT1872">
        <v>0</v>
      </c>
      <c r="AU1872">
        <v>0</v>
      </c>
      <c r="AW1872">
        <v>0</v>
      </c>
      <c r="AX1872">
        <v>0</v>
      </c>
      <c r="AY1872">
        <v>140</v>
      </c>
      <c r="BC1872" t="str">
        <f t="shared" si="314"/>
        <v>9791165310370</v>
      </c>
      <c r="BE1872" t="str">
        <f t="shared" si="311"/>
        <v>판타지 웹소설 &gt; 퓨전 판타지</v>
      </c>
    </row>
    <row r="1873" spans="1:57" x14ac:dyDescent="0.3">
      <c r="A1873">
        <v>2313008150</v>
      </c>
      <c r="B1873">
        <v>2313008269</v>
      </c>
      <c r="C1873" t="str">
        <f>T("기사가문 망나니는 10클래스 120화")</f>
        <v>기사가문 망나니는 10클래스 120화</v>
      </c>
      <c r="D1873" t="str">
        <f>T("120")</f>
        <v>120</v>
      </c>
      <c r="E1873" t="str">
        <f t="shared" si="312"/>
        <v>예로나</v>
      </c>
      <c r="H1873" t="str">
        <f t="shared" si="310"/>
        <v>스토리위즈</v>
      </c>
      <c r="I1873" t="str">
        <f t="shared" si="313"/>
        <v>기사가문 망나니는 10클래스</v>
      </c>
      <c r="J1873">
        <v>100</v>
      </c>
      <c r="K1873">
        <v>200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200</v>
      </c>
      <c r="AH1873">
        <v>2</v>
      </c>
      <c r="AI1873">
        <v>0</v>
      </c>
      <c r="AJ1873">
        <v>0</v>
      </c>
      <c r="AK1873">
        <v>200</v>
      </c>
      <c r="AL1873">
        <v>0</v>
      </c>
      <c r="AM1873">
        <v>0</v>
      </c>
      <c r="AN1873">
        <v>0</v>
      </c>
      <c r="AO1873">
        <v>0</v>
      </c>
      <c r="AP1873"/>
      <c r="AQ1873">
        <v>0</v>
      </c>
      <c r="AR1873">
        <v>0</v>
      </c>
      <c r="AT1873">
        <v>0</v>
      </c>
      <c r="AU1873">
        <v>0</v>
      </c>
      <c r="AW1873">
        <v>0</v>
      </c>
      <c r="AX1873">
        <v>0</v>
      </c>
      <c r="AY1873">
        <v>140</v>
      </c>
      <c r="BC1873" t="str">
        <f t="shared" si="314"/>
        <v>9791165310370</v>
      </c>
      <c r="BE1873" t="str">
        <f t="shared" si="311"/>
        <v>판타지 웹소설 &gt; 퓨전 판타지</v>
      </c>
    </row>
    <row r="1874" spans="1:57" x14ac:dyDescent="0.3">
      <c r="A1874">
        <v>2313008150</v>
      </c>
      <c r="B1874">
        <v>2313008270</v>
      </c>
      <c r="C1874" t="str">
        <f>T("기사가문 망나니는 10클래스 121화")</f>
        <v>기사가문 망나니는 10클래스 121화</v>
      </c>
      <c r="D1874" t="str">
        <f>T("121")</f>
        <v>121</v>
      </c>
      <c r="E1874" t="str">
        <f t="shared" si="312"/>
        <v>예로나</v>
      </c>
      <c r="H1874" t="str">
        <f t="shared" si="310"/>
        <v>스토리위즈</v>
      </c>
      <c r="I1874" t="str">
        <f t="shared" si="313"/>
        <v>기사가문 망나니는 10클래스</v>
      </c>
      <c r="J1874">
        <v>100</v>
      </c>
      <c r="K1874">
        <v>200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200</v>
      </c>
      <c r="AH1874">
        <v>2</v>
      </c>
      <c r="AI1874">
        <v>0</v>
      </c>
      <c r="AJ1874">
        <v>0</v>
      </c>
      <c r="AK1874">
        <v>200</v>
      </c>
      <c r="AL1874">
        <v>0</v>
      </c>
      <c r="AM1874">
        <v>0</v>
      </c>
      <c r="AN1874">
        <v>0</v>
      </c>
      <c r="AO1874">
        <v>0</v>
      </c>
      <c r="AP1874"/>
      <c r="AQ1874">
        <v>0</v>
      </c>
      <c r="AR1874">
        <v>0</v>
      </c>
      <c r="AT1874">
        <v>0</v>
      </c>
      <c r="AU1874">
        <v>0</v>
      </c>
      <c r="AW1874">
        <v>0</v>
      </c>
      <c r="AX1874">
        <v>0</v>
      </c>
      <c r="AY1874">
        <v>140</v>
      </c>
      <c r="BC1874" t="str">
        <f t="shared" si="314"/>
        <v>9791165310370</v>
      </c>
      <c r="BE1874" t="str">
        <f t="shared" si="311"/>
        <v>판타지 웹소설 &gt; 퓨전 판타지</v>
      </c>
    </row>
    <row r="1875" spans="1:57" x14ac:dyDescent="0.3">
      <c r="A1875">
        <v>2313008150</v>
      </c>
      <c r="B1875">
        <v>2313008271</v>
      </c>
      <c r="C1875" t="str">
        <f>T("기사가문 망나니는 10클래스 122화")</f>
        <v>기사가문 망나니는 10클래스 122화</v>
      </c>
      <c r="D1875" t="str">
        <f>T("122")</f>
        <v>122</v>
      </c>
      <c r="E1875" t="str">
        <f t="shared" si="312"/>
        <v>예로나</v>
      </c>
      <c r="H1875" t="str">
        <f t="shared" si="310"/>
        <v>스토리위즈</v>
      </c>
      <c r="I1875" t="str">
        <f t="shared" si="313"/>
        <v>기사가문 망나니는 10클래스</v>
      </c>
      <c r="J1875">
        <v>100</v>
      </c>
      <c r="K1875">
        <v>200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200</v>
      </c>
      <c r="AH1875">
        <v>2</v>
      </c>
      <c r="AI1875">
        <v>0</v>
      </c>
      <c r="AJ1875">
        <v>0</v>
      </c>
      <c r="AK1875">
        <v>200</v>
      </c>
      <c r="AL1875">
        <v>0</v>
      </c>
      <c r="AM1875">
        <v>0</v>
      </c>
      <c r="AN1875">
        <v>0</v>
      </c>
      <c r="AO1875">
        <v>0</v>
      </c>
      <c r="AP1875"/>
      <c r="AQ1875">
        <v>0</v>
      </c>
      <c r="AR1875">
        <v>0</v>
      </c>
      <c r="AT1875">
        <v>0</v>
      </c>
      <c r="AU1875">
        <v>0</v>
      </c>
      <c r="AW1875">
        <v>0</v>
      </c>
      <c r="AX1875">
        <v>0</v>
      </c>
      <c r="AY1875">
        <v>140</v>
      </c>
      <c r="BC1875" t="str">
        <f t="shared" si="314"/>
        <v>9791165310370</v>
      </c>
      <c r="BE1875" t="str">
        <f t="shared" si="311"/>
        <v>판타지 웹소설 &gt; 퓨전 판타지</v>
      </c>
    </row>
    <row r="1876" spans="1:57" x14ac:dyDescent="0.3">
      <c r="A1876">
        <v>2313008150</v>
      </c>
      <c r="B1876">
        <v>2313008272</v>
      </c>
      <c r="C1876" t="str">
        <f>T("기사가문 망나니는 10클래스 123화")</f>
        <v>기사가문 망나니는 10클래스 123화</v>
      </c>
      <c r="D1876" t="str">
        <f>T("123")</f>
        <v>123</v>
      </c>
      <c r="E1876" t="str">
        <f t="shared" si="312"/>
        <v>예로나</v>
      </c>
      <c r="H1876" t="str">
        <f t="shared" si="310"/>
        <v>스토리위즈</v>
      </c>
      <c r="I1876" t="str">
        <f t="shared" si="313"/>
        <v>기사가문 망나니는 10클래스</v>
      </c>
      <c r="J1876">
        <v>100</v>
      </c>
      <c r="K1876">
        <v>200</v>
      </c>
      <c r="L1876">
        <v>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200</v>
      </c>
      <c r="AH1876">
        <v>2</v>
      </c>
      <c r="AI1876">
        <v>0</v>
      </c>
      <c r="AJ1876">
        <v>0</v>
      </c>
      <c r="AK1876">
        <v>200</v>
      </c>
      <c r="AL1876">
        <v>0</v>
      </c>
      <c r="AM1876">
        <v>0</v>
      </c>
      <c r="AN1876">
        <v>0</v>
      </c>
      <c r="AO1876">
        <v>0</v>
      </c>
      <c r="AP1876"/>
      <c r="AQ1876">
        <v>0</v>
      </c>
      <c r="AR1876">
        <v>0</v>
      </c>
      <c r="AT1876">
        <v>0</v>
      </c>
      <c r="AU1876">
        <v>0</v>
      </c>
      <c r="AW1876">
        <v>0</v>
      </c>
      <c r="AX1876">
        <v>0</v>
      </c>
      <c r="AY1876">
        <v>140</v>
      </c>
      <c r="BC1876" t="str">
        <f t="shared" si="314"/>
        <v>9791165310370</v>
      </c>
      <c r="BE1876" t="str">
        <f t="shared" si="311"/>
        <v>판타지 웹소설 &gt; 퓨전 판타지</v>
      </c>
    </row>
    <row r="1877" spans="1:57" x14ac:dyDescent="0.3">
      <c r="A1877">
        <v>2313008150</v>
      </c>
      <c r="B1877">
        <v>2313008273</v>
      </c>
      <c r="C1877" t="str">
        <f>T("기사가문 망나니는 10클래스 124화")</f>
        <v>기사가문 망나니는 10클래스 124화</v>
      </c>
      <c r="D1877" t="str">
        <f>T("124")</f>
        <v>124</v>
      </c>
      <c r="E1877" t="str">
        <f t="shared" si="312"/>
        <v>예로나</v>
      </c>
      <c r="H1877" t="str">
        <f t="shared" si="310"/>
        <v>스토리위즈</v>
      </c>
      <c r="I1877" t="str">
        <f t="shared" si="313"/>
        <v>기사가문 망나니는 10클래스</v>
      </c>
      <c r="J1877">
        <v>100</v>
      </c>
      <c r="K1877">
        <v>200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200</v>
      </c>
      <c r="AH1877">
        <v>2</v>
      </c>
      <c r="AI1877">
        <v>0</v>
      </c>
      <c r="AJ1877">
        <v>0</v>
      </c>
      <c r="AK1877">
        <v>200</v>
      </c>
      <c r="AL1877">
        <v>0</v>
      </c>
      <c r="AM1877">
        <v>0</v>
      </c>
      <c r="AN1877">
        <v>0</v>
      </c>
      <c r="AO1877">
        <v>0</v>
      </c>
      <c r="AP1877"/>
      <c r="AQ1877">
        <v>0</v>
      </c>
      <c r="AR1877">
        <v>0</v>
      </c>
      <c r="AT1877">
        <v>0</v>
      </c>
      <c r="AU1877">
        <v>0</v>
      </c>
      <c r="AW1877">
        <v>0</v>
      </c>
      <c r="AX1877">
        <v>0</v>
      </c>
      <c r="AY1877">
        <v>140</v>
      </c>
      <c r="BC1877" t="str">
        <f t="shared" si="314"/>
        <v>9791165310370</v>
      </c>
      <c r="BE1877" t="str">
        <f t="shared" si="311"/>
        <v>판타지 웹소설 &gt; 퓨전 판타지</v>
      </c>
    </row>
    <row r="1878" spans="1:57" x14ac:dyDescent="0.3">
      <c r="A1878">
        <v>2313008150</v>
      </c>
      <c r="B1878">
        <v>2313008274</v>
      </c>
      <c r="C1878" t="str">
        <f>T("기사가문 망나니는 10클래스 125화")</f>
        <v>기사가문 망나니는 10클래스 125화</v>
      </c>
      <c r="D1878" t="str">
        <f>T("125")</f>
        <v>125</v>
      </c>
      <c r="E1878" t="str">
        <f t="shared" si="312"/>
        <v>예로나</v>
      </c>
      <c r="H1878" t="str">
        <f t="shared" si="310"/>
        <v>스토리위즈</v>
      </c>
      <c r="I1878" t="str">
        <f t="shared" si="313"/>
        <v>기사가문 망나니는 10클래스</v>
      </c>
      <c r="J1878">
        <v>100</v>
      </c>
      <c r="K1878">
        <v>200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200</v>
      </c>
      <c r="AH1878">
        <v>2</v>
      </c>
      <c r="AI1878">
        <v>0</v>
      </c>
      <c r="AJ1878">
        <v>0</v>
      </c>
      <c r="AK1878">
        <v>200</v>
      </c>
      <c r="AL1878">
        <v>0</v>
      </c>
      <c r="AM1878">
        <v>0</v>
      </c>
      <c r="AN1878">
        <v>0</v>
      </c>
      <c r="AO1878">
        <v>0</v>
      </c>
      <c r="AP1878"/>
      <c r="AQ1878">
        <v>0</v>
      </c>
      <c r="AR1878">
        <v>0</v>
      </c>
      <c r="AT1878">
        <v>0</v>
      </c>
      <c r="AU1878">
        <v>0</v>
      </c>
      <c r="AW1878">
        <v>0</v>
      </c>
      <c r="AX1878">
        <v>0</v>
      </c>
      <c r="AY1878">
        <v>140</v>
      </c>
      <c r="BC1878" t="str">
        <f t="shared" si="314"/>
        <v>9791165310370</v>
      </c>
      <c r="BE1878" t="str">
        <f t="shared" si="311"/>
        <v>판타지 웹소설 &gt; 퓨전 판타지</v>
      </c>
    </row>
    <row r="1879" spans="1:57" x14ac:dyDescent="0.3">
      <c r="A1879">
        <v>2313008150</v>
      </c>
      <c r="B1879">
        <v>2313008275</v>
      </c>
      <c r="C1879" t="str">
        <f>T("기사가문 망나니는 10클래스 126화")</f>
        <v>기사가문 망나니는 10클래스 126화</v>
      </c>
      <c r="D1879" t="str">
        <f>T("126")</f>
        <v>126</v>
      </c>
      <c r="E1879" t="str">
        <f t="shared" si="312"/>
        <v>예로나</v>
      </c>
      <c r="H1879" t="str">
        <f t="shared" si="310"/>
        <v>스토리위즈</v>
      </c>
      <c r="I1879" t="str">
        <f t="shared" si="313"/>
        <v>기사가문 망나니는 10클래스</v>
      </c>
      <c r="J1879">
        <v>100</v>
      </c>
      <c r="K1879">
        <v>200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200</v>
      </c>
      <c r="AH1879">
        <v>2</v>
      </c>
      <c r="AI1879">
        <v>0</v>
      </c>
      <c r="AJ1879">
        <v>0</v>
      </c>
      <c r="AK1879">
        <v>200</v>
      </c>
      <c r="AL1879">
        <v>0</v>
      </c>
      <c r="AM1879">
        <v>0</v>
      </c>
      <c r="AN1879">
        <v>0</v>
      </c>
      <c r="AO1879">
        <v>0</v>
      </c>
      <c r="AP1879"/>
      <c r="AQ1879">
        <v>0</v>
      </c>
      <c r="AR1879">
        <v>0</v>
      </c>
      <c r="AT1879">
        <v>0</v>
      </c>
      <c r="AU1879">
        <v>0</v>
      </c>
      <c r="AW1879">
        <v>0</v>
      </c>
      <c r="AX1879">
        <v>0</v>
      </c>
      <c r="AY1879">
        <v>140</v>
      </c>
      <c r="BC1879" t="str">
        <f t="shared" si="314"/>
        <v>9791165310370</v>
      </c>
      <c r="BE1879" t="str">
        <f t="shared" si="311"/>
        <v>판타지 웹소설 &gt; 퓨전 판타지</v>
      </c>
    </row>
    <row r="1880" spans="1:57" x14ac:dyDescent="0.3">
      <c r="A1880">
        <v>2313008150</v>
      </c>
      <c r="B1880">
        <v>2313008276</v>
      </c>
      <c r="C1880" t="str">
        <f>T("기사가문 망나니는 10클래스 127화")</f>
        <v>기사가문 망나니는 10클래스 127화</v>
      </c>
      <c r="D1880" t="str">
        <f>T("127")</f>
        <v>127</v>
      </c>
      <c r="E1880" t="str">
        <f t="shared" si="312"/>
        <v>예로나</v>
      </c>
      <c r="H1880" t="str">
        <f t="shared" si="310"/>
        <v>스토리위즈</v>
      </c>
      <c r="I1880" t="str">
        <f t="shared" si="313"/>
        <v>기사가문 망나니는 10클래스</v>
      </c>
      <c r="J1880">
        <v>100</v>
      </c>
      <c r="K1880">
        <v>200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200</v>
      </c>
      <c r="AH1880">
        <v>2</v>
      </c>
      <c r="AI1880">
        <v>0</v>
      </c>
      <c r="AJ1880">
        <v>0</v>
      </c>
      <c r="AK1880">
        <v>200</v>
      </c>
      <c r="AL1880">
        <v>0</v>
      </c>
      <c r="AM1880">
        <v>0</v>
      </c>
      <c r="AN1880">
        <v>0</v>
      </c>
      <c r="AO1880">
        <v>0</v>
      </c>
      <c r="AP1880"/>
      <c r="AQ1880">
        <v>0</v>
      </c>
      <c r="AR1880">
        <v>0</v>
      </c>
      <c r="AT1880">
        <v>0</v>
      </c>
      <c r="AU1880">
        <v>0</v>
      </c>
      <c r="AW1880">
        <v>0</v>
      </c>
      <c r="AX1880">
        <v>0</v>
      </c>
      <c r="AY1880">
        <v>140</v>
      </c>
      <c r="BC1880" t="str">
        <f t="shared" si="314"/>
        <v>9791165310370</v>
      </c>
      <c r="BE1880" t="str">
        <f t="shared" si="311"/>
        <v>판타지 웹소설 &gt; 퓨전 판타지</v>
      </c>
    </row>
    <row r="1881" spans="1:57" x14ac:dyDescent="0.3">
      <c r="A1881">
        <v>2313008150</v>
      </c>
      <c r="B1881">
        <v>2313008277</v>
      </c>
      <c r="C1881" t="str">
        <f>T("기사가문 망나니는 10클래스 128화")</f>
        <v>기사가문 망나니는 10클래스 128화</v>
      </c>
      <c r="D1881" t="str">
        <f>T("128")</f>
        <v>128</v>
      </c>
      <c r="E1881" t="str">
        <f t="shared" si="312"/>
        <v>예로나</v>
      </c>
      <c r="H1881" t="str">
        <f t="shared" si="310"/>
        <v>스토리위즈</v>
      </c>
      <c r="I1881" t="str">
        <f t="shared" si="313"/>
        <v>기사가문 망나니는 10클래스</v>
      </c>
      <c r="J1881">
        <v>100</v>
      </c>
      <c r="K1881">
        <v>200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200</v>
      </c>
      <c r="AH1881">
        <v>2</v>
      </c>
      <c r="AI1881">
        <v>0</v>
      </c>
      <c r="AJ1881">
        <v>0</v>
      </c>
      <c r="AK1881">
        <v>200</v>
      </c>
      <c r="AL1881">
        <v>0</v>
      </c>
      <c r="AM1881">
        <v>0</v>
      </c>
      <c r="AN1881">
        <v>0</v>
      </c>
      <c r="AO1881">
        <v>0</v>
      </c>
      <c r="AP1881"/>
      <c r="AQ1881">
        <v>0</v>
      </c>
      <c r="AR1881">
        <v>0</v>
      </c>
      <c r="AT1881">
        <v>0</v>
      </c>
      <c r="AU1881">
        <v>0</v>
      </c>
      <c r="AW1881">
        <v>0</v>
      </c>
      <c r="AX1881">
        <v>0</v>
      </c>
      <c r="AY1881">
        <v>140</v>
      </c>
      <c r="BC1881" t="str">
        <f t="shared" si="314"/>
        <v>9791165310370</v>
      </c>
      <c r="BE1881" t="str">
        <f t="shared" si="311"/>
        <v>판타지 웹소설 &gt; 퓨전 판타지</v>
      </c>
    </row>
    <row r="1882" spans="1:57" x14ac:dyDescent="0.3">
      <c r="A1882">
        <v>2313008150</v>
      </c>
      <c r="B1882">
        <v>2313008278</v>
      </c>
      <c r="C1882" t="str">
        <f>T("기사가문 망나니는 10클래스 129화")</f>
        <v>기사가문 망나니는 10클래스 129화</v>
      </c>
      <c r="D1882" t="str">
        <f>T("129")</f>
        <v>129</v>
      </c>
      <c r="E1882" t="str">
        <f t="shared" si="312"/>
        <v>예로나</v>
      </c>
      <c r="H1882" t="str">
        <f t="shared" si="310"/>
        <v>스토리위즈</v>
      </c>
      <c r="I1882" t="str">
        <f t="shared" si="313"/>
        <v>기사가문 망나니는 10클래스</v>
      </c>
      <c r="J1882">
        <v>100</v>
      </c>
      <c r="K1882">
        <v>200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200</v>
      </c>
      <c r="AH1882">
        <v>2</v>
      </c>
      <c r="AI1882">
        <v>0</v>
      </c>
      <c r="AJ1882">
        <v>0</v>
      </c>
      <c r="AK1882">
        <v>200</v>
      </c>
      <c r="AL1882">
        <v>0</v>
      </c>
      <c r="AM1882">
        <v>0</v>
      </c>
      <c r="AN1882">
        <v>0</v>
      </c>
      <c r="AO1882">
        <v>0</v>
      </c>
      <c r="AP1882"/>
      <c r="AQ1882">
        <v>0</v>
      </c>
      <c r="AR1882">
        <v>0</v>
      </c>
      <c r="AT1882">
        <v>0</v>
      </c>
      <c r="AU1882">
        <v>0</v>
      </c>
      <c r="AW1882">
        <v>0</v>
      </c>
      <c r="AX1882">
        <v>0</v>
      </c>
      <c r="AY1882">
        <v>140</v>
      </c>
      <c r="BC1882" t="str">
        <f t="shared" si="314"/>
        <v>9791165310370</v>
      </c>
      <c r="BE1882" t="str">
        <f t="shared" si="311"/>
        <v>판타지 웹소설 &gt; 퓨전 판타지</v>
      </c>
    </row>
    <row r="1883" spans="1:57" x14ac:dyDescent="0.3">
      <c r="A1883">
        <v>2313008150</v>
      </c>
      <c r="B1883">
        <v>2313008279</v>
      </c>
      <c r="C1883" t="str">
        <f>T("기사가문 망나니는 10클래스 130화")</f>
        <v>기사가문 망나니는 10클래스 130화</v>
      </c>
      <c r="D1883" t="str">
        <f>T("130")</f>
        <v>130</v>
      </c>
      <c r="E1883" t="str">
        <f t="shared" si="312"/>
        <v>예로나</v>
      </c>
      <c r="H1883" t="str">
        <f t="shared" si="310"/>
        <v>스토리위즈</v>
      </c>
      <c r="I1883" t="str">
        <f t="shared" si="313"/>
        <v>기사가문 망나니는 10클래스</v>
      </c>
      <c r="J1883">
        <v>100</v>
      </c>
      <c r="K1883">
        <v>200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200</v>
      </c>
      <c r="AH1883">
        <v>2</v>
      </c>
      <c r="AI1883">
        <v>0</v>
      </c>
      <c r="AJ1883">
        <v>0</v>
      </c>
      <c r="AK1883">
        <v>200</v>
      </c>
      <c r="AL1883">
        <v>0</v>
      </c>
      <c r="AM1883">
        <v>0</v>
      </c>
      <c r="AN1883">
        <v>0</v>
      </c>
      <c r="AO1883">
        <v>0</v>
      </c>
      <c r="AP1883"/>
      <c r="AQ1883">
        <v>0</v>
      </c>
      <c r="AR1883">
        <v>0</v>
      </c>
      <c r="AT1883">
        <v>0</v>
      </c>
      <c r="AU1883">
        <v>0</v>
      </c>
      <c r="AW1883">
        <v>0</v>
      </c>
      <c r="AX1883">
        <v>0</v>
      </c>
      <c r="AY1883">
        <v>140</v>
      </c>
      <c r="BC1883" t="str">
        <f t="shared" si="314"/>
        <v>9791165310370</v>
      </c>
      <c r="BE1883" t="str">
        <f t="shared" si="311"/>
        <v>판타지 웹소설 &gt; 퓨전 판타지</v>
      </c>
    </row>
    <row r="1884" spans="1:57" x14ac:dyDescent="0.3">
      <c r="A1884">
        <v>2313008150</v>
      </c>
      <c r="B1884">
        <v>2313008280</v>
      </c>
      <c r="C1884" t="str">
        <f>T("기사가문 망나니는 10클래스 131화")</f>
        <v>기사가문 망나니는 10클래스 131화</v>
      </c>
      <c r="D1884" t="str">
        <f>T("131")</f>
        <v>131</v>
      </c>
      <c r="E1884" t="str">
        <f t="shared" si="312"/>
        <v>예로나</v>
      </c>
      <c r="H1884" t="str">
        <f t="shared" si="310"/>
        <v>스토리위즈</v>
      </c>
      <c r="I1884" t="str">
        <f t="shared" si="313"/>
        <v>기사가문 망나니는 10클래스</v>
      </c>
      <c r="J1884">
        <v>100</v>
      </c>
      <c r="K1884">
        <v>200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200</v>
      </c>
      <c r="AH1884">
        <v>2</v>
      </c>
      <c r="AI1884">
        <v>0</v>
      </c>
      <c r="AJ1884">
        <v>0</v>
      </c>
      <c r="AK1884">
        <v>200</v>
      </c>
      <c r="AL1884">
        <v>0</v>
      </c>
      <c r="AM1884">
        <v>0</v>
      </c>
      <c r="AN1884">
        <v>0</v>
      </c>
      <c r="AO1884">
        <v>0</v>
      </c>
      <c r="AP1884"/>
      <c r="AQ1884">
        <v>0</v>
      </c>
      <c r="AR1884">
        <v>0</v>
      </c>
      <c r="AT1884">
        <v>0</v>
      </c>
      <c r="AU1884">
        <v>0</v>
      </c>
      <c r="AW1884">
        <v>0</v>
      </c>
      <c r="AX1884">
        <v>0</v>
      </c>
      <c r="AY1884">
        <v>140</v>
      </c>
      <c r="BC1884" t="str">
        <f t="shared" si="314"/>
        <v>9791165310370</v>
      </c>
      <c r="BE1884" t="str">
        <f t="shared" si="311"/>
        <v>판타지 웹소설 &gt; 퓨전 판타지</v>
      </c>
    </row>
    <row r="1885" spans="1:57" x14ac:dyDescent="0.3">
      <c r="A1885">
        <v>2313008150</v>
      </c>
      <c r="B1885">
        <v>2313008281</v>
      </c>
      <c r="C1885" t="str">
        <f>T("기사가문 망나니는 10클래스 132화")</f>
        <v>기사가문 망나니는 10클래스 132화</v>
      </c>
      <c r="D1885" t="str">
        <f>T("132")</f>
        <v>132</v>
      </c>
      <c r="E1885" t="str">
        <f t="shared" si="312"/>
        <v>예로나</v>
      </c>
      <c r="H1885" t="str">
        <f t="shared" si="310"/>
        <v>스토리위즈</v>
      </c>
      <c r="I1885" t="str">
        <f t="shared" si="313"/>
        <v>기사가문 망나니는 10클래스</v>
      </c>
      <c r="J1885">
        <v>100</v>
      </c>
      <c r="K1885">
        <v>200</v>
      </c>
      <c r="L1885">
        <v>2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200</v>
      </c>
      <c r="AH1885">
        <v>2</v>
      </c>
      <c r="AI1885">
        <v>0</v>
      </c>
      <c r="AJ1885">
        <v>0</v>
      </c>
      <c r="AK1885">
        <v>200</v>
      </c>
      <c r="AL1885">
        <v>0</v>
      </c>
      <c r="AM1885">
        <v>0</v>
      </c>
      <c r="AN1885">
        <v>0</v>
      </c>
      <c r="AO1885">
        <v>0</v>
      </c>
      <c r="AP1885"/>
      <c r="AQ1885">
        <v>0</v>
      </c>
      <c r="AR1885">
        <v>0</v>
      </c>
      <c r="AT1885">
        <v>0</v>
      </c>
      <c r="AU1885">
        <v>0</v>
      </c>
      <c r="AW1885">
        <v>0</v>
      </c>
      <c r="AX1885">
        <v>0</v>
      </c>
      <c r="AY1885">
        <v>140</v>
      </c>
      <c r="BC1885" t="str">
        <f t="shared" si="314"/>
        <v>9791165310370</v>
      </c>
      <c r="BE1885" t="str">
        <f t="shared" si="311"/>
        <v>판타지 웹소설 &gt; 퓨전 판타지</v>
      </c>
    </row>
    <row r="1886" spans="1:57" x14ac:dyDescent="0.3">
      <c r="A1886">
        <v>2313008150</v>
      </c>
      <c r="B1886">
        <v>2313008282</v>
      </c>
      <c r="C1886" t="str">
        <f>T("기사가문 망나니는 10클래스 133화")</f>
        <v>기사가문 망나니는 10클래스 133화</v>
      </c>
      <c r="D1886" t="str">
        <f>T("133")</f>
        <v>133</v>
      </c>
      <c r="E1886" t="str">
        <f t="shared" si="312"/>
        <v>예로나</v>
      </c>
      <c r="H1886" t="str">
        <f t="shared" si="310"/>
        <v>스토리위즈</v>
      </c>
      <c r="I1886" t="str">
        <f t="shared" si="313"/>
        <v>기사가문 망나니는 10클래스</v>
      </c>
      <c r="J1886">
        <v>100</v>
      </c>
      <c r="K1886">
        <v>200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200</v>
      </c>
      <c r="AH1886">
        <v>2</v>
      </c>
      <c r="AI1886">
        <v>0</v>
      </c>
      <c r="AJ1886">
        <v>0</v>
      </c>
      <c r="AK1886">
        <v>200</v>
      </c>
      <c r="AL1886">
        <v>0</v>
      </c>
      <c r="AM1886">
        <v>0</v>
      </c>
      <c r="AN1886">
        <v>0</v>
      </c>
      <c r="AO1886">
        <v>0</v>
      </c>
      <c r="AP1886"/>
      <c r="AQ1886">
        <v>0</v>
      </c>
      <c r="AR1886">
        <v>0</v>
      </c>
      <c r="AT1886">
        <v>0</v>
      </c>
      <c r="AU1886">
        <v>0</v>
      </c>
      <c r="AW1886">
        <v>0</v>
      </c>
      <c r="AX1886">
        <v>0</v>
      </c>
      <c r="AY1886">
        <v>140</v>
      </c>
      <c r="BC1886" t="str">
        <f t="shared" si="314"/>
        <v>9791165310370</v>
      </c>
      <c r="BE1886" t="str">
        <f t="shared" si="311"/>
        <v>판타지 웹소설 &gt; 퓨전 판타지</v>
      </c>
    </row>
    <row r="1887" spans="1:57" x14ac:dyDescent="0.3">
      <c r="A1887">
        <v>2313008150</v>
      </c>
      <c r="B1887">
        <v>2313008283</v>
      </c>
      <c r="C1887" t="str">
        <f>T("기사가문 망나니는 10클래스 134화")</f>
        <v>기사가문 망나니는 10클래스 134화</v>
      </c>
      <c r="D1887" t="str">
        <f>T("134")</f>
        <v>134</v>
      </c>
      <c r="E1887" t="str">
        <f t="shared" si="312"/>
        <v>예로나</v>
      </c>
      <c r="H1887" t="str">
        <f t="shared" si="310"/>
        <v>스토리위즈</v>
      </c>
      <c r="I1887" t="str">
        <f t="shared" si="313"/>
        <v>기사가문 망나니는 10클래스</v>
      </c>
      <c r="J1887">
        <v>100</v>
      </c>
      <c r="K1887">
        <v>200</v>
      </c>
      <c r="L1887">
        <v>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200</v>
      </c>
      <c r="AH1887">
        <v>2</v>
      </c>
      <c r="AI1887">
        <v>0</v>
      </c>
      <c r="AJ1887">
        <v>0</v>
      </c>
      <c r="AK1887">
        <v>200</v>
      </c>
      <c r="AL1887">
        <v>0</v>
      </c>
      <c r="AM1887">
        <v>0</v>
      </c>
      <c r="AN1887">
        <v>0</v>
      </c>
      <c r="AO1887">
        <v>0</v>
      </c>
      <c r="AP1887"/>
      <c r="AQ1887">
        <v>0</v>
      </c>
      <c r="AR1887">
        <v>0</v>
      </c>
      <c r="AT1887">
        <v>0</v>
      </c>
      <c r="AU1887">
        <v>0</v>
      </c>
      <c r="AW1887">
        <v>0</v>
      </c>
      <c r="AX1887">
        <v>0</v>
      </c>
      <c r="AY1887">
        <v>140</v>
      </c>
      <c r="BC1887" t="str">
        <f t="shared" si="314"/>
        <v>9791165310370</v>
      </c>
      <c r="BE1887" t="str">
        <f t="shared" si="311"/>
        <v>판타지 웹소설 &gt; 퓨전 판타지</v>
      </c>
    </row>
    <row r="1888" spans="1:57" x14ac:dyDescent="0.3">
      <c r="A1888">
        <v>2313008150</v>
      </c>
      <c r="B1888">
        <v>2313008284</v>
      </c>
      <c r="C1888" t="str">
        <f>T("기사가문 망나니는 10클래스 135화")</f>
        <v>기사가문 망나니는 10클래스 135화</v>
      </c>
      <c r="D1888" t="str">
        <f>T("135")</f>
        <v>135</v>
      </c>
      <c r="E1888" t="str">
        <f t="shared" si="312"/>
        <v>예로나</v>
      </c>
      <c r="H1888" t="str">
        <f t="shared" si="310"/>
        <v>스토리위즈</v>
      </c>
      <c r="I1888" t="str">
        <f t="shared" si="313"/>
        <v>기사가문 망나니는 10클래스</v>
      </c>
      <c r="J1888">
        <v>100</v>
      </c>
      <c r="K1888">
        <v>200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200</v>
      </c>
      <c r="AH1888">
        <v>2</v>
      </c>
      <c r="AI1888">
        <v>0</v>
      </c>
      <c r="AJ1888">
        <v>0</v>
      </c>
      <c r="AK1888">
        <v>200</v>
      </c>
      <c r="AL1888">
        <v>0</v>
      </c>
      <c r="AM1888">
        <v>0</v>
      </c>
      <c r="AN1888">
        <v>0</v>
      </c>
      <c r="AO1888">
        <v>0</v>
      </c>
      <c r="AP1888"/>
      <c r="AQ1888">
        <v>0</v>
      </c>
      <c r="AR1888">
        <v>0</v>
      </c>
      <c r="AT1888">
        <v>0</v>
      </c>
      <c r="AU1888">
        <v>0</v>
      </c>
      <c r="AW1888">
        <v>0</v>
      </c>
      <c r="AX1888">
        <v>0</v>
      </c>
      <c r="AY1888">
        <v>140</v>
      </c>
      <c r="BC1888" t="str">
        <f t="shared" si="314"/>
        <v>9791165310370</v>
      </c>
      <c r="BE1888" t="str">
        <f t="shared" si="311"/>
        <v>판타지 웹소설 &gt; 퓨전 판타지</v>
      </c>
    </row>
    <row r="1889" spans="1:57" x14ac:dyDescent="0.3">
      <c r="A1889">
        <v>2313008150</v>
      </c>
      <c r="B1889">
        <v>2313008285</v>
      </c>
      <c r="C1889" t="str">
        <f>T("기사가문 망나니는 10클래스 136화")</f>
        <v>기사가문 망나니는 10클래스 136화</v>
      </c>
      <c r="D1889" t="str">
        <f>T("136")</f>
        <v>136</v>
      </c>
      <c r="E1889" t="str">
        <f t="shared" si="312"/>
        <v>예로나</v>
      </c>
      <c r="H1889" t="str">
        <f t="shared" si="310"/>
        <v>스토리위즈</v>
      </c>
      <c r="I1889" t="str">
        <f t="shared" si="313"/>
        <v>기사가문 망나니는 10클래스</v>
      </c>
      <c r="J1889">
        <v>100</v>
      </c>
      <c r="K1889">
        <v>200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200</v>
      </c>
      <c r="AH1889">
        <v>2</v>
      </c>
      <c r="AI1889">
        <v>0</v>
      </c>
      <c r="AJ1889">
        <v>0</v>
      </c>
      <c r="AK1889">
        <v>200</v>
      </c>
      <c r="AL1889">
        <v>0</v>
      </c>
      <c r="AM1889">
        <v>0</v>
      </c>
      <c r="AN1889">
        <v>0</v>
      </c>
      <c r="AO1889">
        <v>0</v>
      </c>
      <c r="AP1889"/>
      <c r="AQ1889">
        <v>0</v>
      </c>
      <c r="AR1889">
        <v>0</v>
      </c>
      <c r="AT1889">
        <v>0</v>
      </c>
      <c r="AU1889">
        <v>0</v>
      </c>
      <c r="AW1889">
        <v>0</v>
      </c>
      <c r="AX1889">
        <v>0</v>
      </c>
      <c r="AY1889">
        <v>140</v>
      </c>
      <c r="BC1889" t="str">
        <f t="shared" si="314"/>
        <v>9791165310370</v>
      </c>
      <c r="BE1889" t="str">
        <f t="shared" si="311"/>
        <v>판타지 웹소설 &gt; 퓨전 판타지</v>
      </c>
    </row>
    <row r="1890" spans="1:57" x14ac:dyDescent="0.3">
      <c r="A1890">
        <v>2313008150</v>
      </c>
      <c r="B1890">
        <v>2313008286</v>
      </c>
      <c r="C1890" t="str">
        <f>T("기사가문 망나니는 10클래스 137화")</f>
        <v>기사가문 망나니는 10클래스 137화</v>
      </c>
      <c r="D1890" t="str">
        <f>T("137")</f>
        <v>137</v>
      </c>
      <c r="E1890" t="str">
        <f t="shared" si="312"/>
        <v>예로나</v>
      </c>
      <c r="H1890" t="str">
        <f t="shared" si="310"/>
        <v>스토리위즈</v>
      </c>
      <c r="I1890" t="str">
        <f t="shared" si="313"/>
        <v>기사가문 망나니는 10클래스</v>
      </c>
      <c r="J1890">
        <v>100</v>
      </c>
      <c r="K1890">
        <v>200</v>
      </c>
      <c r="L1890">
        <v>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200</v>
      </c>
      <c r="AH1890">
        <v>2</v>
      </c>
      <c r="AI1890">
        <v>0</v>
      </c>
      <c r="AJ1890">
        <v>0</v>
      </c>
      <c r="AK1890">
        <v>200</v>
      </c>
      <c r="AL1890">
        <v>0</v>
      </c>
      <c r="AM1890">
        <v>0</v>
      </c>
      <c r="AN1890">
        <v>0</v>
      </c>
      <c r="AO1890">
        <v>0</v>
      </c>
      <c r="AP1890"/>
      <c r="AQ1890">
        <v>0</v>
      </c>
      <c r="AR1890">
        <v>0</v>
      </c>
      <c r="AT1890">
        <v>0</v>
      </c>
      <c r="AU1890">
        <v>0</v>
      </c>
      <c r="AW1890">
        <v>0</v>
      </c>
      <c r="AX1890">
        <v>0</v>
      </c>
      <c r="AY1890">
        <v>140</v>
      </c>
      <c r="BC1890" t="str">
        <f t="shared" si="314"/>
        <v>9791165310370</v>
      </c>
      <c r="BE1890" t="str">
        <f t="shared" si="311"/>
        <v>판타지 웹소설 &gt; 퓨전 판타지</v>
      </c>
    </row>
    <row r="1891" spans="1:57" x14ac:dyDescent="0.3">
      <c r="A1891">
        <v>2313008150</v>
      </c>
      <c r="B1891">
        <v>2313008287</v>
      </c>
      <c r="C1891" t="str">
        <f>T("기사가문 망나니는 10클래스 138화")</f>
        <v>기사가문 망나니는 10클래스 138화</v>
      </c>
      <c r="D1891" t="str">
        <f>T("138")</f>
        <v>138</v>
      </c>
      <c r="E1891" t="str">
        <f t="shared" si="312"/>
        <v>예로나</v>
      </c>
      <c r="H1891" t="str">
        <f t="shared" si="310"/>
        <v>스토리위즈</v>
      </c>
      <c r="I1891" t="str">
        <f t="shared" si="313"/>
        <v>기사가문 망나니는 10클래스</v>
      </c>
      <c r="J1891">
        <v>100</v>
      </c>
      <c r="K1891">
        <v>200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200</v>
      </c>
      <c r="AH1891">
        <v>2</v>
      </c>
      <c r="AI1891">
        <v>0</v>
      </c>
      <c r="AJ1891">
        <v>0</v>
      </c>
      <c r="AK1891">
        <v>200</v>
      </c>
      <c r="AL1891">
        <v>0</v>
      </c>
      <c r="AM1891">
        <v>0</v>
      </c>
      <c r="AN1891">
        <v>0</v>
      </c>
      <c r="AO1891">
        <v>0</v>
      </c>
      <c r="AP1891"/>
      <c r="AQ1891">
        <v>0</v>
      </c>
      <c r="AR1891">
        <v>0</v>
      </c>
      <c r="AT1891">
        <v>0</v>
      </c>
      <c r="AU1891">
        <v>0</v>
      </c>
      <c r="AW1891">
        <v>0</v>
      </c>
      <c r="AX1891">
        <v>0</v>
      </c>
      <c r="AY1891">
        <v>140</v>
      </c>
      <c r="BC1891" t="str">
        <f t="shared" si="314"/>
        <v>9791165310370</v>
      </c>
      <c r="BE1891" t="str">
        <f t="shared" si="311"/>
        <v>판타지 웹소설 &gt; 퓨전 판타지</v>
      </c>
    </row>
    <row r="1892" spans="1:57" x14ac:dyDescent="0.3">
      <c r="A1892">
        <v>2313008150</v>
      </c>
      <c r="B1892">
        <v>2313008288</v>
      </c>
      <c r="C1892" t="str">
        <f>T("기사가문 망나니는 10클래스 139화")</f>
        <v>기사가문 망나니는 10클래스 139화</v>
      </c>
      <c r="D1892" t="str">
        <f>T("139")</f>
        <v>139</v>
      </c>
      <c r="E1892" t="str">
        <f t="shared" si="312"/>
        <v>예로나</v>
      </c>
      <c r="H1892" t="str">
        <f t="shared" si="310"/>
        <v>스토리위즈</v>
      </c>
      <c r="I1892" t="str">
        <f t="shared" si="313"/>
        <v>기사가문 망나니는 10클래스</v>
      </c>
      <c r="J1892">
        <v>100</v>
      </c>
      <c r="K1892">
        <v>200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200</v>
      </c>
      <c r="AH1892">
        <v>2</v>
      </c>
      <c r="AI1892">
        <v>0</v>
      </c>
      <c r="AJ1892">
        <v>0</v>
      </c>
      <c r="AK1892">
        <v>200</v>
      </c>
      <c r="AL1892">
        <v>0</v>
      </c>
      <c r="AM1892">
        <v>0</v>
      </c>
      <c r="AN1892">
        <v>0</v>
      </c>
      <c r="AO1892">
        <v>0</v>
      </c>
      <c r="AP1892"/>
      <c r="AQ1892">
        <v>0</v>
      </c>
      <c r="AR1892">
        <v>0</v>
      </c>
      <c r="AT1892">
        <v>0</v>
      </c>
      <c r="AU1892">
        <v>0</v>
      </c>
      <c r="AW1892">
        <v>0</v>
      </c>
      <c r="AX1892">
        <v>0</v>
      </c>
      <c r="AY1892">
        <v>140</v>
      </c>
      <c r="BC1892" t="str">
        <f t="shared" si="314"/>
        <v>9791165310370</v>
      </c>
      <c r="BE1892" t="str">
        <f t="shared" si="311"/>
        <v>판타지 웹소설 &gt; 퓨전 판타지</v>
      </c>
    </row>
    <row r="1893" spans="1:57" x14ac:dyDescent="0.3">
      <c r="A1893">
        <v>2313008150</v>
      </c>
      <c r="B1893">
        <v>2313008289</v>
      </c>
      <c r="C1893" t="str">
        <f>T("기사가문 망나니는 10클래스 140화")</f>
        <v>기사가문 망나니는 10클래스 140화</v>
      </c>
      <c r="D1893" t="str">
        <f>T("140")</f>
        <v>140</v>
      </c>
      <c r="E1893" t="str">
        <f t="shared" si="312"/>
        <v>예로나</v>
      </c>
      <c r="H1893" t="str">
        <f t="shared" si="310"/>
        <v>스토리위즈</v>
      </c>
      <c r="I1893" t="str">
        <f t="shared" si="313"/>
        <v>기사가문 망나니는 10클래스</v>
      </c>
      <c r="J1893">
        <v>100</v>
      </c>
      <c r="K1893">
        <v>200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200</v>
      </c>
      <c r="AH1893">
        <v>2</v>
      </c>
      <c r="AI1893">
        <v>0</v>
      </c>
      <c r="AJ1893">
        <v>0</v>
      </c>
      <c r="AK1893">
        <v>200</v>
      </c>
      <c r="AL1893">
        <v>0</v>
      </c>
      <c r="AM1893">
        <v>0</v>
      </c>
      <c r="AN1893">
        <v>0</v>
      </c>
      <c r="AO1893">
        <v>0</v>
      </c>
      <c r="AP1893"/>
      <c r="AQ1893">
        <v>0</v>
      </c>
      <c r="AR1893">
        <v>0</v>
      </c>
      <c r="AT1893">
        <v>0</v>
      </c>
      <c r="AU1893">
        <v>0</v>
      </c>
      <c r="AW1893">
        <v>0</v>
      </c>
      <c r="AX1893">
        <v>0</v>
      </c>
      <c r="AY1893">
        <v>140</v>
      </c>
      <c r="BC1893" t="str">
        <f t="shared" si="314"/>
        <v>9791165310370</v>
      </c>
      <c r="BE1893" t="str">
        <f t="shared" si="311"/>
        <v>판타지 웹소설 &gt; 퓨전 판타지</v>
      </c>
    </row>
    <row r="1894" spans="1:57" x14ac:dyDescent="0.3">
      <c r="A1894">
        <v>2313008150</v>
      </c>
      <c r="B1894">
        <v>2313008378</v>
      </c>
      <c r="C1894" t="str">
        <f>T("기사가문 망나니는 10클래스 197화 (완결)")</f>
        <v>기사가문 망나니는 10클래스 197화 (완결)</v>
      </c>
      <c r="D1894" t="str">
        <f>T("197")</f>
        <v>197</v>
      </c>
      <c r="E1894" t="str">
        <f t="shared" si="312"/>
        <v>예로나</v>
      </c>
      <c r="H1894" t="str">
        <f t="shared" si="310"/>
        <v>스토리위즈</v>
      </c>
      <c r="I1894" t="str">
        <f t="shared" si="313"/>
        <v>기사가문 망나니는 10클래스</v>
      </c>
      <c r="J1894">
        <v>100</v>
      </c>
      <c r="K1894">
        <v>200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200</v>
      </c>
      <c r="AH1894">
        <v>2</v>
      </c>
      <c r="AI1894">
        <v>0</v>
      </c>
      <c r="AJ1894">
        <v>0</v>
      </c>
      <c r="AK1894">
        <v>200</v>
      </c>
      <c r="AL1894">
        <v>0</v>
      </c>
      <c r="AM1894">
        <v>0</v>
      </c>
      <c r="AN1894">
        <v>0</v>
      </c>
      <c r="AO1894">
        <v>0</v>
      </c>
      <c r="AP1894"/>
      <c r="AQ1894">
        <v>0</v>
      </c>
      <c r="AR1894">
        <v>0</v>
      </c>
      <c r="AT1894">
        <v>0</v>
      </c>
      <c r="AU1894">
        <v>0</v>
      </c>
      <c r="AW1894">
        <v>0</v>
      </c>
      <c r="AX1894">
        <v>0</v>
      </c>
      <c r="AY1894">
        <v>140</v>
      </c>
      <c r="BC1894" t="str">
        <f t="shared" si="314"/>
        <v>9791165310370</v>
      </c>
      <c r="BE1894" t="str">
        <f t="shared" si="311"/>
        <v>판타지 웹소설 &gt; 퓨전 판타지</v>
      </c>
    </row>
    <row r="1895" spans="1:57" x14ac:dyDescent="0.3">
      <c r="A1895">
        <v>2313010290</v>
      </c>
      <c r="B1895">
        <v>2313010306</v>
      </c>
      <c r="C1895" t="str">
        <f>T("아저씨, 내 기분 왜 이래요? 17화")</f>
        <v>아저씨, 내 기분 왜 이래요? 17화</v>
      </c>
      <c r="D1895" t="str">
        <f>T("17")</f>
        <v>17</v>
      </c>
      <c r="E1895" t="str">
        <f t="shared" ref="E1895:E1915" si="315">T("Livingston")</f>
        <v>Livingston</v>
      </c>
      <c r="H1895" t="str">
        <f t="shared" ref="H1895:H1915" si="316">T("블레슈(Blesshuu)")</f>
        <v>블레슈(Blesshuu)</v>
      </c>
      <c r="I1895" t="str">
        <f t="shared" ref="I1895:I1915" si="317">T("아저씨, 내 기분 왜 이래요?")</f>
        <v>아저씨, 내 기분 왜 이래요?</v>
      </c>
      <c r="J1895">
        <v>100</v>
      </c>
      <c r="K1895">
        <v>200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200</v>
      </c>
      <c r="AH1895">
        <v>2</v>
      </c>
      <c r="AI1895">
        <v>0</v>
      </c>
      <c r="AJ1895">
        <v>0</v>
      </c>
      <c r="AK1895">
        <v>200</v>
      </c>
      <c r="AL1895">
        <v>0</v>
      </c>
      <c r="AM1895">
        <v>0</v>
      </c>
      <c r="AN1895">
        <v>0</v>
      </c>
      <c r="AO1895">
        <v>0</v>
      </c>
      <c r="AP1895"/>
      <c r="AQ1895">
        <v>0</v>
      </c>
      <c r="AR1895">
        <v>0</v>
      </c>
      <c r="AT1895">
        <v>0</v>
      </c>
      <c r="AU1895">
        <v>0</v>
      </c>
      <c r="AW1895">
        <v>0</v>
      </c>
      <c r="AX1895">
        <v>0</v>
      </c>
      <c r="AY1895">
        <v>140</v>
      </c>
      <c r="BC1895" t="str">
        <f t="shared" ref="BC1895:BC1915" si="318">T("9791166069482")</f>
        <v>9791166069482</v>
      </c>
      <c r="BE1895" t="str">
        <f t="shared" ref="BE1895:BE1915" si="319">T("로맨스 웹소설 &gt; 현대물")</f>
        <v>로맨스 웹소설 &gt; 현대물</v>
      </c>
    </row>
    <row r="1896" spans="1:57" x14ac:dyDescent="0.3">
      <c r="A1896">
        <v>2313010290</v>
      </c>
      <c r="B1896">
        <v>2313010307</v>
      </c>
      <c r="C1896" t="str">
        <f>T("아저씨, 내 기분 왜 이래요? 18화")</f>
        <v>아저씨, 내 기분 왜 이래요? 18화</v>
      </c>
      <c r="D1896" t="str">
        <f>T("18")</f>
        <v>18</v>
      </c>
      <c r="E1896" t="str">
        <f t="shared" si="315"/>
        <v>Livingston</v>
      </c>
      <c r="H1896" t="str">
        <f t="shared" si="316"/>
        <v>블레슈(Blesshuu)</v>
      </c>
      <c r="I1896" t="str">
        <f t="shared" si="317"/>
        <v>아저씨, 내 기분 왜 이래요?</v>
      </c>
      <c r="J1896">
        <v>100</v>
      </c>
      <c r="K1896">
        <v>200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200</v>
      </c>
      <c r="AH1896">
        <v>2</v>
      </c>
      <c r="AI1896">
        <v>0</v>
      </c>
      <c r="AJ1896">
        <v>0</v>
      </c>
      <c r="AK1896">
        <v>200</v>
      </c>
      <c r="AL1896">
        <v>0</v>
      </c>
      <c r="AM1896">
        <v>0</v>
      </c>
      <c r="AN1896">
        <v>0</v>
      </c>
      <c r="AO1896">
        <v>0</v>
      </c>
      <c r="AP1896"/>
      <c r="AQ1896">
        <v>0</v>
      </c>
      <c r="AR1896">
        <v>0</v>
      </c>
      <c r="AT1896">
        <v>0</v>
      </c>
      <c r="AU1896">
        <v>0</v>
      </c>
      <c r="AW1896">
        <v>0</v>
      </c>
      <c r="AX1896">
        <v>0</v>
      </c>
      <c r="AY1896">
        <v>140</v>
      </c>
      <c r="BC1896" t="str">
        <f t="shared" si="318"/>
        <v>9791166069482</v>
      </c>
      <c r="BE1896" t="str">
        <f t="shared" si="319"/>
        <v>로맨스 웹소설 &gt; 현대물</v>
      </c>
    </row>
    <row r="1897" spans="1:57" x14ac:dyDescent="0.3">
      <c r="A1897">
        <v>2313010290</v>
      </c>
      <c r="B1897">
        <v>2313010308</v>
      </c>
      <c r="C1897" t="str">
        <f>T("아저씨, 내 기분 왜 이래요? 19화")</f>
        <v>아저씨, 내 기분 왜 이래요? 19화</v>
      </c>
      <c r="D1897" t="str">
        <f>T("19")</f>
        <v>19</v>
      </c>
      <c r="E1897" t="str">
        <f t="shared" si="315"/>
        <v>Livingston</v>
      </c>
      <c r="H1897" t="str">
        <f t="shared" si="316"/>
        <v>블레슈(Blesshuu)</v>
      </c>
      <c r="I1897" t="str">
        <f t="shared" si="317"/>
        <v>아저씨, 내 기분 왜 이래요?</v>
      </c>
      <c r="J1897">
        <v>100</v>
      </c>
      <c r="K1897">
        <v>200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200</v>
      </c>
      <c r="AH1897">
        <v>2</v>
      </c>
      <c r="AI1897">
        <v>0</v>
      </c>
      <c r="AJ1897">
        <v>0</v>
      </c>
      <c r="AK1897">
        <v>200</v>
      </c>
      <c r="AL1897">
        <v>0</v>
      </c>
      <c r="AM1897">
        <v>0</v>
      </c>
      <c r="AN1897">
        <v>0</v>
      </c>
      <c r="AO1897">
        <v>0</v>
      </c>
      <c r="AP1897"/>
      <c r="AQ1897">
        <v>0</v>
      </c>
      <c r="AR1897">
        <v>0</v>
      </c>
      <c r="AT1897">
        <v>0</v>
      </c>
      <c r="AU1897">
        <v>0</v>
      </c>
      <c r="AW1897">
        <v>0</v>
      </c>
      <c r="AX1897">
        <v>0</v>
      </c>
      <c r="AY1897">
        <v>140</v>
      </c>
      <c r="BC1897" t="str">
        <f t="shared" si="318"/>
        <v>9791166069482</v>
      </c>
      <c r="BE1897" t="str">
        <f t="shared" si="319"/>
        <v>로맨스 웹소설 &gt; 현대물</v>
      </c>
    </row>
    <row r="1898" spans="1:57" x14ac:dyDescent="0.3">
      <c r="A1898">
        <v>2313010290</v>
      </c>
      <c r="B1898">
        <v>2313010335</v>
      </c>
      <c r="C1898" t="str">
        <f>T("아저씨, 내 기분 왜 이래요? 46화")</f>
        <v>아저씨, 내 기분 왜 이래요? 46화</v>
      </c>
      <c r="D1898" t="str">
        <f>T("46")</f>
        <v>46</v>
      </c>
      <c r="E1898" t="str">
        <f t="shared" si="315"/>
        <v>Livingston</v>
      </c>
      <c r="H1898" t="str">
        <f t="shared" si="316"/>
        <v>블레슈(Blesshuu)</v>
      </c>
      <c r="I1898" t="str">
        <f t="shared" si="317"/>
        <v>아저씨, 내 기분 왜 이래요?</v>
      </c>
      <c r="J1898">
        <v>100</v>
      </c>
      <c r="K1898">
        <v>200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200</v>
      </c>
      <c r="AH1898">
        <v>2</v>
      </c>
      <c r="AI1898">
        <v>0</v>
      </c>
      <c r="AJ1898">
        <v>0</v>
      </c>
      <c r="AK1898">
        <v>200</v>
      </c>
      <c r="AL1898">
        <v>0</v>
      </c>
      <c r="AM1898">
        <v>0</v>
      </c>
      <c r="AN1898">
        <v>0</v>
      </c>
      <c r="AO1898">
        <v>0</v>
      </c>
      <c r="AP1898"/>
      <c r="AQ1898">
        <v>0</v>
      </c>
      <c r="AR1898">
        <v>0</v>
      </c>
      <c r="AT1898">
        <v>0</v>
      </c>
      <c r="AU1898">
        <v>0</v>
      </c>
      <c r="AW1898">
        <v>0</v>
      </c>
      <c r="AX1898">
        <v>0</v>
      </c>
      <c r="AY1898">
        <v>140</v>
      </c>
      <c r="BC1898" t="str">
        <f t="shared" si="318"/>
        <v>9791166069482</v>
      </c>
      <c r="BE1898" t="str">
        <f t="shared" si="319"/>
        <v>로맨스 웹소설 &gt; 현대물</v>
      </c>
    </row>
    <row r="1899" spans="1:57" x14ac:dyDescent="0.3">
      <c r="A1899">
        <v>2313010290</v>
      </c>
      <c r="B1899">
        <v>2313010336</v>
      </c>
      <c r="C1899" t="str">
        <f>T("아저씨, 내 기분 왜 이래요? 47화")</f>
        <v>아저씨, 내 기분 왜 이래요? 47화</v>
      </c>
      <c r="D1899" t="str">
        <f>T("47")</f>
        <v>47</v>
      </c>
      <c r="E1899" t="str">
        <f t="shared" si="315"/>
        <v>Livingston</v>
      </c>
      <c r="H1899" t="str">
        <f t="shared" si="316"/>
        <v>블레슈(Blesshuu)</v>
      </c>
      <c r="I1899" t="str">
        <f t="shared" si="317"/>
        <v>아저씨, 내 기분 왜 이래요?</v>
      </c>
      <c r="J1899">
        <v>100</v>
      </c>
      <c r="K1899">
        <v>200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200</v>
      </c>
      <c r="AH1899">
        <v>2</v>
      </c>
      <c r="AI1899">
        <v>0</v>
      </c>
      <c r="AJ1899">
        <v>0</v>
      </c>
      <c r="AK1899">
        <v>200</v>
      </c>
      <c r="AL1899">
        <v>0</v>
      </c>
      <c r="AM1899">
        <v>0</v>
      </c>
      <c r="AN1899">
        <v>0</v>
      </c>
      <c r="AO1899">
        <v>0</v>
      </c>
      <c r="AP1899"/>
      <c r="AQ1899">
        <v>0</v>
      </c>
      <c r="AR1899">
        <v>0</v>
      </c>
      <c r="AT1899">
        <v>0</v>
      </c>
      <c r="AU1899">
        <v>0</v>
      </c>
      <c r="AW1899">
        <v>0</v>
      </c>
      <c r="AX1899">
        <v>0</v>
      </c>
      <c r="AY1899">
        <v>140</v>
      </c>
      <c r="BC1899" t="str">
        <f t="shared" si="318"/>
        <v>9791166069482</v>
      </c>
      <c r="BE1899" t="str">
        <f t="shared" si="319"/>
        <v>로맨스 웹소설 &gt; 현대물</v>
      </c>
    </row>
    <row r="1900" spans="1:57" x14ac:dyDescent="0.3">
      <c r="A1900">
        <v>2313010290</v>
      </c>
      <c r="B1900">
        <v>2313010337</v>
      </c>
      <c r="C1900" t="str">
        <f>T("아저씨, 내 기분 왜 이래요? 48화")</f>
        <v>아저씨, 내 기분 왜 이래요? 48화</v>
      </c>
      <c r="D1900" t="str">
        <f>T("48")</f>
        <v>48</v>
      </c>
      <c r="E1900" t="str">
        <f t="shared" si="315"/>
        <v>Livingston</v>
      </c>
      <c r="H1900" t="str">
        <f t="shared" si="316"/>
        <v>블레슈(Blesshuu)</v>
      </c>
      <c r="I1900" t="str">
        <f t="shared" si="317"/>
        <v>아저씨, 내 기분 왜 이래요?</v>
      </c>
      <c r="J1900">
        <v>100</v>
      </c>
      <c r="K1900">
        <v>200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200</v>
      </c>
      <c r="AH1900">
        <v>2</v>
      </c>
      <c r="AI1900">
        <v>0</v>
      </c>
      <c r="AJ1900">
        <v>0</v>
      </c>
      <c r="AK1900">
        <v>200</v>
      </c>
      <c r="AL1900">
        <v>0</v>
      </c>
      <c r="AM1900">
        <v>0</v>
      </c>
      <c r="AN1900">
        <v>0</v>
      </c>
      <c r="AO1900">
        <v>0</v>
      </c>
      <c r="AP1900"/>
      <c r="AQ1900">
        <v>0</v>
      </c>
      <c r="AR1900">
        <v>0</v>
      </c>
      <c r="AT1900">
        <v>0</v>
      </c>
      <c r="AU1900">
        <v>0</v>
      </c>
      <c r="AW1900">
        <v>0</v>
      </c>
      <c r="AX1900">
        <v>0</v>
      </c>
      <c r="AY1900">
        <v>140</v>
      </c>
      <c r="BC1900" t="str">
        <f t="shared" si="318"/>
        <v>9791166069482</v>
      </c>
      <c r="BE1900" t="str">
        <f t="shared" si="319"/>
        <v>로맨스 웹소설 &gt; 현대물</v>
      </c>
    </row>
    <row r="1901" spans="1:57" x14ac:dyDescent="0.3">
      <c r="A1901">
        <v>2313010290</v>
      </c>
      <c r="B1901">
        <v>2313010338</v>
      </c>
      <c r="C1901" t="str">
        <f>T("아저씨, 내 기분 왜 이래요? 49화")</f>
        <v>아저씨, 내 기분 왜 이래요? 49화</v>
      </c>
      <c r="D1901" t="str">
        <f>T("49")</f>
        <v>49</v>
      </c>
      <c r="E1901" t="str">
        <f t="shared" si="315"/>
        <v>Livingston</v>
      </c>
      <c r="H1901" t="str">
        <f t="shared" si="316"/>
        <v>블레슈(Blesshuu)</v>
      </c>
      <c r="I1901" t="str">
        <f t="shared" si="317"/>
        <v>아저씨, 내 기분 왜 이래요?</v>
      </c>
      <c r="J1901">
        <v>100</v>
      </c>
      <c r="K1901">
        <v>200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200</v>
      </c>
      <c r="AH1901">
        <v>2</v>
      </c>
      <c r="AI1901">
        <v>0</v>
      </c>
      <c r="AJ1901">
        <v>0</v>
      </c>
      <c r="AK1901">
        <v>200</v>
      </c>
      <c r="AL1901">
        <v>0</v>
      </c>
      <c r="AM1901">
        <v>0</v>
      </c>
      <c r="AN1901">
        <v>0</v>
      </c>
      <c r="AO1901">
        <v>0</v>
      </c>
      <c r="AP1901"/>
      <c r="AQ1901">
        <v>0</v>
      </c>
      <c r="AR1901">
        <v>0</v>
      </c>
      <c r="AT1901">
        <v>0</v>
      </c>
      <c r="AU1901">
        <v>0</v>
      </c>
      <c r="AW1901">
        <v>0</v>
      </c>
      <c r="AX1901">
        <v>0</v>
      </c>
      <c r="AY1901">
        <v>140</v>
      </c>
      <c r="BC1901" t="str">
        <f t="shared" si="318"/>
        <v>9791166069482</v>
      </c>
      <c r="BE1901" t="str">
        <f t="shared" si="319"/>
        <v>로맨스 웹소설 &gt; 현대물</v>
      </c>
    </row>
    <row r="1902" spans="1:57" x14ac:dyDescent="0.3">
      <c r="A1902">
        <v>2313010290</v>
      </c>
      <c r="B1902">
        <v>2313010339</v>
      </c>
      <c r="C1902" t="str">
        <f>T("아저씨, 내 기분 왜 이래요? 50화")</f>
        <v>아저씨, 내 기분 왜 이래요? 50화</v>
      </c>
      <c r="D1902" t="str">
        <f>T("50")</f>
        <v>50</v>
      </c>
      <c r="E1902" t="str">
        <f t="shared" si="315"/>
        <v>Livingston</v>
      </c>
      <c r="H1902" t="str">
        <f t="shared" si="316"/>
        <v>블레슈(Blesshuu)</v>
      </c>
      <c r="I1902" t="str">
        <f t="shared" si="317"/>
        <v>아저씨, 내 기분 왜 이래요?</v>
      </c>
      <c r="J1902">
        <v>100</v>
      </c>
      <c r="K1902">
        <v>200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200</v>
      </c>
      <c r="AH1902">
        <v>2</v>
      </c>
      <c r="AI1902">
        <v>0</v>
      </c>
      <c r="AJ1902">
        <v>0</v>
      </c>
      <c r="AK1902">
        <v>200</v>
      </c>
      <c r="AL1902">
        <v>0</v>
      </c>
      <c r="AM1902">
        <v>0</v>
      </c>
      <c r="AN1902">
        <v>0</v>
      </c>
      <c r="AO1902">
        <v>0</v>
      </c>
      <c r="AP1902"/>
      <c r="AQ1902">
        <v>0</v>
      </c>
      <c r="AR1902">
        <v>0</v>
      </c>
      <c r="AT1902">
        <v>0</v>
      </c>
      <c r="AU1902">
        <v>0</v>
      </c>
      <c r="AW1902">
        <v>0</v>
      </c>
      <c r="AX1902">
        <v>0</v>
      </c>
      <c r="AY1902">
        <v>140</v>
      </c>
      <c r="BC1902" t="str">
        <f t="shared" si="318"/>
        <v>9791166069482</v>
      </c>
      <c r="BE1902" t="str">
        <f t="shared" si="319"/>
        <v>로맨스 웹소설 &gt; 현대물</v>
      </c>
    </row>
    <row r="1903" spans="1:57" x14ac:dyDescent="0.3">
      <c r="A1903">
        <v>2313010290</v>
      </c>
      <c r="B1903">
        <v>2313010340</v>
      </c>
      <c r="C1903" t="str">
        <f>T("아저씨, 내 기분 왜 이래요? 51화")</f>
        <v>아저씨, 내 기분 왜 이래요? 51화</v>
      </c>
      <c r="D1903" t="str">
        <f>T("51")</f>
        <v>51</v>
      </c>
      <c r="E1903" t="str">
        <f t="shared" si="315"/>
        <v>Livingston</v>
      </c>
      <c r="H1903" t="str">
        <f t="shared" si="316"/>
        <v>블레슈(Blesshuu)</v>
      </c>
      <c r="I1903" t="str">
        <f t="shared" si="317"/>
        <v>아저씨, 내 기분 왜 이래요?</v>
      </c>
      <c r="J1903">
        <v>100</v>
      </c>
      <c r="K1903">
        <v>200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200</v>
      </c>
      <c r="AH1903">
        <v>2</v>
      </c>
      <c r="AI1903">
        <v>0</v>
      </c>
      <c r="AJ1903">
        <v>0</v>
      </c>
      <c r="AK1903">
        <v>200</v>
      </c>
      <c r="AL1903">
        <v>0</v>
      </c>
      <c r="AM1903">
        <v>0</v>
      </c>
      <c r="AN1903">
        <v>0</v>
      </c>
      <c r="AO1903">
        <v>0</v>
      </c>
      <c r="AP1903"/>
      <c r="AQ1903">
        <v>0</v>
      </c>
      <c r="AR1903">
        <v>0</v>
      </c>
      <c r="AT1903">
        <v>0</v>
      </c>
      <c r="AU1903">
        <v>0</v>
      </c>
      <c r="AW1903">
        <v>0</v>
      </c>
      <c r="AX1903">
        <v>0</v>
      </c>
      <c r="AY1903">
        <v>140</v>
      </c>
      <c r="BC1903" t="str">
        <f t="shared" si="318"/>
        <v>9791166069482</v>
      </c>
      <c r="BE1903" t="str">
        <f t="shared" si="319"/>
        <v>로맨스 웹소설 &gt; 현대물</v>
      </c>
    </row>
    <row r="1904" spans="1:57" x14ac:dyDescent="0.3">
      <c r="A1904">
        <v>2313010290</v>
      </c>
      <c r="B1904">
        <v>2313010341</v>
      </c>
      <c r="C1904" t="str">
        <f>T("아저씨, 내 기분 왜 이래요? 52화")</f>
        <v>아저씨, 내 기분 왜 이래요? 52화</v>
      </c>
      <c r="D1904" t="str">
        <f>T("52")</f>
        <v>52</v>
      </c>
      <c r="E1904" t="str">
        <f t="shared" si="315"/>
        <v>Livingston</v>
      </c>
      <c r="H1904" t="str">
        <f t="shared" si="316"/>
        <v>블레슈(Blesshuu)</v>
      </c>
      <c r="I1904" t="str">
        <f t="shared" si="317"/>
        <v>아저씨, 내 기분 왜 이래요?</v>
      </c>
      <c r="J1904">
        <v>100</v>
      </c>
      <c r="K1904">
        <v>200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200</v>
      </c>
      <c r="AH1904">
        <v>2</v>
      </c>
      <c r="AI1904">
        <v>0</v>
      </c>
      <c r="AJ1904">
        <v>0</v>
      </c>
      <c r="AK1904">
        <v>200</v>
      </c>
      <c r="AL1904">
        <v>0</v>
      </c>
      <c r="AM1904">
        <v>0</v>
      </c>
      <c r="AN1904">
        <v>0</v>
      </c>
      <c r="AO1904">
        <v>0</v>
      </c>
      <c r="AP1904"/>
      <c r="AQ1904">
        <v>0</v>
      </c>
      <c r="AR1904">
        <v>0</v>
      </c>
      <c r="AT1904">
        <v>0</v>
      </c>
      <c r="AU1904">
        <v>0</v>
      </c>
      <c r="AW1904">
        <v>0</v>
      </c>
      <c r="AX1904">
        <v>0</v>
      </c>
      <c r="AY1904">
        <v>140</v>
      </c>
      <c r="BC1904" t="str">
        <f t="shared" si="318"/>
        <v>9791166069482</v>
      </c>
      <c r="BE1904" t="str">
        <f t="shared" si="319"/>
        <v>로맨스 웹소설 &gt; 현대물</v>
      </c>
    </row>
    <row r="1905" spans="1:57" x14ac:dyDescent="0.3">
      <c r="A1905">
        <v>2313010290</v>
      </c>
      <c r="B1905">
        <v>2313010342</v>
      </c>
      <c r="C1905" t="str">
        <f>T("아저씨, 내 기분 왜 이래요? 53화")</f>
        <v>아저씨, 내 기분 왜 이래요? 53화</v>
      </c>
      <c r="D1905" t="str">
        <f>T("53")</f>
        <v>53</v>
      </c>
      <c r="E1905" t="str">
        <f t="shared" si="315"/>
        <v>Livingston</v>
      </c>
      <c r="H1905" t="str">
        <f t="shared" si="316"/>
        <v>블레슈(Blesshuu)</v>
      </c>
      <c r="I1905" t="str">
        <f t="shared" si="317"/>
        <v>아저씨, 내 기분 왜 이래요?</v>
      </c>
      <c r="J1905">
        <v>100</v>
      </c>
      <c r="K1905">
        <v>200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200</v>
      </c>
      <c r="AH1905">
        <v>2</v>
      </c>
      <c r="AI1905">
        <v>0</v>
      </c>
      <c r="AJ1905">
        <v>0</v>
      </c>
      <c r="AK1905">
        <v>200</v>
      </c>
      <c r="AL1905">
        <v>0</v>
      </c>
      <c r="AM1905">
        <v>0</v>
      </c>
      <c r="AN1905">
        <v>0</v>
      </c>
      <c r="AO1905">
        <v>0</v>
      </c>
      <c r="AP1905"/>
      <c r="AQ1905">
        <v>0</v>
      </c>
      <c r="AR1905">
        <v>0</v>
      </c>
      <c r="AT1905">
        <v>0</v>
      </c>
      <c r="AU1905">
        <v>0</v>
      </c>
      <c r="AW1905">
        <v>0</v>
      </c>
      <c r="AX1905">
        <v>0</v>
      </c>
      <c r="AY1905">
        <v>140</v>
      </c>
      <c r="BC1905" t="str">
        <f t="shared" si="318"/>
        <v>9791166069482</v>
      </c>
      <c r="BE1905" t="str">
        <f t="shared" si="319"/>
        <v>로맨스 웹소설 &gt; 현대물</v>
      </c>
    </row>
    <row r="1906" spans="1:57" x14ac:dyDescent="0.3">
      <c r="A1906">
        <v>2313010290</v>
      </c>
      <c r="B1906">
        <v>2313010343</v>
      </c>
      <c r="C1906" t="str">
        <f>T("아저씨, 내 기분 왜 이래요? 54화")</f>
        <v>아저씨, 내 기분 왜 이래요? 54화</v>
      </c>
      <c r="D1906" t="str">
        <f>T("54")</f>
        <v>54</v>
      </c>
      <c r="E1906" t="str">
        <f t="shared" si="315"/>
        <v>Livingston</v>
      </c>
      <c r="H1906" t="str">
        <f t="shared" si="316"/>
        <v>블레슈(Blesshuu)</v>
      </c>
      <c r="I1906" t="str">
        <f t="shared" si="317"/>
        <v>아저씨, 내 기분 왜 이래요?</v>
      </c>
      <c r="J1906">
        <v>100</v>
      </c>
      <c r="K1906">
        <v>200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200</v>
      </c>
      <c r="AH1906">
        <v>2</v>
      </c>
      <c r="AI1906">
        <v>0</v>
      </c>
      <c r="AJ1906">
        <v>0</v>
      </c>
      <c r="AK1906">
        <v>200</v>
      </c>
      <c r="AL1906">
        <v>0</v>
      </c>
      <c r="AM1906">
        <v>0</v>
      </c>
      <c r="AN1906">
        <v>0</v>
      </c>
      <c r="AO1906">
        <v>0</v>
      </c>
      <c r="AP1906"/>
      <c r="AQ1906">
        <v>0</v>
      </c>
      <c r="AR1906">
        <v>0</v>
      </c>
      <c r="AT1906">
        <v>0</v>
      </c>
      <c r="AU1906">
        <v>0</v>
      </c>
      <c r="AW1906">
        <v>0</v>
      </c>
      <c r="AX1906">
        <v>0</v>
      </c>
      <c r="AY1906">
        <v>140</v>
      </c>
      <c r="BC1906" t="str">
        <f t="shared" si="318"/>
        <v>9791166069482</v>
      </c>
      <c r="BE1906" t="str">
        <f t="shared" si="319"/>
        <v>로맨스 웹소설 &gt; 현대물</v>
      </c>
    </row>
    <row r="1907" spans="1:57" x14ac:dyDescent="0.3">
      <c r="A1907">
        <v>2313010290</v>
      </c>
      <c r="B1907">
        <v>2313010344</v>
      </c>
      <c r="C1907" t="str">
        <f>T("아저씨, 내 기분 왜 이래요? 55화")</f>
        <v>아저씨, 내 기분 왜 이래요? 55화</v>
      </c>
      <c r="D1907" t="str">
        <f>T("55")</f>
        <v>55</v>
      </c>
      <c r="E1907" t="str">
        <f t="shared" si="315"/>
        <v>Livingston</v>
      </c>
      <c r="H1907" t="str">
        <f t="shared" si="316"/>
        <v>블레슈(Blesshuu)</v>
      </c>
      <c r="I1907" t="str">
        <f t="shared" si="317"/>
        <v>아저씨, 내 기분 왜 이래요?</v>
      </c>
      <c r="J1907">
        <v>100</v>
      </c>
      <c r="K1907">
        <v>200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200</v>
      </c>
      <c r="AH1907">
        <v>2</v>
      </c>
      <c r="AI1907">
        <v>0</v>
      </c>
      <c r="AJ1907">
        <v>0</v>
      </c>
      <c r="AK1907">
        <v>200</v>
      </c>
      <c r="AL1907">
        <v>0</v>
      </c>
      <c r="AM1907">
        <v>0</v>
      </c>
      <c r="AN1907">
        <v>0</v>
      </c>
      <c r="AO1907">
        <v>0</v>
      </c>
      <c r="AP1907"/>
      <c r="AQ1907">
        <v>0</v>
      </c>
      <c r="AR1907">
        <v>0</v>
      </c>
      <c r="AT1907">
        <v>0</v>
      </c>
      <c r="AU1907">
        <v>0</v>
      </c>
      <c r="AW1907">
        <v>0</v>
      </c>
      <c r="AX1907">
        <v>0</v>
      </c>
      <c r="AY1907">
        <v>140</v>
      </c>
      <c r="BC1907" t="str">
        <f t="shared" si="318"/>
        <v>9791166069482</v>
      </c>
      <c r="BE1907" t="str">
        <f t="shared" si="319"/>
        <v>로맨스 웹소설 &gt; 현대물</v>
      </c>
    </row>
    <row r="1908" spans="1:57" x14ac:dyDescent="0.3">
      <c r="A1908">
        <v>2313010290</v>
      </c>
      <c r="B1908">
        <v>2313010345</v>
      </c>
      <c r="C1908" t="str">
        <f>T("아저씨, 내 기분 왜 이래요? 56화")</f>
        <v>아저씨, 내 기분 왜 이래요? 56화</v>
      </c>
      <c r="D1908" t="str">
        <f>T("56")</f>
        <v>56</v>
      </c>
      <c r="E1908" t="str">
        <f t="shared" si="315"/>
        <v>Livingston</v>
      </c>
      <c r="H1908" t="str">
        <f t="shared" si="316"/>
        <v>블레슈(Blesshuu)</v>
      </c>
      <c r="I1908" t="str">
        <f t="shared" si="317"/>
        <v>아저씨, 내 기분 왜 이래요?</v>
      </c>
      <c r="J1908">
        <v>100</v>
      </c>
      <c r="K1908">
        <v>200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200</v>
      </c>
      <c r="AH1908">
        <v>2</v>
      </c>
      <c r="AI1908">
        <v>0</v>
      </c>
      <c r="AJ1908">
        <v>0</v>
      </c>
      <c r="AK1908">
        <v>200</v>
      </c>
      <c r="AL1908">
        <v>0</v>
      </c>
      <c r="AM1908">
        <v>0</v>
      </c>
      <c r="AN1908">
        <v>0</v>
      </c>
      <c r="AO1908">
        <v>0</v>
      </c>
      <c r="AP1908"/>
      <c r="AQ1908">
        <v>0</v>
      </c>
      <c r="AR1908">
        <v>0</v>
      </c>
      <c r="AT1908">
        <v>0</v>
      </c>
      <c r="AU1908">
        <v>0</v>
      </c>
      <c r="AW1908">
        <v>0</v>
      </c>
      <c r="AX1908">
        <v>0</v>
      </c>
      <c r="AY1908">
        <v>140</v>
      </c>
      <c r="BC1908" t="str">
        <f t="shared" si="318"/>
        <v>9791166069482</v>
      </c>
      <c r="BE1908" t="str">
        <f t="shared" si="319"/>
        <v>로맨스 웹소설 &gt; 현대물</v>
      </c>
    </row>
    <row r="1909" spans="1:57" x14ac:dyDescent="0.3">
      <c r="A1909">
        <v>2313010290</v>
      </c>
      <c r="B1909">
        <v>2313010346</v>
      </c>
      <c r="C1909" t="str">
        <f>T("아저씨, 내 기분 왜 이래요? 57화")</f>
        <v>아저씨, 내 기분 왜 이래요? 57화</v>
      </c>
      <c r="D1909" t="str">
        <f>T("57")</f>
        <v>57</v>
      </c>
      <c r="E1909" t="str">
        <f t="shared" si="315"/>
        <v>Livingston</v>
      </c>
      <c r="H1909" t="str">
        <f t="shared" si="316"/>
        <v>블레슈(Blesshuu)</v>
      </c>
      <c r="I1909" t="str">
        <f t="shared" si="317"/>
        <v>아저씨, 내 기분 왜 이래요?</v>
      </c>
      <c r="J1909">
        <v>100</v>
      </c>
      <c r="K1909">
        <v>200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200</v>
      </c>
      <c r="AH1909">
        <v>2</v>
      </c>
      <c r="AI1909">
        <v>0</v>
      </c>
      <c r="AJ1909">
        <v>0</v>
      </c>
      <c r="AK1909">
        <v>200</v>
      </c>
      <c r="AL1909">
        <v>0</v>
      </c>
      <c r="AM1909">
        <v>0</v>
      </c>
      <c r="AN1909">
        <v>0</v>
      </c>
      <c r="AO1909">
        <v>0</v>
      </c>
      <c r="AP1909"/>
      <c r="AQ1909">
        <v>0</v>
      </c>
      <c r="AR1909">
        <v>0</v>
      </c>
      <c r="AT1909">
        <v>0</v>
      </c>
      <c r="AU1909">
        <v>0</v>
      </c>
      <c r="AW1909">
        <v>0</v>
      </c>
      <c r="AX1909">
        <v>0</v>
      </c>
      <c r="AY1909">
        <v>140</v>
      </c>
      <c r="BC1909" t="str">
        <f t="shared" si="318"/>
        <v>9791166069482</v>
      </c>
      <c r="BE1909" t="str">
        <f t="shared" si="319"/>
        <v>로맨스 웹소설 &gt; 현대물</v>
      </c>
    </row>
    <row r="1910" spans="1:57" x14ac:dyDescent="0.3">
      <c r="A1910">
        <v>2313010290</v>
      </c>
      <c r="B1910">
        <v>2313010347</v>
      </c>
      <c r="C1910" t="str">
        <f>T("아저씨, 내 기분 왜 이래요? 58화")</f>
        <v>아저씨, 내 기분 왜 이래요? 58화</v>
      </c>
      <c r="D1910" t="str">
        <f>T("58")</f>
        <v>58</v>
      </c>
      <c r="E1910" t="str">
        <f t="shared" si="315"/>
        <v>Livingston</v>
      </c>
      <c r="H1910" t="str">
        <f t="shared" si="316"/>
        <v>블레슈(Blesshuu)</v>
      </c>
      <c r="I1910" t="str">
        <f t="shared" si="317"/>
        <v>아저씨, 내 기분 왜 이래요?</v>
      </c>
      <c r="J1910">
        <v>100</v>
      </c>
      <c r="K1910">
        <v>200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200</v>
      </c>
      <c r="AH1910">
        <v>2</v>
      </c>
      <c r="AI1910">
        <v>0</v>
      </c>
      <c r="AJ1910">
        <v>0</v>
      </c>
      <c r="AK1910">
        <v>200</v>
      </c>
      <c r="AL1910">
        <v>0</v>
      </c>
      <c r="AM1910">
        <v>0</v>
      </c>
      <c r="AN1910">
        <v>0</v>
      </c>
      <c r="AO1910">
        <v>0</v>
      </c>
      <c r="AP1910"/>
      <c r="AQ1910">
        <v>0</v>
      </c>
      <c r="AR1910">
        <v>0</v>
      </c>
      <c r="AT1910">
        <v>0</v>
      </c>
      <c r="AU1910">
        <v>0</v>
      </c>
      <c r="AW1910">
        <v>0</v>
      </c>
      <c r="AX1910">
        <v>0</v>
      </c>
      <c r="AY1910">
        <v>140</v>
      </c>
      <c r="BC1910" t="str">
        <f t="shared" si="318"/>
        <v>9791166069482</v>
      </c>
      <c r="BE1910" t="str">
        <f t="shared" si="319"/>
        <v>로맨스 웹소설 &gt; 현대물</v>
      </c>
    </row>
    <row r="1911" spans="1:57" x14ac:dyDescent="0.3">
      <c r="A1911">
        <v>2313010290</v>
      </c>
      <c r="B1911">
        <v>2313010348</v>
      </c>
      <c r="C1911" t="str">
        <f>T("아저씨, 내 기분 왜 이래요? 59화")</f>
        <v>아저씨, 내 기분 왜 이래요? 59화</v>
      </c>
      <c r="D1911" t="str">
        <f>T("59")</f>
        <v>59</v>
      </c>
      <c r="E1911" t="str">
        <f t="shared" si="315"/>
        <v>Livingston</v>
      </c>
      <c r="H1911" t="str">
        <f t="shared" si="316"/>
        <v>블레슈(Blesshuu)</v>
      </c>
      <c r="I1911" t="str">
        <f t="shared" si="317"/>
        <v>아저씨, 내 기분 왜 이래요?</v>
      </c>
      <c r="J1911">
        <v>100</v>
      </c>
      <c r="K1911">
        <v>200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200</v>
      </c>
      <c r="AH1911">
        <v>2</v>
      </c>
      <c r="AI1911">
        <v>0</v>
      </c>
      <c r="AJ1911">
        <v>0</v>
      </c>
      <c r="AK1911">
        <v>200</v>
      </c>
      <c r="AL1911">
        <v>0</v>
      </c>
      <c r="AM1911">
        <v>0</v>
      </c>
      <c r="AN1911">
        <v>0</v>
      </c>
      <c r="AO1911">
        <v>0</v>
      </c>
      <c r="AP1911"/>
      <c r="AQ1911">
        <v>0</v>
      </c>
      <c r="AR1911">
        <v>0</v>
      </c>
      <c r="AT1911">
        <v>0</v>
      </c>
      <c r="AU1911">
        <v>0</v>
      </c>
      <c r="AW1911">
        <v>0</v>
      </c>
      <c r="AX1911">
        <v>0</v>
      </c>
      <c r="AY1911">
        <v>140</v>
      </c>
      <c r="BC1911" t="str">
        <f t="shared" si="318"/>
        <v>9791166069482</v>
      </c>
      <c r="BE1911" t="str">
        <f t="shared" si="319"/>
        <v>로맨스 웹소설 &gt; 현대물</v>
      </c>
    </row>
    <row r="1912" spans="1:57" x14ac:dyDescent="0.3">
      <c r="A1912">
        <v>2313010290</v>
      </c>
      <c r="B1912">
        <v>2313010349</v>
      </c>
      <c r="C1912" t="str">
        <f>T("아저씨, 내 기분 왜 이래요? 60화")</f>
        <v>아저씨, 내 기분 왜 이래요? 60화</v>
      </c>
      <c r="D1912" t="str">
        <f>T("60")</f>
        <v>60</v>
      </c>
      <c r="E1912" t="str">
        <f t="shared" si="315"/>
        <v>Livingston</v>
      </c>
      <c r="H1912" t="str">
        <f t="shared" si="316"/>
        <v>블레슈(Blesshuu)</v>
      </c>
      <c r="I1912" t="str">
        <f t="shared" si="317"/>
        <v>아저씨, 내 기분 왜 이래요?</v>
      </c>
      <c r="J1912">
        <v>100</v>
      </c>
      <c r="K1912">
        <v>200</v>
      </c>
      <c r="L1912">
        <v>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200</v>
      </c>
      <c r="AH1912">
        <v>2</v>
      </c>
      <c r="AI1912">
        <v>0</v>
      </c>
      <c r="AJ1912">
        <v>0</v>
      </c>
      <c r="AK1912">
        <v>200</v>
      </c>
      <c r="AL1912">
        <v>0</v>
      </c>
      <c r="AM1912">
        <v>0</v>
      </c>
      <c r="AN1912">
        <v>0</v>
      </c>
      <c r="AO1912">
        <v>0</v>
      </c>
      <c r="AP1912"/>
      <c r="AQ1912">
        <v>0</v>
      </c>
      <c r="AR1912">
        <v>0</v>
      </c>
      <c r="AT1912">
        <v>0</v>
      </c>
      <c r="AU1912">
        <v>0</v>
      </c>
      <c r="AW1912">
        <v>0</v>
      </c>
      <c r="AX1912">
        <v>0</v>
      </c>
      <c r="AY1912">
        <v>140</v>
      </c>
      <c r="BC1912" t="str">
        <f t="shared" si="318"/>
        <v>9791166069482</v>
      </c>
      <c r="BE1912" t="str">
        <f t="shared" si="319"/>
        <v>로맨스 웹소설 &gt; 현대물</v>
      </c>
    </row>
    <row r="1913" spans="1:57" x14ac:dyDescent="0.3">
      <c r="A1913">
        <v>2313010290</v>
      </c>
      <c r="B1913">
        <v>2313010350</v>
      </c>
      <c r="C1913" t="str">
        <f>T("아저씨, 내 기분 왜 이래요? 61화")</f>
        <v>아저씨, 내 기분 왜 이래요? 61화</v>
      </c>
      <c r="D1913" t="str">
        <f>T("61")</f>
        <v>61</v>
      </c>
      <c r="E1913" t="str">
        <f t="shared" si="315"/>
        <v>Livingston</v>
      </c>
      <c r="H1913" t="str">
        <f t="shared" si="316"/>
        <v>블레슈(Blesshuu)</v>
      </c>
      <c r="I1913" t="str">
        <f t="shared" si="317"/>
        <v>아저씨, 내 기분 왜 이래요?</v>
      </c>
      <c r="J1913">
        <v>100</v>
      </c>
      <c r="K1913">
        <v>200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200</v>
      </c>
      <c r="AH1913">
        <v>2</v>
      </c>
      <c r="AI1913">
        <v>0</v>
      </c>
      <c r="AJ1913">
        <v>0</v>
      </c>
      <c r="AK1913">
        <v>200</v>
      </c>
      <c r="AL1913">
        <v>0</v>
      </c>
      <c r="AM1913">
        <v>0</v>
      </c>
      <c r="AN1913">
        <v>0</v>
      </c>
      <c r="AO1913">
        <v>0</v>
      </c>
      <c r="AP1913"/>
      <c r="AQ1913">
        <v>0</v>
      </c>
      <c r="AR1913">
        <v>0</v>
      </c>
      <c r="AT1913">
        <v>0</v>
      </c>
      <c r="AU1913">
        <v>0</v>
      </c>
      <c r="AW1913">
        <v>0</v>
      </c>
      <c r="AX1913">
        <v>0</v>
      </c>
      <c r="AY1913">
        <v>140</v>
      </c>
      <c r="BC1913" t="str">
        <f t="shared" si="318"/>
        <v>9791166069482</v>
      </c>
      <c r="BE1913" t="str">
        <f t="shared" si="319"/>
        <v>로맨스 웹소설 &gt; 현대물</v>
      </c>
    </row>
    <row r="1914" spans="1:57" x14ac:dyDescent="0.3">
      <c r="A1914">
        <v>2313010290</v>
      </c>
      <c r="B1914">
        <v>2313010351</v>
      </c>
      <c r="C1914" t="str">
        <f>T("아저씨, 내 기분 왜 이래요? 62화")</f>
        <v>아저씨, 내 기분 왜 이래요? 62화</v>
      </c>
      <c r="D1914" t="str">
        <f>T("62")</f>
        <v>62</v>
      </c>
      <c r="E1914" t="str">
        <f t="shared" si="315"/>
        <v>Livingston</v>
      </c>
      <c r="H1914" t="str">
        <f t="shared" si="316"/>
        <v>블레슈(Blesshuu)</v>
      </c>
      <c r="I1914" t="str">
        <f t="shared" si="317"/>
        <v>아저씨, 내 기분 왜 이래요?</v>
      </c>
      <c r="J1914">
        <v>100</v>
      </c>
      <c r="K1914">
        <v>200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200</v>
      </c>
      <c r="AH1914">
        <v>2</v>
      </c>
      <c r="AI1914">
        <v>0</v>
      </c>
      <c r="AJ1914">
        <v>0</v>
      </c>
      <c r="AK1914">
        <v>200</v>
      </c>
      <c r="AL1914">
        <v>0</v>
      </c>
      <c r="AM1914">
        <v>0</v>
      </c>
      <c r="AN1914">
        <v>0</v>
      </c>
      <c r="AO1914">
        <v>0</v>
      </c>
      <c r="AP1914"/>
      <c r="AQ1914">
        <v>0</v>
      </c>
      <c r="AR1914">
        <v>0</v>
      </c>
      <c r="AT1914">
        <v>0</v>
      </c>
      <c r="AU1914">
        <v>0</v>
      </c>
      <c r="AW1914">
        <v>0</v>
      </c>
      <c r="AX1914">
        <v>0</v>
      </c>
      <c r="AY1914">
        <v>140</v>
      </c>
      <c r="BC1914" t="str">
        <f t="shared" si="318"/>
        <v>9791166069482</v>
      </c>
      <c r="BE1914" t="str">
        <f t="shared" si="319"/>
        <v>로맨스 웹소설 &gt; 현대물</v>
      </c>
    </row>
    <row r="1915" spans="1:57" x14ac:dyDescent="0.3">
      <c r="A1915">
        <v>2313010290</v>
      </c>
      <c r="B1915">
        <v>2313010352</v>
      </c>
      <c r="C1915" t="str">
        <f>T("아저씨, 내 기분 왜 이래요? 63화")</f>
        <v>아저씨, 내 기분 왜 이래요? 63화</v>
      </c>
      <c r="D1915" t="str">
        <f>T("63")</f>
        <v>63</v>
      </c>
      <c r="E1915" t="str">
        <f t="shared" si="315"/>
        <v>Livingston</v>
      </c>
      <c r="H1915" t="str">
        <f t="shared" si="316"/>
        <v>블레슈(Blesshuu)</v>
      </c>
      <c r="I1915" t="str">
        <f t="shared" si="317"/>
        <v>아저씨, 내 기분 왜 이래요?</v>
      </c>
      <c r="J1915">
        <v>100</v>
      </c>
      <c r="K1915">
        <v>200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200</v>
      </c>
      <c r="AH1915">
        <v>2</v>
      </c>
      <c r="AI1915">
        <v>0</v>
      </c>
      <c r="AJ1915">
        <v>0</v>
      </c>
      <c r="AK1915">
        <v>200</v>
      </c>
      <c r="AL1915">
        <v>0</v>
      </c>
      <c r="AM1915">
        <v>0</v>
      </c>
      <c r="AN1915">
        <v>0</v>
      </c>
      <c r="AO1915">
        <v>0</v>
      </c>
      <c r="AP1915"/>
      <c r="AQ1915">
        <v>0</v>
      </c>
      <c r="AR1915">
        <v>0</v>
      </c>
      <c r="AT1915">
        <v>0</v>
      </c>
      <c r="AU1915">
        <v>0</v>
      </c>
      <c r="AW1915">
        <v>0</v>
      </c>
      <c r="AX1915">
        <v>0</v>
      </c>
      <c r="AY1915">
        <v>140</v>
      </c>
      <c r="BC1915" t="str">
        <f t="shared" si="318"/>
        <v>9791166069482</v>
      </c>
      <c r="BE1915" t="str">
        <f t="shared" si="319"/>
        <v>로맨스 웹소설 &gt; 현대물</v>
      </c>
    </row>
    <row r="1916" spans="1:57" x14ac:dyDescent="0.3">
      <c r="A1916">
        <v>2313010364</v>
      </c>
      <c r="B1916">
        <v>2313010389</v>
      </c>
      <c r="C1916" t="str">
        <f>T("절대자의 귀환 26화")</f>
        <v>절대자의 귀환 26화</v>
      </c>
      <c r="D1916" t="str">
        <f>T("26")</f>
        <v>26</v>
      </c>
      <c r="E1916" t="str">
        <f t="shared" ref="E1916:E1921" si="320">T("장유진")</f>
        <v>장유진</v>
      </c>
      <c r="H1916" t="str">
        <f t="shared" ref="H1916:H1979" si="321">T("스토리위즈")</f>
        <v>스토리위즈</v>
      </c>
      <c r="I1916" t="str">
        <f t="shared" ref="I1916:I1921" si="322">T("절대자의 귀환")</f>
        <v>절대자의 귀환</v>
      </c>
      <c r="J1916">
        <v>100</v>
      </c>
      <c r="K1916">
        <v>200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200</v>
      </c>
      <c r="AH1916">
        <v>2</v>
      </c>
      <c r="AI1916">
        <v>0</v>
      </c>
      <c r="AJ1916">
        <v>0</v>
      </c>
      <c r="AK1916">
        <v>200</v>
      </c>
      <c r="AL1916">
        <v>0</v>
      </c>
      <c r="AM1916">
        <v>0</v>
      </c>
      <c r="AN1916">
        <v>0</v>
      </c>
      <c r="AO1916">
        <v>0</v>
      </c>
      <c r="AP1916"/>
      <c r="AQ1916">
        <v>0</v>
      </c>
      <c r="AR1916">
        <v>0</v>
      </c>
      <c r="AT1916">
        <v>0</v>
      </c>
      <c r="AU1916">
        <v>0</v>
      </c>
      <c r="AW1916">
        <v>0</v>
      </c>
      <c r="AX1916">
        <v>0</v>
      </c>
      <c r="AY1916">
        <v>140</v>
      </c>
      <c r="BC1916" t="str">
        <f t="shared" ref="BC1916:BC1921" si="323">T("9791166069154")</f>
        <v>9791166069154</v>
      </c>
      <c r="BE1916" t="str">
        <f t="shared" ref="BE1916:BE1921" si="324">T("판타지 웹소설 &gt; 퓨전 판타지")</f>
        <v>판타지 웹소설 &gt; 퓨전 판타지</v>
      </c>
    </row>
    <row r="1917" spans="1:57" x14ac:dyDescent="0.3">
      <c r="A1917">
        <v>2313010364</v>
      </c>
      <c r="B1917">
        <v>2313010390</v>
      </c>
      <c r="C1917" t="str">
        <f>T("절대자의 귀환 27화")</f>
        <v>절대자의 귀환 27화</v>
      </c>
      <c r="D1917" t="str">
        <f>T("27")</f>
        <v>27</v>
      </c>
      <c r="E1917" t="str">
        <f t="shared" si="320"/>
        <v>장유진</v>
      </c>
      <c r="H1917" t="str">
        <f t="shared" si="321"/>
        <v>스토리위즈</v>
      </c>
      <c r="I1917" t="str">
        <f t="shared" si="322"/>
        <v>절대자의 귀환</v>
      </c>
      <c r="J1917">
        <v>100</v>
      </c>
      <c r="K1917">
        <v>200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200</v>
      </c>
      <c r="AH1917">
        <v>2</v>
      </c>
      <c r="AI1917">
        <v>0</v>
      </c>
      <c r="AJ1917">
        <v>0</v>
      </c>
      <c r="AK1917">
        <v>200</v>
      </c>
      <c r="AL1917">
        <v>0</v>
      </c>
      <c r="AM1917">
        <v>0</v>
      </c>
      <c r="AN1917">
        <v>0</v>
      </c>
      <c r="AO1917">
        <v>0</v>
      </c>
      <c r="AP1917"/>
      <c r="AQ1917">
        <v>0</v>
      </c>
      <c r="AR1917">
        <v>0</v>
      </c>
      <c r="AT1917">
        <v>0</v>
      </c>
      <c r="AU1917">
        <v>0</v>
      </c>
      <c r="AW1917">
        <v>0</v>
      </c>
      <c r="AX1917">
        <v>0</v>
      </c>
      <c r="AY1917">
        <v>140</v>
      </c>
      <c r="BC1917" t="str">
        <f t="shared" si="323"/>
        <v>9791166069154</v>
      </c>
      <c r="BE1917" t="str">
        <f t="shared" si="324"/>
        <v>판타지 웹소설 &gt; 퓨전 판타지</v>
      </c>
    </row>
    <row r="1918" spans="1:57" x14ac:dyDescent="0.3">
      <c r="A1918">
        <v>2313010364</v>
      </c>
      <c r="B1918">
        <v>2313010391</v>
      </c>
      <c r="C1918" t="str">
        <f>T("절대자의 귀환 28화")</f>
        <v>절대자의 귀환 28화</v>
      </c>
      <c r="D1918" t="str">
        <f>T("28")</f>
        <v>28</v>
      </c>
      <c r="E1918" t="str">
        <f t="shared" si="320"/>
        <v>장유진</v>
      </c>
      <c r="H1918" t="str">
        <f t="shared" si="321"/>
        <v>스토리위즈</v>
      </c>
      <c r="I1918" t="str">
        <f t="shared" si="322"/>
        <v>절대자의 귀환</v>
      </c>
      <c r="J1918">
        <v>100</v>
      </c>
      <c r="K1918">
        <v>200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200</v>
      </c>
      <c r="AH1918">
        <v>2</v>
      </c>
      <c r="AI1918">
        <v>0</v>
      </c>
      <c r="AJ1918">
        <v>0</v>
      </c>
      <c r="AK1918">
        <v>200</v>
      </c>
      <c r="AL1918">
        <v>0</v>
      </c>
      <c r="AM1918">
        <v>0</v>
      </c>
      <c r="AN1918">
        <v>0</v>
      </c>
      <c r="AO1918">
        <v>0</v>
      </c>
      <c r="AP1918"/>
      <c r="AQ1918">
        <v>0</v>
      </c>
      <c r="AR1918">
        <v>0</v>
      </c>
      <c r="AT1918">
        <v>0</v>
      </c>
      <c r="AU1918">
        <v>0</v>
      </c>
      <c r="AW1918">
        <v>0</v>
      </c>
      <c r="AX1918">
        <v>0</v>
      </c>
      <c r="AY1918">
        <v>140</v>
      </c>
      <c r="BC1918" t="str">
        <f t="shared" si="323"/>
        <v>9791166069154</v>
      </c>
      <c r="BE1918" t="str">
        <f t="shared" si="324"/>
        <v>판타지 웹소설 &gt; 퓨전 판타지</v>
      </c>
    </row>
    <row r="1919" spans="1:57" x14ac:dyDescent="0.3">
      <c r="A1919">
        <v>2313010364</v>
      </c>
      <c r="B1919">
        <v>2313010392</v>
      </c>
      <c r="C1919" t="str">
        <f>T("절대자의 귀환 29화")</f>
        <v>절대자의 귀환 29화</v>
      </c>
      <c r="D1919" t="str">
        <f>T("29")</f>
        <v>29</v>
      </c>
      <c r="E1919" t="str">
        <f t="shared" si="320"/>
        <v>장유진</v>
      </c>
      <c r="H1919" t="str">
        <f t="shared" si="321"/>
        <v>스토리위즈</v>
      </c>
      <c r="I1919" t="str">
        <f t="shared" si="322"/>
        <v>절대자의 귀환</v>
      </c>
      <c r="J1919">
        <v>100</v>
      </c>
      <c r="K1919">
        <v>200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200</v>
      </c>
      <c r="AH1919">
        <v>2</v>
      </c>
      <c r="AI1919">
        <v>0</v>
      </c>
      <c r="AJ1919">
        <v>0</v>
      </c>
      <c r="AK1919">
        <v>200</v>
      </c>
      <c r="AL1919">
        <v>0</v>
      </c>
      <c r="AM1919">
        <v>0</v>
      </c>
      <c r="AN1919">
        <v>0</v>
      </c>
      <c r="AO1919">
        <v>0</v>
      </c>
      <c r="AP1919"/>
      <c r="AQ1919">
        <v>0</v>
      </c>
      <c r="AR1919">
        <v>0</v>
      </c>
      <c r="AT1919">
        <v>0</v>
      </c>
      <c r="AU1919">
        <v>0</v>
      </c>
      <c r="AW1919">
        <v>0</v>
      </c>
      <c r="AX1919">
        <v>0</v>
      </c>
      <c r="AY1919">
        <v>140</v>
      </c>
      <c r="BC1919" t="str">
        <f t="shared" si="323"/>
        <v>9791166069154</v>
      </c>
      <c r="BE1919" t="str">
        <f t="shared" si="324"/>
        <v>판타지 웹소설 &gt; 퓨전 판타지</v>
      </c>
    </row>
    <row r="1920" spans="1:57" x14ac:dyDescent="0.3">
      <c r="A1920">
        <v>2313010364</v>
      </c>
      <c r="B1920">
        <v>2313010393</v>
      </c>
      <c r="C1920" t="str">
        <f>T("절대자의 귀환 30화")</f>
        <v>절대자의 귀환 30화</v>
      </c>
      <c r="D1920" t="str">
        <f>T("30")</f>
        <v>30</v>
      </c>
      <c r="E1920" t="str">
        <f t="shared" si="320"/>
        <v>장유진</v>
      </c>
      <c r="H1920" t="str">
        <f t="shared" si="321"/>
        <v>스토리위즈</v>
      </c>
      <c r="I1920" t="str">
        <f t="shared" si="322"/>
        <v>절대자의 귀환</v>
      </c>
      <c r="J1920">
        <v>100</v>
      </c>
      <c r="K1920">
        <v>200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200</v>
      </c>
      <c r="AH1920">
        <v>2</v>
      </c>
      <c r="AI1920">
        <v>0</v>
      </c>
      <c r="AJ1920">
        <v>0</v>
      </c>
      <c r="AK1920">
        <v>200</v>
      </c>
      <c r="AL1920">
        <v>0</v>
      </c>
      <c r="AM1920">
        <v>0</v>
      </c>
      <c r="AN1920">
        <v>0</v>
      </c>
      <c r="AO1920">
        <v>0</v>
      </c>
      <c r="AP1920"/>
      <c r="AQ1920">
        <v>0</v>
      </c>
      <c r="AR1920">
        <v>0</v>
      </c>
      <c r="AT1920">
        <v>0</v>
      </c>
      <c r="AU1920">
        <v>0</v>
      </c>
      <c r="AW1920">
        <v>0</v>
      </c>
      <c r="AX1920">
        <v>0</v>
      </c>
      <c r="AY1920">
        <v>140</v>
      </c>
      <c r="BC1920" t="str">
        <f t="shared" si="323"/>
        <v>9791166069154</v>
      </c>
      <c r="BE1920" t="str">
        <f t="shared" si="324"/>
        <v>판타지 웹소설 &gt; 퓨전 판타지</v>
      </c>
    </row>
    <row r="1921" spans="1:57" x14ac:dyDescent="0.3">
      <c r="A1921">
        <v>2313010364</v>
      </c>
      <c r="B1921">
        <v>2313010394</v>
      </c>
      <c r="C1921" t="str">
        <f>T("절대자의 귀환 31화")</f>
        <v>절대자의 귀환 31화</v>
      </c>
      <c r="D1921" t="str">
        <f>T("31")</f>
        <v>31</v>
      </c>
      <c r="E1921" t="str">
        <f t="shared" si="320"/>
        <v>장유진</v>
      </c>
      <c r="H1921" t="str">
        <f t="shared" si="321"/>
        <v>스토리위즈</v>
      </c>
      <c r="I1921" t="str">
        <f t="shared" si="322"/>
        <v>절대자의 귀환</v>
      </c>
      <c r="J1921">
        <v>100</v>
      </c>
      <c r="K1921">
        <v>200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200</v>
      </c>
      <c r="AH1921">
        <v>2</v>
      </c>
      <c r="AI1921">
        <v>0</v>
      </c>
      <c r="AJ1921">
        <v>0</v>
      </c>
      <c r="AK1921">
        <v>200</v>
      </c>
      <c r="AL1921">
        <v>0</v>
      </c>
      <c r="AM1921">
        <v>0</v>
      </c>
      <c r="AN1921">
        <v>0</v>
      </c>
      <c r="AO1921">
        <v>0</v>
      </c>
      <c r="AP1921"/>
      <c r="AQ1921">
        <v>0</v>
      </c>
      <c r="AR1921">
        <v>0</v>
      </c>
      <c r="AT1921">
        <v>0</v>
      </c>
      <c r="AU1921">
        <v>0</v>
      </c>
      <c r="AW1921">
        <v>0</v>
      </c>
      <c r="AX1921">
        <v>0</v>
      </c>
      <c r="AY1921">
        <v>140</v>
      </c>
      <c r="BC1921" t="str">
        <f t="shared" si="323"/>
        <v>9791166069154</v>
      </c>
      <c r="BE1921" t="str">
        <f t="shared" si="324"/>
        <v>판타지 웹소설 &gt; 퓨전 판타지</v>
      </c>
    </row>
    <row r="1922" spans="1:57" x14ac:dyDescent="0.3">
      <c r="A1922">
        <v>2313011955</v>
      </c>
      <c r="B1922">
        <v>2313012164</v>
      </c>
      <c r="C1922" t="str">
        <f>T("갓 오브 블랙필드 210화")</f>
        <v>갓 오브 블랙필드 210화</v>
      </c>
      <c r="D1922" t="str">
        <f>T("210")</f>
        <v>210</v>
      </c>
      <c r="E1922" t="str">
        <f t="shared" ref="E1922:E1985" si="325">T("무장")</f>
        <v>무장</v>
      </c>
      <c r="H1922" t="str">
        <f t="shared" si="321"/>
        <v>스토리위즈</v>
      </c>
      <c r="I1922" t="str">
        <f t="shared" ref="I1922:I1985" si="326">T("갓 오브 블랙필드")</f>
        <v>갓 오브 블랙필드</v>
      </c>
      <c r="J1922">
        <v>100</v>
      </c>
      <c r="K1922">
        <v>200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200</v>
      </c>
      <c r="AH1922">
        <v>2</v>
      </c>
      <c r="AI1922">
        <v>0</v>
      </c>
      <c r="AJ1922">
        <v>0</v>
      </c>
      <c r="AK1922">
        <v>200</v>
      </c>
      <c r="AL1922">
        <v>0</v>
      </c>
      <c r="AM1922">
        <v>0</v>
      </c>
      <c r="AN1922">
        <v>0</v>
      </c>
      <c r="AO1922">
        <v>0</v>
      </c>
      <c r="AP1922"/>
      <c r="AQ1922">
        <v>0</v>
      </c>
      <c r="AR1922">
        <v>0</v>
      </c>
      <c r="AT1922">
        <v>0</v>
      </c>
      <c r="AU1922">
        <v>0</v>
      </c>
      <c r="AW1922">
        <v>0</v>
      </c>
      <c r="AX1922">
        <v>0</v>
      </c>
      <c r="AY1922">
        <v>140</v>
      </c>
      <c r="BC1922" t="str">
        <f t="shared" ref="BC1922:BC1985" si="327">T("9791137602113")</f>
        <v>9791137602113</v>
      </c>
      <c r="BE1922" t="str">
        <f t="shared" ref="BE1922:BE1985" si="328">T("판타지 웹소설 &gt; 현대 판타지")</f>
        <v>판타지 웹소설 &gt; 현대 판타지</v>
      </c>
    </row>
    <row r="1923" spans="1:57" x14ac:dyDescent="0.3">
      <c r="A1923">
        <v>2313011955</v>
      </c>
      <c r="B1923">
        <v>2313012183</v>
      </c>
      <c r="C1923" t="str">
        <f>T("갓 오브 블랙필드 229화")</f>
        <v>갓 오브 블랙필드 229화</v>
      </c>
      <c r="D1923" t="str">
        <f>T("229")</f>
        <v>229</v>
      </c>
      <c r="E1923" t="str">
        <f t="shared" si="325"/>
        <v>무장</v>
      </c>
      <c r="H1923" t="str">
        <f t="shared" si="321"/>
        <v>스토리위즈</v>
      </c>
      <c r="I1923" t="str">
        <f t="shared" si="326"/>
        <v>갓 오브 블랙필드</v>
      </c>
      <c r="J1923">
        <v>100</v>
      </c>
      <c r="K1923">
        <v>200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200</v>
      </c>
      <c r="AH1923">
        <v>2</v>
      </c>
      <c r="AI1923">
        <v>0</v>
      </c>
      <c r="AJ1923">
        <v>0</v>
      </c>
      <c r="AK1923">
        <v>200</v>
      </c>
      <c r="AL1923">
        <v>0</v>
      </c>
      <c r="AM1923">
        <v>0</v>
      </c>
      <c r="AN1923">
        <v>0</v>
      </c>
      <c r="AO1923">
        <v>0</v>
      </c>
      <c r="AP1923"/>
      <c r="AQ1923">
        <v>0</v>
      </c>
      <c r="AR1923">
        <v>0</v>
      </c>
      <c r="AT1923">
        <v>0</v>
      </c>
      <c r="AU1923">
        <v>0</v>
      </c>
      <c r="AW1923">
        <v>0</v>
      </c>
      <c r="AX1923">
        <v>0</v>
      </c>
      <c r="AY1923">
        <v>140</v>
      </c>
      <c r="BC1923" t="str">
        <f t="shared" si="327"/>
        <v>9791137602113</v>
      </c>
      <c r="BE1923" t="str">
        <f t="shared" si="328"/>
        <v>판타지 웹소설 &gt; 현대 판타지</v>
      </c>
    </row>
    <row r="1924" spans="1:57" x14ac:dyDescent="0.3">
      <c r="A1924">
        <v>2313011955</v>
      </c>
      <c r="B1924">
        <v>2313012184</v>
      </c>
      <c r="C1924" t="str">
        <f>T("갓 오브 블랙필드 230화")</f>
        <v>갓 오브 블랙필드 230화</v>
      </c>
      <c r="D1924" t="str">
        <f>T("230")</f>
        <v>230</v>
      </c>
      <c r="E1924" t="str">
        <f t="shared" si="325"/>
        <v>무장</v>
      </c>
      <c r="H1924" t="str">
        <f t="shared" si="321"/>
        <v>스토리위즈</v>
      </c>
      <c r="I1924" t="str">
        <f t="shared" si="326"/>
        <v>갓 오브 블랙필드</v>
      </c>
      <c r="J1924">
        <v>100</v>
      </c>
      <c r="K1924">
        <v>200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200</v>
      </c>
      <c r="AH1924">
        <v>2</v>
      </c>
      <c r="AI1924">
        <v>0</v>
      </c>
      <c r="AJ1924">
        <v>0</v>
      </c>
      <c r="AK1924">
        <v>200</v>
      </c>
      <c r="AL1924">
        <v>0</v>
      </c>
      <c r="AM1924">
        <v>0</v>
      </c>
      <c r="AN1924">
        <v>0</v>
      </c>
      <c r="AO1924">
        <v>0</v>
      </c>
      <c r="AP1924"/>
      <c r="AQ1924">
        <v>0</v>
      </c>
      <c r="AR1924">
        <v>0</v>
      </c>
      <c r="AT1924">
        <v>0</v>
      </c>
      <c r="AU1924">
        <v>0</v>
      </c>
      <c r="AW1924">
        <v>0</v>
      </c>
      <c r="AX1924">
        <v>0</v>
      </c>
      <c r="AY1924">
        <v>140</v>
      </c>
      <c r="BC1924" t="str">
        <f t="shared" si="327"/>
        <v>9791137602113</v>
      </c>
      <c r="BE1924" t="str">
        <f t="shared" si="328"/>
        <v>판타지 웹소설 &gt; 현대 판타지</v>
      </c>
    </row>
    <row r="1925" spans="1:57" x14ac:dyDescent="0.3">
      <c r="A1925">
        <v>2313011955</v>
      </c>
      <c r="B1925">
        <v>2313012185</v>
      </c>
      <c r="C1925" t="str">
        <f>T("갓 오브 블랙필드 231화")</f>
        <v>갓 오브 블랙필드 231화</v>
      </c>
      <c r="D1925" t="str">
        <f>T("231")</f>
        <v>231</v>
      </c>
      <c r="E1925" t="str">
        <f t="shared" si="325"/>
        <v>무장</v>
      </c>
      <c r="H1925" t="str">
        <f t="shared" si="321"/>
        <v>스토리위즈</v>
      </c>
      <c r="I1925" t="str">
        <f t="shared" si="326"/>
        <v>갓 오브 블랙필드</v>
      </c>
      <c r="J1925">
        <v>100</v>
      </c>
      <c r="K1925">
        <v>200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200</v>
      </c>
      <c r="AH1925">
        <v>2</v>
      </c>
      <c r="AI1925">
        <v>0</v>
      </c>
      <c r="AJ1925">
        <v>0</v>
      </c>
      <c r="AK1925">
        <v>200</v>
      </c>
      <c r="AL1925">
        <v>0</v>
      </c>
      <c r="AM1925">
        <v>0</v>
      </c>
      <c r="AN1925">
        <v>0</v>
      </c>
      <c r="AO1925">
        <v>0</v>
      </c>
      <c r="AP1925"/>
      <c r="AQ1925">
        <v>0</v>
      </c>
      <c r="AR1925">
        <v>0</v>
      </c>
      <c r="AT1925">
        <v>0</v>
      </c>
      <c r="AU1925">
        <v>0</v>
      </c>
      <c r="AW1925">
        <v>0</v>
      </c>
      <c r="AX1925">
        <v>0</v>
      </c>
      <c r="AY1925">
        <v>140</v>
      </c>
      <c r="BC1925" t="str">
        <f t="shared" si="327"/>
        <v>9791137602113</v>
      </c>
      <c r="BE1925" t="str">
        <f t="shared" si="328"/>
        <v>판타지 웹소설 &gt; 현대 판타지</v>
      </c>
    </row>
    <row r="1926" spans="1:57" x14ac:dyDescent="0.3">
      <c r="A1926">
        <v>2313011955</v>
      </c>
      <c r="B1926">
        <v>2313012186</v>
      </c>
      <c r="C1926" t="str">
        <f>T("갓 오브 블랙필드 232화")</f>
        <v>갓 오브 블랙필드 232화</v>
      </c>
      <c r="D1926" t="str">
        <f>T("232")</f>
        <v>232</v>
      </c>
      <c r="E1926" t="str">
        <f t="shared" si="325"/>
        <v>무장</v>
      </c>
      <c r="H1926" t="str">
        <f t="shared" si="321"/>
        <v>스토리위즈</v>
      </c>
      <c r="I1926" t="str">
        <f t="shared" si="326"/>
        <v>갓 오브 블랙필드</v>
      </c>
      <c r="J1926">
        <v>100</v>
      </c>
      <c r="K1926">
        <v>200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200</v>
      </c>
      <c r="AH1926">
        <v>2</v>
      </c>
      <c r="AI1926">
        <v>0</v>
      </c>
      <c r="AJ1926">
        <v>0</v>
      </c>
      <c r="AK1926">
        <v>200</v>
      </c>
      <c r="AL1926">
        <v>0</v>
      </c>
      <c r="AM1926">
        <v>0</v>
      </c>
      <c r="AN1926">
        <v>0</v>
      </c>
      <c r="AO1926">
        <v>0</v>
      </c>
      <c r="AP1926"/>
      <c r="AQ1926">
        <v>0</v>
      </c>
      <c r="AR1926">
        <v>0</v>
      </c>
      <c r="AT1926">
        <v>0</v>
      </c>
      <c r="AU1926">
        <v>0</v>
      </c>
      <c r="AW1926">
        <v>0</v>
      </c>
      <c r="AX1926">
        <v>0</v>
      </c>
      <c r="AY1926">
        <v>140</v>
      </c>
      <c r="BC1926" t="str">
        <f t="shared" si="327"/>
        <v>9791137602113</v>
      </c>
      <c r="BE1926" t="str">
        <f t="shared" si="328"/>
        <v>판타지 웹소설 &gt; 현대 판타지</v>
      </c>
    </row>
    <row r="1927" spans="1:57" x14ac:dyDescent="0.3">
      <c r="A1927">
        <v>2313011955</v>
      </c>
      <c r="B1927">
        <v>2313012187</v>
      </c>
      <c r="C1927" t="str">
        <f>T("갓 오브 블랙필드 233화")</f>
        <v>갓 오브 블랙필드 233화</v>
      </c>
      <c r="D1927" t="str">
        <f>T("233")</f>
        <v>233</v>
      </c>
      <c r="E1927" t="str">
        <f t="shared" si="325"/>
        <v>무장</v>
      </c>
      <c r="H1927" t="str">
        <f t="shared" si="321"/>
        <v>스토리위즈</v>
      </c>
      <c r="I1927" t="str">
        <f t="shared" si="326"/>
        <v>갓 오브 블랙필드</v>
      </c>
      <c r="J1927">
        <v>100</v>
      </c>
      <c r="K1927">
        <v>200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200</v>
      </c>
      <c r="AH1927">
        <v>2</v>
      </c>
      <c r="AI1927">
        <v>0</v>
      </c>
      <c r="AJ1927">
        <v>0</v>
      </c>
      <c r="AK1927">
        <v>200</v>
      </c>
      <c r="AL1927">
        <v>0</v>
      </c>
      <c r="AM1927">
        <v>0</v>
      </c>
      <c r="AN1927">
        <v>0</v>
      </c>
      <c r="AO1927">
        <v>0</v>
      </c>
      <c r="AP1927"/>
      <c r="AQ1927">
        <v>0</v>
      </c>
      <c r="AR1927">
        <v>0</v>
      </c>
      <c r="AT1927">
        <v>0</v>
      </c>
      <c r="AU1927">
        <v>0</v>
      </c>
      <c r="AW1927">
        <v>0</v>
      </c>
      <c r="AX1927">
        <v>0</v>
      </c>
      <c r="AY1927">
        <v>140</v>
      </c>
      <c r="BC1927" t="str">
        <f t="shared" si="327"/>
        <v>9791137602113</v>
      </c>
      <c r="BE1927" t="str">
        <f t="shared" si="328"/>
        <v>판타지 웹소설 &gt; 현대 판타지</v>
      </c>
    </row>
    <row r="1928" spans="1:57" x14ac:dyDescent="0.3">
      <c r="A1928">
        <v>2313011955</v>
      </c>
      <c r="B1928">
        <v>2313012188</v>
      </c>
      <c r="C1928" t="str">
        <f>T("갓 오브 블랙필드 234화")</f>
        <v>갓 오브 블랙필드 234화</v>
      </c>
      <c r="D1928" t="str">
        <f>T("234")</f>
        <v>234</v>
      </c>
      <c r="E1928" t="str">
        <f t="shared" si="325"/>
        <v>무장</v>
      </c>
      <c r="H1928" t="str">
        <f t="shared" si="321"/>
        <v>스토리위즈</v>
      </c>
      <c r="I1928" t="str">
        <f t="shared" si="326"/>
        <v>갓 오브 블랙필드</v>
      </c>
      <c r="J1928">
        <v>100</v>
      </c>
      <c r="K1928">
        <v>200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200</v>
      </c>
      <c r="AH1928">
        <v>2</v>
      </c>
      <c r="AI1928">
        <v>0</v>
      </c>
      <c r="AJ1928">
        <v>0</v>
      </c>
      <c r="AK1928">
        <v>200</v>
      </c>
      <c r="AL1928">
        <v>0</v>
      </c>
      <c r="AM1928">
        <v>0</v>
      </c>
      <c r="AN1928">
        <v>0</v>
      </c>
      <c r="AO1928">
        <v>0</v>
      </c>
      <c r="AP1928"/>
      <c r="AQ1928">
        <v>0</v>
      </c>
      <c r="AR1928">
        <v>0</v>
      </c>
      <c r="AT1928">
        <v>0</v>
      </c>
      <c r="AU1928">
        <v>0</v>
      </c>
      <c r="AW1928">
        <v>0</v>
      </c>
      <c r="AX1928">
        <v>0</v>
      </c>
      <c r="AY1928">
        <v>140</v>
      </c>
      <c r="BC1928" t="str">
        <f t="shared" si="327"/>
        <v>9791137602113</v>
      </c>
      <c r="BE1928" t="str">
        <f t="shared" si="328"/>
        <v>판타지 웹소설 &gt; 현대 판타지</v>
      </c>
    </row>
    <row r="1929" spans="1:57" x14ac:dyDescent="0.3">
      <c r="A1929">
        <v>2313011955</v>
      </c>
      <c r="B1929">
        <v>2313012189</v>
      </c>
      <c r="C1929" t="str">
        <f>T("갓 오브 블랙필드 235화")</f>
        <v>갓 오브 블랙필드 235화</v>
      </c>
      <c r="D1929" t="str">
        <f>T("235")</f>
        <v>235</v>
      </c>
      <c r="E1929" t="str">
        <f t="shared" si="325"/>
        <v>무장</v>
      </c>
      <c r="H1929" t="str">
        <f t="shared" si="321"/>
        <v>스토리위즈</v>
      </c>
      <c r="I1929" t="str">
        <f t="shared" si="326"/>
        <v>갓 오브 블랙필드</v>
      </c>
      <c r="J1929">
        <v>100</v>
      </c>
      <c r="K1929">
        <v>200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200</v>
      </c>
      <c r="AH1929">
        <v>2</v>
      </c>
      <c r="AI1929">
        <v>0</v>
      </c>
      <c r="AJ1929">
        <v>0</v>
      </c>
      <c r="AK1929">
        <v>200</v>
      </c>
      <c r="AL1929">
        <v>0</v>
      </c>
      <c r="AM1929">
        <v>0</v>
      </c>
      <c r="AN1929">
        <v>0</v>
      </c>
      <c r="AO1929">
        <v>0</v>
      </c>
      <c r="AP1929"/>
      <c r="AQ1929">
        <v>0</v>
      </c>
      <c r="AR1929">
        <v>0</v>
      </c>
      <c r="AT1929">
        <v>0</v>
      </c>
      <c r="AU1929">
        <v>0</v>
      </c>
      <c r="AW1929">
        <v>0</v>
      </c>
      <c r="AX1929">
        <v>0</v>
      </c>
      <c r="AY1929">
        <v>140</v>
      </c>
      <c r="BC1929" t="str">
        <f t="shared" si="327"/>
        <v>9791137602113</v>
      </c>
      <c r="BE1929" t="str">
        <f t="shared" si="328"/>
        <v>판타지 웹소설 &gt; 현대 판타지</v>
      </c>
    </row>
    <row r="1930" spans="1:57" x14ac:dyDescent="0.3">
      <c r="A1930">
        <v>2313011955</v>
      </c>
      <c r="B1930">
        <v>2313012190</v>
      </c>
      <c r="C1930" t="str">
        <f>T("갓 오브 블랙필드 236화")</f>
        <v>갓 오브 블랙필드 236화</v>
      </c>
      <c r="D1930" t="str">
        <f>T("236")</f>
        <v>236</v>
      </c>
      <c r="E1930" t="str">
        <f t="shared" si="325"/>
        <v>무장</v>
      </c>
      <c r="H1930" t="str">
        <f t="shared" si="321"/>
        <v>스토리위즈</v>
      </c>
      <c r="I1930" t="str">
        <f t="shared" si="326"/>
        <v>갓 오브 블랙필드</v>
      </c>
      <c r="J1930">
        <v>100</v>
      </c>
      <c r="K1930">
        <v>200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200</v>
      </c>
      <c r="AH1930">
        <v>2</v>
      </c>
      <c r="AI1930">
        <v>0</v>
      </c>
      <c r="AJ1930">
        <v>0</v>
      </c>
      <c r="AK1930">
        <v>200</v>
      </c>
      <c r="AL1930">
        <v>0</v>
      </c>
      <c r="AM1930">
        <v>0</v>
      </c>
      <c r="AN1930">
        <v>0</v>
      </c>
      <c r="AO1930">
        <v>0</v>
      </c>
      <c r="AP1930"/>
      <c r="AQ1930">
        <v>0</v>
      </c>
      <c r="AR1930">
        <v>0</v>
      </c>
      <c r="AT1930">
        <v>0</v>
      </c>
      <c r="AU1930">
        <v>0</v>
      </c>
      <c r="AW1930">
        <v>0</v>
      </c>
      <c r="AX1930">
        <v>0</v>
      </c>
      <c r="AY1930">
        <v>140</v>
      </c>
      <c r="BC1930" t="str">
        <f t="shared" si="327"/>
        <v>9791137602113</v>
      </c>
      <c r="BE1930" t="str">
        <f t="shared" si="328"/>
        <v>판타지 웹소설 &gt; 현대 판타지</v>
      </c>
    </row>
    <row r="1931" spans="1:57" x14ac:dyDescent="0.3">
      <c r="A1931">
        <v>2313011955</v>
      </c>
      <c r="B1931">
        <v>2313012191</v>
      </c>
      <c r="C1931" t="str">
        <f>T("갓 오브 블랙필드 237화")</f>
        <v>갓 오브 블랙필드 237화</v>
      </c>
      <c r="D1931" t="str">
        <f>T("237")</f>
        <v>237</v>
      </c>
      <c r="E1931" t="str">
        <f t="shared" si="325"/>
        <v>무장</v>
      </c>
      <c r="H1931" t="str">
        <f t="shared" si="321"/>
        <v>스토리위즈</v>
      </c>
      <c r="I1931" t="str">
        <f t="shared" si="326"/>
        <v>갓 오브 블랙필드</v>
      </c>
      <c r="J1931">
        <v>100</v>
      </c>
      <c r="K1931">
        <v>200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200</v>
      </c>
      <c r="AH1931">
        <v>2</v>
      </c>
      <c r="AI1931">
        <v>0</v>
      </c>
      <c r="AJ1931">
        <v>0</v>
      </c>
      <c r="AK1931">
        <v>200</v>
      </c>
      <c r="AL1931">
        <v>0</v>
      </c>
      <c r="AM1931">
        <v>0</v>
      </c>
      <c r="AN1931">
        <v>0</v>
      </c>
      <c r="AO1931">
        <v>0</v>
      </c>
      <c r="AP1931"/>
      <c r="AQ1931">
        <v>0</v>
      </c>
      <c r="AR1931">
        <v>0</v>
      </c>
      <c r="AT1931">
        <v>0</v>
      </c>
      <c r="AU1931">
        <v>0</v>
      </c>
      <c r="AW1931">
        <v>0</v>
      </c>
      <c r="AX1931">
        <v>0</v>
      </c>
      <c r="AY1931">
        <v>140</v>
      </c>
      <c r="BC1931" t="str">
        <f t="shared" si="327"/>
        <v>9791137602113</v>
      </c>
      <c r="BE1931" t="str">
        <f t="shared" si="328"/>
        <v>판타지 웹소설 &gt; 현대 판타지</v>
      </c>
    </row>
    <row r="1932" spans="1:57" x14ac:dyDescent="0.3">
      <c r="A1932">
        <v>2313011955</v>
      </c>
      <c r="B1932">
        <v>2313012192</v>
      </c>
      <c r="C1932" t="str">
        <f>T("갓 오브 블랙필드 238화")</f>
        <v>갓 오브 블랙필드 238화</v>
      </c>
      <c r="D1932" t="str">
        <f>T("238")</f>
        <v>238</v>
      </c>
      <c r="E1932" t="str">
        <f t="shared" si="325"/>
        <v>무장</v>
      </c>
      <c r="H1932" t="str">
        <f t="shared" si="321"/>
        <v>스토리위즈</v>
      </c>
      <c r="I1932" t="str">
        <f t="shared" si="326"/>
        <v>갓 오브 블랙필드</v>
      </c>
      <c r="J1932">
        <v>100</v>
      </c>
      <c r="K1932">
        <v>200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200</v>
      </c>
      <c r="AH1932">
        <v>2</v>
      </c>
      <c r="AI1932">
        <v>0</v>
      </c>
      <c r="AJ1932">
        <v>0</v>
      </c>
      <c r="AK1932">
        <v>200</v>
      </c>
      <c r="AL1932">
        <v>0</v>
      </c>
      <c r="AM1932">
        <v>0</v>
      </c>
      <c r="AN1932">
        <v>0</v>
      </c>
      <c r="AO1932">
        <v>0</v>
      </c>
      <c r="AP1932"/>
      <c r="AQ1932">
        <v>0</v>
      </c>
      <c r="AR1932">
        <v>0</v>
      </c>
      <c r="AT1932">
        <v>0</v>
      </c>
      <c r="AU1932">
        <v>0</v>
      </c>
      <c r="AW1932">
        <v>0</v>
      </c>
      <c r="AX1932">
        <v>0</v>
      </c>
      <c r="AY1932">
        <v>140</v>
      </c>
      <c r="BC1932" t="str">
        <f t="shared" si="327"/>
        <v>9791137602113</v>
      </c>
      <c r="BE1932" t="str">
        <f t="shared" si="328"/>
        <v>판타지 웹소설 &gt; 현대 판타지</v>
      </c>
    </row>
    <row r="1933" spans="1:57" x14ac:dyDescent="0.3">
      <c r="A1933">
        <v>2313011955</v>
      </c>
      <c r="B1933">
        <v>2313012193</v>
      </c>
      <c r="C1933" t="str">
        <f>T("갓 오브 블랙필드 239화")</f>
        <v>갓 오브 블랙필드 239화</v>
      </c>
      <c r="D1933" t="str">
        <f>T("239")</f>
        <v>239</v>
      </c>
      <c r="E1933" t="str">
        <f t="shared" si="325"/>
        <v>무장</v>
      </c>
      <c r="H1933" t="str">
        <f t="shared" si="321"/>
        <v>스토리위즈</v>
      </c>
      <c r="I1933" t="str">
        <f t="shared" si="326"/>
        <v>갓 오브 블랙필드</v>
      </c>
      <c r="J1933">
        <v>100</v>
      </c>
      <c r="K1933">
        <v>200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200</v>
      </c>
      <c r="AH1933">
        <v>2</v>
      </c>
      <c r="AI1933">
        <v>0</v>
      </c>
      <c r="AJ1933">
        <v>0</v>
      </c>
      <c r="AK1933">
        <v>200</v>
      </c>
      <c r="AL1933">
        <v>0</v>
      </c>
      <c r="AM1933">
        <v>0</v>
      </c>
      <c r="AN1933">
        <v>0</v>
      </c>
      <c r="AO1933">
        <v>0</v>
      </c>
      <c r="AP1933"/>
      <c r="AQ1933">
        <v>0</v>
      </c>
      <c r="AR1933">
        <v>0</v>
      </c>
      <c r="AT1933">
        <v>0</v>
      </c>
      <c r="AU1933">
        <v>0</v>
      </c>
      <c r="AW1933">
        <v>0</v>
      </c>
      <c r="AX1933">
        <v>0</v>
      </c>
      <c r="AY1933">
        <v>140</v>
      </c>
      <c r="BC1933" t="str">
        <f t="shared" si="327"/>
        <v>9791137602113</v>
      </c>
      <c r="BE1933" t="str">
        <f t="shared" si="328"/>
        <v>판타지 웹소설 &gt; 현대 판타지</v>
      </c>
    </row>
    <row r="1934" spans="1:57" x14ac:dyDescent="0.3">
      <c r="A1934">
        <v>2313011955</v>
      </c>
      <c r="B1934">
        <v>2313012194</v>
      </c>
      <c r="C1934" t="str">
        <f>T("갓 오브 블랙필드 240화")</f>
        <v>갓 오브 블랙필드 240화</v>
      </c>
      <c r="D1934" t="str">
        <f>T("240")</f>
        <v>240</v>
      </c>
      <c r="E1934" t="str">
        <f t="shared" si="325"/>
        <v>무장</v>
      </c>
      <c r="H1934" t="str">
        <f t="shared" si="321"/>
        <v>스토리위즈</v>
      </c>
      <c r="I1934" t="str">
        <f t="shared" si="326"/>
        <v>갓 오브 블랙필드</v>
      </c>
      <c r="J1934">
        <v>100</v>
      </c>
      <c r="K1934">
        <v>200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200</v>
      </c>
      <c r="AH1934">
        <v>2</v>
      </c>
      <c r="AI1934">
        <v>0</v>
      </c>
      <c r="AJ1934">
        <v>0</v>
      </c>
      <c r="AK1934">
        <v>200</v>
      </c>
      <c r="AL1934">
        <v>0</v>
      </c>
      <c r="AM1934">
        <v>0</v>
      </c>
      <c r="AN1934">
        <v>0</v>
      </c>
      <c r="AO1934">
        <v>0</v>
      </c>
      <c r="AP1934"/>
      <c r="AQ1934">
        <v>0</v>
      </c>
      <c r="AR1934">
        <v>0</v>
      </c>
      <c r="AT1934">
        <v>0</v>
      </c>
      <c r="AU1934">
        <v>0</v>
      </c>
      <c r="AW1934">
        <v>0</v>
      </c>
      <c r="AX1934">
        <v>0</v>
      </c>
      <c r="AY1934">
        <v>140</v>
      </c>
      <c r="BC1934" t="str">
        <f t="shared" si="327"/>
        <v>9791137602113</v>
      </c>
      <c r="BE1934" t="str">
        <f t="shared" si="328"/>
        <v>판타지 웹소설 &gt; 현대 판타지</v>
      </c>
    </row>
    <row r="1935" spans="1:57" x14ac:dyDescent="0.3">
      <c r="A1935">
        <v>2313011955</v>
      </c>
      <c r="B1935">
        <v>2313012195</v>
      </c>
      <c r="C1935" t="str">
        <f>T("갓 오브 블랙필드 241화")</f>
        <v>갓 오브 블랙필드 241화</v>
      </c>
      <c r="D1935" t="str">
        <f>T("241")</f>
        <v>241</v>
      </c>
      <c r="E1935" t="str">
        <f t="shared" si="325"/>
        <v>무장</v>
      </c>
      <c r="H1935" t="str">
        <f t="shared" si="321"/>
        <v>스토리위즈</v>
      </c>
      <c r="I1935" t="str">
        <f t="shared" si="326"/>
        <v>갓 오브 블랙필드</v>
      </c>
      <c r="J1935">
        <v>100</v>
      </c>
      <c r="K1935">
        <v>200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200</v>
      </c>
      <c r="AH1935">
        <v>2</v>
      </c>
      <c r="AI1935">
        <v>0</v>
      </c>
      <c r="AJ1935">
        <v>0</v>
      </c>
      <c r="AK1935">
        <v>200</v>
      </c>
      <c r="AL1935">
        <v>0</v>
      </c>
      <c r="AM1935">
        <v>0</v>
      </c>
      <c r="AN1935">
        <v>0</v>
      </c>
      <c r="AO1935">
        <v>0</v>
      </c>
      <c r="AP1935"/>
      <c r="AQ1935">
        <v>0</v>
      </c>
      <c r="AR1935">
        <v>0</v>
      </c>
      <c r="AT1935">
        <v>0</v>
      </c>
      <c r="AU1935">
        <v>0</v>
      </c>
      <c r="AW1935">
        <v>0</v>
      </c>
      <c r="AX1935">
        <v>0</v>
      </c>
      <c r="AY1935">
        <v>140</v>
      </c>
      <c r="BC1935" t="str">
        <f t="shared" si="327"/>
        <v>9791137602113</v>
      </c>
      <c r="BE1935" t="str">
        <f t="shared" si="328"/>
        <v>판타지 웹소설 &gt; 현대 판타지</v>
      </c>
    </row>
    <row r="1936" spans="1:57" x14ac:dyDescent="0.3">
      <c r="A1936">
        <v>2313011955</v>
      </c>
      <c r="B1936">
        <v>2313012196</v>
      </c>
      <c r="C1936" t="str">
        <f>T("갓 오브 블랙필드 242화")</f>
        <v>갓 오브 블랙필드 242화</v>
      </c>
      <c r="D1936" t="str">
        <f>T("242")</f>
        <v>242</v>
      </c>
      <c r="E1936" t="str">
        <f t="shared" si="325"/>
        <v>무장</v>
      </c>
      <c r="H1936" t="str">
        <f t="shared" si="321"/>
        <v>스토리위즈</v>
      </c>
      <c r="I1936" t="str">
        <f t="shared" si="326"/>
        <v>갓 오브 블랙필드</v>
      </c>
      <c r="J1936">
        <v>100</v>
      </c>
      <c r="K1936">
        <v>200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200</v>
      </c>
      <c r="AH1936">
        <v>2</v>
      </c>
      <c r="AI1936">
        <v>0</v>
      </c>
      <c r="AJ1936">
        <v>0</v>
      </c>
      <c r="AK1936">
        <v>200</v>
      </c>
      <c r="AL1936">
        <v>0</v>
      </c>
      <c r="AM1936">
        <v>0</v>
      </c>
      <c r="AN1936">
        <v>0</v>
      </c>
      <c r="AO1936">
        <v>0</v>
      </c>
      <c r="AP1936"/>
      <c r="AQ1936">
        <v>0</v>
      </c>
      <c r="AR1936">
        <v>0</v>
      </c>
      <c r="AT1936">
        <v>0</v>
      </c>
      <c r="AU1936">
        <v>0</v>
      </c>
      <c r="AW1936">
        <v>0</v>
      </c>
      <c r="AX1936">
        <v>0</v>
      </c>
      <c r="AY1936">
        <v>140</v>
      </c>
      <c r="BC1936" t="str">
        <f t="shared" si="327"/>
        <v>9791137602113</v>
      </c>
      <c r="BE1936" t="str">
        <f t="shared" si="328"/>
        <v>판타지 웹소설 &gt; 현대 판타지</v>
      </c>
    </row>
    <row r="1937" spans="1:57" x14ac:dyDescent="0.3">
      <c r="A1937">
        <v>2313011955</v>
      </c>
      <c r="B1937">
        <v>2313012197</v>
      </c>
      <c r="C1937" t="str">
        <f>T("갓 오브 블랙필드 243화")</f>
        <v>갓 오브 블랙필드 243화</v>
      </c>
      <c r="D1937" t="str">
        <f>T("243")</f>
        <v>243</v>
      </c>
      <c r="E1937" t="str">
        <f t="shared" si="325"/>
        <v>무장</v>
      </c>
      <c r="H1937" t="str">
        <f t="shared" si="321"/>
        <v>스토리위즈</v>
      </c>
      <c r="I1937" t="str">
        <f t="shared" si="326"/>
        <v>갓 오브 블랙필드</v>
      </c>
      <c r="J1937">
        <v>100</v>
      </c>
      <c r="K1937">
        <v>200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200</v>
      </c>
      <c r="AH1937">
        <v>2</v>
      </c>
      <c r="AI1937">
        <v>0</v>
      </c>
      <c r="AJ1937">
        <v>0</v>
      </c>
      <c r="AK1937">
        <v>200</v>
      </c>
      <c r="AL1937">
        <v>0</v>
      </c>
      <c r="AM1937">
        <v>0</v>
      </c>
      <c r="AN1937">
        <v>0</v>
      </c>
      <c r="AO1937">
        <v>0</v>
      </c>
      <c r="AP1937"/>
      <c r="AQ1937">
        <v>0</v>
      </c>
      <c r="AR1937">
        <v>0</v>
      </c>
      <c r="AT1937">
        <v>0</v>
      </c>
      <c r="AU1937">
        <v>0</v>
      </c>
      <c r="AW1937">
        <v>0</v>
      </c>
      <c r="AX1937">
        <v>0</v>
      </c>
      <c r="AY1937">
        <v>140</v>
      </c>
      <c r="BC1937" t="str">
        <f t="shared" si="327"/>
        <v>9791137602113</v>
      </c>
      <c r="BE1937" t="str">
        <f t="shared" si="328"/>
        <v>판타지 웹소설 &gt; 현대 판타지</v>
      </c>
    </row>
    <row r="1938" spans="1:57" x14ac:dyDescent="0.3">
      <c r="A1938">
        <v>2313011955</v>
      </c>
      <c r="B1938">
        <v>2313012198</v>
      </c>
      <c r="C1938" t="str">
        <f>T("갓 오브 블랙필드 244화")</f>
        <v>갓 오브 블랙필드 244화</v>
      </c>
      <c r="D1938" t="str">
        <f>T("244")</f>
        <v>244</v>
      </c>
      <c r="E1938" t="str">
        <f t="shared" si="325"/>
        <v>무장</v>
      </c>
      <c r="H1938" t="str">
        <f t="shared" si="321"/>
        <v>스토리위즈</v>
      </c>
      <c r="I1938" t="str">
        <f t="shared" si="326"/>
        <v>갓 오브 블랙필드</v>
      </c>
      <c r="J1938">
        <v>100</v>
      </c>
      <c r="K1938">
        <v>200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200</v>
      </c>
      <c r="AH1938">
        <v>2</v>
      </c>
      <c r="AI1938">
        <v>0</v>
      </c>
      <c r="AJ1938">
        <v>0</v>
      </c>
      <c r="AK1938">
        <v>200</v>
      </c>
      <c r="AL1938">
        <v>0</v>
      </c>
      <c r="AM1938">
        <v>0</v>
      </c>
      <c r="AN1938">
        <v>0</v>
      </c>
      <c r="AO1938">
        <v>0</v>
      </c>
      <c r="AP1938"/>
      <c r="AQ1938">
        <v>0</v>
      </c>
      <c r="AR1938">
        <v>0</v>
      </c>
      <c r="AT1938">
        <v>0</v>
      </c>
      <c r="AU1938">
        <v>0</v>
      </c>
      <c r="AW1938">
        <v>0</v>
      </c>
      <c r="AX1938">
        <v>0</v>
      </c>
      <c r="AY1938">
        <v>140</v>
      </c>
      <c r="BC1938" t="str">
        <f t="shared" si="327"/>
        <v>9791137602113</v>
      </c>
      <c r="BE1938" t="str">
        <f t="shared" si="328"/>
        <v>판타지 웹소설 &gt; 현대 판타지</v>
      </c>
    </row>
    <row r="1939" spans="1:57" x14ac:dyDescent="0.3">
      <c r="A1939">
        <v>2313011955</v>
      </c>
      <c r="B1939">
        <v>2313012199</v>
      </c>
      <c r="C1939" t="str">
        <f>T("갓 오브 블랙필드 245화")</f>
        <v>갓 오브 블랙필드 245화</v>
      </c>
      <c r="D1939" t="str">
        <f>T("245")</f>
        <v>245</v>
      </c>
      <c r="E1939" t="str">
        <f t="shared" si="325"/>
        <v>무장</v>
      </c>
      <c r="H1939" t="str">
        <f t="shared" si="321"/>
        <v>스토리위즈</v>
      </c>
      <c r="I1939" t="str">
        <f t="shared" si="326"/>
        <v>갓 오브 블랙필드</v>
      </c>
      <c r="J1939">
        <v>100</v>
      </c>
      <c r="K1939">
        <v>200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200</v>
      </c>
      <c r="AH1939">
        <v>2</v>
      </c>
      <c r="AI1939">
        <v>0</v>
      </c>
      <c r="AJ1939">
        <v>0</v>
      </c>
      <c r="AK1939">
        <v>200</v>
      </c>
      <c r="AL1939">
        <v>0</v>
      </c>
      <c r="AM1939">
        <v>0</v>
      </c>
      <c r="AN1939">
        <v>0</v>
      </c>
      <c r="AO1939">
        <v>0</v>
      </c>
      <c r="AP1939"/>
      <c r="AQ1939">
        <v>0</v>
      </c>
      <c r="AR1939">
        <v>0</v>
      </c>
      <c r="AT1939">
        <v>0</v>
      </c>
      <c r="AU1939">
        <v>0</v>
      </c>
      <c r="AW1939">
        <v>0</v>
      </c>
      <c r="AX1939">
        <v>0</v>
      </c>
      <c r="AY1939">
        <v>140</v>
      </c>
      <c r="BC1939" t="str">
        <f t="shared" si="327"/>
        <v>9791137602113</v>
      </c>
      <c r="BE1939" t="str">
        <f t="shared" si="328"/>
        <v>판타지 웹소설 &gt; 현대 판타지</v>
      </c>
    </row>
    <row r="1940" spans="1:57" x14ac:dyDescent="0.3">
      <c r="A1940">
        <v>2313011955</v>
      </c>
      <c r="B1940">
        <v>2313012200</v>
      </c>
      <c r="C1940" t="str">
        <f>T("갓 오브 블랙필드 246화")</f>
        <v>갓 오브 블랙필드 246화</v>
      </c>
      <c r="D1940" t="str">
        <f>T("246")</f>
        <v>246</v>
      </c>
      <c r="E1940" t="str">
        <f t="shared" si="325"/>
        <v>무장</v>
      </c>
      <c r="H1940" t="str">
        <f t="shared" si="321"/>
        <v>스토리위즈</v>
      </c>
      <c r="I1940" t="str">
        <f t="shared" si="326"/>
        <v>갓 오브 블랙필드</v>
      </c>
      <c r="J1940">
        <v>100</v>
      </c>
      <c r="K1940">
        <v>200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200</v>
      </c>
      <c r="AH1940">
        <v>2</v>
      </c>
      <c r="AI1940">
        <v>0</v>
      </c>
      <c r="AJ1940">
        <v>0</v>
      </c>
      <c r="AK1940">
        <v>200</v>
      </c>
      <c r="AL1940">
        <v>0</v>
      </c>
      <c r="AM1940">
        <v>0</v>
      </c>
      <c r="AN1940">
        <v>0</v>
      </c>
      <c r="AO1940">
        <v>0</v>
      </c>
      <c r="AP1940"/>
      <c r="AQ1940">
        <v>0</v>
      </c>
      <c r="AR1940">
        <v>0</v>
      </c>
      <c r="AT1940">
        <v>0</v>
      </c>
      <c r="AU1940">
        <v>0</v>
      </c>
      <c r="AW1940">
        <v>0</v>
      </c>
      <c r="AX1940">
        <v>0</v>
      </c>
      <c r="AY1940">
        <v>140</v>
      </c>
      <c r="BC1940" t="str">
        <f t="shared" si="327"/>
        <v>9791137602113</v>
      </c>
      <c r="BE1940" t="str">
        <f t="shared" si="328"/>
        <v>판타지 웹소설 &gt; 현대 판타지</v>
      </c>
    </row>
    <row r="1941" spans="1:57" x14ac:dyDescent="0.3">
      <c r="A1941">
        <v>2313011955</v>
      </c>
      <c r="B1941">
        <v>2313012201</v>
      </c>
      <c r="C1941" t="str">
        <f>T("갓 오브 블랙필드 247화")</f>
        <v>갓 오브 블랙필드 247화</v>
      </c>
      <c r="D1941" t="str">
        <f>T("247")</f>
        <v>247</v>
      </c>
      <c r="E1941" t="str">
        <f t="shared" si="325"/>
        <v>무장</v>
      </c>
      <c r="H1941" t="str">
        <f t="shared" si="321"/>
        <v>스토리위즈</v>
      </c>
      <c r="I1941" t="str">
        <f t="shared" si="326"/>
        <v>갓 오브 블랙필드</v>
      </c>
      <c r="J1941">
        <v>100</v>
      </c>
      <c r="K1941">
        <v>200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200</v>
      </c>
      <c r="AH1941">
        <v>2</v>
      </c>
      <c r="AI1941">
        <v>0</v>
      </c>
      <c r="AJ1941">
        <v>0</v>
      </c>
      <c r="AK1941">
        <v>200</v>
      </c>
      <c r="AL1941">
        <v>0</v>
      </c>
      <c r="AM1941">
        <v>0</v>
      </c>
      <c r="AN1941">
        <v>0</v>
      </c>
      <c r="AO1941">
        <v>0</v>
      </c>
      <c r="AP1941"/>
      <c r="AQ1941">
        <v>0</v>
      </c>
      <c r="AR1941">
        <v>0</v>
      </c>
      <c r="AT1941">
        <v>0</v>
      </c>
      <c r="AU1941">
        <v>0</v>
      </c>
      <c r="AW1941">
        <v>0</v>
      </c>
      <c r="AX1941">
        <v>0</v>
      </c>
      <c r="AY1941">
        <v>140</v>
      </c>
      <c r="BC1941" t="str">
        <f t="shared" si="327"/>
        <v>9791137602113</v>
      </c>
      <c r="BE1941" t="str">
        <f t="shared" si="328"/>
        <v>판타지 웹소설 &gt; 현대 판타지</v>
      </c>
    </row>
    <row r="1942" spans="1:57" x14ac:dyDescent="0.3">
      <c r="A1942">
        <v>2313011955</v>
      </c>
      <c r="B1942">
        <v>2313012202</v>
      </c>
      <c r="C1942" t="str">
        <f>T("갓 오브 블랙필드 248화")</f>
        <v>갓 오브 블랙필드 248화</v>
      </c>
      <c r="D1942" t="str">
        <f>T("248")</f>
        <v>248</v>
      </c>
      <c r="E1942" t="str">
        <f t="shared" si="325"/>
        <v>무장</v>
      </c>
      <c r="H1942" t="str">
        <f t="shared" si="321"/>
        <v>스토리위즈</v>
      </c>
      <c r="I1942" t="str">
        <f t="shared" si="326"/>
        <v>갓 오브 블랙필드</v>
      </c>
      <c r="J1942">
        <v>100</v>
      </c>
      <c r="K1942">
        <v>200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200</v>
      </c>
      <c r="AH1942">
        <v>2</v>
      </c>
      <c r="AI1942">
        <v>0</v>
      </c>
      <c r="AJ1942">
        <v>0</v>
      </c>
      <c r="AK1942">
        <v>200</v>
      </c>
      <c r="AL1942">
        <v>0</v>
      </c>
      <c r="AM1942">
        <v>0</v>
      </c>
      <c r="AN1942">
        <v>0</v>
      </c>
      <c r="AO1942">
        <v>0</v>
      </c>
      <c r="AP1942"/>
      <c r="AQ1942">
        <v>0</v>
      </c>
      <c r="AR1942">
        <v>0</v>
      </c>
      <c r="AT1942">
        <v>0</v>
      </c>
      <c r="AU1942">
        <v>0</v>
      </c>
      <c r="AW1942">
        <v>0</v>
      </c>
      <c r="AX1942">
        <v>0</v>
      </c>
      <c r="AY1942">
        <v>140</v>
      </c>
      <c r="BC1942" t="str">
        <f t="shared" si="327"/>
        <v>9791137602113</v>
      </c>
      <c r="BE1942" t="str">
        <f t="shared" si="328"/>
        <v>판타지 웹소설 &gt; 현대 판타지</v>
      </c>
    </row>
    <row r="1943" spans="1:57" x14ac:dyDescent="0.3">
      <c r="A1943">
        <v>2313011955</v>
      </c>
      <c r="B1943">
        <v>2313012203</v>
      </c>
      <c r="C1943" t="str">
        <f>T("갓 오브 블랙필드 249화")</f>
        <v>갓 오브 블랙필드 249화</v>
      </c>
      <c r="D1943" t="str">
        <f>T("249")</f>
        <v>249</v>
      </c>
      <c r="E1943" t="str">
        <f t="shared" si="325"/>
        <v>무장</v>
      </c>
      <c r="H1943" t="str">
        <f t="shared" si="321"/>
        <v>스토리위즈</v>
      </c>
      <c r="I1943" t="str">
        <f t="shared" si="326"/>
        <v>갓 오브 블랙필드</v>
      </c>
      <c r="J1943">
        <v>100</v>
      </c>
      <c r="K1943">
        <v>200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200</v>
      </c>
      <c r="AH1943">
        <v>2</v>
      </c>
      <c r="AI1943">
        <v>0</v>
      </c>
      <c r="AJ1943">
        <v>0</v>
      </c>
      <c r="AK1943">
        <v>200</v>
      </c>
      <c r="AL1943">
        <v>0</v>
      </c>
      <c r="AM1943">
        <v>0</v>
      </c>
      <c r="AN1943">
        <v>0</v>
      </c>
      <c r="AO1943">
        <v>0</v>
      </c>
      <c r="AP1943"/>
      <c r="AQ1943">
        <v>0</v>
      </c>
      <c r="AR1943">
        <v>0</v>
      </c>
      <c r="AT1943">
        <v>0</v>
      </c>
      <c r="AU1943">
        <v>0</v>
      </c>
      <c r="AW1943">
        <v>0</v>
      </c>
      <c r="AX1943">
        <v>0</v>
      </c>
      <c r="AY1943">
        <v>140</v>
      </c>
      <c r="BC1943" t="str">
        <f t="shared" si="327"/>
        <v>9791137602113</v>
      </c>
      <c r="BE1943" t="str">
        <f t="shared" si="328"/>
        <v>판타지 웹소설 &gt; 현대 판타지</v>
      </c>
    </row>
    <row r="1944" spans="1:57" x14ac:dyDescent="0.3">
      <c r="A1944">
        <v>2313011955</v>
      </c>
      <c r="B1944">
        <v>2313012204</v>
      </c>
      <c r="C1944" t="str">
        <f>T("갓 오브 블랙필드 250화")</f>
        <v>갓 오브 블랙필드 250화</v>
      </c>
      <c r="D1944" t="str">
        <f>T("250")</f>
        <v>250</v>
      </c>
      <c r="E1944" t="str">
        <f t="shared" si="325"/>
        <v>무장</v>
      </c>
      <c r="H1944" t="str">
        <f t="shared" si="321"/>
        <v>스토리위즈</v>
      </c>
      <c r="I1944" t="str">
        <f t="shared" si="326"/>
        <v>갓 오브 블랙필드</v>
      </c>
      <c r="J1944">
        <v>100</v>
      </c>
      <c r="K1944">
        <v>200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200</v>
      </c>
      <c r="AH1944">
        <v>2</v>
      </c>
      <c r="AI1944">
        <v>0</v>
      </c>
      <c r="AJ1944">
        <v>0</v>
      </c>
      <c r="AK1944">
        <v>200</v>
      </c>
      <c r="AL1944">
        <v>0</v>
      </c>
      <c r="AM1944">
        <v>0</v>
      </c>
      <c r="AN1944">
        <v>0</v>
      </c>
      <c r="AO1944">
        <v>0</v>
      </c>
      <c r="AP1944"/>
      <c r="AQ1944">
        <v>0</v>
      </c>
      <c r="AR1944">
        <v>0</v>
      </c>
      <c r="AT1944">
        <v>0</v>
      </c>
      <c r="AU1944">
        <v>0</v>
      </c>
      <c r="AW1944">
        <v>0</v>
      </c>
      <c r="AX1944">
        <v>0</v>
      </c>
      <c r="AY1944">
        <v>140</v>
      </c>
      <c r="BC1944" t="str">
        <f t="shared" si="327"/>
        <v>9791137602113</v>
      </c>
      <c r="BE1944" t="str">
        <f t="shared" si="328"/>
        <v>판타지 웹소설 &gt; 현대 판타지</v>
      </c>
    </row>
    <row r="1945" spans="1:57" x14ac:dyDescent="0.3">
      <c r="A1945">
        <v>2313011955</v>
      </c>
      <c r="B1945">
        <v>2313012205</v>
      </c>
      <c r="C1945" t="str">
        <f>T("갓 오브 블랙필드 251화")</f>
        <v>갓 오브 블랙필드 251화</v>
      </c>
      <c r="D1945" t="str">
        <f>T("251")</f>
        <v>251</v>
      </c>
      <c r="E1945" t="str">
        <f t="shared" si="325"/>
        <v>무장</v>
      </c>
      <c r="H1945" t="str">
        <f t="shared" si="321"/>
        <v>스토리위즈</v>
      </c>
      <c r="I1945" t="str">
        <f t="shared" si="326"/>
        <v>갓 오브 블랙필드</v>
      </c>
      <c r="J1945">
        <v>100</v>
      </c>
      <c r="K1945">
        <v>200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200</v>
      </c>
      <c r="AH1945">
        <v>2</v>
      </c>
      <c r="AI1945">
        <v>0</v>
      </c>
      <c r="AJ1945">
        <v>0</v>
      </c>
      <c r="AK1945">
        <v>200</v>
      </c>
      <c r="AL1945">
        <v>0</v>
      </c>
      <c r="AM1945">
        <v>0</v>
      </c>
      <c r="AN1945">
        <v>0</v>
      </c>
      <c r="AO1945">
        <v>0</v>
      </c>
      <c r="AP1945"/>
      <c r="AQ1945">
        <v>0</v>
      </c>
      <c r="AR1945">
        <v>0</v>
      </c>
      <c r="AT1945">
        <v>0</v>
      </c>
      <c r="AU1945">
        <v>0</v>
      </c>
      <c r="AW1945">
        <v>0</v>
      </c>
      <c r="AX1945">
        <v>0</v>
      </c>
      <c r="AY1945">
        <v>140</v>
      </c>
      <c r="BC1945" t="str">
        <f t="shared" si="327"/>
        <v>9791137602113</v>
      </c>
      <c r="BE1945" t="str">
        <f t="shared" si="328"/>
        <v>판타지 웹소설 &gt; 현대 판타지</v>
      </c>
    </row>
    <row r="1946" spans="1:57" x14ac:dyDescent="0.3">
      <c r="A1946">
        <v>2313011955</v>
      </c>
      <c r="B1946">
        <v>2313012206</v>
      </c>
      <c r="C1946" t="str">
        <f>T("갓 오브 블랙필드 252화")</f>
        <v>갓 오브 블랙필드 252화</v>
      </c>
      <c r="D1946" t="str">
        <f>T("252")</f>
        <v>252</v>
      </c>
      <c r="E1946" t="str">
        <f t="shared" si="325"/>
        <v>무장</v>
      </c>
      <c r="H1946" t="str">
        <f t="shared" si="321"/>
        <v>스토리위즈</v>
      </c>
      <c r="I1946" t="str">
        <f t="shared" si="326"/>
        <v>갓 오브 블랙필드</v>
      </c>
      <c r="J1946">
        <v>100</v>
      </c>
      <c r="K1946">
        <v>200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200</v>
      </c>
      <c r="AH1946">
        <v>2</v>
      </c>
      <c r="AI1946">
        <v>0</v>
      </c>
      <c r="AJ1946">
        <v>0</v>
      </c>
      <c r="AK1946">
        <v>200</v>
      </c>
      <c r="AL1946">
        <v>0</v>
      </c>
      <c r="AM1946">
        <v>0</v>
      </c>
      <c r="AN1946">
        <v>0</v>
      </c>
      <c r="AO1946">
        <v>0</v>
      </c>
      <c r="AP1946"/>
      <c r="AQ1946">
        <v>0</v>
      </c>
      <c r="AR1946">
        <v>0</v>
      </c>
      <c r="AT1946">
        <v>0</v>
      </c>
      <c r="AU1946">
        <v>0</v>
      </c>
      <c r="AW1946">
        <v>0</v>
      </c>
      <c r="AX1946">
        <v>0</v>
      </c>
      <c r="AY1946">
        <v>140</v>
      </c>
      <c r="BC1946" t="str">
        <f t="shared" si="327"/>
        <v>9791137602113</v>
      </c>
      <c r="BE1946" t="str">
        <f t="shared" si="328"/>
        <v>판타지 웹소설 &gt; 현대 판타지</v>
      </c>
    </row>
    <row r="1947" spans="1:57" x14ac:dyDescent="0.3">
      <c r="A1947">
        <v>2313011955</v>
      </c>
      <c r="B1947">
        <v>2313012207</v>
      </c>
      <c r="C1947" t="str">
        <f>T("갓 오브 블랙필드 253화")</f>
        <v>갓 오브 블랙필드 253화</v>
      </c>
      <c r="D1947" t="str">
        <f>T("253")</f>
        <v>253</v>
      </c>
      <c r="E1947" t="str">
        <f t="shared" si="325"/>
        <v>무장</v>
      </c>
      <c r="H1947" t="str">
        <f t="shared" si="321"/>
        <v>스토리위즈</v>
      </c>
      <c r="I1947" t="str">
        <f t="shared" si="326"/>
        <v>갓 오브 블랙필드</v>
      </c>
      <c r="J1947">
        <v>100</v>
      </c>
      <c r="K1947">
        <v>200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200</v>
      </c>
      <c r="AH1947">
        <v>2</v>
      </c>
      <c r="AI1947">
        <v>0</v>
      </c>
      <c r="AJ1947">
        <v>0</v>
      </c>
      <c r="AK1947">
        <v>200</v>
      </c>
      <c r="AL1947">
        <v>0</v>
      </c>
      <c r="AM1947">
        <v>0</v>
      </c>
      <c r="AN1947">
        <v>0</v>
      </c>
      <c r="AO1947">
        <v>0</v>
      </c>
      <c r="AP1947"/>
      <c r="AQ1947">
        <v>0</v>
      </c>
      <c r="AR1947">
        <v>0</v>
      </c>
      <c r="AT1947">
        <v>0</v>
      </c>
      <c r="AU1947">
        <v>0</v>
      </c>
      <c r="AW1947">
        <v>0</v>
      </c>
      <c r="AX1947">
        <v>0</v>
      </c>
      <c r="AY1947">
        <v>140</v>
      </c>
      <c r="BC1947" t="str">
        <f t="shared" si="327"/>
        <v>9791137602113</v>
      </c>
      <c r="BE1947" t="str">
        <f t="shared" si="328"/>
        <v>판타지 웹소설 &gt; 현대 판타지</v>
      </c>
    </row>
    <row r="1948" spans="1:57" x14ac:dyDescent="0.3">
      <c r="A1948">
        <v>2313011955</v>
      </c>
      <c r="B1948">
        <v>2313012208</v>
      </c>
      <c r="C1948" t="str">
        <f>T("갓 오브 블랙필드 254화")</f>
        <v>갓 오브 블랙필드 254화</v>
      </c>
      <c r="D1948" t="str">
        <f>T("254")</f>
        <v>254</v>
      </c>
      <c r="E1948" t="str">
        <f t="shared" si="325"/>
        <v>무장</v>
      </c>
      <c r="H1948" t="str">
        <f t="shared" si="321"/>
        <v>스토리위즈</v>
      </c>
      <c r="I1948" t="str">
        <f t="shared" si="326"/>
        <v>갓 오브 블랙필드</v>
      </c>
      <c r="J1948">
        <v>100</v>
      </c>
      <c r="K1948">
        <v>200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200</v>
      </c>
      <c r="AH1948">
        <v>2</v>
      </c>
      <c r="AI1948">
        <v>0</v>
      </c>
      <c r="AJ1948">
        <v>0</v>
      </c>
      <c r="AK1948">
        <v>200</v>
      </c>
      <c r="AL1948">
        <v>0</v>
      </c>
      <c r="AM1948">
        <v>0</v>
      </c>
      <c r="AN1948">
        <v>0</v>
      </c>
      <c r="AO1948">
        <v>0</v>
      </c>
      <c r="AP1948"/>
      <c r="AQ1948">
        <v>0</v>
      </c>
      <c r="AR1948">
        <v>0</v>
      </c>
      <c r="AT1948">
        <v>0</v>
      </c>
      <c r="AU1948">
        <v>0</v>
      </c>
      <c r="AW1948">
        <v>0</v>
      </c>
      <c r="AX1948">
        <v>0</v>
      </c>
      <c r="AY1948">
        <v>140</v>
      </c>
      <c r="BC1948" t="str">
        <f t="shared" si="327"/>
        <v>9791137602113</v>
      </c>
      <c r="BE1948" t="str">
        <f t="shared" si="328"/>
        <v>판타지 웹소설 &gt; 현대 판타지</v>
      </c>
    </row>
    <row r="1949" spans="1:57" x14ac:dyDescent="0.3">
      <c r="A1949">
        <v>2313011955</v>
      </c>
      <c r="B1949">
        <v>2313012209</v>
      </c>
      <c r="C1949" t="str">
        <f>T("갓 오브 블랙필드 255화")</f>
        <v>갓 오브 블랙필드 255화</v>
      </c>
      <c r="D1949" t="str">
        <f>T("255")</f>
        <v>255</v>
      </c>
      <c r="E1949" t="str">
        <f t="shared" si="325"/>
        <v>무장</v>
      </c>
      <c r="H1949" t="str">
        <f t="shared" si="321"/>
        <v>스토리위즈</v>
      </c>
      <c r="I1949" t="str">
        <f t="shared" si="326"/>
        <v>갓 오브 블랙필드</v>
      </c>
      <c r="J1949">
        <v>100</v>
      </c>
      <c r="K1949">
        <v>200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200</v>
      </c>
      <c r="AH1949">
        <v>2</v>
      </c>
      <c r="AI1949">
        <v>0</v>
      </c>
      <c r="AJ1949">
        <v>0</v>
      </c>
      <c r="AK1949">
        <v>200</v>
      </c>
      <c r="AL1949">
        <v>0</v>
      </c>
      <c r="AM1949">
        <v>0</v>
      </c>
      <c r="AN1949">
        <v>0</v>
      </c>
      <c r="AO1949">
        <v>0</v>
      </c>
      <c r="AP1949"/>
      <c r="AQ1949">
        <v>0</v>
      </c>
      <c r="AR1949">
        <v>0</v>
      </c>
      <c r="AT1949">
        <v>0</v>
      </c>
      <c r="AU1949">
        <v>0</v>
      </c>
      <c r="AW1949">
        <v>0</v>
      </c>
      <c r="AX1949">
        <v>0</v>
      </c>
      <c r="AY1949">
        <v>140</v>
      </c>
      <c r="BC1949" t="str">
        <f t="shared" si="327"/>
        <v>9791137602113</v>
      </c>
      <c r="BE1949" t="str">
        <f t="shared" si="328"/>
        <v>판타지 웹소설 &gt; 현대 판타지</v>
      </c>
    </row>
    <row r="1950" spans="1:57" x14ac:dyDescent="0.3">
      <c r="A1950">
        <v>2313011955</v>
      </c>
      <c r="B1950">
        <v>2313012210</v>
      </c>
      <c r="C1950" t="str">
        <f>T("갓 오브 블랙필드 256화")</f>
        <v>갓 오브 블랙필드 256화</v>
      </c>
      <c r="D1950" t="str">
        <f>T("256")</f>
        <v>256</v>
      </c>
      <c r="E1950" t="str">
        <f t="shared" si="325"/>
        <v>무장</v>
      </c>
      <c r="H1950" t="str">
        <f t="shared" si="321"/>
        <v>스토리위즈</v>
      </c>
      <c r="I1950" t="str">
        <f t="shared" si="326"/>
        <v>갓 오브 블랙필드</v>
      </c>
      <c r="J1950">
        <v>100</v>
      </c>
      <c r="K1950">
        <v>200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200</v>
      </c>
      <c r="AH1950">
        <v>2</v>
      </c>
      <c r="AI1950">
        <v>0</v>
      </c>
      <c r="AJ1950">
        <v>0</v>
      </c>
      <c r="AK1950">
        <v>200</v>
      </c>
      <c r="AL1950">
        <v>0</v>
      </c>
      <c r="AM1950">
        <v>0</v>
      </c>
      <c r="AN1950">
        <v>0</v>
      </c>
      <c r="AO1950">
        <v>0</v>
      </c>
      <c r="AP1950"/>
      <c r="AQ1950">
        <v>0</v>
      </c>
      <c r="AR1950">
        <v>0</v>
      </c>
      <c r="AT1950">
        <v>0</v>
      </c>
      <c r="AU1950">
        <v>0</v>
      </c>
      <c r="AW1950">
        <v>0</v>
      </c>
      <c r="AX1950">
        <v>0</v>
      </c>
      <c r="AY1950">
        <v>140</v>
      </c>
      <c r="BC1950" t="str">
        <f t="shared" si="327"/>
        <v>9791137602113</v>
      </c>
      <c r="BE1950" t="str">
        <f t="shared" si="328"/>
        <v>판타지 웹소설 &gt; 현대 판타지</v>
      </c>
    </row>
    <row r="1951" spans="1:57" x14ac:dyDescent="0.3">
      <c r="A1951">
        <v>2313011955</v>
      </c>
      <c r="B1951">
        <v>2313012211</v>
      </c>
      <c r="C1951" t="str">
        <f>T("갓 오브 블랙필드 257화")</f>
        <v>갓 오브 블랙필드 257화</v>
      </c>
      <c r="D1951" t="str">
        <f>T("257")</f>
        <v>257</v>
      </c>
      <c r="E1951" t="str">
        <f t="shared" si="325"/>
        <v>무장</v>
      </c>
      <c r="H1951" t="str">
        <f t="shared" si="321"/>
        <v>스토리위즈</v>
      </c>
      <c r="I1951" t="str">
        <f t="shared" si="326"/>
        <v>갓 오브 블랙필드</v>
      </c>
      <c r="J1951">
        <v>100</v>
      </c>
      <c r="K1951">
        <v>200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200</v>
      </c>
      <c r="AH1951">
        <v>2</v>
      </c>
      <c r="AI1951">
        <v>0</v>
      </c>
      <c r="AJ1951">
        <v>0</v>
      </c>
      <c r="AK1951">
        <v>200</v>
      </c>
      <c r="AL1951">
        <v>0</v>
      </c>
      <c r="AM1951">
        <v>0</v>
      </c>
      <c r="AN1951">
        <v>0</v>
      </c>
      <c r="AO1951">
        <v>0</v>
      </c>
      <c r="AP1951"/>
      <c r="AQ1951">
        <v>0</v>
      </c>
      <c r="AR1951">
        <v>0</v>
      </c>
      <c r="AT1951">
        <v>0</v>
      </c>
      <c r="AU1951">
        <v>0</v>
      </c>
      <c r="AW1951">
        <v>0</v>
      </c>
      <c r="AX1951">
        <v>0</v>
      </c>
      <c r="AY1951">
        <v>140</v>
      </c>
      <c r="BC1951" t="str">
        <f t="shared" si="327"/>
        <v>9791137602113</v>
      </c>
      <c r="BE1951" t="str">
        <f t="shared" si="328"/>
        <v>판타지 웹소설 &gt; 현대 판타지</v>
      </c>
    </row>
    <row r="1952" spans="1:57" x14ac:dyDescent="0.3">
      <c r="A1952">
        <v>2313011955</v>
      </c>
      <c r="B1952">
        <v>2313012212</v>
      </c>
      <c r="C1952" t="str">
        <f>T("갓 오브 블랙필드 258화")</f>
        <v>갓 오브 블랙필드 258화</v>
      </c>
      <c r="D1952" t="str">
        <f>T("258")</f>
        <v>258</v>
      </c>
      <c r="E1952" t="str">
        <f t="shared" si="325"/>
        <v>무장</v>
      </c>
      <c r="H1952" t="str">
        <f t="shared" si="321"/>
        <v>스토리위즈</v>
      </c>
      <c r="I1952" t="str">
        <f t="shared" si="326"/>
        <v>갓 오브 블랙필드</v>
      </c>
      <c r="J1952">
        <v>100</v>
      </c>
      <c r="K1952">
        <v>200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200</v>
      </c>
      <c r="AH1952">
        <v>2</v>
      </c>
      <c r="AI1952">
        <v>0</v>
      </c>
      <c r="AJ1952">
        <v>0</v>
      </c>
      <c r="AK1952">
        <v>200</v>
      </c>
      <c r="AL1952">
        <v>0</v>
      </c>
      <c r="AM1952">
        <v>0</v>
      </c>
      <c r="AN1952">
        <v>0</v>
      </c>
      <c r="AO1952">
        <v>0</v>
      </c>
      <c r="AP1952"/>
      <c r="AQ1952">
        <v>0</v>
      </c>
      <c r="AR1952">
        <v>0</v>
      </c>
      <c r="AT1952">
        <v>0</v>
      </c>
      <c r="AU1952">
        <v>0</v>
      </c>
      <c r="AW1952">
        <v>0</v>
      </c>
      <c r="AX1952">
        <v>0</v>
      </c>
      <c r="AY1952">
        <v>140</v>
      </c>
      <c r="BC1952" t="str">
        <f t="shared" si="327"/>
        <v>9791137602113</v>
      </c>
      <c r="BE1952" t="str">
        <f t="shared" si="328"/>
        <v>판타지 웹소설 &gt; 현대 판타지</v>
      </c>
    </row>
    <row r="1953" spans="1:57" x14ac:dyDescent="0.3">
      <c r="A1953">
        <v>2313011955</v>
      </c>
      <c r="B1953">
        <v>2313012213</v>
      </c>
      <c r="C1953" t="str">
        <f>T("갓 오브 블랙필드 259화")</f>
        <v>갓 오브 블랙필드 259화</v>
      </c>
      <c r="D1953" t="str">
        <f>T("259")</f>
        <v>259</v>
      </c>
      <c r="E1953" t="str">
        <f t="shared" si="325"/>
        <v>무장</v>
      </c>
      <c r="H1953" t="str">
        <f t="shared" si="321"/>
        <v>스토리위즈</v>
      </c>
      <c r="I1953" t="str">
        <f t="shared" si="326"/>
        <v>갓 오브 블랙필드</v>
      </c>
      <c r="J1953">
        <v>100</v>
      </c>
      <c r="K1953">
        <v>200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200</v>
      </c>
      <c r="AH1953">
        <v>2</v>
      </c>
      <c r="AI1953">
        <v>0</v>
      </c>
      <c r="AJ1953">
        <v>0</v>
      </c>
      <c r="AK1953">
        <v>200</v>
      </c>
      <c r="AL1953">
        <v>0</v>
      </c>
      <c r="AM1953">
        <v>0</v>
      </c>
      <c r="AN1953">
        <v>0</v>
      </c>
      <c r="AO1953">
        <v>0</v>
      </c>
      <c r="AP1953"/>
      <c r="AQ1953">
        <v>0</v>
      </c>
      <c r="AR1953">
        <v>0</v>
      </c>
      <c r="AT1953">
        <v>0</v>
      </c>
      <c r="AU1953">
        <v>0</v>
      </c>
      <c r="AW1953">
        <v>0</v>
      </c>
      <c r="AX1953">
        <v>0</v>
      </c>
      <c r="AY1953">
        <v>140</v>
      </c>
      <c r="BC1953" t="str">
        <f t="shared" si="327"/>
        <v>9791137602113</v>
      </c>
      <c r="BE1953" t="str">
        <f t="shared" si="328"/>
        <v>판타지 웹소설 &gt; 현대 판타지</v>
      </c>
    </row>
    <row r="1954" spans="1:57" x14ac:dyDescent="0.3">
      <c r="A1954">
        <v>2313011955</v>
      </c>
      <c r="B1954">
        <v>2313012214</v>
      </c>
      <c r="C1954" t="str">
        <f>T("갓 오브 블랙필드 260화")</f>
        <v>갓 오브 블랙필드 260화</v>
      </c>
      <c r="D1954" t="str">
        <f>T("260")</f>
        <v>260</v>
      </c>
      <c r="E1954" t="str">
        <f t="shared" si="325"/>
        <v>무장</v>
      </c>
      <c r="H1954" t="str">
        <f t="shared" si="321"/>
        <v>스토리위즈</v>
      </c>
      <c r="I1954" t="str">
        <f t="shared" si="326"/>
        <v>갓 오브 블랙필드</v>
      </c>
      <c r="J1954">
        <v>100</v>
      </c>
      <c r="K1954">
        <v>200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200</v>
      </c>
      <c r="AH1954">
        <v>2</v>
      </c>
      <c r="AI1954">
        <v>0</v>
      </c>
      <c r="AJ1954">
        <v>0</v>
      </c>
      <c r="AK1954">
        <v>200</v>
      </c>
      <c r="AL1954">
        <v>0</v>
      </c>
      <c r="AM1954">
        <v>0</v>
      </c>
      <c r="AN1954">
        <v>0</v>
      </c>
      <c r="AO1954">
        <v>0</v>
      </c>
      <c r="AP1954"/>
      <c r="AQ1954">
        <v>0</v>
      </c>
      <c r="AR1954">
        <v>0</v>
      </c>
      <c r="AT1954">
        <v>0</v>
      </c>
      <c r="AU1954">
        <v>0</v>
      </c>
      <c r="AW1954">
        <v>0</v>
      </c>
      <c r="AX1954">
        <v>0</v>
      </c>
      <c r="AY1954">
        <v>140</v>
      </c>
      <c r="BC1954" t="str">
        <f t="shared" si="327"/>
        <v>9791137602113</v>
      </c>
      <c r="BE1954" t="str">
        <f t="shared" si="328"/>
        <v>판타지 웹소설 &gt; 현대 판타지</v>
      </c>
    </row>
    <row r="1955" spans="1:57" x14ac:dyDescent="0.3">
      <c r="A1955">
        <v>2313011955</v>
      </c>
      <c r="B1955">
        <v>2313012215</v>
      </c>
      <c r="C1955" t="str">
        <f>T("갓 오브 블랙필드 261화")</f>
        <v>갓 오브 블랙필드 261화</v>
      </c>
      <c r="D1955" t="str">
        <f>T("261")</f>
        <v>261</v>
      </c>
      <c r="E1955" t="str">
        <f t="shared" si="325"/>
        <v>무장</v>
      </c>
      <c r="H1955" t="str">
        <f t="shared" si="321"/>
        <v>스토리위즈</v>
      </c>
      <c r="I1955" t="str">
        <f t="shared" si="326"/>
        <v>갓 오브 블랙필드</v>
      </c>
      <c r="J1955">
        <v>100</v>
      </c>
      <c r="K1955">
        <v>200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200</v>
      </c>
      <c r="AH1955">
        <v>2</v>
      </c>
      <c r="AI1955">
        <v>0</v>
      </c>
      <c r="AJ1955">
        <v>0</v>
      </c>
      <c r="AK1955">
        <v>200</v>
      </c>
      <c r="AL1955">
        <v>0</v>
      </c>
      <c r="AM1955">
        <v>0</v>
      </c>
      <c r="AN1955">
        <v>0</v>
      </c>
      <c r="AO1955">
        <v>0</v>
      </c>
      <c r="AP1955"/>
      <c r="AQ1955">
        <v>0</v>
      </c>
      <c r="AR1955">
        <v>0</v>
      </c>
      <c r="AT1955">
        <v>0</v>
      </c>
      <c r="AU1955">
        <v>0</v>
      </c>
      <c r="AW1955">
        <v>0</v>
      </c>
      <c r="AX1955">
        <v>0</v>
      </c>
      <c r="AY1955">
        <v>140</v>
      </c>
      <c r="BC1955" t="str">
        <f t="shared" si="327"/>
        <v>9791137602113</v>
      </c>
      <c r="BE1955" t="str">
        <f t="shared" si="328"/>
        <v>판타지 웹소설 &gt; 현대 판타지</v>
      </c>
    </row>
    <row r="1956" spans="1:57" x14ac:dyDescent="0.3">
      <c r="A1956">
        <v>2313011955</v>
      </c>
      <c r="B1956">
        <v>2313012216</v>
      </c>
      <c r="C1956" t="str">
        <f>T("갓 오브 블랙필드 262화")</f>
        <v>갓 오브 블랙필드 262화</v>
      </c>
      <c r="D1956" t="str">
        <f>T("262")</f>
        <v>262</v>
      </c>
      <c r="E1956" t="str">
        <f t="shared" si="325"/>
        <v>무장</v>
      </c>
      <c r="H1956" t="str">
        <f t="shared" si="321"/>
        <v>스토리위즈</v>
      </c>
      <c r="I1956" t="str">
        <f t="shared" si="326"/>
        <v>갓 오브 블랙필드</v>
      </c>
      <c r="J1956">
        <v>100</v>
      </c>
      <c r="K1956">
        <v>200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200</v>
      </c>
      <c r="AH1956">
        <v>2</v>
      </c>
      <c r="AI1956">
        <v>0</v>
      </c>
      <c r="AJ1956">
        <v>0</v>
      </c>
      <c r="AK1956">
        <v>200</v>
      </c>
      <c r="AL1956">
        <v>0</v>
      </c>
      <c r="AM1956">
        <v>0</v>
      </c>
      <c r="AN1956">
        <v>0</v>
      </c>
      <c r="AO1956">
        <v>0</v>
      </c>
      <c r="AP1956"/>
      <c r="AQ1956">
        <v>0</v>
      </c>
      <c r="AR1956">
        <v>0</v>
      </c>
      <c r="AT1956">
        <v>0</v>
      </c>
      <c r="AU1956">
        <v>0</v>
      </c>
      <c r="AW1956">
        <v>0</v>
      </c>
      <c r="AX1956">
        <v>0</v>
      </c>
      <c r="AY1956">
        <v>140</v>
      </c>
      <c r="BC1956" t="str">
        <f t="shared" si="327"/>
        <v>9791137602113</v>
      </c>
      <c r="BE1956" t="str">
        <f t="shared" si="328"/>
        <v>판타지 웹소설 &gt; 현대 판타지</v>
      </c>
    </row>
    <row r="1957" spans="1:57" x14ac:dyDescent="0.3">
      <c r="A1957">
        <v>2313011955</v>
      </c>
      <c r="B1957">
        <v>2313012217</v>
      </c>
      <c r="C1957" t="str">
        <f>T("갓 오브 블랙필드 263화")</f>
        <v>갓 오브 블랙필드 263화</v>
      </c>
      <c r="D1957" t="str">
        <f>T("263")</f>
        <v>263</v>
      </c>
      <c r="E1957" t="str">
        <f t="shared" si="325"/>
        <v>무장</v>
      </c>
      <c r="H1957" t="str">
        <f t="shared" si="321"/>
        <v>스토리위즈</v>
      </c>
      <c r="I1957" t="str">
        <f t="shared" si="326"/>
        <v>갓 오브 블랙필드</v>
      </c>
      <c r="J1957">
        <v>100</v>
      </c>
      <c r="K1957">
        <v>200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200</v>
      </c>
      <c r="AH1957">
        <v>2</v>
      </c>
      <c r="AI1957">
        <v>0</v>
      </c>
      <c r="AJ1957">
        <v>0</v>
      </c>
      <c r="AK1957">
        <v>200</v>
      </c>
      <c r="AL1957">
        <v>0</v>
      </c>
      <c r="AM1957">
        <v>0</v>
      </c>
      <c r="AN1957">
        <v>0</v>
      </c>
      <c r="AO1957">
        <v>0</v>
      </c>
      <c r="AP1957"/>
      <c r="AQ1957">
        <v>0</v>
      </c>
      <c r="AR1957">
        <v>0</v>
      </c>
      <c r="AT1957">
        <v>0</v>
      </c>
      <c r="AU1957">
        <v>0</v>
      </c>
      <c r="AW1957">
        <v>0</v>
      </c>
      <c r="AX1957">
        <v>0</v>
      </c>
      <c r="AY1957">
        <v>140</v>
      </c>
      <c r="BC1957" t="str">
        <f t="shared" si="327"/>
        <v>9791137602113</v>
      </c>
      <c r="BE1957" t="str">
        <f t="shared" si="328"/>
        <v>판타지 웹소설 &gt; 현대 판타지</v>
      </c>
    </row>
    <row r="1958" spans="1:57" x14ac:dyDescent="0.3">
      <c r="A1958">
        <v>2313011955</v>
      </c>
      <c r="B1958">
        <v>2313012218</v>
      </c>
      <c r="C1958" t="str">
        <f>T("갓 오브 블랙필드 264화")</f>
        <v>갓 오브 블랙필드 264화</v>
      </c>
      <c r="D1958" t="str">
        <f>T("264")</f>
        <v>264</v>
      </c>
      <c r="E1958" t="str">
        <f t="shared" si="325"/>
        <v>무장</v>
      </c>
      <c r="H1958" t="str">
        <f t="shared" si="321"/>
        <v>스토리위즈</v>
      </c>
      <c r="I1958" t="str">
        <f t="shared" si="326"/>
        <v>갓 오브 블랙필드</v>
      </c>
      <c r="J1958">
        <v>100</v>
      </c>
      <c r="K1958">
        <v>200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200</v>
      </c>
      <c r="AH1958">
        <v>2</v>
      </c>
      <c r="AI1958">
        <v>0</v>
      </c>
      <c r="AJ1958">
        <v>0</v>
      </c>
      <c r="AK1958">
        <v>200</v>
      </c>
      <c r="AL1958">
        <v>0</v>
      </c>
      <c r="AM1958">
        <v>0</v>
      </c>
      <c r="AN1958">
        <v>0</v>
      </c>
      <c r="AO1958">
        <v>0</v>
      </c>
      <c r="AP1958"/>
      <c r="AQ1958">
        <v>0</v>
      </c>
      <c r="AR1958">
        <v>0</v>
      </c>
      <c r="AT1958">
        <v>0</v>
      </c>
      <c r="AU1958">
        <v>0</v>
      </c>
      <c r="AW1958">
        <v>0</v>
      </c>
      <c r="AX1958">
        <v>0</v>
      </c>
      <c r="AY1958">
        <v>140</v>
      </c>
      <c r="BC1958" t="str">
        <f t="shared" si="327"/>
        <v>9791137602113</v>
      </c>
      <c r="BE1958" t="str">
        <f t="shared" si="328"/>
        <v>판타지 웹소설 &gt; 현대 판타지</v>
      </c>
    </row>
    <row r="1959" spans="1:57" x14ac:dyDescent="0.3">
      <c r="A1959">
        <v>2313011955</v>
      </c>
      <c r="B1959">
        <v>2313012219</v>
      </c>
      <c r="C1959" t="str">
        <f>T("갓 오브 블랙필드 265화")</f>
        <v>갓 오브 블랙필드 265화</v>
      </c>
      <c r="D1959" t="str">
        <f>T("265")</f>
        <v>265</v>
      </c>
      <c r="E1959" t="str">
        <f t="shared" si="325"/>
        <v>무장</v>
      </c>
      <c r="H1959" t="str">
        <f t="shared" si="321"/>
        <v>스토리위즈</v>
      </c>
      <c r="I1959" t="str">
        <f t="shared" si="326"/>
        <v>갓 오브 블랙필드</v>
      </c>
      <c r="J1959">
        <v>100</v>
      </c>
      <c r="K1959">
        <v>200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200</v>
      </c>
      <c r="AH1959">
        <v>2</v>
      </c>
      <c r="AI1959">
        <v>0</v>
      </c>
      <c r="AJ1959">
        <v>0</v>
      </c>
      <c r="AK1959">
        <v>200</v>
      </c>
      <c r="AL1959">
        <v>0</v>
      </c>
      <c r="AM1959">
        <v>0</v>
      </c>
      <c r="AN1959">
        <v>0</v>
      </c>
      <c r="AO1959">
        <v>0</v>
      </c>
      <c r="AP1959"/>
      <c r="AQ1959">
        <v>0</v>
      </c>
      <c r="AR1959">
        <v>0</v>
      </c>
      <c r="AT1959">
        <v>0</v>
      </c>
      <c r="AU1959">
        <v>0</v>
      </c>
      <c r="AW1959">
        <v>0</v>
      </c>
      <c r="AX1959">
        <v>0</v>
      </c>
      <c r="AY1959">
        <v>140</v>
      </c>
      <c r="BC1959" t="str">
        <f t="shared" si="327"/>
        <v>9791137602113</v>
      </c>
      <c r="BE1959" t="str">
        <f t="shared" si="328"/>
        <v>판타지 웹소설 &gt; 현대 판타지</v>
      </c>
    </row>
    <row r="1960" spans="1:57" x14ac:dyDescent="0.3">
      <c r="A1960">
        <v>2313011955</v>
      </c>
      <c r="B1960">
        <v>2313012220</v>
      </c>
      <c r="C1960" t="str">
        <f>T("갓 오브 블랙필드 266화")</f>
        <v>갓 오브 블랙필드 266화</v>
      </c>
      <c r="D1960" t="str">
        <f>T("266")</f>
        <v>266</v>
      </c>
      <c r="E1960" t="str">
        <f t="shared" si="325"/>
        <v>무장</v>
      </c>
      <c r="H1960" t="str">
        <f t="shared" si="321"/>
        <v>스토리위즈</v>
      </c>
      <c r="I1960" t="str">
        <f t="shared" si="326"/>
        <v>갓 오브 블랙필드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200</v>
      </c>
      <c r="AH1960">
        <v>2</v>
      </c>
      <c r="AI1960">
        <v>0</v>
      </c>
      <c r="AJ1960">
        <v>0</v>
      </c>
      <c r="AK1960">
        <v>200</v>
      </c>
      <c r="AL1960">
        <v>0</v>
      </c>
      <c r="AM1960">
        <v>0</v>
      </c>
      <c r="AN1960">
        <v>0</v>
      </c>
      <c r="AO1960">
        <v>0</v>
      </c>
      <c r="AP1960"/>
      <c r="AQ1960">
        <v>0</v>
      </c>
      <c r="AR1960">
        <v>0</v>
      </c>
      <c r="AT1960">
        <v>0</v>
      </c>
      <c r="AU1960">
        <v>0</v>
      </c>
      <c r="AW1960">
        <v>0</v>
      </c>
      <c r="AX1960">
        <v>0</v>
      </c>
      <c r="AY1960">
        <v>140</v>
      </c>
      <c r="BC1960" t="str">
        <f t="shared" si="327"/>
        <v>9791137602113</v>
      </c>
      <c r="BE1960" t="str">
        <f t="shared" si="328"/>
        <v>판타지 웹소설 &gt; 현대 판타지</v>
      </c>
    </row>
    <row r="1961" spans="1:57" x14ac:dyDescent="0.3">
      <c r="A1961">
        <v>2313011955</v>
      </c>
      <c r="B1961">
        <v>2313012221</v>
      </c>
      <c r="C1961" t="str">
        <f>T("갓 오브 블랙필드 267화")</f>
        <v>갓 오브 블랙필드 267화</v>
      </c>
      <c r="D1961" t="str">
        <f>T("267")</f>
        <v>267</v>
      </c>
      <c r="E1961" t="str">
        <f t="shared" si="325"/>
        <v>무장</v>
      </c>
      <c r="H1961" t="str">
        <f t="shared" si="321"/>
        <v>스토리위즈</v>
      </c>
      <c r="I1961" t="str">
        <f t="shared" si="326"/>
        <v>갓 오브 블랙필드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200</v>
      </c>
      <c r="AH1961">
        <v>2</v>
      </c>
      <c r="AI1961">
        <v>0</v>
      </c>
      <c r="AJ1961">
        <v>0</v>
      </c>
      <c r="AK1961">
        <v>200</v>
      </c>
      <c r="AL1961">
        <v>0</v>
      </c>
      <c r="AM1961">
        <v>0</v>
      </c>
      <c r="AN1961">
        <v>0</v>
      </c>
      <c r="AO1961">
        <v>0</v>
      </c>
      <c r="AP1961"/>
      <c r="AQ1961">
        <v>0</v>
      </c>
      <c r="AR1961">
        <v>0</v>
      </c>
      <c r="AT1961">
        <v>0</v>
      </c>
      <c r="AU1961">
        <v>0</v>
      </c>
      <c r="AW1961">
        <v>0</v>
      </c>
      <c r="AX1961">
        <v>0</v>
      </c>
      <c r="AY1961">
        <v>140</v>
      </c>
      <c r="BC1961" t="str">
        <f t="shared" si="327"/>
        <v>9791137602113</v>
      </c>
      <c r="BE1961" t="str">
        <f t="shared" si="328"/>
        <v>판타지 웹소설 &gt; 현대 판타지</v>
      </c>
    </row>
    <row r="1962" spans="1:57" x14ac:dyDescent="0.3">
      <c r="A1962">
        <v>2313011955</v>
      </c>
      <c r="B1962">
        <v>2313012222</v>
      </c>
      <c r="C1962" t="str">
        <f>T("갓 오브 블랙필드 268화")</f>
        <v>갓 오브 블랙필드 268화</v>
      </c>
      <c r="D1962" t="str">
        <f>T("268")</f>
        <v>268</v>
      </c>
      <c r="E1962" t="str">
        <f t="shared" si="325"/>
        <v>무장</v>
      </c>
      <c r="H1962" t="str">
        <f t="shared" si="321"/>
        <v>스토리위즈</v>
      </c>
      <c r="I1962" t="str">
        <f t="shared" si="326"/>
        <v>갓 오브 블랙필드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200</v>
      </c>
      <c r="AH1962">
        <v>2</v>
      </c>
      <c r="AI1962">
        <v>0</v>
      </c>
      <c r="AJ1962">
        <v>0</v>
      </c>
      <c r="AK1962">
        <v>200</v>
      </c>
      <c r="AL1962">
        <v>0</v>
      </c>
      <c r="AM1962">
        <v>0</v>
      </c>
      <c r="AN1962">
        <v>0</v>
      </c>
      <c r="AO1962">
        <v>0</v>
      </c>
      <c r="AP1962"/>
      <c r="AQ1962">
        <v>0</v>
      </c>
      <c r="AR1962">
        <v>0</v>
      </c>
      <c r="AT1962">
        <v>0</v>
      </c>
      <c r="AU1962">
        <v>0</v>
      </c>
      <c r="AW1962">
        <v>0</v>
      </c>
      <c r="AX1962">
        <v>0</v>
      </c>
      <c r="AY1962">
        <v>140</v>
      </c>
      <c r="BC1962" t="str">
        <f t="shared" si="327"/>
        <v>9791137602113</v>
      </c>
      <c r="BE1962" t="str">
        <f t="shared" si="328"/>
        <v>판타지 웹소설 &gt; 현대 판타지</v>
      </c>
    </row>
    <row r="1963" spans="1:57" x14ac:dyDescent="0.3">
      <c r="A1963">
        <v>2313011955</v>
      </c>
      <c r="B1963">
        <v>2313012223</v>
      </c>
      <c r="C1963" t="str">
        <f>T("갓 오브 블랙필드 269화")</f>
        <v>갓 오브 블랙필드 269화</v>
      </c>
      <c r="D1963" t="str">
        <f>T("269")</f>
        <v>269</v>
      </c>
      <c r="E1963" t="str">
        <f t="shared" si="325"/>
        <v>무장</v>
      </c>
      <c r="H1963" t="str">
        <f t="shared" si="321"/>
        <v>스토리위즈</v>
      </c>
      <c r="I1963" t="str">
        <f t="shared" si="326"/>
        <v>갓 오브 블랙필드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200</v>
      </c>
      <c r="AH1963">
        <v>2</v>
      </c>
      <c r="AI1963">
        <v>0</v>
      </c>
      <c r="AJ1963">
        <v>0</v>
      </c>
      <c r="AK1963">
        <v>200</v>
      </c>
      <c r="AL1963">
        <v>0</v>
      </c>
      <c r="AM1963">
        <v>0</v>
      </c>
      <c r="AN1963">
        <v>0</v>
      </c>
      <c r="AO1963">
        <v>0</v>
      </c>
      <c r="AP1963"/>
      <c r="AQ1963">
        <v>0</v>
      </c>
      <c r="AR1963">
        <v>0</v>
      </c>
      <c r="AT1963">
        <v>0</v>
      </c>
      <c r="AU1963">
        <v>0</v>
      </c>
      <c r="AW1963">
        <v>0</v>
      </c>
      <c r="AX1963">
        <v>0</v>
      </c>
      <c r="AY1963">
        <v>140</v>
      </c>
      <c r="BC1963" t="str">
        <f t="shared" si="327"/>
        <v>9791137602113</v>
      </c>
      <c r="BE1963" t="str">
        <f t="shared" si="328"/>
        <v>판타지 웹소설 &gt; 현대 판타지</v>
      </c>
    </row>
    <row r="1964" spans="1:57" x14ac:dyDescent="0.3">
      <c r="A1964">
        <v>2313011955</v>
      </c>
      <c r="B1964">
        <v>2313012224</v>
      </c>
      <c r="C1964" t="str">
        <f>T("갓 오브 블랙필드 270화")</f>
        <v>갓 오브 블랙필드 270화</v>
      </c>
      <c r="D1964" t="str">
        <f>T("270")</f>
        <v>270</v>
      </c>
      <c r="E1964" t="str">
        <f t="shared" si="325"/>
        <v>무장</v>
      </c>
      <c r="H1964" t="str">
        <f t="shared" si="321"/>
        <v>스토리위즈</v>
      </c>
      <c r="I1964" t="str">
        <f t="shared" si="326"/>
        <v>갓 오브 블랙필드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200</v>
      </c>
      <c r="AH1964">
        <v>2</v>
      </c>
      <c r="AI1964">
        <v>0</v>
      </c>
      <c r="AJ1964">
        <v>0</v>
      </c>
      <c r="AK1964">
        <v>200</v>
      </c>
      <c r="AL1964">
        <v>0</v>
      </c>
      <c r="AM1964">
        <v>0</v>
      </c>
      <c r="AN1964">
        <v>0</v>
      </c>
      <c r="AO1964">
        <v>0</v>
      </c>
      <c r="AP1964"/>
      <c r="AQ1964">
        <v>0</v>
      </c>
      <c r="AR1964">
        <v>0</v>
      </c>
      <c r="AT1964">
        <v>0</v>
      </c>
      <c r="AU1964">
        <v>0</v>
      </c>
      <c r="AW1964">
        <v>0</v>
      </c>
      <c r="AX1964">
        <v>0</v>
      </c>
      <c r="AY1964">
        <v>140</v>
      </c>
      <c r="BC1964" t="str">
        <f t="shared" si="327"/>
        <v>9791137602113</v>
      </c>
      <c r="BE1964" t="str">
        <f t="shared" si="328"/>
        <v>판타지 웹소설 &gt; 현대 판타지</v>
      </c>
    </row>
    <row r="1965" spans="1:57" x14ac:dyDescent="0.3">
      <c r="A1965">
        <v>2313011955</v>
      </c>
      <c r="B1965">
        <v>2313012225</v>
      </c>
      <c r="C1965" t="str">
        <f>T("갓 오브 블랙필드 271화")</f>
        <v>갓 오브 블랙필드 271화</v>
      </c>
      <c r="D1965" t="str">
        <f>T("271")</f>
        <v>271</v>
      </c>
      <c r="E1965" t="str">
        <f t="shared" si="325"/>
        <v>무장</v>
      </c>
      <c r="H1965" t="str">
        <f t="shared" si="321"/>
        <v>스토리위즈</v>
      </c>
      <c r="I1965" t="str">
        <f t="shared" si="326"/>
        <v>갓 오브 블랙필드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/>
      <c r="AQ1965">
        <v>0</v>
      </c>
      <c r="AR1965">
        <v>0</v>
      </c>
      <c r="AT1965">
        <v>0</v>
      </c>
      <c r="AU1965">
        <v>0</v>
      </c>
      <c r="AW1965">
        <v>0</v>
      </c>
      <c r="AX1965">
        <v>0</v>
      </c>
      <c r="AY1965">
        <v>140</v>
      </c>
      <c r="BC1965" t="str">
        <f t="shared" si="327"/>
        <v>9791137602113</v>
      </c>
      <c r="BE1965" t="str">
        <f t="shared" si="328"/>
        <v>판타지 웹소설 &gt; 현대 판타지</v>
      </c>
    </row>
    <row r="1966" spans="1:57" x14ac:dyDescent="0.3">
      <c r="A1966">
        <v>2313011955</v>
      </c>
      <c r="B1966">
        <v>2313012226</v>
      </c>
      <c r="C1966" t="str">
        <f>T("갓 오브 블랙필드 272화")</f>
        <v>갓 오브 블랙필드 272화</v>
      </c>
      <c r="D1966" t="str">
        <f>T("272")</f>
        <v>272</v>
      </c>
      <c r="E1966" t="str">
        <f t="shared" si="325"/>
        <v>무장</v>
      </c>
      <c r="H1966" t="str">
        <f t="shared" si="321"/>
        <v>스토리위즈</v>
      </c>
      <c r="I1966" t="str">
        <f t="shared" si="326"/>
        <v>갓 오브 블랙필드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200</v>
      </c>
      <c r="AH1966">
        <v>2</v>
      </c>
      <c r="AI1966">
        <v>0</v>
      </c>
      <c r="AJ1966">
        <v>0</v>
      </c>
      <c r="AK1966">
        <v>200</v>
      </c>
      <c r="AL1966">
        <v>0</v>
      </c>
      <c r="AM1966">
        <v>0</v>
      </c>
      <c r="AN1966">
        <v>0</v>
      </c>
      <c r="AO1966">
        <v>0</v>
      </c>
      <c r="AP1966"/>
      <c r="AQ1966">
        <v>0</v>
      </c>
      <c r="AR1966">
        <v>0</v>
      </c>
      <c r="AT1966">
        <v>0</v>
      </c>
      <c r="AU1966">
        <v>0</v>
      </c>
      <c r="AW1966">
        <v>0</v>
      </c>
      <c r="AX1966">
        <v>0</v>
      </c>
      <c r="AY1966">
        <v>140</v>
      </c>
      <c r="BC1966" t="str">
        <f t="shared" si="327"/>
        <v>9791137602113</v>
      </c>
      <c r="BE1966" t="str">
        <f t="shared" si="328"/>
        <v>판타지 웹소설 &gt; 현대 판타지</v>
      </c>
    </row>
    <row r="1967" spans="1:57" x14ac:dyDescent="0.3">
      <c r="A1967">
        <v>2313011955</v>
      </c>
      <c r="B1967">
        <v>2313012227</v>
      </c>
      <c r="C1967" t="str">
        <f>T("갓 오브 블랙필드 273화")</f>
        <v>갓 오브 블랙필드 273화</v>
      </c>
      <c r="D1967" t="str">
        <f>T("273")</f>
        <v>273</v>
      </c>
      <c r="E1967" t="str">
        <f t="shared" si="325"/>
        <v>무장</v>
      </c>
      <c r="H1967" t="str">
        <f t="shared" si="321"/>
        <v>스토리위즈</v>
      </c>
      <c r="I1967" t="str">
        <f t="shared" si="326"/>
        <v>갓 오브 블랙필드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200</v>
      </c>
      <c r="AH1967">
        <v>2</v>
      </c>
      <c r="AI1967">
        <v>0</v>
      </c>
      <c r="AJ1967">
        <v>0</v>
      </c>
      <c r="AK1967">
        <v>200</v>
      </c>
      <c r="AL1967">
        <v>0</v>
      </c>
      <c r="AM1967">
        <v>0</v>
      </c>
      <c r="AN1967">
        <v>0</v>
      </c>
      <c r="AO1967">
        <v>0</v>
      </c>
      <c r="AP1967"/>
      <c r="AQ1967">
        <v>0</v>
      </c>
      <c r="AR1967">
        <v>0</v>
      </c>
      <c r="AT1967">
        <v>0</v>
      </c>
      <c r="AU1967">
        <v>0</v>
      </c>
      <c r="AW1967">
        <v>0</v>
      </c>
      <c r="AX1967">
        <v>0</v>
      </c>
      <c r="AY1967">
        <v>140</v>
      </c>
      <c r="BC1967" t="str">
        <f t="shared" si="327"/>
        <v>9791137602113</v>
      </c>
      <c r="BE1967" t="str">
        <f t="shared" si="328"/>
        <v>판타지 웹소설 &gt; 현대 판타지</v>
      </c>
    </row>
    <row r="1968" spans="1:57" x14ac:dyDescent="0.3">
      <c r="A1968">
        <v>2313011955</v>
      </c>
      <c r="B1968">
        <v>2313012228</v>
      </c>
      <c r="C1968" t="str">
        <f>T("갓 오브 블랙필드 274화")</f>
        <v>갓 오브 블랙필드 274화</v>
      </c>
      <c r="D1968" t="str">
        <f>T("274")</f>
        <v>274</v>
      </c>
      <c r="E1968" t="str">
        <f t="shared" si="325"/>
        <v>무장</v>
      </c>
      <c r="H1968" t="str">
        <f t="shared" si="321"/>
        <v>스토리위즈</v>
      </c>
      <c r="I1968" t="str">
        <f t="shared" si="326"/>
        <v>갓 오브 블랙필드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200</v>
      </c>
      <c r="AH1968">
        <v>2</v>
      </c>
      <c r="AI1968">
        <v>0</v>
      </c>
      <c r="AJ1968">
        <v>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/>
      <c r="AQ1968">
        <v>0</v>
      </c>
      <c r="AR1968">
        <v>0</v>
      </c>
      <c r="AT1968">
        <v>0</v>
      </c>
      <c r="AU1968">
        <v>0</v>
      </c>
      <c r="AW1968">
        <v>0</v>
      </c>
      <c r="AX1968">
        <v>0</v>
      </c>
      <c r="AY1968">
        <v>140</v>
      </c>
      <c r="BC1968" t="str">
        <f t="shared" si="327"/>
        <v>9791137602113</v>
      </c>
      <c r="BE1968" t="str">
        <f t="shared" si="328"/>
        <v>판타지 웹소설 &gt; 현대 판타지</v>
      </c>
    </row>
    <row r="1969" spans="1:57" x14ac:dyDescent="0.3">
      <c r="A1969">
        <v>2313011955</v>
      </c>
      <c r="B1969">
        <v>2313012229</v>
      </c>
      <c r="C1969" t="str">
        <f>T("갓 오브 블랙필드 275화")</f>
        <v>갓 오브 블랙필드 275화</v>
      </c>
      <c r="D1969" t="str">
        <f>T("275")</f>
        <v>275</v>
      </c>
      <c r="E1969" t="str">
        <f t="shared" si="325"/>
        <v>무장</v>
      </c>
      <c r="H1969" t="str">
        <f t="shared" si="321"/>
        <v>스토리위즈</v>
      </c>
      <c r="I1969" t="str">
        <f t="shared" si="326"/>
        <v>갓 오브 블랙필드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/>
      <c r="AQ1969">
        <v>0</v>
      </c>
      <c r="AR1969">
        <v>0</v>
      </c>
      <c r="AT1969">
        <v>0</v>
      </c>
      <c r="AU1969">
        <v>0</v>
      </c>
      <c r="AW1969">
        <v>0</v>
      </c>
      <c r="AX1969">
        <v>0</v>
      </c>
      <c r="AY1969">
        <v>140</v>
      </c>
      <c r="BC1969" t="str">
        <f t="shared" si="327"/>
        <v>9791137602113</v>
      </c>
      <c r="BE1969" t="str">
        <f t="shared" si="328"/>
        <v>판타지 웹소설 &gt; 현대 판타지</v>
      </c>
    </row>
    <row r="1970" spans="1:57" x14ac:dyDescent="0.3">
      <c r="A1970">
        <v>2313011955</v>
      </c>
      <c r="B1970">
        <v>2313012230</v>
      </c>
      <c r="C1970" t="str">
        <f>T("갓 오브 블랙필드 276화")</f>
        <v>갓 오브 블랙필드 276화</v>
      </c>
      <c r="D1970" t="str">
        <f>T("276")</f>
        <v>276</v>
      </c>
      <c r="E1970" t="str">
        <f t="shared" si="325"/>
        <v>무장</v>
      </c>
      <c r="H1970" t="str">
        <f t="shared" si="321"/>
        <v>스토리위즈</v>
      </c>
      <c r="I1970" t="str">
        <f t="shared" si="326"/>
        <v>갓 오브 블랙필드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200</v>
      </c>
      <c r="AH1970">
        <v>2</v>
      </c>
      <c r="AI1970">
        <v>0</v>
      </c>
      <c r="AJ1970">
        <v>0</v>
      </c>
      <c r="AK1970">
        <v>200</v>
      </c>
      <c r="AL1970">
        <v>0</v>
      </c>
      <c r="AM1970">
        <v>0</v>
      </c>
      <c r="AN1970">
        <v>0</v>
      </c>
      <c r="AO1970">
        <v>0</v>
      </c>
      <c r="AP1970"/>
      <c r="AQ1970">
        <v>0</v>
      </c>
      <c r="AR1970">
        <v>0</v>
      </c>
      <c r="AT1970">
        <v>0</v>
      </c>
      <c r="AU1970">
        <v>0</v>
      </c>
      <c r="AW1970">
        <v>0</v>
      </c>
      <c r="AX1970">
        <v>0</v>
      </c>
      <c r="AY1970">
        <v>140</v>
      </c>
      <c r="BC1970" t="str">
        <f t="shared" si="327"/>
        <v>9791137602113</v>
      </c>
      <c r="BE1970" t="str">
        <f t="shared" si="328"/>
        <v>판타지 웹소설 &gt; 현대 판타지</v>
      </c>
    </row>
    <row r="1971" spans="1:57" x14ac:dyDescent="0.3">
      <c r="A1971">
        <v>2313011955</v>
      </c>
      <c r="B1971">
        <v>2313012231</v>
      </c>
      <c r="C1971" t="str">
        <f>T("갓 오브 블랙필드 277화")</f>
        <v>갓 오브 블랙필드 277화</v>
      </c>
      <c r="D1971" t="str">
        <f>T("277")</f>
        <v>277</v>
      </c>
      <c r="E1971" t="str">
        <f t="shared" si="325"/>
        <v>무장</v>
      </c>
      <c r="H1971" t="str">
        <f t="shared" si="321"/>
        <v>스토리위즈</v>
      </c>
      <c r="I1971" t="str">
        <f t="shared" si="326"/>
        <v>갓 오브 블랙필드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200</v>
      </c>
      <c r="AH1971">
        <v>2</v>
      </c>
      <c r="AI1971">
        <v>0</v>
      </c>
      <c r="AJ1971">
        <v>0</v>
      </c>
      <c r="AK1971">
        <v>200</v>
      </c>
      <c r="AL1971">
        <v>0</v>
      </c>
      <c r="AM1971">
        <v>0</v>
      </c>
      <c r="AN1971">
        <v>0</v>
      </c>
      <c r="AO1971">
        <v>0</v>
      </c>
      <c r="AP1971"/>
      <c r="AQ1971">
        <v>0</v>
      </c>
      <c r="AR1971">
        <v>0</v>
      </c>
      <c r="AT1971">
        <v>0</v>
      </c>
      <c r="AU1971">
        <v>0</v>
      </c>
      <c r="AW1971">
        <v>0</v>
      </c>
      <c r="AX1971">
        <v>0</v>
      </c>
      <c r="AY1971">
        <v>140</v>
      </c>
      <c r="BC1971" t="str">
        <f t="shared" si="327"/>
        <v>9791137602113</v>
      </c>
      <c r="BE1971" t="str">
        <f t="shared" si="328"/>
        <v>판타지 웹소설 &gt; 현대 판타지</v>
      </c>
    </row>
    <row r="1972" spans="1:57" x14ac:dyDescent="0.3">
      <c r="A1972">
        <v>2313011955</v>
      </c>
      <c r="B1972">
        <v>2313012232</v>
      </c>
      <c r="C1972" t="str">
        <f>T("갓 오브 블랙필드 278화")</f>
        <v>갓 오브 블랙필드 278화</v>
      </c>
      <c r="D1972" t="str">
        <f>T("278")</f>
        <v>278</v>
      </c>
      <c r="E1972" t="str">
        <f t="shared" si="325"/>
        <v>무장</v>
      </c>
      <c r="H1972" t="str">
        <f t="shared" si="321"/>
        <v>스토리위즈</v>
      </c>
      <c r="I1972" t="str">
        <f t="shared" si="326"/>
        <v>갓 오브 블랙필드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200</v>
      </c>
      <c r="AH1972">
        <v>2</v>
      </c>
      <c r="AI1972">
        <v>0</v>
      </c>
      <c r="AJ1972">
        <v>0</v>
      </c>
      <c r="AK1972">
        <v>200</v>
      </c>
      <c r="AL1972">
        <v>0</v>
      </c>
      <c r="AM1972">
        <v>0</v>
      </c>
      <c r="AN1972">
        <v>0</v>
      </c>
      <c r="AO1972">
        <v>0</v>
      </c>
      <c r="AP1972"/>
      <c r="AQ1972">
        <v>0</v>
      </c>
      <c r="AR1972">
        <v>0</v>
      </c>
      <c r="AT1972">
        <v>0</v>
      </c>
      <c r="AU1972">
        <v>0</v>
      </c>
      <c r="AW1972">
        <v>0</v>
      </c>
      <c r="AX1972">
        <v>0</v>
      </c>
      <c r="AY1972">
        <v>140</v>
      </c>
      <c r="BC1972" t="str">
        <f t="shared" si="327"/>
        <v>9791137602113</v>
      </c>
      <c r="BE1972" t="str">
        <f t="shared" si="328"/>
        <v>판타지 웹소설 &gt; 현대 판타지</v>
      </c>
    </row>
    <row r="1973" spans="1:57" x14ac:dyDescent="0.3">
      <c r="A1973">
        <v>2313011955</v>
      </c>
      <c r="B1973">
        <v>2313012233</v>
      </c>
      <c r="C1973" t="str">
        <f>T("갓 오브 블랙필드 279화")</f>
        <v>갓 오브 블랙필드 279화</v>
      </c>
      <c r="D1973" t="str">
        <f>T("279")</f>
        <v>279</v>
      </c>
      <c r="E1973" t="str">
        <f t="shared" si="325"/>
        <v>무장</v>
      </c>
      <c r="H1973" t="str">
        <f t="shared" si="321"/>
        <v>스토리위즈</v>
      </c>
      <c r="I1973" t="str">
        <f t="shared" si="326"/>
        <v>갓 오브 블랙필드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200</v>
      </c>
      <c r="AH1973">
        <v>2</v>
      </c>
      <c r="AI1973">
        <v>0</v>
      </c>
      <c r="AJ1973">
        <v>0</v>
      </c>
      <c r="AK1973">
        <v>200</v>
      </c>
      <c r="AL1973">
        <v>0</v>
      </c>
      <c r="AM1973">
        <v>0</v>
      </c>
      <c r="AN1973">
        <v>0</v>
      </c>
      <c r="AO1973">
        <v>0</v>
      </c>
      <c r="AP1973"/>
      <c r="AQ1973">
        <v>0</v>
      </c>
      <c r="AR1973">
        <v>0</v>
      </c>
      <c r="AT1973">
        <v>0</v>
      </c>
      <c r="AU1973">
        <v>0</v>
      </c>
      <c r="AW1973">
        <v>0</v>
      </c>
      <c r="AX1973">
        <v>0</v>
      </c>
      <c r="AY1973">
        <v>140</v>
      </c>
      <c r="BC1973" t="str">
        <f t="shared" si="327"/>
        <v>9791137602113</v>
      </c>
      <c r="BE1973" t="str">
        <f t="shared" si="328"/>
        <v>판타지 웹소설 &gt; 현대 판타지</v>
      </c>
    </row>
    <row r="1974" spans="1:57" x14ac:dyDescent="0.3">
      <c r="A1974">
        <v>2313011955</v>
      </c>
      <c r="B1974">
        <v>2313012234</v>
      </c>
      <c r="C1974" t="str">
        <f>T("갓 오브 블랙필드 280화")</f>
        <v>갓 오브 블랙필드 280화</v>
      </c>
      <c r="D1974" t="str">
        <f>T("280")</f>
        <v>280</v>
      </c>
      <c r="E1974" t="str">
        <f t="shared" si="325"/>
        <v>무장</v>
      </c>
      <c r="H1974" t="str">
        <f t="shared" si="321"/>
        <v>스토리위즈</v>
      </c>
      <c r="I1974" t="str">
        <f t="shared" si="326"/>
        <v>갓 오브 블랙필드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200</v>
      </c>
      <c r="AH1974">
        <v>2</v>
      </c>
      <c r="AI1974">
        <v>0</v>
      </c>
      <c r="AJ1974">
        <v>0</v>
      </c>
      <c r="AK1974">
        <v>200</v>
      </c>
      <c r="AL1974">
        <v>0</v>
      </c>
      <c r="AM1974">
        <v>0</v>
      </c>
      <c r="AN1974">
        <v>0</v>
      </c>
      <c r="AO1974">
        <v>0</v>
      </c>
      <c r="AP1974"/>
      <c r="AQ1974">
        <v>0</v>
      </c>
      <c r="AR1974">
        <v>0</v>
      </c>
      <c r="AT1974">
        <v>0</v>
      </c>
      <c r="AU1974">
        <v>0</v>
      </c>
      <c r="AW1974">
        <v>0</v>
      </c>
      <c r="AX1974">
        <v>0</v>
      </c>
      <c r="AY1974">
        <v>140</v>
      </c>
      <c r="BC1974" t="str">
        <f t="shared" si="327"/>
        <v>9791137602113</v>
      </c>
      <c r="BE1974" t="str">
        <f t="shared" si="328"/>
        <v>판타지 웹소설 &gt; 현대 판타지</v>
      </c>
    </row>
    <row r="1975" spans="1:57" x14ac:dyDescent="0.3">
      <c r="A1975">
        <v>2313011955</v>
      </c>
      <c r="B1975">
        <v>2313012235</v>
      </c>
      <c r="C1975" t="str">
        <f>T("갓 오브 블랙필드 281화")</f>
        <v>갓 오브 블랙필드 281화</v>
      </c>
      <c r="D1975" t="str">
        <f>T("281")</f>
        <v>281</v>
      </c>
      <c r="E1975" t="str">
        <f t="shared" si="325"/>
        <v>무장</v>
      </c>
      <c r="H1975" t="str">
        <f t="shared" si="321"/>
        <v>스토리위즈</v>
      </c>
      <c r="I1975" t="str">
        <f t="shared" si="326"/>
        <v>갓 오브 블랙필드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200</v>
      </c>
      <c r="AH1975">
        <v>2</v>
      </c>
      <c r="AI1975">
        <v>0</v>
      </c>
      <c r="AJ1975">
        <v>0</v>
      </c>
      <c r="AK1975">
        <v>200</v>
      </c>
      <c r="AL1975">
        <v>0</v>
      </c>
      <c r="AM1975">
        <v>0</v>
      </c>
      <c r="AN1975">
        <v>0</v>
      </c>
      <c r="AO1975">
        <v>0</v>
      </c>
      <c r="AP1975"/>
      <c r="AQ1975">
        <v>0</v>
      </c>
      <c r="AR1975">
        <v>0</v>
      </c>
      <c r="AT1975">
        <v>0</v>
      </c>
      <c r="AU1975">
        <v>0</v>
      </c>
      <c r="AW1975">
        <v>0</v>
      </c>
      <c r="AX1975">
        <v>0</v>
      </c>
      <c r="AY1975">
        <v>140</v>
      </c>
      <c r="BC1975" t="str">
        <f t="shared" si="327"/>
        <v>9791137602113</v>
      </c>
      <c r="BE1975" t="str">
        <f t="shared" si="328"/>
        <v>판타지 웹소설 &gt; 현대 판타지</v>
      </c>
    </row>
    <row r="1976" spans="1:57" x14ac:dyDescent="0.3">
      <c r="A1976">
        <v>2313011955</v>
      </c>
      <c r="B1976">
        <v>2313012236</v>
      </c>
      <c r="C1976" t="str">
        <f>T("갓 오브 블랙필드 282화")</f>
        <v>갓 오브 블랙필드 282화</v>
      </c>
      <c r="D1976" t="str">
        <f>T("282")</f>
        <v>282</v>
      </c>
      <c r="E1976" t="str">
        <f t="shared" si="325"/>
        <v>무장</v>
      </c>
      <c r="H1976" t="str">
        <f t="shared" si="321"/>
        <v>스토리위즈</v>
      </c>
      <c r="I1976" t="str">
        <f t="shared" si="326"/>
        <v>갓 오브 블랙필드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200</v>
      </c>
      <c r="AH1976">
        <v>2</v>
      </c>
      <c r="AI1976">
        <v>0</v>
      </c>
      <c r="AJ1976">
        <v>0</v>
      </c>
      <c r="AK1976">
        <v>200</v>
      </c>
      <c r="AL1976">
        <v>0</v>
      </c>
      <c r="AM1976">
        <v>0</v>
      </c>
      <c r="AN1976">
        <v>0</v>
      </c>
      <c r="AO1976">
        <v>0</v>
      </c>
      <c r="AP1976"/>
      <c r="AQ1976">
        <v>0</v>
      </c>
      <c r="AR1976">
        <v>0</v>
      </c>
      <c r="AT1976">
        <v>0</v>
      </c>
      <c r="AU1976">
        <v>0</v>
      </c>
      <c r="AW1976">
        <v>0</v>
      </c>
      <c r="AX1976">
        <v>0</v>
      </c>
      <c r="AY1976">
        <v>140</v>
      </c>
      <c r="BC1976" t="str">
        <f t="shared" si="327"/>
        <v>9791137602113</v>
      </c>
      <c r="BE1976" t="str">
        <f t="shared" si="328"/>
        <v>판타지 웹소설 &gt; 현대 판타지</v>
      </c>
    </row>
    <row r="1977" spans="1:57" x14ac:dyDescent="0.3">
      <c r="A1977">
        <v>2313011955</v>
      </c>
      <c r="B1977">
        <v>2313012237</v>
      </c>
      <c r="C1977" t="str">
        <f>T("갓 오브 블랙필드 283화")</f>
        <v>갓 오브 블랙필드 283화</v>
      </c>
      <c r="D1977" t="str">
        <f>T("283")</f>
        <v>283</v>
      </c>
      <c r="E1977" t="str">
        <f t="shared" si="325"/>
        <v>무장</v>
      </c>
      <c r="H1977" t="str">
        <f t="shared" si="321"/>
        <v>스토리위즈</v>
      </c>
      <c r="I1977" t="str">
        <f t="shared" si="326"/>
        <v>갓 오브 블랙필드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200</v>
      </c>
      <c r="AH1977">
        <v>2</v>
      </c>
      <c r="AI1977">
        <v>0</v>
      </c>
      <c r="AJ1977">
        <v>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/>
      <c r="AQ1977">
        <v>0</v>
      </c>
      <c r="AR1977">
        <v>0</v>
      </c>
      <c r="AT1977">
        <v>0</v>
      </c>
      <c r="AU1977">
        <v>0</v>
      </c>
      <c r="AW1977">
        <v>0</v>
      </c>
      <c r="AX1977">
        <v>0</v>
      </c>
      <c r="AY1977">
        <v>140</v>
      </c>
      <c r="BC1977" t="str">
        <f t="shared" si="327"/>
        <v>9791137602113</v>
      </c>
      <c r="BE1977" t="str">
        <f t="shared" si="328"/>
        <v>판타지 웹소설 &gt; 현대 판타지</v>
      </c>
    </row>
    <row r="1978" spans="1:57" x14ac:dyDescent="0.3">
      <c r="A1978">
        <v>2313011955</v>
      </c>
      <c r="B1978">
        <v>2313012238</v>
      </c>
      <c r="C1978" t="str">
        <f>T("갓 오브 블랙필드 284화")</f>
        <v>갓 오브 블랙필드 284화</v>
      </c>
      <c r="D1978" t="str">
        <f>T("284")</f>
        <v>284</v>
      </c>
      <c r="E1978" t="str">
        <f t="shared" si="325"/>
        <v>무장</v>
      </c>
      <c r="H1978" t="str">
        <f t="shared" si="321"/>
        <v>스토리위즈</v>
      </c>
      <c r="I1978" t="str">
        <f t="shared" si="326"/>
        <v>갓 오브 블랙필드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/>
      <c r="AQ1978">
        <v>0</v>
      </c>
      <c r="AR1978">
        <v>0</v>
      </c>
      <c r="AT1978">
        <v>0</v>
      </c>
      <c r="AU1978">
        <v>0</v>
      </c>
      <c r="AW1978">
        <v>0</v>
      </c>
      <c r="AX1978">
        <v>0</v>
      </c>
      <c r="AY1978">
        <v>140</v>
      </c>
      <c r="BC1978" t="str">
        <f t="shared" si="327"/>
        <v>9791137602113</v>
      </c>
      <c r="BE1978" t="str">
        <f t="shared" si="328"/>
        <v>판타지 웹소설 &gt; 현대 판타지</v>
      </c>
    </row>
    <row r="1979" spans="1:57" x14ac:dyDescent="0.3">
      <c r="A1979">
        <v>2313011955</v>
      </c>
      <c r="B1979">
        <v>2313012239</v>
      </c>
      <c r="C1979" t="str">
        <f>T("갓 오브 블랙필드 285화")</f>
        <v>갓 오브 블랙필드 285화</v>
      </c>
      <c r="D1979" t="str">
        <f>T("285")</f>
        <v>285</v>
      </c>
      <c r="E1979" t="str">
        <f t="shared" si="325"/>
        <v>무장</v>
      </c>
      <c r="H1979" t="str">
        <f t="shared" si="321"/>
        <v>스토리위즈</v>
      </c>
      <c r="I1979" t="str">
        <f t="shared" si="326"/>
        <v>갓 오브 블랙필드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200</v>
      </c>
      <c r="AH1979">
        <v>2</v>
      </c>
      <c r="AI1979">
        <v>0</v>
      </c>
      <c r="AJ1979">
        <v>0</v>
      </c>
      <c r="AK1979">
        <v>200</v>
      </c>
      <c r="AL1979">
        <v>0</v>
      </c>
      <c r="AM1979">
        <v>0</v>
      </c>
      <c r="AN1979">
        <v>0</v>
      </c>
      <c r="AO1979">
        <v>0</v>
      </c>
      <c r="AP1979"/>
      <c r="AQ1979">
        <v>0</v>
      </c>
      <c r="AR1979">
        <v>0</v>
      </c>
      <c r="AT1979">
        <v>0</v>
      </c>
      <c r="AU1979">
        <v>0</v>
      </c>
      <c r="AW1979">
        <v>0</v>
      </c>
      <c r="AX1979">
        <v>0</v>
      </c>
      <c r="AY1979">
        <v>140</v>
      </c>
      <c r="BC1979" t="str">
        <f t="shared" si="327"/>
        <v>9791137602113</v>
      </c>
      <c r="BE1979" t="str">
        <f t="shared" si="328"/>
        <v>판타지 웹소설 &gt; 현대 판타지</v>
      </c>
    </row>
    <row r="1980" spans="1:57" x14ac:dyDescent="0.3">
      <c r="A1980">
        <v>2313011955</v>
      </c>
      <c r="B1980">
        <v>2313012240</v>
      </c>
      <c r="C1980" t="str">
        <f>T("갓 오브 블랙필드 286화")</f>
        <v>갓 오브 블랙필드 286화</v>
      </c>
      <c r="D1980" t="str">
        <f>T("286")</f>
        <v>286</v>
      </c>
      <c r="E1980" t="str">
        <f t="shared" si="325"/>
        <v>무장</v>
      </c>
      <c r="H1980" t="str">
        <f t="shared" ref="H1980:H2043" si="329">T("스토리위즈")</f>
        <v>스토리위즈</v>
      </c>
      <c r="I1980" t="str">
        <f t="shared" si="326"/>
        <v>갓 오브 블랙필드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200</v>
      </c>
      <c r="AH1980">
        <v>2</v>
      </c>
      <c r="AI1980">
        <v>0</v>
      </c>
      <c r="AJ1980">
        <v>0</v>
      </c>
      <c r="AK1980">
        <v>200</v>
      </c>
      <c r="AL1980">
        <v>0</v>
      </c>
      <c r="AM1980">
        <v>0</v>
      </c>
      <c r="AN1980">
        <v>0</v>
      </c>
      <c r="AO1980">
        <v>0</v>
      </c>
      <c r="AP1980"/>
      <c r="AQ1980">
        <v>0</v>
      </c>
      <c r="AR1980">
        <v>0</v>
      </c>
      <c r="AT1980">
        <v>0</v>
      </c>
      <c r="AU1980">
        <v>0</v>
      </c>
      <c r="AW1980">
        <v>0</v>
      </c>
      <c r="AX1980">
        <v>0</v>
      </c>
      <c r="AY1980">
        <v>140</v>
      </c>
      <c r="BC1980" t="str">
        <f t="shared" si="327"/>
        <v>9791137602113</v>
      </c>
      <c r="BE1980" t="str">
        <f t="shared" si="328"/>
        <v>판타지 웹소설 &gt; 현대 판타지</v>
      </c>
    </row>
    <row r="1981" spans="1:57" x14ac:dyDescent="0.3">
      <c r="A1981">
        <v>2313011955</v>
      </c>
      <c r="B1981">
        <v>2313012241</v>
      </c>
      <c r="C1981" t="str">
        <f>T("갓 오브 블랙필드 287화")</f>
        <v>갓 오브 블랙필드 287화</v>
      </c>
      <c r="D1981" t="str">
        <f>T("287")</f>
        <v>287</v>
      </c>
      <c r="E1981" t="str">
        <f t="shared" si="325"/>
        <v>무장</v>
      </c>
      <c r="H1981" t="str">
        <f t="shared" si="329"/>
        <v>스토리위즈</v>
      </c>
      <c r="I1981" t="str">
        <f t="shared" si="326"/>
        <v>갓 오브 블랙필드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200</v>
      </c>
      <c r="AH1981">
        <v>2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0</v>
      </c>
      <c r="AP1981"/>
      <c r="AQ1981">
        <v>0</v>
      </c>
      <c r="AR1981">
        <v>0</v>
      </c>
      <c r="AT1981">
        <v>0</v>
      </c>
      <c r="AU1981">
        <v>0</v>
      </c>
      <c r="AW1981">
        <v>0</v>
      </c>
      <c r="AX1981">
        <v>0</v>
      </c>
      <c r="AY1981">
        <v>140</v>
      </c>
      <c r="BC1981" t="str">
        <f t="shared" si="327"/>
        <v>9791137602113</v>
      </c>
      <c r="BE1981" t="str">
        <f t="shared" si="328"/>
        <v>판타지 웹소설 &gt; 현대 판타지</v>
      </c>
    </row>
    <row r="1982" spans="1:57" x14ac:dyDescent="0.3">
      <c r="A1982">
        <v>2313011955</v>
      </c>
      <c r="B1982">
        <v>2313012242</v>
      </c>
      <c r="C1982" t="str">
        <f>T("갓 오브 블랙필드 288화")</f>
        <v>갓 오브 블랙필드 288화</v>
      </c>
      <c r="D1982" t="str">
        <f>T("288")</f>
        <v>288</v>
      </c>
      <c r="E1982" t="str">
        <f t="shared" si="325"/>
        <v>무장</v>
      </c>
      <c r="H1982" t="str">
        <f t="shared" si="329"/>
        <v>스토리위즈</v>
      </c>
      <c r="I1982" t="str">
        <f t="shared" si="326"/>
        <v>갓 오브 블랙필드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200</v>
      </c>
      <c r="AH1982">
        <v>2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0</v>
      </c>
      <c r="AP1982"/>
      <c r="AQ1982">
        <v>0</v>
      </c>
      <c r="AR1982">
        <v>0</v>
      </c>
      <c r="AT1982">
        <v>0</v>
      </c>
      <c r="AU1982">
        <v>0</v>
      </c>
      <c r="AW1982">
        <v>0</v>
      </c>
      <c r="AX1982">
        <v>0</v>
      </c>
      <c r="AY1982">
        <v>140</v>
      </c>
      <c r="BC1982" t="str">
        <f t="shared" si="327"/>
        <v>9791137602113</v>
      </c>
      <c r="BE1982" t="str">
        <f t="shared" si="328"/>
        <v>판타지 웹소설 &gt; 현대 판타지</v>
      </c>
    </row>
    <row r="1983" spans="1:57" x14ac:dyDescent="0.3">
      <c r="A1983">
        <v>2313011955</v>
      </c>
      <c r="B1983">
        <v>2313012243</v>
      </c>
      <c r="C1983" t="str">
        <f>T("갓 오브 블랙필드 289화")</f>
        <v>갓 오브 블랙필드 289화</v>
      </c>
      <c r="D1983" t="str">
        <f>T("289")</f>
        <v>289</v>
      </c>
      <c r="E1983" t="str">
        <f t="shared" si="325"/>
        <v>무장</v>
      </c>
      <c r="H1983" t="str">
        <f t="shared" si="329"/>
        <v>스토리위즈</v>
      </c>
      <c r="I1983" t="str">
        <f t="shared" si="326"/>
        <v>갓 오브 블랙필드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</v>
      </c>
      <c r="AH1983">
        <v>2</v>
      </c>
      <c r="AI1983">
        <v>0</v>
      </c>
      <c r="AJ1983">
        <v>0</v>
      </c>
      <c r="AK1983">
        <v>200</v>
      </c>
      <c r="AL1983">
        <v>0</v>
      </c>
      <c r="AM1983">
        <v>0</v>
      </c>
      <c r="AN1983">
        <v>0</v>
      </c>
      <c r="AO1983">
        <v>0</v>
      </c>
      <c r="AP1983"/>
      <c r="AQ1983">
        <v>0</v>
      </c>
      <c r="AR1983">
        <v>0</v>
      </c>
      <c r="AT1983">
        <v>0</v>
      </c>
      <c r="AU1983">
        <v>0</v>
      </c>
      <c r="AW1983">
        <v>0</v>
      </c>
      <c r="AX1983">
        <v>0</v>
      </c>
      <c r="AY1983">
        <v>140</v>
      </c>
      <c r="BC1983" t="str">
        <f t="shared" si="327"/>
        <v>9791137602113</v>
      </c>
      <c r="BE1983" t="str">
        <f t="shared" si="328"/>
        <v>판타지 웹소설 &gt; 현대 판타지</v>
      </c>
    </row>
    <row r="1984" spans="1:57" x14ac:dyDescent="0.3">
      <c r="A1984">
        <v>2313011955</v>
      </c>
      <c r="B1984">
        <v>2313012244</v>
      </c>
      <c r="C1984" t="str">
        <f>T("갓 오브 블랙필드 290화")</f>
        <v>갓 오브 블랙필드 290화</v>
      </c>
      <c r="D1984" t="str">
        <f>T("290")</f>
        <v>290</v>
      </c>
      <c r="E1984" t="str">
        <f t="shared" si="325"/>
        <v>무장</v>
      </c>
      <c r="H1984" t="str">
        <f t="shared" si="329"/>
        <v>스토리위즈</v>
      </c>
      <c r="I1984" t="str">
        <f t="shared" si="326"/>
        <v>갓 오브 블랙필드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200</v>
      </c>
      <c r="AH1984">
        <v>2</v>
      </c>
      <c r="AI1984">
        <v>0</v>
      </c>
      <c r="AJ1984">
        <v>0</v>
      </c>
      <c r="AK1984">
        <v>200</v>
      </c>
      <c r="AL1984">
        <v>0</v>
      </c>
      <c r="AM1984">
        <v>0</v>
      </c>
      <c r="AN1984">
        <v>0</v>
      </c>
      <c r="AO1984">
        <v>0</v>
      </c>
      <c r="AP1984"/>
      <c r="AQ1984">
        <v>0</v>
      </c>
      <c r="AR1984">
        <v>0</v>
      </c>
      <c r="AT1984">
        <v>0</v>
      </c>
      <c r="AU1984">
        <v>0</v>
      </c>
      <c r="AW1984">
        <v>0</v>
      </c>
      <c r="AX1984">
        <v>0</v>
      </c>
      <c r="AY1984">
        <v>140</v>
      </c>
      <c r="BC1984" t="str">
        <f t="shared" si="327"/>
        <v>9791137602113</v>
      </c>
      <c r="BE1984" t="str">
        <f t="shared" si="328"/>
        <v>판타지 웹소설 &gt; 현대 판타지</v>
      </c>
    </row>
    <row r="1985" spans="1:57" x14ac:dyDescent="0.3">
      <c r="A1985">
        <v>2313011955</v>
      </c>
      <c r="B1985">
        <v>2313012245</v>
      </c>
      <c r="C1985" t="str">
        <f>T("갓 오브 블랙필드 291화")</f>
        <v>갓 오브 블랙필드 291화</v>
      </c>
      <c r="D1985" t="str">
        <f>T("291")</f>
        <v>291</v>
      </c>
      <c r="E1985" t="str">
        <f t="shared" si="325"/>
        <v>무장</v>
      </c>
      <c r="H1985" t="str">
        <f t="shared" si="329"/>
        <v>스토리위즈</v>
      </c>
      <c r="I1985" t="str">
        <f t="shared" si="326"/>
        <v>갓 오브 블랙필드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200</v>
      </c>
      <c r="AH1985">
        <v>2</v>
      </c>
      <c r="AI1985">
        <v>0</v>
      </c>
      <c r="AJ1985">
        <v>0</v>
      </c>
      <c r="AK1985">
        <v>200</v>
      </c>
      <c r="AL1985">
        <v>0</v>
      </c>
      <c r="AM1985">
        <v>0</v>
      </c>
      <c r="AN1985">
        <v>0</v>
      </c>
      <c r="AO1985">
        <v>0</v>
      </c>
      <c r="AP1985"/>
      <c r="AQ1985">
        <v>0</v>
      </c>
      <c r="AR1985">
        <v>0</v>
      </c>
      <c r="AT1985">
        <v>0</v>
      </c>
      <c r="AU1985">
        <v>0</v>
      </c>
      <c r="AW1985">
        <v>0</v>
      </c>
      <c r="AX1985">
        <v>0</v>
      </c>
      <c r="AY1985">
        <v>140</v>
      </c>
      <c r="BC1985" t="str">
        <f t="shared" si="327"/>
        <v>9791137602113</v>
      </c>
      <c r="BE1985" t="str">
        <f t="shared" si="328"/>
        <v>판타지 웹소설 &gt; 현대 판타지</v>
      </c>
    </row>
    <row r="1986" spans="1:57" x14ac:dyDescent="0.3">
      <c r="A1986">
        <v>2313011955</v>
      </c>
      <c r="B1986">
        <v>2313012246</v>
      </c>
      <c r="C1986" t="str">
        <f>T("갓 오브 블랙필드 292화")</f>
        <v>갓 오브 블랙필드 292화</v>
      </c>
      <c r="D1986" t="str">
        <f>T("292")</f>
        <v>292</v>
      </c>
      <c r="E1986" t="str">
        <f t="shared" ref="E1986:E2049" si="330">T("무장")</f>
        <v>무장</v>
      </c>
      <c r="H1986" t="str">
        <f t="shared" si="329"/>
        <v>스토리위즈</v>
      </c>
      <c r="I1986" t="str">
        <f t="shared" ref="I1986:I2049" si="331">T("갓 오브 블랙필드")</f>
        <v>갓 오브 블랙필드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200</v>
      </c>
      <c r="AH1986">
        <v>2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0</v>
      </c>
      <c r="AP1986"/>
      <c r="AQ1986">
        <v>0</v>
      </c>
      <c r="AR1986">
        <v>0</v>
      </c>
      <c r="AT1986">
        <v>0</v>
      </c>
      <c r="AU1986">
        <v>0</v>
      </c>
      <c r="AW1986">
        <v>0</v>
      </c>
      <c r="AX1986">
        <v>0</v>
      </c>
      <c r="AY1986">
        <v>140</v>
      </c>
      <c r="BC1986" t="str">
        <f t="shared" ref="BC1986:BC2049" si="332">T("9791137602113")</f>
        <v>9791137602113</v>
      </c>
      <c r="BE1986" t="str">
        <f t="shared" ref="BE1986:BE2049" si="333">T("판타지 웹소설 &gt; 현대 판타지")</f>
        <v>판타지 웹소설 &gt; 현대 판타지</v>
      </c>
    </row>
    <row r="1987" spans="1:57" x14ac:dyDescent="0.3">
      <c r="A1987">
        <v>2313011955</v>
      </c>
      <c r="B1987">
        <v>2313012247</v>
      </c>
      <c r="C1987" t="str">
        <f>T("갓 오브 블랙필드 293화")</f>
        <v>갓 오브 블랙필드 293화</v>
      </c>
      <c r="D1987" t="str">
        <f>T("293")</f>
        <v>293</v>
      </c>
      <c r="E1987" t="str">
        <f t="shared" si="330"/>
        <v>무장</v>
      </c>
      <c r="H1987" t="str">
        <f t="shared" si="329"/>
        <v>스토리위즈</v>
      </c>
      <c r="I1987" t="str">
        <f t="shared" si="331"/>
        <v>갓 오브 블랙필드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/>
      <c r="AQ1987">
        <v>0</v>
      </c>
      <c r="AR1987">
        <v>0</v>
      </c>
      <c r="AT1987">
        <v>0</v>
      </c>
      <c r="AU1987">
        <v>0</v>
      </c>
      <c r="AW1987">
        <v>0</v>
      </c>
      <c r="AX1987">
        <v>0</v>
      </c>
      <c r="AY1987">
        <v>140</v>
      </c>
      <c r="BC1987" t="str">
        <f t="shared" si="332"/>
        <v>9791137602113</v>
      </c>
      <c r="BE1987" t="str">
        <f t="shared" si="333"/>
        <v>판타지 웹소설 &gt; 현대 판타지</v>
      </c>
    </row>
    <row r="1988" spans="1:57" x14ac:dyDescent="0.3">
      <c r="A1988">
        <v>2313011955</v>
      </c>
      <c r="B1988">
        <v>2313012248</v>
      </c>
      <c r="C1988" t="str">
        <f>T("갓 오브 블랙필드 294화")</f>
        <v>갓 오브 블랙필드 294화</v>
      </c>
      <c r="D1988" t="str">
        <f>T("294")</f>
        <v>294</v>
      </c>
      <c r="E1988" t="str">
        <f t="shared" si="330"/>
        <v>무장</v>
      </c>
      <c r="H1988" t="str">
        <f t="shared" si="329"/>
        <v>스토리위즈</v>
      </c>
      <c r="I1988" t="str">
        <f t="shared" si="331"/>
        <v>갓 오브 블랙필드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200</v>
      </c>
      <c r="AH1988">
        <v>2</v>
      </c>
      <c r="AI1988">
        <v>0</v>
      </c>
      <c r="AJ1988">
        <v>0</v>
      </c>
      <c r="AK1988">
        <v>200</v>
      </c>
      <c r="AL1988">
        <v>0</v>
      </c>
      <c r="AM1988">
        <v>0</v>
      </c>
      <c r="AN1988">
        <v>0</v>
      </c>
      <c r="AO1988">
        <v>0</v>
      </c>
      <c r="AP1988"/>
      <c r="AQ1988">
        <v>0</v>
      </c>
      <c r="AR1988">
        <v>0</v>
      </c>
      <c r="AT1988">
        <v>0</v>
      </c>
      <c r="AU1988">
        <v>0</v>
      </c>
      <c r="AW1988">
        <v>0</v>
      </c>
      <c r="AX1988">
        <v>0</v>
      </c>
      <c r="AY1988">
        <v>140</v>
      </c>
      <c r="BC1988" t="str">
        <f t="shared" si="332"/>
        <v>9791137602113</v>
      </c>
      <c r="BE1988" t="str">
        <f t="shared" si="333"/>
        <v>판타지 웹소설 &gt; 현대 판타지</v>
      </c>
    </row>
    <row r="1989" spans="1:57" x14ac:dyDescent="0.3">
      <c r="A1989">
        <v>2313011955</v>
      </c>
      <c r="B1989">
        <v>2313012249</v>
      </c>
      <c r="C1989" t="str">
        <f>T("갓 오브 블랙필드 295화")</f>
        <v>갓 오브 블랙필드 295화</v>
      </c>
      <c r="D1989" t="str">
        <f>T("295")</f>
        <v>295</v>
      </c>
      <c r="E1989" t="str">
        <f t="shared" si="330"/>
        <v>무장</v>
      </c>
      <c r="H1989" t="str">
        <f t="shared" si="329"/>
        <v>스토리위즈</v>
      </c>
      <c r="I1989" t="str">
        <f t="shared" si="331"/>
        <v>갓 오브 블랙필드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200</v>
      </c>
      <c r="AH1989">
        <v>2</v>
      </c>
      <c r="AI1989">
        <v>0</v>
      </c>
      <c r="AJ1989">
        <v>0</v>
      </c>
      <c r="AK1989">
        <v>200</v>
      </c>
      <c r="AL1989">
        <v>0</v>
      </c>
      <c r="AM1989">
        <v>0</v>
      </c>
      <c r="AN1989">
        <v>0</v>
      </c>
      <c r="AO1989">
        <v>0</v>
      </c>
      <c r="AP1989"/>
      <c r="AQ1989">
        <v>0</v>
      </c>
      <c r="AR1989">
        <v>0</v>
      </c>
      <c r="AT1989">
        <v>0</v>
      </c>
      <c r="AU1989">
        <v>0</v>
      </c>
      <c r="AW1989">
        <v>0</v>
      </c>
      <c r="AX1989">
        <v>0</v>
      </c>
      <c r="AY1989">
        <v>140</v>
      </c>
      <c r="BC1989" t="str">
        <f t="shared" si="332"/>
        <v>9791137602113</v>
      </c>
      <c r="BE1989" t="str">
        <f t="shared" si="333"/>
        <v>판타지 웹소설 &gt; 현대 판타지</v>
      </c>
    </row>
    <row r="1990" spans="1:57" x14ac:dyDescent="0.3">
      <c r="A1990">
        <v>2313011955</v>
      </c>
      <c r="B1990">
        <v>2313012250</v>
      </c>
      <c r="C1990" t="str">
        <f>T("갓 오브 블랙필드 296화")</f>
        <v>갓 오브 블랙필드 296화</v>
      </c>
      <c r="D1990" t="str">
        <f>T("296")</f>
        <v>296</v>
      </c>
      <c r="E1990" t="str">
        <f t="shared" si="330"/>
        <v>무장</v>
      </c>
      <c r="H1990" t="str">
        <f t="shared" si="329"/>
        <v>스토리위즈</v>
      </c>
      <c r="I1990" t="str">
        <f t="shared" si="331"/>
        <v>갓 오브 블랙필드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200</v>
      </c>
      <c r="AH1990">
        <v>2</v>
      </c>
      <c r="AI1990">
        <v>0</v>
      </c>
      <c r="AJ1990">
        <v>0</v>
      </c>
      <c r="AK1990">
        <v>200</v>
      </c>
      <c r="AL1990">
        <v>0</v>
      </c>
      <c r="AM1990">
        <v>0</v>
      </c>
      <c r="AN1990">
        <v>0</v>
      </c>
      <c r="AO1990">
        <v>0</v>
      </c>
      <c r="AP1990"/>
      <c r="AQ1990">
        <v>0</v>
      </c>
      <c r="AR1990">
        <v>0</v>
      </c>
      <c r="AT1990">
        <v>0</v>
      </c>
      <c r="AU1990">
        <v>0</v>
      </c>
      <c r="AW1990">
        <v>0</v>
      </c>
      <c r="AX1990">
        <v>0</v>
      </c>
      <c r="AY1990">
        <v>140</v>
      </c>
      <c r="BC1990" t="str">
        <f t="shared" si="332"/>
        <v>9791137602113</v>
      </c>
      <c r="BE1990" t="str">
        <f t="shared" si="333"/>
        <v>판타지 웹소설 &gt; 현대 판타지</v>
      </c>
    </row>
    <row r="1991" spans="1:57" x14ac:dyDescent="0.3">
      <c r="A1991">
        <v>2313011955</v>
      </c>
      <c r="B1991">
        <v>2313012251</v>
      </c>
      <c r="C1991" t="str">
        <f>T("갓 오브 블랙필드 297화")</f>
        <v>갓 오브 블랙필드 297화</v>
      </c>
      <c r="D1991" t="str">
        <f>T("297")</f>
        <v>297</v>
      </c>
      <c r="E1991" t="str">
        <f t="shared" si="330"/>
        <v>무장</v>
      </c>
      <c r="H1991" t="str">
        <f t="shared" si="329"/>
        <v>스토리위즈</v>
      </c>
      <c r="I1991" t="str">
        <f t="shared" si="331"/>
        <v>갓 오브 블랙필드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200</v>
      </c>
      <c r="AH1991">
        <v>2</v>
      </c>
      <c r="AI1991">
        <v>0</v>
      </c>
      <c r="AJ1991">
        <v>0</v>
      </c>
      <c r="AK1991">
        <v>200</v>
      </c>
      <c r="AL1991">
        <v>0</v>
      </c>
      <c r="AM1991">
        <v>0</v>
      </c>
      <c r="AN1991">
        <v>0</v>
      </c>
      <c r="AO1991">
        <v>0</v>
      </c>
      <c r="AP1991"/>
      <c r="AQ1991">
        <v>0</v>
      </c>
      <c r="AR1991">
        <v>0</v>
      </c>
      <c r="AT1991">
        <v>0</v>
      </c>
      <c r="AU1991">
        <v>0</v>
      </c>
      <c r="AW1991">
        <v>0</v>
      </c>
      <c r="AX1991">
        <v>0</v>
      </c>
      <c r="AY1991">
        <v>140</v>
      </c>
      <c r="BC1991" t="str">
        <f t="shared" si="332"/>
        <v>9791137602113</v>
      </c>
      <c r="BE1991" t="str">
        <f t="shared" si="333"/>
        <v>판타지 웹소설 &gt; 현대 판타지</v>
      </c>
    </row>
    <row r="1992" spans="1:57" x14ac:dyDescent="0.3">
      <c r="A1992">
        <v>2313011955</v>
      </c>
      <c r="B1992">
        <v>2313012252</v>
      </c>
      <c r="C1992" t="str">
        <f>T("갓 오브 블랙필드 298화")</f>
        <v>갓 오브 블랙필드 298화</v>
      </c>
      <c r="D1992" t="str">
        <f>T("298")</f>
        <v>298</v>
      </c>
      <c r="E1992" t="str">
        <f t="shared" si="330"/>
        <v>무장</v>
      </c>
      <c r="H1992" t="str">
        <f t="shared" si="329"/>
        <v>스토리위즈</v>
      </c>
      <c r="I1992" t="str">
        <f t="shared" si="331"/>
        <v>갓 오브 블랙필드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200</v>
      </c>
      <c r="AH1992">
        <v>2</v>
      </c>
      <c r="AI1992">
        <v>0</v>
      </c>
      <c r="AJ1992">
        <v>0</v>
      </c>
      <c r="AK1992">
        <v>200</v>
      </c>
      <c r="AL1992">
        <v>0</v>
      </c>
      <c r="AM1992">
        <v>0</v>
      </c>
      <c r="AN1992">
        <v>0</v>
      </c>
      <c r="AO1992">
        <v>0</v>
      </c>
      <c r="AP1992"/>
      <c r="AQ1992">
        <v>0</v>
      </c>
      <c r="AR1992">
        <v>0</v>
      </c>
      <c r="AT1992">
        <v>0</v>
      </c>
      <c r="AU1992">
        <v>0</v>
      </c>
      <c r="AW1992">
        <v>0</v>
      </c>
      <c r="AX1992">
        <v>0</v>
      </c>
      <c r="AY1992">
        <v>140</v>
      </c>
      <c r="BC1992" t="str">
        <f t="shared" si="332"/>
        <v>9791137602113</v>
      </c>
      <c r="BE1992" t="str">
        <f t="shared" si="333"/>
        <v>판타지 웹소설 &gt; 현대 판타지</v>
      </c>
    </row>
    <row r="1993" spans="1:57" x14ac:dyDescent="0.3">
      <c r="A1993">
        <v>2313011955</v>
      </c>
      <c r="B1993">
        <v>2313012253</v>
      </c>
      <c r="C1993" t="str">
        <f>T("갓 오브 블랙필드 299화")</f>
        <v>갓 오브 블랙필드 299화</v>
      </c>
      <c r="D1993" t="str">
        <f>T("299")</f>
        <v>299</v>
      </c>
      <c r="E1993" t="str">
        <f t="shared" si="330"/>
        <v>무장</v>
      </c>
      <c r="H1993" t="str">
        <f t="shared" si="329"/>
        <v>스토리위즈</v>
      </c>
      <c r="I1993" t="str">
        <f t="shared" si="331"/>
        <v>갓 오브 블랙필드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200</v>
      </c>
      <c r="AH1993">
        <v>2</v>
      </c>
      <c r="AI1993">
        <v>0</v>
      </c>
      <c r="AJ1993">
        <v>0</v>
      </c>
      <c r="AK1993">
        <v>200</v>
      </c>
      <c r="AL1993">
        <v>0</v>
      </c>
      <c r="AM1993">
        <v>0</v>
      </c>
      <c r="AN1993">
        <v>0</v>
      </c>
      <c r="AO1993">
        <v>0</v>
      </c>
      <c r="AP1993"/>
      <c r="AQ1993">
        <v>0</v>
      </c>
      <c r="AR1993">
        <v>0</v>
      </c>
      <c r="AT1993">
        <v>0</v>
      </c>
      <c r="AU1993">
        <v>0</v>
      </c>
      <c r="AW1993">
        <v>0</v>
      </c>
      <c r="AX1993">
        <v>0</v>
      </c>
      <c r="AY1993">
        <v>140</v>
      </c>
      <c r="BC1993" t="str">
        <f t="shared" si="332"/>
        <v>9791137602113</v>
      </c>
      <c r="BE1993" t="str">
        <f t="shared" si="333"/>
        <v>판타지 웹소설 &gt; 현대 판타지</v>
      </c>
    </row>
    <row r="1994" spans="1:57" x14ac:dyDescent="0.3">
      <c r="A1994">
        <v>2313011955</v>
      </c>
      <c r="B1994">
        <v>2313012254</v>
      </c>
      <c r="C1994" t="str">
        <f>T("갓 오브 블랙필드 300화")</f>
        <v>갓 오브 블랙필드 300화</v>
      </c>
      <c r="D1994" t="str">
        <f>T("300")</f>
        <v>300</v>
      </c>
      <c r="E1994" t="str">
        <f t="shared" si="330"/>
        <v>무장</v>
      </c>
      <c r="H1994" t="str">
        <f t="shared" si="329"/>
        <v>스토리위즈</v>
      </c>
      <c r="I1994" t="str">
        <f t="shared" si="331"/>
        <v>갓 오브 블랙필드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200</v>
      </c>
      <c r="AH1994">
        <v>2</v>
      </c>
      <c r="AI1994">
        <v>0</v>
      </c>
      <c r="AJ1994">
        <v>0</v>
      </c>
      <c r="AK1994">
        <v>200</v>
      </c>
      <c r="AL1994">
        <v>0</v>
      </c>
      <c r="AM1994">
        <v>0</v>
      </c>
      <c r="AN1994">
        <v>0</v>
      </c>
      <c r="AO1994">
        <v>0</v>
      </c>
      <c r="AP1994"/>
      <c r="AQ1994">
        <v>0</v>
      </c>
      <c r="AR1994">
        <v>0</v>
      </c>
      <c r="AT1994">
        <v>0</v>
      </c>
      <c r="AU1994">
        <v>0</v>
      </c>
      <c r="AW1994">
        <v>0</v>
      </c>
      <c r="AX1994">
        <v>0</v>
      </c>
      <c r="AY1994">
        <v>140</v>
      </c>
      <c r="BC1994" t="str">
        <f t="shared" si="332"/>
        <v>9791137602113</v>
      </c>
      <c r="BE1994" t="str">
        <f t="shared" si="333"/>
        <v>판타지 웹소설 &gt; 현대 판타지</v>
      </c>
    </row>
    <row r="1995" spans="1:57" x14ac:dyDescent="0.3">
      <c r="A1995">
        <v>2313011955</v>
      </c>
      <c r="B1995">
        <v>2313012255</v>
      </c>
      <c r="C1995" t="str">
        <f>T("갓 오브 블랙필드 301화")</f>
        <v>갓 오브 블랙필드 301화</v>
      </c>
      <c r="D1995" t="str">
        <f>T("301")</f>
        <v>301</v>
      </c>
      <c r="E1995" t="str">
        <f t="shared" si="330"/>
        <v>무장</v>
      </c>
      <c r="H1995" t="str">
        <f t="shared" si="329"/>
        <v>스토리위즈</v>
      </c>
      <c r="I1995" t="str">
        <f t="shared" si="331"/>
        <v>갓 오브 블랙필드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200</v>
      </c>
      <c r="AH1995">
        <v>2</v>
      </c>
      <c r="AI1995">
        <v>0</v>
      </c>
      <c r="AJ1995">
        <v>0</v>
      </c>
      <c r="AK1995">
        <v>200</v>
      </c>
      <c r="AL1995">
        <v>0</v>
      </c>
      <c r="AM1995">
        <v>0</v>
      </c>
      <c r="AN1995">
        <v>0</v>
      </c>
      <c r="AO1995">
        <v>0</v>
      </c>
      <c r="AP1995"/>
      <c r="AQ1995">
        <v>0</v>
      </c>
      <c r="AR1995">
        <v>0</v>
      </c>
      <c r="AT1995">
        <v>0</v>
      </c>
      <c r="AU1995">
        <v>0</v>
      </c>
      <c r="AW1995">
        <v>0</v>
      </c>
      <c r="AX1995">
        <v>0</v>
      </c>
      <c r="AY1995">
        <v>140</v>
      </c>
      <c r="BC1995" t="str">
        <f t="shared" si="332"/>
        <v>9791137602113</v>
      </c>
      <c r="BE1995" t="str">
        <f t="shared" si="333"/>
        <v>판타지 웹소설 &gt; 현대 판타지</v>
      </c>
    </row>
    <row r="1996" spans="1:57" x14ac:dyDescent="0.3">
      <c r="A1996">
        <v>2313011955</v>
      </c>
      <c r="B1996">
        <v>2313012256</v>
      </c>
      <c r="C1996" t="str">
        <f>T("갓 오브 블랙필드 302화")</f>
        <v>갓 오브 블랙필드 302화</v>
      </c>
      <c r="D1996" t="str">
        <f>T("302")</f>
        <v>302</v>
      </c>
      <c r="E1996" t="str">
        <f t="shared" si="330"/>
        <v>무장</v>
      </c>
      <c r="H1996" t="str">
        <f t="shared" si="329"/>
        <v>스토리위즈</v>
      </c>
      <c r="I1996" t="str">
        <f t="shared" si="331"/>
        <v>갓 오브 블랙필드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200</v>
      </c>
      <c r="AH1996">
        <v>2</v>
      </c>
      <c r="AI1996">
        <v>0</v>
      </c>
      <c r="AJ1996">
        <v>0</v>
      </c>
      <c r="AK1996">
        <v>200</v>
      </c>
      <c r="AL1996">
        <v>0</v>
      </c>
      <c r="AM1996">
        <v>0</v>
      </c>
      <c r="AN1996">
        <v>0</v>
      </c>
      <c r="AO1996">
        <v>0</v>
      </c>
      <c r="AP1996"/>
      <c r="AQ1996">
        <v>0</v>
      </c>
      <c r="AR1996">
        <v>0</v>
      </c>
      <c r="AT1996">
        <v>0</v>
      </c>
      <c r="AU1996">
        <v>0</v>
      </c>
      <c r="AW1996">
        <v>0</v>
      </c>
      <c r="AX1996">
        <v>0</v>
      </c>
      <c r="AY1996">
        <v>140</v>
      </c>
      <c r="BC1996" t="str">
        <f t="shared" si="332"/>
        <v>9791137602113</v>
      </c>
      <c r="BE1996" t="str">
        <f t="shared" si="333"/>
        <v>판타지 웹소설 &gt; 현대 판타지</v>
      </c>
    </row>
    <row r="1997" spans="1:57" x14ac:dyDescent="0.3">
      <c r="A1997">
        <v>2313011955</v>
      </c>
      <c r="B1997">
        <v>2313012257</v>
      </c>
      <c r="C1997" t="str">
        <f>T("갓 오브 블랙필드 303화")</f>
        <v>갓 오브 블랙필드 303화</v>
      </c>
      <c r="D1997" t="str">
        <f>T("303")</f>
        <v>303</v>
      </c>
      <c r="E1997" t="str">
        <f t="shared" si="330"/>
        <v>무장</v>
      </c>
      <c r="H1997" t="str">
        <f t="shared" si="329"/>
        <v>스토리위즈</v>
      </c>
      <c r="I1997" t="str">
        <f t="shared" si="331"/>
        <v>갓 오브 블랙필드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200</v>
      </c>
      <c r="AH1997">
        <v>2</v>
      </c>
      <c r="AI1997">
        <v>0</v>
      </c>
      <c r="AJ1997">
        <v>0</v>
      </c>
      <c r="AK1997">
        <v>200</v>
      </c>
      <c r="AL1997">
        <v>0</v>
      </c>
      <c r="AM1997">
        <v>0</v>
      </c>
      <c r="AN1997">
        <v>0</v>
      </c>
      <c r="AO1997">
        <v>0</v>
      </c>
      <c r="AP1997"/>
      <c r="AQ1997">
        <v>0</v>
      </c>
      <c r="AR1997">
        <v>0</v>
      </c>
      <c r="AT1997">
        <v>0</v>
      </c>
      <c r="AU1997">
        <v>0</v>
      </c>
      <c r="AW1997">
        <v>0</v>
      </c>
      <c r="AX1997">
        <v>0</v>
      </c>
      <c r="AY1997">
        <v>140</v>
      </c>
      <c r="BC1997" t="str">
        <f t="shared" si="332"/>
        <v>9791137602113</v>
      </c>
      <c r="BE1997" t="str">
        <f t="shared" si="333"/>
        <v>판타지 웹소설 &gt; 현대 판타지</v>
      </c>
    </row>
    <row r="1998" spans="1:57" x14ac:dyDescent="0.3">
      <c r="A1998">
        <v>2313011955</v>
      </c>
      <c r="B1998">
        <v>2313012258</v>
      </c>
      <c r="C1998" t="str">
        <f>T("갓 오브 블랙필드 304화")</f>
        <v>갓 오브 블랙필드 304화</v>
      </c>
      <c r="D1998" t="str">
        <f>T("304")</f>
        <v>304</v>
      </c>
      <c r="E1998" t="str">
        <f t="shared" si="330"/>
        <v>무장</v>
      </c>
      <c r="H1998" t="str">
        <f t="shared" si="329"/>
        <v>스토리위즈</v>
      </c>
      <c r="I1998" t="str">
        <f t="shared" si="331"/>
        <v>갓 오브 블랙필드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200</v>
      </c>
      <c r="AH1998">
        <v>2</v>
      </c>
      <c r="AI1998">
        <v>0</v>
      </c>
      <c r="AJ1998">
        <v>0</v>
      </c>
      <c r="AK1998">
        <v>200</v>
      </c>
      <c r="AL1998">
        <v>0</v>
      </c>
      <c r="AM1998">
        <v>0</v>
      </c>
      <c r="AN1998">
        <v>0</v>
      </c>
      <c r="AO1998">
        <v>0</v>
      </c>
      <c r="AP1998"/>
      <c r="AQ1998">
        <v>0</v>
      </c>
      <c r="AR1998">
        <v>0</v>
      </c>
      <c r="AT1998">
        <v>0</v>
      </c>
      <c r="AU1998">
        <v>0</v>
      </c>
      <c r="AW1998">
        <v>0</v>
      </c>
      <c r="AX1998">
        <v>0</v>
      </c>
      <c r="AY1998">
        <v>140</v>
      </c>
      <c r="BC1998" t="str">
        <f t="shared" si="332"/>
        <v>9791137602113</v>
      </c>
      <c r="BE1998" t="str">
        <f t="shared" si="333"/>
        <v>판타지 웹소설 &gt; 현대 판타지</v>
      </c>
    </row>
    <row r="1999" spans="1:57" x14ac:dyDescent="0.3">
      <c r="A1999">
        <v>2313011955</v>
      </c>
      <c r="B1999">
        <v>2313012259</v>
      </c>
      <c r="C1999" t="str">
        <f>T("갓 오브 블랙필드 305화")</f>
        <v>갓 오브 블랙필드 305화</v>
      </c>
      <c r="D1999" t="str">
        <f>T("305")</f>
        <v>305</v>
      </c>
      <c r="E1999" t="str">
        <f t="shared" si="330"/>
        <v>무장</v>
      </c>
      <c r="H1999" t="str">
        <f t="shared" si="329"/>
        <v>스토리위즈</v>
      </c>
      <c r="I1999" t="str">
        <f t="shared" si="331"/>
        <v>갓 오브 블랙필드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200</v>
      </c>
      <c r="AH1999">
        <v>2</v>
      </c>
      <c r="AI1999">
        <v>0</v>
      </c>
      <c r="AJ1999">
        <v>0</v>
      </c>
      <c r="AK1999">
        <v>200</v>
      </c>
      <c r="AL1999">
        <v>0</v>
      </c>
      <c r="AM1999">
        <v>0</v>
      </c>
      <c r="AN1999">
        <v>0</v>
      </c>
      <c r="AO1999">
        <v>0</v>
      </c>
      <c r="AP1999"/>
      <c r="AQ1999">
        <v>0</v>
      </c>
      <c r="AR1999">
        <v>0</v>
      </c>
      <c r="AT1999">
        <v>0</v>
      </c>
      <c r="AU1999">
        <v>0</v>
      </c>
      <c r="AW1999">
        <v>0</v>
      </c>
      <c r="AX1999">
        <v>0</v>
      </c>
      <c r="AY1999">
        <v>140</v>
      </c>
      <c r="BC1999" t="str">
        <f t="shared" si="332"/>
        <v>9791137602113</v>
      </c>
      <c r="BE1999" t="str">
        <f t="shared" si="333"/>
        <v>판타지 웹소설 &gt; 현대 판타지</v>
      </c>
    </row>
    <row r="2000" spans="1:57" x14ac:dyDescent="0.3">
      <c r="A2000">
        <v>2313011955</v>
      </c>
      <c r="B2000">
        <v>2313012260</v>
      </c>
      <c r="C2000" t="str">
        <f>T("갓 오브 블랙필드 306화")</f>
        <v>갓 오브 블랙필드 306화</v>
      </c>
      <c r="D2000" t="str">
        <f>T("306")</f>
        <v>306</v>
      </c>
      <c r="E2000" t="str">
        <f t="shared" si="330"/>
        <v>무장</v>
      </c>
      <c r="H2000" t="str">
        <f t="shared" si="329"/>
        <v>스토리위즈</v>
      </c>
      <c r="I2000" t="str">
        <f t="shared" si="331"/>
        <v>갓 오브 블랙필드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200</v>
      </c>
      <c r="AL2000">
        <v>0</v>
      </c>
      <c r="AM2000">
        <v>0</v>
      </c>
      <c r="AN2000">
        <v>0</v>
      </c>
      <c r="AO2000">
        <v>0</v>
      </c>
      <c r="AP2000"/>
      <c r="AQ2000">
        <v>0</v>
      </c>
      <c r="AR2000">
        <v>0</v>
      </c>
      <c r="AT2000">
        <v>0</v>
      </c>
      <c r="AU2000">
        <v>0</v>
      </c>
      <c r="AW2000">
        <v>0</v>
      </c>
      <c r="AX2000">
        <v>0</v>
      </c>
      <c r="AY2000">
        <v>140</v>
      </c>
      <c r="BC2000" t="str">
        <f t="shared" si="332"/>
        <v>9791137602113</v>
      </c>
      <c r="BE2000" t="str">
        <f t="shared" si="333"/>
        <v>판타지 웹소설 &gt; 현대 판타지</v>
      </c>
    </row>
    <row r="2001" spans="1:57" x14ac:dyDescent="0.3">
      <c r="A2001">
        <v>2313011955</v>
      </c>
      <c r="B2001">
        <v>2313012261</v>
      </c>
      <c r="C2001" t="str">
        <f>T("갓 오브 블랙필드 307화")</f>
        <v>갓 오브 블랙필드 307화</v>
      </c>
      <c r="D2001" t="str">
        <f>T("307")</f>
        <v>307</v>
      </c>
      <c r="E2001" t="str">
        <f t="shared" si="330"/>
        <v>무장</v>
      </c>
      <c r="H2001" t="str">
        <f t="shared" si="329"/>
        <v>스토리위즈</v>
      </c>
      <c r="I2001" t="str">
        <f t="shared" si="331"/>
        <v>갓 오브 블랙필드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200</v>
      </c>
      <c r="AH2001">
        <v>2</v>
      </c>
      <c r="AI2001">
        <v>0</v>
      </c>
      <c r="AJ2001">
        <v>0</v>
      </c>
      <c r="AK2001">
        <v>200</v>
      </c>
      <c r="AL2001">
        <v>0</v>
      </c>
      <c r="AM2001">
        <v>0</v>
      </c>
      <c r="AN2001">
        <v>0</v>
      </c>
      <c r="AO2001">
        <v>0</v>
      </c>
      <c r="AP2001"/>
      <c r="AQ2001">
        <v>0</v>
      </c>
      <c r="AR2001">
        <v>0</v>
      </c>
      <c r="AT2001">
        <v>0</v>
      </c>
      <c r="AU2001">
        <v>0</v>
      </c>
      <c r="AW2001">
        <v>0</v>
      </c>
      <c r="AX2001">
        <v>0</v>
      </c>
      <c r="AY2001">
        <v>140</v>
      </c>
      <c r="BC2001" t="str">
        <f t="shared" si="332"/>
        <v>9791137602113</v>
      </c>
      <c r="BE2001" t="str">
        <f t="shared" si="333"/>
        <v>판타지 웹소설 &gt; 현대 판타지</v>
      </c>
    </row>
    <row r="2002" spans="1:57" x14ac:dyDescent="0.3">
      <c r="A2002">
        <v>2313011955</v>
      </c>
      <c r="B2002">
        <v>2313012262</v>
      </c>
      <c r="C2002" t="str">
        <f>T("갓 오브 블랙필드 308화")</f>
        <v>갓 오브 블랙필드 308화</v>
      </c>
      <c r="D2002" t="str">
        <f>T("308")</f>
        <v>308</v>
      </c>
      <c r="E2002" t="str">
        <f t="shared" si="330"/>
        <v>무장</v>
      </c>
      <c r="H2002" t="str">
        <f t="shared" si="329"/>
        <v>스토리위즈</v>
      </c>
      <c r="I2002" t="str">
        <f t="shared" si="331"/>
        <v>갓 오브 블랙필드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200</v>
      </c>
      <c r="AH2002">
        <v>2</v>
      </c>
      <c r="AI2002">
        <v>0</v>
      </c>
      <c r="AJ2002">
        <v>0</v>
      </c>
      <c r="AK2002">
        <v>200</v>
      </c>
      <c r="AL2002">
        <v>0</v>
      </c>
      <c r="AM2002">
        <v>0</v>
      </c>
      <c r="AN2002">
        <v>0</v>
      </c>
      <c r="AO2002">
        <v>0</v>
      </c>
      <c r="AP2002"/>
      <c r="AQ2002">
        <v>0</v>
      </c>
      <c r="AR2002">
        <v>0</v>
      </c>
      <c r="AT2002">
        <v>0</v>
      </c>
      <c r="AU2002">
        <v>0</v>
      </c>
      <c r="AW2002">
        <v>0</v>
      </c>
      <c r="AX2002">
        <v>0</v>
      </c>
      <c r="AY2002">
        <v>140</v>
      </c>
      <c r="BC2002" t="str">
        <f t="shared" si="332"/>
        <v>9791137602113</v>
      </c>
      <c r="BE2002" t="str">
        <f t="shared" si="333"/>
        <v>판타지 웹소설 &gt; 현대 판타지</v>
      </c>
    </row>
    <row r="2003" spans="1:57" x14ac:dyDescent="0.3">
      <c r="A2003">
        <v>2313011955</v>
      </c>
      <c r="B2003">
        <v>2313012263</v>
      </c>
      <c r="C2003" t="str">
        <f>T("갓 오브 블랙필드 309화")</f>
        <v>갓 오브 블랙필드 309화</v>
      </c>
      <c r="D2003" t="str">
        <f>T("309")</f>
        <v>309</v>
      </c>
      <c r="E2003" t="str">
        <f t="shared" si="330"/>
        <v>무장</v>
      </c>
      <c r="H2003" t="str">
        <f t="shared" si="329"/>
        <v>스토리위즈</v>
      </c>
      <c r="I2003" t="str">
        <f t="shared" si="331"/>
        <v>갓 오브 블랙필드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200</v>
      </c>
      <c r="AH2003">
        <v>2</v>
      </c>
      <c r="AI2003">
        <v>0</v>
      </c>
      <c r="AJ2003">
        <v>0</v>
      </c>
      <c r="AK2003">
        <v>200</v>
      </c>
      <c r="AL2003">
        <v>0</v>
      </c>
      <c r="AM2003">
        <v>0</v>
      </c>
      <c r="AN2003">
        <v>0</v>
      </c>
      <c r="AO2003">
        <v>0</v>
      </c>
      <c r="AP2003"/>
      <c r="AQ2003">
        <v>0</v>
      </c>
      <c r="AR2003">
        <v>0</v>
      </c>
      <c r="AT2003">
        <v>0</v>
      </c>
      <c r="AU2003">
        <v>0</v>
      </c>
      <c r="AW2003">
        <v>0</v>
      </c>
      <c r="AX2003">
        <v>0</v>
      </c>
      <c r="AY2003">
        <v>140</v>
      </c>
      <c r="BC2003" t="str">
        <f t="shared" si="332"/>
        <v>9791137602113</v>
      </c>
      <c r="BE2003" t="str">
        <f t="shared" si="333"/>
        <v>판타지 웹소설 &gt; 현대 판타지</v>
      </c>
    </row>
    <row r="2004" spans="1:57" x14ac:dyDescent="0.3">
      <c r="A2004">
        <v>2313011955</v>
      </c>
      <c r="B2004">
        <v>2313012264</v>
      </c>
      <c r="C2004" t="str">
        <f>T("갓 오브 블랙필드 310화")</f>
        <v>갓 오브 블랙필드 310화</v>
      </c>
      <c r="D2004" t="str">
        <f>T("310")</f>
        <v>310</v>
      </c>
      <c r="E2004" t="str">
        <f t="shared" si="330"/>
        <v>무장</v>
      </c>
      <c r="H2004" t="str">
        <f t="shared" si="329"/>
        <v>스토리위즈</v>
      </c>
      <c r="I2004" t="str">
        <f t="shared" si="331"/>
        <v>갓 오브 블랙필드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200</v>
      </c>
      <c r="AH2004">
        <v>2</v>
      </c>
      <c r="AI2004">
        <v>0</v>
      </c>
      <c r="AJ2004">
        <v>0</v>
      </c>
      <c r="AK2004">
        <v>200</v>
      </c>
      <c r="AL2004">
        <v>0</v>
      </c>
      <c r="AM2004">
        <v>0</v>
      </c>
      <c r="AN2004">
        <v>0</v>
      </c>
      <c r="AO2004">
        <v>0</v>
      </c>
      <c r="AP2004"/>
      <c r="AQ2004">
        <v>0</v>
      </c>
      <c r="AR2004">
        <v>0</v>
      </c>
      <c r="AT2004">
        <v>0</v>
      </c>
      <c r="AU2004">
        <v>0</v>
      </c>
      <c r="AW2004">
        <v>0</v>
      </c>
      <c r="AX2004">
        <v>0</v>
      </c>
      <c r="AY2004">
        <v>140</v>
      </c>
      <c r="BC2004" t="str">
        <f t="shared" si="332"/>
        <v>9791137602113</v>
      </c>
      <c r="BE2004" t="str">
        <f t="shared" si="333"/>
        <v>판타지 웹소설 &gt; 현대 판타지</v>
      </c>
    </row>
    <row r="2005" spans="1:57" x14ac:dyDescent="0.3">
      <c r="A2005">
        <v>2313011955</v>
      </c>
      <c r="B2005">
        <v>2313012265</v>
      </c>
      <c r="C2005" t="str">
        <f>T("갓 오브 블랙필드 311화")</f>
        <v>갓 오브 블랙필드 311화</v>
      </c>
      <c r="D2005" t="str">
        <f>T("311")</f>
        <v>311</v>
      </c>
      <c r="E2005" t="str">
        <f t="shared" si="330"/>
        <v>무장</v>
      </c>
      <c r="H2005" t="str">
        <f t="shared" si="329"/>
        <v>스토리위즈</v>
      </c>
      <c r="I2005" t="str">
        <f t="shared" si="331"/>
        <v>갓 오브 블랙필드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200</v>
      </c>
      <c r="AH2005">
        <v>2</v>
      </c>
      <c r="AI2005">
        <v>0</v>
      </c>
      <c r="AJ2005">
        <v>0</v>
      </c>
      <c r="AK2005">
        <v>200</v>
      </c>
      <c r="AL2005">
        <v>0</v>
      </c>
      <c r="AM2005">
        <v>0</v>
      </c>
      <c r="AN2005">
        <v>0</v>
      </c>
      <c r="AO2005">
        <v>0</v>
      </c>
      <c r="AP2005"/>
      <c r="AQ2005">
        <v>0</v>
      </c>
      <c r="AR2005">
        <v>0</v>
      </c>
      <c r="AT2005">
        <v>0</v>
      </c>
      <c r="AU2005">
        <v>0</v>
      </c>
      <c r="AW2005">
        <v>0</v>
      </c>
      <c r="AX2005">
        <v>0</v>
      </c>
      <c r="AY2005">
        <v>140</v>
      </c>
      <c r="BC2005" t="str">
        <f t="shared" si="332"/>
        <v>9791137602113</v>
      </c>
      <c r="BE2005" t="str">
        <f t="shared" si="333"/>
        <v>판타지 웹소설 &gt; 현대 판타지</v>
      </c>
    </row>
    <row r="2006" spans="1:57" x14ac:dyDescent="0.3">
      <c r="A2006">
        <v>2313011955</v>
      </c>
      <c r="B2006">
        <v>2313012266</v>
      </c>
      <c r="C2006" t="str">
        <f>T("갓 오브 블랙필드 312화")</f>
        <v>갓 오브 블랙필드 312화</v>
      </c>
      <c r="D2006" t="str">
        <f>T("312")</f>
        <v>312</v>
      </c>
      <c r="E2006" t="str">
        <f t="shared" si="330"/>
        <v>무장</v>
      </c>
      <c r="H2006" t="str">
        <f t="shared" si="329"/>
        <v>스토리위즈</v>
      </c>
      <c r="I2006" t="str">
        <f t="shared" si="331"/>
        <v>갓 오브 블랙필드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200</v>
      </c>
      <c r="AL2006">
        <v>0</v>
      </c>
      <c r="AM2006">
        <v>0</v>
      </c>
      <c r="AN2006">
        <v>0</v>
      </c>
      <c r="AO2006">
        <v>0</v>
      </c>
      <c r="AP2006"/>
      <c r="AQ2006">
        <v>0</v>
      </c>
      <c r="AR2006">
        <v>0</v>
      </c>
      <c r="AT2006">
        <v>0</v>
      </c>
      <c r="AU2006">
        <v>0</v>
      </c>
      <c r="AW2006">
        <v>0</v>
      </c>
      <c r="AX2006">
        <v>0</v>
      </c>
      <c r="AY2006">
        <v>140</v>
      </c>
      <c r="BC2006" t="str">
        <f t="shared" si="332"/>
        <v>9791137602113</v>
      </c>
      <c r="BE2006" t="str">
        <f t="shared" si="333"/>
        <v>판타지 웹소설 &gt; 현대 판타지</v>
      </c>
    </row>
    <row r="2007" spans="1:57" x14ac:dyDescent="0.3">
      <c r="A2007">
        <v>2313011955</v>
      </c>
      <c r="B2007">
        <v>2313012267</v>
      </c>
      <c r="C2007" t="str">
        <f>T("갓 오브 블랙필드 313화")</f>
        <v>갓 오브 블랙필드 313화</v>
      </c>
      <c r="D2007" t="str">
        <f>T("313")</f>
        <v>313</v>
      </c>
      <c r="E2007" t="str">
        <f t="shared" si="330"/>
        <v>무장</v>
      </c>
      <c r="H2007" t="str">
        <f t="shared" si="329"/>
        <v>스토리위즈</v>
      </c>
      <c r="I2007" t="str">
        <f t="shared" si="331"/>
        <v>갓 오브 블랙필드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200</v>
      </c>
      <c r="AH2007">
        <v>2</v>
      </c>
      <c r="AI2007">
        <v>0</v>
      </c>
      <c r="AJ2007">
        <v>0</v>
      </c>
      <c r="AK2007">
        <v>200</v>
      </c>
      <c r="AL2007">
        <v>0</v>
      </c>
      <c r="AM2007">
        <v>0</v>
      </c>
      <c r="AN2007">
        <v>0</v>
      </c>
      <c r="AO2007">
        <v>0</v>
      </c>
      <c r="AP2007"/>
      <c r="AQ2007">
        <v>0</v>
      </c>
      <c r="AR2007">
        <v>0</v>
      </c>
      <c r="AT2007">
        <v>0</v>
      </c>
      <c r="AU2007">
        <v>0</v>
      </c>
      <c r="AW2007">
        <v>0</v>
      </c>
      <c r="AX2007">
        <v>0</v>
      </c>
      <c r="AY2007">
        <v>140</v>
      </c>
      <c r="BC2007" t="str">
        <f t="shared" si="332"/>
        <v>9791137602113</v>
      </c>
      <c r="BE2007" t="str">
        <f t="shared" si="333"/>
        <v>판타지 웹소설 &gt; 현대 판타지</v>
      </c>
    </row>
    <row r="2008" spans="1:57" x14ac:dyDescent="0.3">
      <c r="A2008">
        <v>2313011955</v>
      </c>
      <c r="B2008">
        <v>2313012268</v>
      </c>
      <c r="C2008" t="str">
        <f>T("갓 오브 블랙필드 314화")</f>
        <v>갓 오브 블랙필드 314화</v>
      </c>
      <c r="D2008" t="str">
        <f>T("314")</f>
        <v>314</v>
      </c>
      <c r="E2008" t="str">
        <f t="shared" si="330"/>
        <v>무장</v>
      </c>
      <c r="H2008" t="str">
        <f t="shared" si="329"/>
        <v>스토리위즈</v>
      </c>
      <c r="I2008" t="str">
        <f t="shared" si="331"/>
        <v>갓 오브 블랙필드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200</v>
      </c>
      <c r="AH2008">
        <v>2</v>
      </c>
      <c r="AI2008">
        <v>0</v>
      </c>
      <c r="AJ2008">
        <v>0</v>
      </c>
      <c r="AK2008">
        <v>200</v>
      </c>
      <c r="AL2008">
        <v>0</v>
      </c>
      <c r="AM2008">
        <v>0</v>
      </c>
      <c r="AN2008">
        <v>0</v>
      </c>
      <c r="AO2008">
        <v>0</v>
      </c>
      <c r="AP2008"/>
      <c r="AQ2008">
        <v>0</v>
      </c>
      <c r="AR2008">
        <v>0</v>
      </c>
      <c r="AT2008">
        <v>0</v>
      </c>
      <c r="AU2008">
        <v>0</v>
      </c>
      <c r="AW2008">
        <v>0</v>
      </c>
      <c r="AX2008">
        <v>0</v>
      </c>
      <c r="AY2008">
        <v>140</v>
      </c>
      <c r="BC2008" t="str">
        <f t="shared" si="332"/>
        <v>9791137602113</v>
      </c>
      <c r="BE2008" t="str">
        <f t="shared" si="333"/>
        <v>판타지 웹소설 &gt; 현대 판타지</v>
      </c>
    </row>
    <row r="2009" spans="1:57" x14ac:dyDescent="0.3">
      <c r="A2009">
        <v>2313011955</v>
      </c>
      <c r="B2009">
        <v>2313012269</v>
      </c>
      <c r="C2009" t="str">
        <f>T("갓 오브 블랙필드 315화")</f>
        <v>갓 오브 블랙필드 315화</v>
      </c>
      <c r="D2009" t="str">
        <f>T("315")</f>
        <v>315</v>
      </c>
      <c r="E2009" t="str">
        <f t="shared" si="330"/>
        <v>무장</v>
      </c>
      <c r="H2009" t="str">
        <f t="shared" si="329"/>
        <v>스토리위즈</v>
      </c>
      <c r="I2009" t="str">
        <f t="shared" si="331"/>
        <v>갓 오브 블랙필드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200</v>
      </c>
      <c r="AH2009">
        <v>2</v>
      </c>
      <c r="AI2009">
        <v>0</v>
      </c>
      <c r="AJ2009">
        <v>0</v>
      </c>
      <c r="AK2009">
        <v>200</v>
      </c>
      <c r="AL2009">
        <v>0</v>
      </c>
      <c r="AM2009">
        <v>0</v>
      </c>
      <c r="AN2009">
        <v>0</v>
      </c>
      <c r="AO2009">
        <v>0</v>
      </c>
      <c r="AP2009"/>
      <c r="AQ2009">
        <v>0</v>
      </c>
      <c r="AR2009">
        <v>0</v>
      </c>
      <c r="AT2009">
        <v>0</v>
      </c>
      <c r="AU2009">
        <v>0</v>
      </c>
      <c r="AW2009">
        <v>0</v>
      </c>
      <c r="AX2009">
        <v>0</v>
      </c>
      <c r="AY2009">
        <v>140</v>
      </c>
      <c r="BC2009" t="str">
        <f t="shared" si="332"/>
        <v>9791137602113</v>
      </c>
      <c r="BE2009" t="str">
        <f t="shared" si="333"/>
        <v>판타지 웹소설 &gt; 현대 판타지</v>
      </c>
    </row>
    <row r="2010" spans="1:57" x14ac:dyDescent="0.3">
      <c r="A2010">
        <v>2313011955</v>
      </c>
      <c r="B2010">
        <v>2313012270</v>
      </c>
      <c r="C2010" t="str">
        <f>T("갓 오브 블랙필드 316화")</f>
        <v>갓 오브 블랙필드 316화</v>
      </c>
      <c r="D2010" t="str">
        <f>T("316")</f>
        <v>316</v>
      </c>
      <c r="E2010" t="str">
        <f t="shared" si="330"/>
        <v>무장</v>
      </c>
      <c r="H2010" t="str">
        <f t="shared" si="329"/>
        <v>스토리위즈</v>
      </c>
      <c r="I2010" t="str">
        <f t="shared" si="331"/>
        <v>갓 오브 블랙필드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200</v>
      </c>
      <c r="AH2010">
        <v>2</v>
      </c>
      <c r="AI2010">
        <v>0</v>
      </c>
      <c r="AJ2010">
        <v>0</v>
      </c>
      <c r="AK2010">
        <v>200</v>
      </c>
      <c r="AL2010">
        <v>0</v>
      </c>
      <c r="AM2010">
        <v>0</v>
      </c>
      <c r="AN2010">
        <v>0</v>
      </c>
      <c r="AO2010">
        <v>0</v>
      </c>
      <c r="AP2010"/>
      <c r="AQ2010">
        <v>0</v>
      </c>
      <c r="AR2010">
        <v>0</v>
      </c>
      <c r="AT2010">
        <v>0</v>
      </c>
      <c r="AU2010">
        <v>0</v>
      </c>
      <c r="AW2010">
        <v>0</v>
      </c>
      <c r="AX2010">
        <v>0</v>
      </c>
      <c r="AY2010">
        <v>140</v>
      </c>
      <c r="BC2010" t="str">
        <f t="shared" si="332"/>
        <v>9791137602113</v>
      </c>
      <c r="BE2010" t="str">
        <f t="shared" si="333"/>
        <v>판타지 웹소설 &gt; 현대 판타지</v>
      </c>
    </row>
    <row r="2011" spans="1:57" x14ac:dyDescent="0.3">
      <c r="A2011">
        <v>2313011955</v>
      </c>
      <c r="B2011">
        <v>2313012271</v>
      </c>
      <c r="C2011" t="str">
        <f>T("갓 오브 블랙필드 317화")</f>
        <v>갓 오브 블랙필드 317화</v>
      </c>
      <c r="D2011" t="str">
        <f>T("317")</f>
        <v>317</v>
      </c>
      <c r="E2011" t="str">
        <f t="shared" si="330"/>
        <v>무장</v>
      </c>
      <c r="H2011" t="str">
        <f t="shared" si="329"/>
        <v>스토리위즈</v>
      </c>
      <c r="I2011" t="str">
        <f t="shared" si="331"/>
        <v>갓 오브 블랙필드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</v>
      </c>
      <c r="AH2011">
        <v>2</v>
      </c>
      <c r="AI2011">
        <v>0</v>
      </c>
      <c r="AJ2011">
        <v>0</v>
      </c>
      <c r="AK2011">
        <v>200</v>
      </c>
      <c r="AL2011">
        <v>0</v>
      </c>
      <c r="AM2011">
        <v>0</v>
      </c>
      <c r="AN2011">
        <v>0</v>
      </c>
      <c r="AO2011">
        <v>0</v>
      </c>
      <c r="AP2011"/>
      <c r="AQ2011">
        <v>0</v>
      </c>
      <c r="AR2011">
        <v>0</v>
      </c>
      <c r="AT2011">
        <v>0</v>
      </c>
      <c r="AU2011">
        <v>0</v>
      </c>
      <c r="AW2011">
        <v>0</v>
      </c>
      <c r="AX2011">
        <v>0</v>
      </c>
      <c r="AY2011">
        <v>140</v>
      </c>
      <c r="BC2011" t="str">
        <f t="shared" si="332"/>
        <v>9791137602113</v>
      </c>
      <c r="BE2011" t="str">
        <f t="shared" si="333"/>
        <v>판타지 웹소설 &gt; 현대 판타지</v>
      </c>
    </row>
    <row r="2012" spans="1:57" x14ac:dyDescent="0.3">
      <c r="A2012">
        <v>2313011955</v>
      </c>
      <c r="B2012">
        <v>2313012272</v>
      </c>
      <c r="C2012" t="str">
        <f>T("갓 오브 블랙필드 318화")</f>
        <v>갓 오브 블랙필드 318화</v>
      </c>
      <c r="D2012" t="str">
        <f>T("318")</f>
        <v>318</v>
      </c>
      <c r="E2012" t="str">
        <f t="shared" si="330"/>
        <v>무장</v>
      </c>
      <c r="H2012" t="str">
        <f t="shared" si="329"/>
        <v>스토리위즈</v>
      </c>
      <c r="I2012" t="str">
        <f t="shared" si="331"/>
        <v>갓 오브 블랙필드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</v>
      </c>
      <c r="AH2012">
        <v>2</v>
      </c>
      <c r="AI2012">
        <v>0</v>
      </c>
      <c r="AJ2012">
        <v>0</v>
      </c>
      <c r="AK2012">
        <v>200</v>
      </c>
      <c r="AL2012">
        <v>0</v>
      </c>
      <c r="AM2012">
        <v>0</v>
      </c>
      <c r="AN2012">
        <v>0</v>
      </c>
      <c r="AO2012">
        <v>0</v>
      </c>
      <c r="AP2012"/>
      <c r="AQ2012">
        <v>0</v>
      </c>
      <c r="AR2012">
        <v>0</v>
      </c>
      <c r="AT2012">
        <v>0</v>
      </c>
      <c r="AU2012">
        <v>0</v>
      </c>
      <c r="AW2012">
        <v>0</v>
      </c>
      <c r="AX2012">
        <v>0</v>
      </c>
      <c r="AY2012">
        <v>140</v>
      </c>
      <c r="BC2012" t="str">
        <f t="shared" si="332"/>
        <v>9791137602113</v>
      </c>
      <c r="BE2012" t="str">
        <f t="shared" si="333"/>
        <v>판타지 웹소설 &gt; 현대 판타지</v>
      </c>
    </row>
    <row r="2013" spans="1:57" x14ac:dyDescent="0.3">
      <c r="A2013">
        <v>2313011955</v>
      </c>
      <c r="B2013">
        <v>2313012273</v>
      </c>
      <c r="C2013" t="str">
        <f>T("갓 오브 블랙필드 319화")</f>
        <v>갓 오브 블랙필드 319화</v>
      </c>
      <c r="D2013" t="str">
        <f>T("319")</f>
        <v>319</v>
      </c>
      <c r="E2013" t="str">
        <f t="shared" si="330"/>
        <v>무장</v>
      </c>
      <c r="H2013" t="str">
        <f t="shared" si="329"/>
        <v>스토리위즈</v>
      </c>
      <c r="I2013" t="str">
        <f t="shared" si="331"/>
        <v>갓 오브 블랙필드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200</v>
      </c>
      <c r="AH2013">
        <v>2</v>
      </c>
      <c r="AI2013">
        <v>0</v>
      </c>
      <c r="AJ2013">
        <v>0</v>
      </c>
      <c r="AK2013">
        <v>200</v>
      </c>
      <c r="AL2013">
        <v>0</v>
      </c>
      <c r="AM2013">
        <v>0</v>
      </c>
      <c r="AN2013">
        <v>0</v>
      </c>
      <c r="AO2013">
        <v>0</v>
      </c>
      <c r="AP2013"/>
      <c r="AQ2013">
        <v>0</v>
      </c>
      <c r="AR2013">
        <v>0</v>
      </c>
      <c r="AT2013">
        <v>0</v>
      </c>
      <c r="AU2013">
        <v>0</v>
      </c>
      <c r="AW2013">
        <v>0</v>
      </c>
      <c r="AX2013">
        <v>0</v>
      </c>
      <c r="AY2013">
        <v>140</v>
      </c>
      <c r="BC2013" t="str">
        <f t="shared" si="332"/>
        <v>9791137602113</v>
      </c>
      <c r="BE2013" t="str">
        <f t="shared" si="333"/>
        <v>판타지 웹소설 &gt; 현대 판타지</v>
      </c>
    </row>
    <row r="2014" spans="1:57" x14ac:dyDescent="0.3">
      <c r="A2014">
        <v>2313011955</v>
      </c>
      <c r="B2014">
        <v>2313012274</v>
      </c>
      <c r="C2014" t="str">
        <f>T("갓 오브 블랙필드 320화")</f>
        <v>갓 오브 블랙필드 320화</v>
      </c>
      <c r="D2014" t="str">
        <f>T("320")</f>
        <v>320</v>
      </c>
      <c r="E2014" t="str">
        <f t="shared" si="330"/>
        <v>무장</v>
      </c>
      <c r="H2014" t="str">
        <f t="shared" si="329"/>
        <v>스토리위즈</v>
      </c>
      <c r="I2014" t="str">
        <f t="shared" si="331"/>
        <v>갓 오브 블랙필드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200</v>
      </c>
      <c r="AH2014">
        <v>2</v>
      </c>
      <c r="AI2014">
        <v>0</v>
      </c>
      <c r="AJ2014">
        <v>0</v>
      </c>
      <c r="AK2014">
        <v>200</v>
      </c>
      <c r="AL2014">
        <v>0</v>
      </c>
      <c r="AM2014">
        <v>0</v>
      </c>
      <c r="AN2014">
        <v>0</v>
      </c>
      <c r="AO2014">
        <v>0</v>
      </c>
      <c r="AP2014"/>
      <c r="AQ2014">
        <v>0</v>
      </c>
      <c r="AR2014">
        <v>0</v>
      </c>
      <c r="AT2014">
        <v>0</v>
      </c>
      <c r="AU2014">
        <v>0</v>
      </c>
      <c r="AW2014">
        <v>0</v>
      </c>
      <c r="AX2014">
        <v>0</v>
      </c>
      <c r="AY2014">
        <v>140</v>
      </c>
      <c r="BC2014" t="str">
        <f t="shared" si="332"/>
        <v>9791137602113</v>
      </c>
      <c r="BE2014" t="str">
        <f t="shared" si="333"/>
        <v>판타지 웹소설 &gt; 현대 판타지</v>
      </c>
    </row>
    <row r="2015" spans="1:57" x14ac:dyDescent="0.3">
      <c r="A2015">
        <v>2313011955</v>
      </c>
      <c r="B2015">
        <v>2313012275</v>
      </c>
      <c r="C2015" t="str">
        <f>T("갓 오브 블랙필드 321화")</f>
        <v>갓 오브 블랙필드 321화</v>
      </c>
      <c r="D2015" t="str">
        <f>T("321")</f>
        <v>321</v>
      </c>
      <c r="E2015" t="str">
        <f t="shared" si="330"/>
        <v>무장</v>
      </c>
      <c r="H2015" t="str">
        <f t="shared" si="329"/>
        <v>스토리위즈</v>
      </c>
      <c r="I2015" t="str">
        <f t="shared" si="331"/>
        <v>갓 오브 블랙필드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200</v>
      </c>
      <c r="AH2015">
        <v>2</v>
      </c>
      <c r="AI2015">
        <v>0</v>
      </c>
      <c r="AJ2015">
        <v>0</v>
      </c>
      <c r="AK2015">
        <v>200</v>
      </c>
      <c r="AL2015">
        <v>0</v>
      </c>
      <c r="AM2015">
        <v>0</v>
      </c>
      <c r="AN2015">
        <v>0</v>
      </c>
      <c r="AO2015">
        <v>0</v>
      </c>
      <c r="AP2015"/>
      <c r="AQ2015">
        <v>0</v>
      </c>
      <c r="AR2015">
        <v>0</v>
      </c>
      <c r="AT2015">
        <v>0</v>
      </c>
      <c r="AU2015">
        <v>0</v>
      </c>
      <c r="AW2015">
        <v>0</v>
      </c>
      <c r="AX2015">
        <v>0</v>
      </c>
      <c r="AY2015">
        <v>140</v>
      </c>
      <c r="BC2015" t="str">
        <f t="shared" si="332"/>
        <v>9791137602113</v>
      </c>
      <c r="BE2015" t="str">
        <f t="shared" si="333"/>
        <v>판타지 웹소설 &gt; 현대 판타지</v>
      </c>
    </row>
    <row r="2016" spans="1:57" x14ac:dyDescent="0.3">
      <c r="A2016">
        <v>2313011955</v>
      </c>
      <c r="B2016">
        <v>2313012276</v>
      </c>
      <c r="C2016" t="str">
        <f>T("갓 오브 블랙필드 322화")</f>
        <v>갓 오브 블랙필드 322화</v>
      </c>
      <c r="D2016" t="str">
        <f>T("322")</f>
        <v>322</v>
      </c>
      <c r="E2016" t="str">
        <f t="shared" si="330"/>
        <v>무장</v>
      </c>
      <c r="H2016" t="str">
        <f t="shared" si="329"/>
        <v>스토리위즈</v>
      </c>
      <c r="I2016" t="str">
        <f t="shared" si="331"/>
        <v>갓 오브 블랙필드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200</v>
      </c>
      <c r="AH2016">
        <v>2</v>
      </c>
      <c r="AI2016">
        <v>0</v>
      </c>
      <c r="AJ2016">
        <v>0</v>
      </c>
      <c r="AK2016">
        <v>200</v>
      </c>
      <c r="AL2016">
        <v>0</v>
      </c>
      <c r="AM2016">
        <v>0</v>
      </c>
      <c r="AN2016">
        <v>0</v>
      </c>
      <c r="AO2016">
        <v>0</v>
      </c>
      <c r="AP2016"/>
      <c r="AQ2016">
        <v>0</v>
      </c>
      <c r="AR2016">
        <v>0</v>
      </c>
      <c r="AT2016">
        <v>0</v>
      </c>
      <c r="AU2016">
        <v>0</v>
      </c>
      <c r="AW2016">
        <v>0</v>
      </c>
      <c r="AX2016">
        <v>0</v>
      </c>
      <c r="AY2016">
        <v>140</v>
      </c>
      <c r="BC2016" t="str">
        <f t="shared" si="332"/>
        <v>9791137602113</v>
      </c>
      <c r="BE2016" t="str">
        <f t="shared" si="333"/>
        <v>판타지 웹소설 &gt; 현대 판타지</v>
      </c>
    </row>
    <row r="2017" spans="1:57" x14ac:dyDescent="0.3">
      <c r="A2017">
        <v>2313011955</v>
      </c>
      <c r="B2017">
        <v>2313012277</v>
      </c>
      <c r="C2017" t="str">
        <f>T("갓 오브 블랙필드 323화")</f>
        <v>갓 오브 블랙필드 323화</v>
      </c>
      <c r="D2017" t="str">
        <f>T("323")</f>
        <v>323</v>
      </c>
      <c r="E2017" t="str">
        <f t="shared" si="330"/>
        <v>무장</v>
      </c>
      <c r="H2017" t="str">
        <f t="shared" si="329"/>
        <v>스토리위즈</v>
      </c>
      <c r="I2017" t="str">
        <f t="shared" si="331"/>
        <v>갓 오브 블랙필드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200</v>
      </c>
      <c r="AH2017">
        <v>2</v>
      </c>
      <c r="AI2017">
        <v>0</v>
      </c>
      <c r="AJ2017">
        <v>0</v>
      </c>
      <c r="AK2017">
        <v>200</v>
      </c>
      <c r="AL2017">
        <v>0</v>
      </c>
      <c r="AM2017">
        <v>0</v>
      </c>
      <c r="AN2017">
        <v>0</v>
      </c>
      <c r="AO2017">
        <v>0</v>
      </c>
      <c r="AP2017"/>
      <c r="AQ2017">
        <v>0</v>
      </c>
      <c r="AR2017">
        <v>0</v>
      </c>
      <c r="AT2017">
        <v>0</v>
      </c>
      <c r="AU2017">
        <v>0</v>
      </c>
      <c r="AW2017">
        <v>0</v>
      </c>
      <c r="AX2017">
        <v>0</v>
      </c>
      <c r="AY2017">
        <v>140</v>
      </c>
      <c r="BC2017" t="str">
        <f t="shared" si="332"/>
        <v>9791137602113</v>
      </c>
      <c r="BE2017" t="str">
        <f t="shared" si="333"/>
        <v>판타지 웹소설 &gt; 현대 판타지</v>
      </c>
    </row>
    <row r="2018" spans="1:57" x14ac:dyDescent="0.3">
      <c r="A2018">
        <v>2313011955</v>
      </c>
      <c r="B2018">
        <v>2313012278</v>
      </c>
      <c r="C2018" t="str">
        <f>T("갓 오브 블랙필드 324화")</f>
        <v>갓 오브 블랙필드 324화</v>
      </c>
      <c r="D2018" t="str">
        <f>T("324")</f>
        <v>324</v>
      </c>
      <c r="E2018" t="str">
        <f t="shared" si="330"/>
        <v>무장</v>
      </c>
      <c r="H2018" t="str">
        <f t="shared" si="329"/>
        <v>스토리위즈</v>
      </c>
      <c r="I2018" t="str">
        <f t="shared" si="331"/>
        <v>갓 오브 블랙필드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200</v>
      </c>
      <c r="AH2018">
        <v>2</v>
      </c>
      <c r="AI2018">
        <v>0</v>
      </c>
      <c r="AJ2018">
        <v>0</v>
      </c>
      <c r="AK2018">
        <v>200</v>
      </c>
      <c r="AL2018">
        <v>0</v>
      </c>
      <c r="AM2018">
        <v>0</v>
      </c>
      <c r="AN2018">
        <v>0</v>
      </c>
      <c r="AO2018">
        <v>0</v>
      </c>
      <c r="AP2018"/>
      <c r="AQ2018">
        <v>0</v>
      </c>
      <c r="AR2018">
        <v>0</v>
      </c>
      <c r="AT2018">
        <v>0</v>
      </c>
      <c r="AU2018">
        <v>0</v>
      </c>
      <c r="AW2018">
        <v>0</v>
      </c>
      <c r="AX2018">
        <v>0</v>
      </c>
      <c r="AY2018">
        <v>140</v>
      </c>
      <c r="BC2018" t="str">
        <f t="shared" si="332"/>
        <v>9791137602113</v>
      </c>
      <c r="BE2018" t="str">
        <f t="shared" si="333"/>
        <v>판타지 웹소설 &gt; 현대 판타지</v>
      </c>
    </row>
    <row r="2019" spans="1:57" x14ac:dyDescent="0.3">
      <c r="A2019">
        <v>2313011955</v>
      </c>
      <c r="B2019">
        <v>2313012279</v>
      </c>
      <c r="C2019" t="str">
        <f>T("갓 오브 블랙필드 325화")</f>
        <v>갓 오브 블랙필드 325화</v>
      </c>
      <c r="D2019" t="str">
        <f>T("325")</f>
        <v>325</v>
      </c>
      <c r="E2019" t="str">
        <f t="shared" si="330"/>
        <v>무장</v>
      </c>
      <c r="H2019" t="str">
        <f t="shared" si="329"/>
        <v>스토리위즈</v>
      </c>
      <c r="I2019" t="str">
        <f t="shared" si="331"/>
        <v>갓 오브 블랙필드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</v>
      </c>
      <c r="AI2019">
        <v>0</v>
      </c>
      <c r="AJ2019">
        <v>0</v>
      </c>
      <c r="AK2019">
        <v>200</v>
      </c>
      <c r="AL2019">
        <v>0</v>
      </c>
      <c r="AM2019">
        <v>0</v>
      </c>
      <c r="AN2019">
        <v>0</v>
      </c>
      <c r="AO2019">
        <v>0</v>
      </c>
      <c r="AP2019"/>
      <c r="AQ2019">
        <v>0</v>
      </c>
      <c r="AR2019">
        <v>0</v>
      </c>
      <c r="AT2019">
        <v>0</v>
      </c>
      <c r="AU2019">
        <v>0</v>
      </c>
      <c r="AW2019">
        <v>0</v>
      </c>
      <c r="AX2019">
        <v>0</v>
      </c>
      <c r="AY2019">
        <v>140</v>
      </c>
      <c r="BC2019" t="str">
        <f t="shared" si="332"/>
        <v>9791137602113</v>
      </c>
      <c r="BE2019" t="str">
        <f t="shared" si="333"/>
        <v>판타지 웹소설 &gt; 현대 판타지</v>
      </c>
    </row>
    <row r="2020" spans="1:57" x14ac:dyDescent="0.3">
      <c r="A2020">
        <v>2313011955</v>
      </c>
      <c r="B2020">
        <v>2313012280</v>
      </c>
      <c r="C2020" t="str">
        <f>T("갓 오브 블랙필드 326화")</f>
        <v>갓 오브 블랙필드 326화</v>
      </c>
      <c r="D2020" t="str">
        <f>T("326")</f>
        <v>326</v>
      </c>
      <c r="E2020" t="str">
        <f t="shared" si="330"/>
        <v>무장</v>
      </c>
      <c r="H2020" t="str">
        <f t="shared" si="329"/>
        <v>스토리위즈</v>
      </c>
      <c r="I2020" t="str">
        <f t="shared" si="331"/>
        <v>갓 오브 블랙필드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200</v>
      </c>
      <c r="AH2020">
        <v>2</v>
      </c>
      <c r="AI2020">
        <v>0</v>
      </c>
      <c r="AJ2020">
        <v>0</v>
      </c>
      <c r="AK2020">
        <v>200</v>
      </c>
      <c r="AL2020">
        <v>0</v>
      </c>
      <c r="AM2020">
        <v>0</v>
      </c>
      <c r="AN2020">
        <v>0</v>
      </c>
      <c r="AO2020">
        <v>0</v>
      </c>
      <c r="AP2020"/>
      <c r="AQ2020">
        <v>0</v>
      </c>
      <c r="AR2020">
        <v>0</v>
      </c>
      <c r="AT2020">
        <v>0</v>
      </c>
      <c r="AU2020">
        <v>0</v>
      </c>
      <c r="AW2020">
        <v>0</v>
      </c>
      <c r="AX2020">
        <v>0</v>
      </c>
      <c r="AY2020">
        <v>140</v>
      </c>
      <c r="BC2020" t="str">
        <f t="shared" si="332"/>
        <v>9791137602113</v>
      </c>
      <c r="BE2020" t="str">
        <f t="shared" si="333"/>
        <v>판타지 웹소설 &gt; 현대 판타지</v>
      </c>
    </row>
    <row r="2021" spans="1:57" x14ac:dyDescent="0.3">
      <c r="A2021">
        <v>2313011955</v>
      </c>
      <c r="B2021">
        <v>2313012281</v>
      </c>
      <c r="C2021" t="str">
        <f>T("갓 오브 블랙필드 327화")</f>
        <v>갓 오브 블랙필드 327화</v>
      </c>
      <c r="D2021" t="str">
        <f>T("327")</f>
        <v>327</v>
      </c>
      <c r="E2021" t="str">
        <f t="shared" si="330"/>
        <v>무장</v>
      </c>
      <c r="H2021" t="str">
        <f t="shared" si="329"/>
        <v>스토리위즈</v>
      </c>
      <c r="I2021" t="str">
        <f t="shared" si="331"/>
        <v>갓 오브 블랙필드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200</v>
      </c>
      <c r="AL2021">
        <v>0</v>
      </c>
      <c r="AM2021">
        <v>0</v>
      </c>
      <c r="AN2021">
        <v>0</v>
      </c>
      <c r="AO2021">
        <v>0</v>
      </c>
      <c r="AP2021"/>
      <c r="AQ2021">
        <v>0</v>
      </c>
      <c r="AR2021">
        <v>0</v>
      </c>
      <c r="AT2021">
        <v>0</v>
      </c>
      <c r="AU2021">
        <v>0</v>
      </c>
      <c r="AW2021">
        <v>0</v>
      </c>
      <c r="AX2021">
        <v>0</v>
      </c>
      <c r="AY2021">
        <v>140</v>
      </c>
      <c r="BC2021" t="str">
        <f t="shared" si="332"/>
        <v>9791137602113</v>
      </c>
      <c r="BE2021" t="str">
        <f t="shared" si="333"/>
        <v>판타지 웹소설 &gt; 현대 판타지</v>
      </c>
    </row>
    <row r="2022" spans="1:57" x14ac:dyDescent="0.3">
      <c r="A2022">
        <v>2313011955</v>
      </c>
      <c r="B2022">
        <v>2313012282</v>
      </c>
      <c r="C2022" t="str">
        <f>T("갓 오브 블랙필드 328화")</f>
        <v>갓 오브 블랙필드 328화</v>
      </c>
      <c r="D2022" t="str">
        <f>T("328")</f>
        <v>328</v>
      </c>
      <c r="E2022" t="str">
        <f t="shared" si="330"/>
        <v>무장</v>
      </c>
      <c r="H2022" t="str">
        <f t="shared" si="329"/>
        <v>스토리위즈</v>
      </c>
      <c r="I2022" t="str">
        <f t="shared" si="331"/>
        <v>갓 오브 블랙필드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200</v>
      </c>
      <c r="AH2022">
        <v>2</v>
      </c>
      <c r="AI2022">
        <v>0</v>
      </c>
      <c r="AJ2022">
        <v>0</v>
      </c>
      <c r="AK2022">
        <v>200</v>
      </c>
      <c r="AL2022">
        <v>0</v>
      </c>
      <c r="AM2022">
        <v>0</v>
      </c>
      <c r="AN2022">
        <v>0</v>
      </c>
      <c r="AO2022">
        <v>0</v>
      </c>
      <c r="AP2022"/>
      <c r="AQ2022">
        <v>0</v>
      </c>
      <c r="AR2022">
        <v>0</v>
      </c>
      <c r="AT2022">
        <v>0</v>
      </c>
      <c r="AU2022">
        <v>0</v>
      </c>
      <c r="AW2022">
        <v>0</v>
      </c>
      <c r="AX2022">
        <v>0</v>
      </c>
      <c r="AY2022">
        <v>140</v>
      </c>
      <c r="BC2022" t="str">
        <f t="shared" si="332"/>
        <v>9791137602113</v>
      </c>
      <c r="BE2022" t="str">
        <f t="shared" si="333"/>
        <v>판타지 웹소설 &gt; 현대 판타지</v>
      </c>
    </row>
    <row r="2023" spans="1:57" x14ac:dyDescent="0.3">
      <c r="A2023">
        <v>2313011955</v>
      </c>
      <c r="B2023">
        <v>2313012283</v>
      </c>
      <c r="C2023" t="str">
        <f>T("갓 오브 블랙필드 329화")</f>
        <v>갓 오브 블랙필드 329화</v>
      </c>
      <c r="D2023" t="str">
        <f>T("329")</f>
        <v>329</v>
      </c>
      <c r="E2023" t="str">
        <f t="shared" si="330"/>
        <v>무장</v>
      </c>
      <c r="H2023" t="str">
        <f t="shared" si="329"/>
        <v>스토리위즈</v>
      </c>
      <c r="I2023" t="str">
        <f t="shared" si="331"/>
        <v>갓 오브 블랙필드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200</v>
      </c>
      <c r="AL2023">
        <v>0</v>
      </c>
      <c r="AM2023">
        <v>0</v>
      </c>
      <c r="AN2023">
        <v>0</v>
      </c>
      <c r="AO2023">
        <v>0</v>
      </c>
      <c r="AP2023"/>
      <c r="AQ2023">
        <v>0</v>
      </c>
      <c r="AR2023">
        <v>0</v>
      </c>
      <c r="AT2023">
        <v>0</v>
      </c>
      <c r="AU2023">
        <v>0</v>
      </c>
      <c r="AW2023">
        <v>0</v>
      </c>
      <c r="AX2023">
        <v>0</v>
      </c>
      <c r="AY2023">
        <v>140</v>
      </c>
      <c r="BC2023" t="str">
        <f t="shared" si="332"/>
        <v>9791137602113</v>
      </c>
      <c r="BE2023" t="str">
        <f t="shared" si="333"/>
        <v>판타지 웹소설 &gt; 현대 판타지</v>
      </c>
    </row>
    <row r="2024" spans="1:57" x14ac:dyDescent="0.3">
      <c r="A2024">
        <v>2313011955</v>
      </c>
      <c r="B2024">
        <v>2313012284</v>
      </c>
      <c r="C2024" t="str">
        <f>T("갓 오브 블랙필드 330화")</f>
        <v>갓 오브 블랙필드 330화</v>
      </c>
      <c r="D2024" t="str">
        <f>T("330")</f>
        <v>330</v>
      </c>
      <c r="E2024" t="str">
        <f t="shared" si="330"/>
        <v>무장</v>
      </c>
      <c r="H2024" t="str">
        <f t="shared" si="329"/>
        <v>스토리위즈</v>
      </c>
      <c r="I2024" t="str">
        <f t="shared" si="331"/>
        <v>갓 오브 블랙필드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200</v>
      </c>
      <c r="AH2024">
        <v>2</v>
      </c>
      <c r="AI2024">
        <v>0</v>
      </c>
      <c r="AJ2024">
        <v>0</v>
      </c>
      <c r="AK2024">
        <v>200</v>
      </c>
      <c r="AL2024">
        <v>0</v>
      </c>
      <c r="AM2024">
        <v>0</v>
      </c>
      <c r="AN2024">
        <v>0</v>
      </c>
      <c r="AO2024">
        <v>0</v>
      </c>
      <c r="AP2024"/>
      <c r="AQ2024">
        <v>0</v>
      </c>
      <c r="AR2024">
        <v>0</v>
      </c>
      <c r="AT2024">
        <v>0</v>
      </c>
      <c r="AU2024">
        <v>0</v>
      </c>
      <c r="AW2024">
        <v>0</v>
      </c>
      <c r="AX2024">
        <v>0</v>
      </c>
      <c r="AY2024">
        <v>140</v>
      </c>
      <c r="BC2024" t="str">
        <f t="shared" si="332"/>
        <v>9791137602113</v>
      </c>
      <c r="BE2024" t="str">
        <f t="shared" si="333"/>
        <v>판타지 웹소설 &gt; 현대 판타지</v>
      </c>
    </row>
    <row r="2025" spans="1:57" x14ac:dyDescent="0.3">
      <c r="A2025">
        <v>2313011955</v>
      </c>
      <c r="B2025">
        <v>2313012285</v>
      </c>
      <c r="C2025" t="str">
        <f>T("갓 오브 블랙필드 331화")</f>
        <v>갓 오브 블랙필드 331화</v>
      </c>
      <c r="D2025" t="str">
        <f>T("331")</f>
        <v>331</v>
      </c>
      <c r="E2025" t="str">
        <f t="shared" si="330"/>
        <v>무장</v>
      </c>
      <c r="H2025" t="str">
        <f t="shared" si="329"/>
        <v>스토리위즈</v>
      </c>
      <c r="I2025" t="str">
        <f t="shared" si="331"/>
        <v>갓 오브 블랙필드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200</v>
      </c>
      <c r="AH2025">
        <v>2</v>
      </c>
      <c r="AI2025">
        <v>0</v>
      </c>
      <c r="AJ2025">
        <v>0</v>
      </c>
      <c r="AK2025">
        <v>200</v>
      </c>
      <c r="AL2025">
        <v>0</v>
      </c>
      <c r="AM2025">
        <v>0</v>
      </c>
      <c r="AN2025">
        <v>0</v>
      </c>
      <c r="AO2025">
        <v>0</v>
      </c>
      <c r="AP2025"/>
      <c r="AQ2025">
        <v>0</v>
      </c>
      <c r="AR2025">
        <v>0</v>
      </c>
      <c r="AT2025">
        <v>0</v>
      </c>
      <c r="AU2025">
        <v>0</v>
      </c>
      <c r="AW2025">
        <v>0</v>
      </c>
      <c r="AX2025">
        <v>0</v>
      </c>
      <c r="AY2025">
        <v>140</v>
      </c>
      <c r="BC2025" t="str">
        <f t="shared" si="332"/>
        <v>9791137602113</v>
      </c>
      <c r="BE2025" t="str">
        <f t="shared" si="333"/>
        <v>판타지 웹소설 &gt; 현대 판타지</v>
      </c>
    </row>
    <row r="2026" spans="1:57" x14ac:dyDescent="0.3">
      <c r="A2026">
        <v>2313011955</v>
      </c>
      <c r="B2026">
        <v>2313012286</v>
      </c>
      <c r="C2026" t="str">
        <f>T("갓 오브 블랙필드 332화")</f>
        <v>갓 오브 블랙필드 332화</v>
      </c>
      <c r="D2026" t="str">
        <f>T("332")</f>
        <v>332</v>
      </c>
      <c r="E2026" t="str">
        <f t="shared" si="330"/>
        <v>무장</v>
      </c>
      <c r="H2026" t="str">
        <f t="shared" si="329"/>
        <v>스토리위즈</v>
      </c>
      <c r="I2026" t="str">
        <f t="shared" si="331"/>
        <v>갓 오브 블랙필드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200</v>
      </c>
      <c r="AH2026">
        <v>2</v>
      </c>
      <c r="AI2026">
        <v>0</v>
      </c>
      <c r="AJ2026">
        <v>0</v>
      </c>
      <c r="AK2026">
        <v>200</v>
      </c>
      <c r="AL2026">
        <v>0</v>
      </c>
      <c r="AM2026">
        <v>0</v>
      </c>
      <c r="AN2026">
        <v>0</v>
      </c>
      <c r="AO2026">
        <v>0</v>
      </c>
      <c r="AP2026"/>
      <c r="AQ2026">
        <v>0</v>
      </c>
      <c r="AR2026">
        <v>0</v>
      </c>
      <c r="AT2026">
        <v>0</v>
      </c>
      <c r="AU2026">
        <v>0</v>
      </c>
      <c r="AW2026">
        <v>0</v>
      </c>
      <c r="AX2026">
        <v>0</v>
      </c>
      <c r="AY2026">
        <v>140</v>
      </c>
      <c r="BC2026" t="str">
        <f t="shared" si="332"/>
        <v>9791137602113</v>
      </c>
      <c r="BE2026" t="str">
        <f t="shared" si="333"/>
        <v>판타지 웹소설 &gt; 현대 판타지</v>
      </c>
    </row>
    <row r="2027" spans="1:57" x14ac:dyDescent="0.3">
      <c r="A2027">
        <v>2313011955</v>
      </c>
      <c r="B2027">
        <v>2313012287</v>
      </c>
      <c r="C2027" t="str">
        <f>T("갓 오브 블랙필드 333화")</f>
        <v>갓 오브 블랙필드 333화</v>
      </c>
      <c r="D2027" t="str">
        <f>T("333")</f>
        <v>333</v>
      </c>
      <c r="E2027" t="str">
        <f t="shared" si="330"/>
        <v>무장</v>
      </c>
      <c r="H2027" t="str">
        <f t="shared" si="329"/>
        <v>스토리위즈</v>
      </c>
      <c r="I2027" t="str">
        <f t="shared" si="331"/>
        <v>갓 오브 블랙필드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</v>
      </c>
      <c r="AH2027">
        <v>2</v>
      </c>
      <c r="AI2027">
        <v>0</v>
      </c>
      <c r="AJ2027">
        <v>0</v>
      </c>
      <c r="AK2027">
        <v>200</v>
      </c>
      <c r="AL2027">
        <v>0</v>
      </c>
      <c r="AM2027">
        <v>0</v>
      </c>
      <c r="AN2027">
        <v>0</v>
      </c>
      <c r="AO2027">
        <v>0</v>
      </c>
      <c r="AP2027"/>
      <c r="AQ2027">
        <v>0</v>
      </c>
      <c r="AR2027">
        <v>0</v>
      </c>
      <c r="AT2027">
        <v>0</v>
      </c>
      <c r="AU2027">
        <v>0</v>
      </c>
      <c r="AW2027">
        <v>0</v>
      </c>
      <c r="AX2027">
        <v>0</v>
      </c>
      <c r="AY2027">
        <v>140</v>
      </c>
      <c r="BC2027" t="str">
        <f t="shared" si="332"/>
        <v>9791137602113</v>
      </c>
      <c r="BE2027" t="str">
        <f t="shared" si="333"/>
        <v>판타지 웹소설 &gt; 현대 판타지</v>
      </c>
    </row>
    <row r="2028" spans="1:57" x14ac:dyDescent="0.3">
      <c r="A2028">
        <v>2313011955</v>
      </c>
      <c r="B2028">
        <v>2313012288</v>
      </c>
      <c r="C2028" t="str">
        <f>T("갓 오브 블랙필드 334화")</f>
        <v>갓 오브 블랙필드 334화</v>
      </c>
      <c r="D2028" t="str">
        <f>T("334")</f>
        <v>334</v>
      </c>
      <c r="E2028" t="str">
        <f t="shared" si="330"/>
        <v>무장</v>
      </c>
      <c r="H2028" t="str">
        <f t="shared" si="329"/>
        <v>스토리위즈</v>
      </c>
      <c r="I2028" t="str">
        <f t="shared" si="331"/>
        <v>갓 오브 블랙필드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200</v>
      </c>
      <c r="AH2028">
        <v>2</v>
      </c>
      <c r="AI2028">
        <v>0</v>
      </c>
      <c r="AJ2028">
        <v>0</v>
      </c>
      <c r="AK2028">
        <v>200</v>
      </c>
      <c r="AL2028">
        <v>0</v>
      </c>
      <c r="AM2028">
        <v>0</v>
      </c>
      <c r="AN2028">
        <v>0</v>
      </c>
      <c r="AO2028">
        <v>0</v>
      </c>
      <c r="AP2028"/>
      <c r="AQ2028">
        <v>0</v>
      </c>
      <c r="AR2028">
        <v>0</v>
      </c>
      <c r="AT2028">
        <v>0</v>
      </c>
      <c r="AU2028">
        <v>0</v>
      </c>
      <c r="AW2028">
        <v>0</v>
      </c>
      <c r="AX2028">
        <v>0</v>
      </c>
      <c r="AY2028">
        <v>140</v>
      </c>
      <c r="BC2028" t="str">
        <f t="shared" si="332"/>
        <v>9791137602113</v>
      </c>
      <c r="BE2028" t="str">
        <f t="shared" si="333"/>
        <v>판타지 웹소설 &gt; 현대 판타지</v>
      </c>
    </row>
    <row r="2029" spans="1:57" x14ac:dyDescent="0.3">
      <c r="A2029">
        <v>2313011955</v>
      </c>
      <c r="B2029">
        <v>2313012289</v>
      </c>
      <c r="C2029" t="str">
        <f>T("갓 오브 블랙필드 335화")</f>
        <v>갓 오브 블랙필드 335화</v>
      </c>
      <c r="D2029" t="str">
        <f>T("335")</f>
        <v>335</v>
      </c>
      <c r="E2029" t="str">
        <f t="shared" si="330"/>
        <v>무장</v>
      </c>
      <c r="H2029" t="str">
        <f t="shared" si="329"/>
        <v>스토리위즈</v>
      </c>
      <c r="I2029" t="str">
        <f t="shared" si="331"/>
        <v>갓 오브 블랙필드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200</v>
      </c>
      <c r="AH2029">
        <v>2</v>
      </c>
      <c r="AI2029">
        <v>0</v>
      </c>
      <c r="AJ2029">
        <v>0</v>
      </c>
      <c r="AK2029">
        <v>200</v>
      </c>
      <c r="AL2029">
        <v>0</v>
      </c>
      <c r="AM2029">
        <v>0</v>
      </c>
      <c r="AN2029">
        <v>0</v>
      </c>
      <c r="AO2029">
        <v>0</v>
      </c>
      <c r="AP2029"/>
      <c r="AQ2029">
        <v>0</v>
      </c>
      <c r="AR2029">
        <v>0</v>
      </c>
      <c r="AT2029">
        <v>0</v>
      </c>
      <c r="AU2029">
        <v>0</v>
      </c>
      <c r="AW2029">
        <v>0</v>
      </c>
      <c r="AX2029">
        <v>0</v>
      </c>
      <c r="AY2029">
        <v>140</v>
      </c>
      <c r="BC2029" t="str">
        <f t="shared" si="332"/>
        <v>9791137602113</v>
      </c>
      <c r="BE2029" t="str">
        <f t="shared" si="333"/>
        <v>판타지 웹소설 &gt; 현대 판타지</v>
      </c>
    </row>
    <row r="2030" spans="1:57" x14ac:dyDescent="0.3">
      <c r="A2030">
        <v>2313011955</v>
      </c>
      <c r="B2030">
        <v>2313012290</v>
      </c>
      <c r="C2030" t="str">
        <f>T("갓 오브 블랙필드 336화")</f>
        <v>갓 오브 블랙필드 336화</v>
      </c>
      <c r="D2030" t="str">
        <f>T("336")</f>
        <v>336</v>
      </c>
      <c r="E2030" t="str">
        <f t="shared" si="330"/>
        <v>무장</v>
      </c>
      <c r="H2030" t="str">
        <f t="shared" si="329"/>
        <v>스토리위즈</v>
      </c>
      <c r="I2030" t="str">
        <f t="shared" si="331"/>
        <v>갓 오브 블랙필드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200</v>
      </c>
      <c r="AH2030">
        <v>2</v>
      </c>
      <c r="AI2030">
        <v>0</v>
      </c>
      <c r="AJ2030">
        <v>0</v>
      </c>
      <c r="AK2030">
        <v>200</v>
      </c>
      <c r="AL2030">
        <v>0</v>
      </c>
      <c r="AM2030">
        <v>0</v>
      </c>
      <c r="AN2030">
        <v>0</v>
      </c>
      <c r="AO2030">
        <v>0</v>
      </c>
      <c r="AP2030"/>
      <c r="AQ2030">
        <v>0</v>
      </c>
      <c r="AR2030">
        <v>0</v>
      </c>
      <c r="AT2030">
        <v>0</v>
      </c>
      <c r="AU2030">
        <v>0</v>
      </c>
      <c r="AW2030">
        <v>0</v>
      </c>
      <c r="AX2030">
        <v>0</v>
      </c>
      <c r="AY2030">
        <v>140</v>
      </c>
      <c r="BC2030" t="str">
        <f t="shared" si="332"/>
        <v>9791137602113</v>
      </c>
      <c r="BE2030" t="str">
        <f t="shared" si="333"/>
        <v>판타지 웹소설 &gt; 현대 판타지</v>
      </c>
    </row>
    <row r="2031" spans="1:57" x14ac:dyDescent="0.3">
      <c r="A2031">
        <v>2313011955</v>
      </c>
      <c r="B2031">
        <v>2313012291</v>
      </c>
      <c r="C2031" t="str">
        <f>T("갓 오브 블랙필드 337화")</f>
        <v>갓 오브 블랙필드 337화</v>
      </c>
      <c r="D2031" t="str">
        <f>T("337")</f>
        <v>337</v>
      </c>
      <c r="E2031" t="str">
        <f t="shared" si="330"/>
        <v>무장</v>
      </c>
      <c r="H2031" t="str">
        <f t="shared" si="329"/>
        <v>스토리위즈</v>
      </c>
      <c r="I2031" t="str">
        <f t="shared" si="331"/>
        <v>갓 오브 블랙필드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200</v>
      </c>
      <c r="AL2031">
        <v>0</v>
      </c>
      <c r="AM2031">
        <v>0</v>
      </c>
      <c r="AN2031">
        <v>0</v>
      </c>
      <c r="AO2031">
        <v>0</v>
      </c>
      <c r="AP2031"/>
      <c r="AQ2031">
        <v>0</v>
      </c>
      <c r="AR2031">
        <v>0</v>
      </c>
      <c r="AT2031">
        <v>0</v>
      </c>
      <c r="AU2031">
        <v>0</v>
      </c>
      <c r="AW2031">
        <v>0</v>
      </c>
      <c r="AX2031">
        <v>0</v>
      </c>
      <c r="AY2031">
        <v>140</v>
      </c>
      <c r="BC2031" t="str">
        <f t="shared" si="332"/>
        <v>9791137602113</v>
      </c>
      <c r="BE2031" t="str">
        <f t="shared" si="333"/>
        <v>판타지 웹소설 &gt; 현대 판타지</v>
      </c>
    </row>
    <row r="2032" spans="1:57" x14ac:dyDescent="0.3">
      <c r="A2032">
        <v>2313011955</v>
      </c>
      <c r="B2032">
        <v>2313012292</v>
      </c>
      <c r="C2032" t="str">
        <f>T("갓 오브 블랙필드 338화")</f>
        <v>갓 오브 블랙필드 338화</v>
      </c>
      <c r="D2032" t="str">
        <f>T("338")</f>
        <v>338</v>
      </c>
      <c r="E2032" t="str">
        <f t="shared" si="330"/>
        <v>무장</v>
      </c>
      <c r="H2032" t="str">
        <f t="shared" si="329"/>
        <v>스토리위즈</v>
      </c>
      <c r="I2032" t="str">
        <f t="shared" si="331"/>
        <v>갓 오브 블랙필드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200</v>
      </c>
      <c r="AH2032">
        <v>2</v>
      </c>
      <c r="AI2032">
        <v>0</v>
      </c>
      <c r="AJ2032">
        <v>0</v>
      </c>
      <c r="AK2032">
        <v>200</v>
      </c>
      <c r="AL2032">
        <v>0</v>
      </c>
      <c r="AM2032">
        <v>0</v>
      </c>
      <c r="AN2032">
        <v>0</v>
      </c>
      <c r="AO2032">
        <v>0</v>
      </c>
      <c r="AP2032"/>
      <c r="AQ2032">
        <v>0</v>
      </c>
      <c r="AR2032">
        <v>0</v>
      </c>
      <c r="AT2032">
        <v>0</v>
      </c>
      <c r="AU2032">
        <v>0</v>
      </c>
      <c r="AW2032">
        <v>0</v>
      </c>
      <c r="AX2032">
        <v>0</v>
      </c>
      <c r="AY2032">
        <v>140</v>
      </c>
      <c r="BC2032" t="str">
        <f t="shared" si="332"/>
        <v>9791137602113</v>
      </c>
      <c r="BE2032" t="str">
        <f t="shared" si="333"/>
        <v>판타지 웹소설 &gt; 현대 판타지</v>
      </c>
    </row>
    <row r="2033" spans="1:57" x14ac:dyDescent="0.3">
      <c r="A2033">
        <v>2313011955</v>
      </c>
      <c r="B2033">
        <v>2313012293</v>
      </c>
      <c r="C2033" t="str">
        <f>T("갓 오브 블랙필드 339화")</f>
        <v>갓 오브 블랙필드 339화</v>
      </c>
      <c r="D2033" t="str">
        <f>T("339")</f>
        <v>339</v>
      </c>
      <c r="E2033" t="str">
        <f t="shared" si="330"/>
        <v>무장</v>
      </c>
      <c r="H2033" t="str">
        <f t="shared" si="329"/>
        <v>스토리위즈</v>
      </c>
      <c r="I2033" t="str">
        <f t="shared" si="331"/>
        <v>갓 오브 블랙필드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200</v>
      </c>
      <c r="AH2033">
        <v>2</v>
      </c>
      <c r="AI2033">
        <v>0</v>
      </c>
      <c r="AJ2033">
        <v>0</v>
      </c>
      <c r="AK2033">
        <v>200</v>
      </c>
      <c r="AL2033">
        <v>0</v>
      </c>
      <c r="AM2033">
        <v>0</v>
      </c>
      <c r="AN2033">
        <v>0</v>
      </c>
      <c r="AO2033">
        <v>0</v>
      </c>
      <c r="AP2033"/>
      <c r="AQ2033">
        <v>0</v>
      </c>
      <c r="AR2033">
        <v>0</v>
      </c>
      <c r="AT2033">
        <v>0</v>
      </c>
      <c r="AU2033">
        <v>0</v>
      </c>
      <c r="AW2033">
        <v>0</v>
      </c>
      <c r="AX2033">
        <v>0</v>
      </c>
      <c r="AY2033">
        <v>140</v>
      </c>
      <c r="BC2033" t="str">
        <f t="shared" si="332"/>
        <v>9791137602113</v>
      </c>
      <c r="BE2033" t="str">
        <f t="shared" si="333"/>
        <v>판타지 웹소설 &gt; 현대 판타지</v>
      </c>
    </row>
    <row r="2034" spans="1:57" x14ac:dyDescent="0.3">
      <c r="A2034">
        <v>2313011955</v>
      </c>
      <c r="B2034">
        <v>2313012294</v>
      </c>
      <c r="C2034" t="str">
        <f>T("갓 오브 블랙필드 340화")</f>
        <v>갓 오브 블랙필드 340화</v>
      </c>
      <c r="D2034" t="str">
        <f>T("340")</f>
        <v>340</v>
      </c>
      <c r="E2034" t="str">
        <f t="shared" si="330"/>
        <v>무장</v>
      </c>
      <c r="H2034" t="str">
        <f t="shared" si="329"/>
        <v>스토리위즈</v>
      </c>
      <c r="I2034" t="str">
        <f t="shared" si="331"/>
        <v>갓 오브 블랙필드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200</v>
      </c>
      <c r="AH2034">
        <v>2</v>
      </c>
      <c r="AI2034">
        <v>0</v>
      </c>
      <c r="AJ2034">
        <v>0</v>
      </c>
      <c r="AK2034">
        <v>200</v>
      </c>
      <c r="AL2034">
        <v>0</v>
      </c>
      <c r="AM2034">
        <v>0</v>
      </c>
      <c r="AN2034">
        <v>0</v>
      </c>
      <c r="AO2034">
        <v>0</v>
      </c>
      <c r="AP2034"/>
      <c r="AQ2034">
        <v>0</v>
      </c>
      <c r="AR2034">
        <v>0</v>
      </c>
      <c r="AT2034">
        <v>0</v>
      </c>
      <c r="AU2034">
        <v>0</v>
      </c>
      <c r="AW2034">
        <v>0</v>
      </c>
      <c r="AX2034">
        <v>0</v>
      </c>
      <c r="AY2034">
        <v>140</v>
      </c>
      <c r="BC2034" t="str">
        <f t="shared" si="332"/>
        <v>9791137602113</v>
      </c>
      <c r="BE2034" t="str">
        <f t="shared" si="333"/>
        <v>판타지 웹소설 &gt; 현대 판타지</v>
      </c>
    </row>
    <row r="2035" spans="1:57" x14ac:dyDescent="0.3">
      <c r="A2035">
        <v>2313011955</v>
      </c>
      <c r="B2035">
        <v>2313012295</v>
      </c>
      <c r="C2035" t="str">
        <f>T("갓 오브 블랙필드 341화")</f>
        <v>갓 오브 블랙필드 341화</v>
      </c>
      <c r="D2035" t="str">
        <f>T("341")</f>
        <v>341</v>
      </c>
      <c r="E2035" t="str">
        <f t="shared" si="330"/>
        <v>무장</v>
      </c>
      <c r="H2035" t="str">
        <f t="shared" si="329"/>
        <v>스토리위즈</v>
      </c>
      <c r="I2035" t="str">
        <f t="shared" si="331"/>
        <v>갓 오브 블랙필드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</v>
      </c>
      <c r="AH2035">
        <v>2</v>
      </c>
      <c r="AI2035">
        <v>0</v>
      </c>
      <c r="AJ2035">
        <v>0</v>
      </c>
      <c r="AK2035">
        <v>200</v>
      </c>
      <c r="AL2035">
        <v>0</v>
      </c>
      <c r="AM2035">
        <v>0</v>
      </c>
      <c r="AN2035">
        <v>0</v>
      </c>
      <c r="AO2035">
        <v>0</v>
      </c>
      <c r="AP2035"/>
      <c r="AQ2035">
        <v>0</v>
      </c>
      <c r="AR2035">
        <v>0</v>
      </c>
      <c r="AT2035">
        <v>0</v>
      </c>
      <c r="AU2035">
        <v>0</v>
      </c>
      <c r="AW2035">
        <v>0</v>
      </c>
      <c r="AX2035">
        <v>0</v>
      </c>
      <c r="AY2035">
        <v>140</v>
      </c>
      <c r="BC2035" t="str">
        <f t="shared" si="332"/>
        <v>9791137602113</v>
      </c>
      <c r="BE2035" t="str">
        <f t="shared" si="333"/>
        <v>판타지 웹소설 &gt; 현대 판타지</v>
      </c>
    </row>
    <row r="2036" spans="1:57" x14ac:dyDescent="0.3">
      <c r="A2036">
        <v>2313011955</v>
      </c>
      <c r="B2036">
        <v>2313012296</v>
      </c>
      <c r="C2036" t="str">
        <f>T("갓 오브 블랙필드 342화")</f>
        <v>갓 오브 블랙필드 342화</v>
      </c>
      <c r="D2036" t="str">
        <f>T("342")</f>
        <v>342</v>
      </c>
      <c r="E2036" t="str">
        <f t="shared" si="330"/>
        <v>무장</v>
      </c>
      <c r="H2036" t="str">
        <f t="shared" si="329"/>
        <v>스토리위즈</v>
      </c>
      <c r="I2036" t="str">
        <f t="shared" si="331"/>
        <v>갓 오브 블랙필드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200</v>
      </c>
      <c r="AH2036">
        <v>2</v>
      </c>
      <c r="AI2036">
        <v>0</v>
      </c>
      <c r="AJ2036">
        <v>0</v>
      </c>
      <c r="AK2036">
        <v>200</v>
      </c>
      <c r="AL2036">
        <v>0</v>
      </c>
      <c r="AM2036">
        <v>0</v>
      </c>
      <c r="AN2036">
        <v>0</v>
      </c>
      <c r="AO2036">
        <v>0</v>
      </c>
      <c r="AP2036"/>
      <c r="AQ2036">
        <v>0</v>
      </c>
      <c r="AR2036">
        <v>0</v>
      </c>
      <c r="AT2036">
        <v>0</v>
      </c>
      <c r="AU2036">
        <v>0</v>
      </c>
      <c r="AW2036">
        <v>0</v>
      </c>
      <c r="AX2036">
        <v>0</v>
      </c>
      <c r="AY2036">
        <v>140</v>
      </c>
      <c r="BC2036" t="str">
        <f t="shared" si="332"/>
        <v>9791137602113</v>
      </c>
      <c r="BE2036" t="str">
        <f t="shared" si="333"/>
        <v>판타지 웹소설 &gt; 현대 판타지</v>
      </c>
    </row>
    <row r="2037" spans="1:57" x14ac:dyDescent="0.3">
      <c r="A2037">
        <v>2313011955</v>
      </c>
      <c r="B2037">
        <v>2313012297</v>
      </c>
      <c r="C2037" t="str">
        <f>T("갓 오브 블랙필드 343화")</f>
        <v>갓 오브 블랙필드 343화</v>
      </c>
      <c r="D2037" t="str">
        <f>T("343")</f>
        <v>343</v>
      </c>
      <c r="E2037" t="str">
        <f t="shared" si="330"/>
        <v>무장</v>
      </c>
      <c r="H2037" t="str">
        <f t="shared" si="329"/>
        <v>스토리위즈</v>
      </c>
      <c r="I2037" t="str">
        <f t="shared" si="331"/>
        <v>갓 오브 블랙필드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200</v>
      </c>
      <c r="AH2037">
        <v>2</v>
      </c>
      <c r="AI2037">
        <v>0</v>
      </c>
      <c r="AJ2037">
        <v>0</v>
      </c>
      <c r="AK2037">
        <v>200</v>
      </c>
      <c r="AL2037">
        <v>0</v>
      </c>
      <c r="AM2037">
        <v>0</v>
      </c>
      <c r="AN2037">
        <v>0</v>
      </c>
      <c r="AO2037">
        <v>0</v>
      </c>
      <c r="AP2037"/>
      <c r="AQ2037">
        <v>0</v>
      </c>
      <c r="AR2037">
        <v>0</v>
      </c>
      <c r="AT2037">
        <v>0</v>
      </c>
      <c r="AU2037">
        <v>0</v>
      </c>
      <c r="AW2037">
        <v>0</v>
      </c>
      <c r="AX2037">
        <v>0</v>
      </c>
      <c r="AY2037">
        <v>140</v>
      </c>
      <c r="BC2037" t="str">
        <f t="shared" si="332"/>
        <v>9791137602113</v>
      </c>
      <c r="BE2037" t="str">
        <f t="shared" si="333"/>
        <v>판타지 웹소설 &gt; 현대 판타지</v>
      </c>
    </row>
    <row r="2038" spans="1:57" x14ac:dyDescent="0.3">
      <c r="A2038">
        <v>2313011955</v>
      </c>
      <c r="B2038">
        <v>2313012298</v>
      </c>
      <c r="C2038" t="str">
        <f>T("갓 오브 블랙필드 344화")</f>
        <v>갓 오브 블랙필드 344화</v>
      </c>
      <c r="D2038" t="str">
        <f>T("344")</f>
        <v>344</v>
      </c>
      <c r="E2038" t="str">
        <f t="shared" si="330"/>
        <v>무장</v>
      </c>
      <c r="H2038" t="str">
        <f t="shared" si="329"/>
        <v>스토리위즈</v>
      </c>
      <c r="I2038" t="str">
        <f t="shared" si="331"/>
        <v>갓 오브 블랙필드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200</v>
      </c>
      <c r="AH2038">
        <v>2</v>
      </c>
      <c r="AI2038">
        <v>0</v>
      </c>
      <c r="AJ2038">
        <v>0</v>
      </c>
      <c r="AK2038">
        <v>200</v>
      </c>
      <c r="AL2038">
        <v>0</v>
      </c>
      <c r="AM2038">
        <v>0</v>
      </c>
      <c r="AN2038">
        <v>0</v>
      </c>
      <c r="AO2038">
        <v>0</v>
      </c>
      <c r="AP2038"/>
      <c r="AQ2038">
        <v>0</v>
      </c>
      <c r="AR2038">
        <v>0</v>
      </c>
      <c r="AT2038">
        <v>0</v>
      </c>
      <c r="AU2038">
        <v>0</v>
      </c>
      <c r="AW2038">
        <v>0</v>
      </c>
      <c r="AX2038">
        <v>0</v>
      </c>
      <c r="AY2038">
        <v>140</v>
      </c>
      <c r="BC2038" t="str">
        <f t="shared" si="332"/>
        <v>9791137602113</v>
      </c>
      <c r="BE2038" t="str">
        <f t="shared" si="333"/>
        <v>판타지 웹소설 &gt; 현대 판타지</v>
      </c>
    </row>
    <row r="2039" spans="1:57" x14ac:dyDescent="0.3">
      <c r="A2039">
        <v>2313011955</v>
      </c>
      <c r="B2039">
        <v>2313012299</v>
      </c>
      <c r="C2039" t="str">
        <f>T("갓 오브 블랙필드 345화")</f>
        <v>갓 오브 블랙필드 345화</v>
      </c>
      <c r="D2039" t="str">
        <f>T("345")</f>
        <v>345</v>
      </c>
      <c r="E2039" t="str">
        <f t="shared" si="330"/>
        <v>무장</v>
      </c>
      <c r="H2039" t="str">
        <f t="shared" si="329"/>
        <v>스토리위즈</v>
      </c>
      <c r="I2039" t="str">
        <f t="shared" si="331"/>
        <v>갓 오브 블랙필드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200</v>
      </c>
      <c r="AH2039">
        <v>2</v>
      </c>
      <c r="AI2039">
        <v>0</v>
      </c>
      <c r="AJ2039">
        <v>0</v>
      </c>
      <c r="AK2039">
        <v>200</v>
      </c>
      <c r="AL2039">
        <v>0</v>
      </c>
      <c r="AM2039">
        <v>0</v>
      </c>
      <c r="AN2039">
        <v>0</v>
      </c>
      <c r="AO2039">
        <v>0</v>
      </c>
      <c r="AP2039"/>
      <c r="AQ2039">
        <v>0</v>
      </c>
      <c r="AR2039">
        <v>0</v>
      </c>
      <c r="AT2039">
        <v>0</v>
      </c>
      <c r="AU2039">
        <v>0</v>
      </c>
      <c r="AW2039">
        <v>0</v>
      </c>
      <c r="AX2039">
        <v>0</v>
      </c>
      <c r="AY2039">
        <v>140</v>
      </c>
      <c r="BC2039" t="str">
        <f t="shared" si="332"/>
        <v>9791137602113</v>
      </c>
      <c r="BE2039" t="str">
        <f t="shared" si="333"/>
        <v>판타지 웹소설 &gt; 현대 판타지</v>
      </c>
    </row>
    <row r="2040" spans="1:57" x14ac:dyDescent="0.3">
      <c r="A2040">
        <v>2313011955</v>
      </c>
      <c r="B2040">
        <v>2313012300</v>
      </c>
      <c r="C2040" t="str">
        <f>T("갓 오브 블랙필드 346화")</f>
        <v>갓 오브 블랙필드 346화</v>
      </c>
      <c r="D2040" t="str">
        <f>T("346")</f>
        <v>346</v>
      </c>
      <c r="E2040" t="str">
        <f t="shared" si="330"/>
        <v>무장</v>
      </c>
      <c r="H2040" t="str">
        <f t="shared" si="329"/>
        <v>스토리위즈</v>
      </c>
      <c r="I2040" t="str">
        <f t="shared" si="331"/>
        <v>갓 오브 블랙필드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200</v>
      </c>
      <c r="AH2040">
        <v>2</v>
      </c>
      <c r="AI2040">
        <v>0</v>
      </c>
      <c r="AJ2040">
        <v>0</v>
      </c>
      <c r="AK2040">
        <v>200</v>
      </c>
      <c r="AL2040">
        <v>0</v>
      </c>
      <c r="AM2040">
        <v>0</v>
      </c>
      <c r="AN2040">
        <v>0</v>
      </c>
      <c r="AO2040">
        <v>0</v>
      </c>
      <c r="AP2040"/>
      <c r="AQ2040">
        <v>0</v>
      </c>
      <c r="AR2040">
        <v>0</v>
      </c>
      <c r="AT2040">
        <v>0</v>
      </c>
      <c r="AU2040">
        <v>0</v>
      </c>
      <c r="AW2040">
        <v>0</v>
      </c>
      <c r="AX2040">
        <v>0</v>
      </c>
      <c r="AY2040">
        <v>140</v>
      </c>
      <c r="BC2040" t="str">
        <f t="shared" si="332"/>
        <v>9791137602113</v>
      </c>
      <c r="BE2040" t="str">
        <f t="shared" si="333"/>
        <v>판타지 웹소설 &gt; 현대 판타지</v>
      </c>
    </row>
    <row r="2041" spans="1:57" x14ac:dyDescent="0.3">
      <c r="A2041">
        <v>2313011955</v>
      </c>
      <c r="B2041">
        <v>2313012301</v>
      </c>
      <c r="C2041" t="str">
        <f>T("갓 오브 블랙필드 347화")</f>
        <v>갓 오브 블랙필드 347화</v>
      </c>
      <c r="D2041" t="str">
        <f>T("347")</f>
        <v>347</v>
      </c>
      <c r="E2041" t="str">
        <f t="shared" si="330"/>
        <v>무장</v>
      </c>
      <c r="H2041" t="str">
        <f t="shared" si="329"/>
        <v>스토리위즈</v>
      </c>
      <c r="I2041" t="str">
        <f t="shared" si="331"/>
        <v>갓 오브 블랙필드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200</v>
      </c>
      <c r="AH2041">
        <v>2</v>
      </c>
      <c r="AI2041">
        <v>0</v>
      </c>
      <c r="AJ2041">
        <v>0</v>
      </c>
      <c r="AK2041">
        <v>200</v>
      </c>
      <c r="AL2041">
        <v>0</v>
      </c>
      <c r="AM2041">
        <v>0</v>
      </c>
      <c r="AN2041">
        <v>0</v>
      </c>
      <c r="AO2041">
        <v>0</v>
      </c>
      <c r="AP2041"/>
      <c r="AQ2041">
        <v>0</v>
      </c>
      <c r="AR2041">
        <v>0</v>
      </c>
      <c r="AT2041">
        <v>0</v>
      </c>
      <c r="AU2041">
        <v>0</v>
      </c>
      <c r="AW2041">
        <v>0</v>
      </c>
      <c r="AX2041">
        <v>0</v>
      </c>
      <c r="AY2041">
        <v>140</v>
      </c>
      <c r="BC2041" t="str">
        <f t="shared" si="332"/>
        <v>9791137602113</v>
      </c>
      <c r="BE2041" t="str">
        <f t="shared" si="333"/>
        <v>판타지 웹소설 &gt; 현대 판타지</v>
      </c>
    </row>
    <row r="2042" spans="1:57" x14ac:dyDescent="0.3">
      <c r="A2042">
        <v>2313011955</v>
      </c>
      <c r="B2042">
        <v>2313012302</v>
      </c>
      <c r="C2042" t="str">
        <f>T("갓 오브 블랙필드 348화")</f>
        <v>갓 오브 블랙필드 348화</v>
      </c>
      <c r="D2042" t="str">
        <f>T("348")</f>
        <v>348</v>
      </c>
      <c r="E2042" t="str">
        <f t="shared" si="330"/>
        <v>무장</v>
      </c>
      <c r="H2042" t="str">
        <f t="shared" si="329"/>
        <v>스토리위즈</v>
      </c>
      <c r="I2042" t="str">
        <f t="shared" si="331"/>
        <v>갓 오브 블랙필드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200</v>
      </c>
      <c r="AH2042">
        <v>2</v>
      </c>
      <c r="AI2042">
        <v>0</v>
      </c>
      <c r="AJ2042">
        <v>0</v>
      </c>
      <c r="AK2042">
        <v>200</v>
      </c>
      <c r="AL2042">
        <v>0</v>
      </c>
      <c r="AM2042">
        <v>0</v>
      </c>
      <c r="AN2042">
        <v>0</v>
      </c>
      <c r="AO2042">
        <v>0</v>
      </c>
      <c r="AP2042"/>
      <c r="AQ2042">
        <v>0</v>
      </c>
      <c r="AR2042">
        <v>0</v>
      </c>
      <c r="AT2042">
        <v>0</v>
      </c>
      <c r="AU2042">
        <v>0</v>
      </c>
      <c r="AW2042">
        <v>0</v>
      </c>
      <c r="AX2042">
        <v>0</v>
      </c>
      <c r="AY2042">
        <v>140</v>
      </c>
      <c r="BC2042" t="str">
        <f t="shared" si="332"/>
        <v>9791137602113</v>
      </c>
      <c r="BE2042" t="str">
        <f t="shared" si="333"/>
        <v>판타지 웹소설 &gt; 현대 판타지</v>
      </c>
    </row>
    <row r="2043" spans="1:57" x14ac:dyDescent="0.3">
      <c r="A2043">
        <v>2313011955</v>
      </c>
      <c r="B2043">
        <v>2313012303</v>
      </c>
      <c r="C2043" t="str">
        <f>T("갓 오브 블랙필드 349화")</f>
        <v>갓 오브 블랙필드 349화</v>
      </c>
      <c r="D2043" t="str">
        <f>T("349")</f>
        <v>349</v>
      </c>
      <c r="E2043" t="str">
        <f t="shared" si="330"/>
        <v>무장</v>
      </c>
      <c r="H2043" t="str">
        <f t="shared" si="329"/>
        <v>스토리위즈</v>
      </c>
      <c r="I2043" t="str">
        <f t="shared" si="331"/>
        <v>갓 오브 블랙필드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200</v>
      </c>
      <c r="AH2043">
        <v>2</v>
      </c>
      <c r="AI2043">
        <v>0</v>
      </c>
      <c r="AJ2043">
        <v>0</v>
      </c>
      <c r="AK2043">
        <v>200</v>
      </c>
      <c r="AL2043">
        <v>0</v>
      </c>
      <c r="AM2043">
        <v>0</v>
      </c>
      <c r="AN2043">
        <v>0</v>
      </c>
      <c r="AO2043">
        <v>0</v>
      </c>
      <c r="AP2043"/>
      <c r="AQ2043">
        <v>0</v>
      </c>
      <c r="AR2043">
        <v>0</v>
      </c>
      <c r="AT2043">
        <v>0</v>
      </c>
      <c r="AU2043">
        <v>0</v>
      </c>
      <c r="AW2043">
        <v>0</v>
      </c>
      <c r="AX2043">
        <v>0</v>
      </c>
      <c r="AY2043">
        <v>140</v>
      </c>
      <c r="BC2043" t="str">
        <f t="shared" si="332"/>
        <v>9791137602113</v>
      </c>
      <c r="BE2043" t="str">
        <f t="shared" si="333"/>
        <v>판타지 웹소설 &gt; 현대 판타지</v>
      </c>
    </row>
    <row r="2044" spans="1:57" x14ac:dyDescent="0.3">
      <c r="A2044">
        <v>2313011955</v>
      </c>
      <c r="B2044">
        <v>2313012304</v>
      </c>
      <c r="C2044" t="str">
        <f>T("갓 오브 블랙필드 350화")</f>
        <v>갓 오브 블랙필드 350화</v>
      </c>
      <c r="D2044" t="str">
        <f>T("350")</f>
        <v>350</v>
      </c>
      <c r="E2044" t="str">
        <f t="shared" si="330"/>
        <v>무장</v>
      </c>
      <c r="H2044" t="str">
        <f t="shared" ref="H2044:H2107" si="334">T("스토리위즈")</f>
        <v>스토리위즈</v>
      </c>
      <c r="I2044" t="str">
        <f t="shared" si="331"/>
        <v>갓 오브 블랙필드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200</v>
      </c>
      <c r="AH2044">
        <v>2</v>
      </c>
      <c r="AI2044">
        <v>0</v>
      </c>
      <c r="AJ2044">
        <v>0</v>
      </c>
      <c r="AK2044">
        <v>200</v>
      </c>
      <c r="AL2044">
        <v>0</v>
      </c>
      <c r="AM2044">
        <v>0</v>
      </c>
      <c r="AN2044">
        <v>0</v>
      </c>
      <c r="AO2044">
        <v>0</v>
      </c>
      <c r="AP2044"/>
      <c r="AQ2044">
        <v>0</v>
      </c>
      <c r="AR2044">
        <v>0</v>
      </c>
      <c r="AT2044">
        <v>0</v>
      </c>
      <c r="AU2044">
        <v>0</v>
      </c>
      <c r="AW2044">
        <v>0</v>
      </c>
      <c r="AX2044">
        <v>0</v>
      </c>
      <c r="AY2044">
        <v>140</v>
      </c>
      <c r="BC2044" t="str">
        <f t="shared" si="332"/>
        <v>9791137602113</v>
      </c>
      <c r="BE2044" t="str">
        <f t="shared" si="333"/>
        <v>판타지 웹소설 &gt; 현대 판타지</v>
      </c>
    </row>
    <row r="2045" spans="1:57" x14ac:dyDescent="0.3">
      <c r="A2045">
        <v>2313011955</v>
      </c>
      <c r="B2045">
        <v>2313012305</v>
      </c>
      <c r="C2045" t="str">
        <f>T("갓 오브 블랙필드 351화")</f>
        <v>갓 오브 블랙필드 351화</v>
      </c>
      <c r="D2045" t="str">
        <f>T("351")</f>
        <v>351</v>
      </c>
      <c r="E2045" t="str">
        <f t="shared" si="330"/>
        <v>무장</v>
      </c>
      <c r="H2045" t="str">
        <f t="shared" si="334"/>
        <v>스토리위즈</v>
      </c>
      <c r="I2045" t="str">
        <f t="shared" si="331"/>
        <v>갓 오브 블랙필드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</v>
      </c>
      <c r="AH2045">
        <v>2</v>
      </c>
      <c r="AI2045">
        <v>0</v>
      </c>
      <c r="AJ2045">
        <v>0</v>
      </c>
      <c r="AK2045">
        <v>200</v>
      </c>
      <c r="AL2045">
        <v>0</v>
      </c>
      <c r="AM2045">
        <v>0</v>
      </c>
      <c r="AN2045">
        <v>0</v>
      </c>
      <c r="AO2045">
        <v>0</v>
      </c>
      <c r="AP2045"/>
      <c r="AQ2045">
        <v>0</v>
      </c>
      <c r="AR2045">
        <v>0</v>
      </c>
      <c r="AT2045">
        <v>0</v>
      </c>
      <c r="AU2045">
        <v>0</v>
      </c>
      <c r="AW2045">
        <v>0</v>
      </c>
      <c r="AX2045">
        <v>0</v>
      </c>
      <c r="AY2045">
        <v>140</v>
      </c>
      <c r="BC2045" t="str">
        <f t="shared" si="332"/>
        <v>9791137602113</v>
      </c>
      <c r="BE2045" t="str">
        <f t="shared" si="333"/>
        <v>판타지 웹소설 &gt; 현대 판타지</v>
      </c>
    </row>
    <row r="2046" spans="1:57" x14ac:dyDescent="0.3">
      <c r="A2046">
        <v>2313011955</v>
      </c>
      <c r="B2046">
        <v>2313012306</v>
      </c>
      <c r="C2046" t="str">
        <f>T("갓 오브 블랙필드 352화")</f>
        <v>갓 오브 블랙필드 352화</v>
      </c>
      <c r="D2046" t="str">
        <f>T("352")</f>
        <v>352</v>
      </c>
      <c r="E2046" t="str">
        <f t="shared" si="330"/>
        <v>무장</v>
      </c>
      <c r="H2046" t="str">
        <f t="shared" si="334"/>
        <v>스토리위즈</v>
      </c>
      <c r="I2046" t="str">
        <f t="shared" si="331"/>
        <v>갓 오브 블랙필드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200</v>
      </c>
      <c r="AH2046">
        <v>2</v>
      </c>
      <c r="AI2046">
        <v>0</v>
      </c>
      <c r="AJ2046">
        <v>0</v>
      </c>
      <c r="AK2046">
        <v>200</v>
      </c>
      <c r="AL2046">
        <v>0</v>
      </c>
      <c r="AM2046">
        <v>0</v>
      </c>
      <c r="AN2046">
        <v>0</v>
      </c>
      <c r="AO2046">
        <v>0</v>
      </c>
      <c r="AP2046"/>
      <c r="AQ2046">
        <v>0</v>
      </c>
      <c r="AR2046">
        <v>0</v>
      </c>
      <c r="AT2046">
        <v>0</v>
      </c>
      <c r="AU2046">
        <v>0</v>
      </c>
      <c r="AW2046">
        <v>0</v>
      </c>
      <c r="AX2046">
        <v>0</v>
      </c>
      <c r="AY2046">
        <v>140</v>
      </c>
      <c r="BC2046" t="str">
        <f t="shared" si="332"/>
        <v>9791137602113</v>
      </c>
      <c r="BE2046" t="str">
        <f t="shared" si="333"/>
        <v>판타지 웹소설 &gt; 현대 판타지</v>
      </c>
    </row>
    <row r="2047" spans="1:57" x14ac:dyDescent="0.3">
      <c r="A2047">
        <v>2313011955</v>
      </c>
      <c r="B2047">
        <v>2313012307</v>
      </c>
      <c r="C2047" t="str">
        <f>T("갓 오브 블랙필드 353화")</f>
        <v>갓 오브 블랙필드 353화</v>
      </c>
      <c r="D2047" t="str">
        <f>T("353")</f>
        <v>353</v>
      </c>
      <c r="E2047" t="str">
        <f t="shared" si="330"/>
        <v>무장</v>
      </c>
      <c r="H2047" t="str">
        <f t="shared" si="334"/>
        <v>스토리위즈</v>
      </c>
      <c r="I2047" t="str">
        <f t="shared" si="331"/>
        <v>갓 오브 블랙필드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200</v>
      </c>
      <c r="AH2047">
        <v>2</v>
      </c>
      <c r="AI2047">
        <v>0</v>
      </c>
      <c r="AJ2047">
        <v>0</v>
      </c>
      <c r="AK2047">
        <v>200</v>
      </c>
      <c r="AL2047">
        <v>0</v>
      </c>
      <c r="AM2047">
        <v>0</v>
      </c>
      <c r="AN2047">
        <v>0</v>
      </c>
      <c r="AO2047">
        <v>0</v>
      </c>
      <c r="AP2047"/>
      <c r="AQ2047">
        <v>0</v>
      </c>
      <c r="AR2047">
        <v>0</v>
      </c>
      <c r="AT2047">
        <v>0</v>
      </c>
      <c r="AU2047">
        <v>0</v>
      </c>
      <c r="AW2047">
        <v>0</v>
      </c>
      <c r="AX2047">
        <v>0</v>
      </c>
      <c r="AY2047">
        <v>140</v>
      </c>
      <c r="BC2047" t="str">
        <f t="shared" si="332"/>
        <v>9791137602113</v>
      </c>
      <c r="BE2047" t="str">
        <f t="shared" si="333"/>
        <v>판타지 웹소설 &gt; 현대 판타지</v>
      </c>
    </row>
    <row r="2048" spans="1:57" x14ac:dyDescent="0.3">
      <c r="A2048">
        <v>2313011955</v>
      </c>
      <c r="B2048">
        <v>2313012308</v>
      </c>
      <c r="C2048" t="str">
        <f>T("갓 오브 블랙필드 354화")</f>
        <v>갓 오브 블랙필드 354화</v>
      </c>
      <c r="D2048" t="str">
        <f>T("354")</f>
        <v>354</v>
      </c>
      <c r="E2048" t="str">
        <f t="shared" si="330"/>
        <v>무장</v>
      </c>
      <c r="H2048" t="str">
        <f t="shared" si="334"/>
        <v>스토리위즈</v>
      </c>
      <c r="I2048" t="str">
        <f t="shared" si="331"/>
        <v>갓 오브 블랙필드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200</v>
      </c>
      <c r="AH2048">
        <v>2</v>
      </c>
      <c r="AI2048">
        <v>0</v>
      </c>
      <c r="AJ2048">
        <v>0</v>
      </c>
      <c r="AK2048">
        <v>200</v>
      </c>
      <c r="AL2048">
        <v>0</v>
      </c>
      <c r="AM2048">
        <v>0</v>
      </c>
      <c r="AN2048">
        <v>0</v>
      </c>
      <c r="AO2048">
        <v>0</v>
      </c>
      <c r="AP2048"/>
      <c r="AQ2048">
        <v>0</v>
      </c>
      <c r="AR2048">
        <v>0</v>
      </c>
      <c r="AT2048">
        <v>0</v>
      </c>
      <c r="AU2048">
        <v>0</v>
      </c>
      <c r="AW2048">
        <v>0</v>
      </c>
      <c r="AX2048">
        <v>0</v>
      </c>
      <c r="AY2048">
        <v>140</v>
      </c>
      <c r="BC2048" t="str">
        <f t="shared" si="332"/>
        <v>9791137602113</v>
      </c>
      <c r="BE2048" t="str">
        <f t="shared" si="333"/>
        <v>판타지 웹소설 &gt; 현대 판타지</v>
      </c>
    </row>
    <row r="2049" spans="1:57" x14ac:dyDescent="0.3">
      <c r="A2049">
        <v>2313011955</v>
      </c>
      <c r="B2049">
        <v>2313012309</v>
      </c>
      <c r="C2049" t="str">
        <f>T("갓 오브 블랙필드 355화")</f>
        <v>갓 오브 블랙필드 355화</v>
      </c>
      <c r="D2049" t="str">
        <f>T("355")</f>
        <v>355</v>
      </c>
      <c r="E2049" t="str">
        <f t="shared" si="330"/>
        <v>무장</v>
      </c>
      <c r="H2049" t="str">
        <f t="shared" si="334"/>
        <v>스토리위즈</v>
      </c>
      <c r="I2049" t="str">
        <f t="shared" si="331"/>
        <v>갓 오브 블랙필드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200</v>
      </c>
      <c r="AH2049">
        <v>2</v>
      </c>
      <c r="AI2049">
        <v>0</v>
      </c>
      <c r="AJ2049">
        <v>0</v>
      </c>
      <c r="AK2049">
        <v>200</v>
      </c>
      <c r="AL2049">
        <v>0</v>
      </c>
      <c r="AM2049">
        <v>0</v>
      </c>
      <c r="AN2049">
        <v>0</v>
      </c>
      <c r="AO2049">
        <v>0</v>
      </c>
      <c r="AP2049"/>
      <c r="AQ2049">
        <v>0</v>
      </c>
      <c r="AR2049">
        <v>0</v>
      </c>
      <c r="AT2049">
        <v>0</v>
      </c>
      <c r="AU2049">
        <v>0</v>
      </c>
      <c r="AW2049">
        <v>0</v>
      </c>
      <c r="AX2049">
        <v>0</v>
      </c>
      <c r="AY2049">
        <v>140</v>
      </c>
      <c r="BC2049" t="str">
        <f t="shared" si="332"/>
        <v>9791137602113</v>
      </c>
      <c r="BE2049" t="str">
        <f t="shared" si="333"/>
        <v>판타지 웹소설 &gt; 현대 판타지</v>
      </c>
    </row>
    <row r="2050" spans="1:57" x14ac:dyDescent="0.3">
      <c r="A2050">
        <v>2313011955</v>
      </c>
      <c r="B2050">
        <v>2313012310</v>
      </c>
      <c r="C2050" t="str">
        <f>T("갓 오브 블랙필드 356화")</f>
        <v>갓 오브 블랙필드 356화</v>
      </c>
      <c r="D2050" t="str">
        <f>T("356")</f>
        <v>356</v>
      </c>
      <c r="E2050" t="str">
        <f t="shared" ref="E2050:E2113" si="335">T("무장")</f>
        <v>무장</v>
      </c>
      <c r="H2050" t="str">
        <f t="shared" si="334"/>
        <v>스토리위즈</v>
      </c>
      <c r="I2050" t="str">
        <f t="shared" ref="I2050:I2113" si="336">T("갓 오브 블랙필드")</f>
        <v>갓 오브 블랙필드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200</v>
      </c>
      <c r="AH2050">
        <v>2</v>
      </c>
      <c r="AI2050">
        <v>0</v>
      </c>
      <c r="AJ2050">
        <v>0</v>
      </c>
      <c r="AK2050">
        <v>200</v>
      </c>
      <c r="AL2050">
        <v>0</v>
      </c>
      <c r="AM2050">
        <v>0</v>
      </c>
      <c r="AN2050">
        <v>0</v>
      </c>
      <c r="AO2050">
        <v>0</v>
      </c>
      <c r="AP2050"/>
      <c r="AQ2050">
        <v>0</v>
      </c>
      <c r="AR2050">
        <v>0</v>
      </c>
      <c r="AT2050">
        <v>0</v>
      </c>
      <c r="AU2050">
        <v>0</v>
      </c>
      <c r="AW2050">
        <v>0</v>
      </c>
      <c r="AX2050">
        <v>0</v>
      </c>
      <c r="AY2050">
        <v>140</v>
      </c>
      <c r="BC2050" t="str">
        <f t="shared" ref="BC2050:BC2113" si="337">T("9791137602113")</f>
        <v>9791137602113</v>
      </c>
      <c r="BE2050" t="str">
        <f t="shared" ref="BE2050:BE2113" si="338">T("판타지 웹소설 &gt; 현대 판타지")</f>
        <v>판타지 웹소설 &gt; 현대 판타지</v>
      </c>
    </row>
    <row r="2051" spans="1:57" x14ac:dyDescent="0.3">
      <c r="A2051">
        <v>2313011955</v>
      </c>
      <c r="B2051">
        <v>2313012311</v>
      </c>
      <c r="C2051" t="str">
        <f>T("갓 오브 블랙필드 357화")</f>
        <v>갓 오브 블랙필드 357화</v>
      </c>
      <c r="D2051" t="str">
        <f>T("357")</f>
        <v>357</v>
      </c>
      <c r="E2051" t="str">
        <f t="shared" si="335"/>
        <v>무장</v>
      </c>
      <c r="H2051" t="str">
        <f t="shared" si="334"/>
        <v>스토리위즈</v>
      </c>
      <c r="I2051" t="str">
        <f t="shared" si="336"/>
        <v>갓 오브 블랙필드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200</v>
      </c>
      <c r="AH2051">
        <v>2</v>
      </c>
      <c r="AI2051">
        <v>0</v>
      </c>
      <c r="AJ2051">
        <v>0</v>
      </c>
      <c r="AK2051">
        <v>200</v>
      </c>
      <c r="AL2051">
        <v>0</v>
      </c>
      <c r="AM2051">
        <v>0</v>
      </c>
      <c r="AN2051">
        <v>0</v>
      </c>
      <c r="AO2051">
        <v>0</v>
      </c>
      <c r="AP2051"/>
      <c r="AQ2051">
        <v>0</v>
      </c>
      <c r="AR2051">
        <v>0</v>
      </c>
      <c r="AT2051">
        <v>0</v>
      </c>
      <c r="AU2051">
        <v>0</v>
      </c>
      <c r="AW2051">
        <v>0</v>
      </c>
      <c r="AX2051">
        <v>0</v>
      </c>
      <c r="AY2051">
        <v>140</v>
      </c>
      <c r="BC2051" t="str">
        <f t="shared" si="337"/>
        <v>9791137602113</v>
      </c>
      <c r="BE2051" t="str">
        <f t="shared" si="338"/>
        <v>판타지 웹소설 &gt; 현대 판타지</v>
      </c>
    </row>
    <row r="2052" spans="1:57" x14ac:dyDescent="0.3">
      <c r="A2052">
        <v>2313011955</v>
      </c>
      <c r="B2052">
        <v>2313012312</v>
      </c>
      <c r="C2052" t="str">
        <f>T("갓 오브 블랙필드 358화")</f>
        <v>갓 오브 블랙필드 358화</v>
      </c>
      <c r="D2052" t="str">
        <f>T("358")</f>
        <v>358</v>
      </c>
      <c r="E2052" t="str">
        <f t="shared" si="335"/>
        <v>무장</v>
      </c>
      <c r="H2052" t="str">
        <f t="shared" si="334"/>
        <v>스토리위즈</v>
      </c>
      <c r="I2052" t="str">
        <f t="shared" si="336"/>
        <v>갓 오브 블랙필드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200</v>
      </c>
      <c r="AH2052">
        <v>2</v>
      </c>
      <c r="AI2052">
        <v>0</v>
      </c>
      <c r="AJ2052">
        <v>0</v>
      </c>
      <c r="AK2052">
        <v>200</v>
      </c>
      <c r="AL2052">
        <v>0</v>
      </c>
      <c r="AM2052">
        <v>0</v>
      </c>
      <c r="AN2052">
        <v>0</v>
      </c>
      <c r="AO2052">
        <v>0</v>
      </c>
      <c r="AP2052"/>
      <c r="AQ2052">
        <v>0</v>
      </c>
      <c r="AR2052">
        <v>0</v>
      </c>
      <c r="AT2052">
        <v>0</v>
      </c>
      <c r="AU2052">
        <v>0</v>
      </c>
      <c r="AW2052">
        <v>0</v>
      </c>
      <c r="AX2052">
        <v>0</v>
      </c>
      <c r="AY2052">
        <v>140</v>
      </c>
      <c r="BC2052" t="str">
        <f t="shared" si="337"/>
        <v>9791137602113</v>
      </c>
      <c r="BE2052" t="str">
        <f t="shared" si="338"/>
        <v>판타지 웹소설 &gt; 현대 판타지</v>
      </c>
    </row>
    <row r="2053" spans="1:57" x14ac:dyDescent="0.3">
      <c r="A2053">
        <v>2313011955</v>
      </c>
      <c r="B2053">
        <v>2313012313</v>
      </c>
      <c r="C2053" t="str">
        <f>T("갓 오브 블랙필드 359화")</f>
        <v>갓 오브 블랙필드 359화</v>
      </c>
      <c r="D2053" t="str">
        <f>T("359")</f>
        <v>359</v>
      </c>
      <c r="E2053" t="str">
        <f t="shared" si="335"/>
        <v>무장</v>
      </c>
      <c r="H2053" t="str">
        <f t="shared" si="334"/>
        <v>스토리위즈</v>
      </c>
      <c r="I2053" t="str">
        <f t="shared" si="336"/>
        <v>갓 오브 블랙필드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200</v>
      </c>
      <c r="AH2053">
        <v>2</v>
      </c>
      <c r="AI2053">
        <v>0</v>
      </c>
      <c r="AJ2053">
        <v>0</v>
      </c>
      <c r="AK2053">
        <v>200</v>
      </c>
      <c r="AL2053">
        <v>0</v>
      </c>
      <c r="AM2053">
        <v>0</v>
      </c>
      <c r="AN2053">
        <v>0</v>
      </c>
      <c r="AO2053">
        <v>0</v>
      </c>
      <c r="AP2053"/>
      <c r="AQ2053">
        <v>0</v>
      </c>
      <c r="AR2053">
        <v>0</v>
      </c>
      <c r="AT2053">
        <v>0</v>
      </c>
      <c r="AU2053">
        <v>0</v>
      </c>
      <c r="AW2053">
        <v>0</v>
      </c>
      <c r="AX2053">
        <v>0</v>
      </c>
      <c r="AY2053">
        <v>140</v>
      </c>
      <c r="BC2053" t="str">
        <f t="shared" si="337"/>
        <v>9791137602113</v>
      </c>
      <c r="BE2053" t="str">
        <f t="shared" si="338"/>
        <v>판타지 웹소설 &gt; 현대 판타지</v>
      </c>
    </row>
    <row r="2054" spans="1:57" x14ac:dyDescent="0.3">
      <c r="A2054">
        <v>2313011955</v>
      </c>
      <c r="B2054">
        <v>2313012314</v>
      </c>
      <c r="C2054" t="str">
        <f>T("갓 오브 블랙필드 360화")</f>
        <v>갓 오브 블랙필드 360화</v>
      </c>
      <c r="D2054" t="str">
        <f>T("360")</f>
        <v>360</v>
      </c>
      <c r="E2054" t="str">
        <f t="shared" si="335"/>
        <v>무장</v>
      </c>
      <c r="H2054" t="str">
        <f t="shared" si="334"/>
        <v>스토리위즈</v>
      </c>
      <c r="I2054" t="str">
        <f t="shared" si="336"/>
        <v>갓 오브 블랙필드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</v>
      </c>
      <c r="AH2054">
        <v>2</v>
      </c>
      <c r="AI2054">
        <v>0</v>
      </c>
      <c r="AJ2054">
        <v>0</v>
      </c>
      <c r="AK2054">
        <v>200</v>
      </c>
      <c r="AL2054">
        <v>0</v>
      </c>
      <c r="AM2054">
        <v>0</v>
      </c>
      <c r="AN2054">
        <v>0</v>
      </c>
      <c r="AO2054">
        <v>0</v>
      </c>
      <c r="AP2054"/>
      <c r="AQ2054">
        <v>0</v>
      </c>
      <c r="AR2054">
        <v>0</v>
      </c>
      <c r="AT2054">
        <v>0</v>
      </c>
      <c r="AU2054">
        <v>0</v>
      </c>
      <c r="AW2054">
        <v>0</v>
      </c>
      <c r="AX2054">
        <v>0</v>
      </c>
      <c r="AY2054">
        <v>140</v>
      </c>
      <c r="BC2054" t="str">
        <f t="shared" si="337"/>
        <v>9791137602113</v>
      </c>
      <c r="BE2054" t="str">
        <f t="shared" si="338"/>
        <v>판타지 웹소설 &gt; 현대 판타지</v>
      </c>
    </row>
    <row r="2055" spans="1:57" x14ac:dyDescent="0.3">
      <c r="A2055">
        <v>2313011955</v>
      </c>
      <c r="B2055">
        <v>2313012315</v>
      </c>
      <c r="C2055" t="str">
        <f>T("갓 오브 블랙필드 361화")</f>
        <v>갓 오브 블랙필드 361화</v>
      </c>
      <c r="D2055" t="str">
        <f>T("361")</f>
        <v>361</v>
      </c>
      <c r="E2055" t="str">
        <f t="shared" si="335"/>
        <v>무장</v>
      </c>
      <c r="H2055" t="str">
        <f t="shared" si="334"/>
        <v>스토리위즈</v>
      </c>
      <c r="I2055" t="str">
        <f t="shared" si="336"/>
        <v>갓 오브 블랙필드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200</v>
      </c>
      <c r="AL2055">
        <v>0</v>
      </c>
      <c r="AM2055">
        <v>0</v>
      </c>
      <c r="AN2055">
        <v>0</v>
      </c>
      <c r="AO2055">
        <v>0</v>
      </c>
      <c r="AP2055"/>
      <c r="AQ2055">
        <v>0</v>
      </c>
      <c r="AR2055">
        <v>0</v>
      </c>
      <c r="AT2055">
        <v>0</v>
      </c>
      <c r="AU2055">
        <v>0</v>
      </c>
      <c r="AW2055">
        <v>0</v>
      </c>
      <c r="AX2055">
        <v>0</v>
      </c>
      <c r="AY2055">
        <v>140</v>
      </c>
      <c r="BC2055" t="str">
        <f t="shared" si="337"/>
        <v>9791137602113</v>
      </c>
      <c r="BE2055" t="str">
        <f t="shared" si="338"/>
        <v>판타지 웹소설 &gt; 현대 판타지</v>
      </c>
    </row>
    <row r="2056" spans="1:57" x14ac:dyDescent="0.3">
      <c r="A2056">
        <v>2313011955</v>
      </c>
      <c r="B2056">
        <v>2313012316</v>
      </c>
      <c r="C2056" t="str">
        <f>T("갓 오브 블랙필드 362화")</f>
        <v>갓 오브 블랙필드 362화</v>
      </c>
      <c r="D2056" t="str">
        <f>T("362")</f>
        <v>362</v>
      </c>
      <c r="E2056" t="str">
        <f t="shared" si="335"/>
        <v>무장</v>
      </c>
      <c r="H2056" t="str">
        <f t="shared" si="334"/>
        <v>스토리위즈</v>
      </c>
      <c r="I2056" t="str">
        <f t="shared" si="336"/>
        <v>갓 오브 블랙필드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200</v>
      </c>
      <c r="AH2056">
        <v>2</v>
      </c>
      <c r="AI2056">
        <v>0</v>
      </c>
      <c r="AJ2056">
        <v>0</v>
      </c>
      <c r="AK2056">
        <v>200</v>
      </c>
      <c r="AL2056">
        <v>0</v>
      </c>
      <c r="AM2056">
        <v>0</v>
      </c>
      <c r="AN2056">
        <v>0</v>
      </c>
      <c r="AO2056">
        <v>0</v>
      </c>
      <c r="AP2056"/>
      <c r="AQ2056">
        <v>0</v>
      </c>
      <c r="AR2056">
        <v>0</v>
      </c>
      <c r="AT2056">
        <v>0</v>
      </c>
      <c r="AU2056">
        <v>0</v>
      </c>
      <c r="AW2056">
        <v>0</v>
      </c>
      <c r="AX2056">
        <v>0</v>
      </c>
      <c r="AY2056">
        <v>140</v>
      </c>
      <c r="BC2056" t="str">
        <f t="shared" si="337"/>
        <v>9791137602113</v>
      </c>
      <c r="BE2056" t="str">
        <f t="shared" si="338"/>
        <v>판타지 웹소설 &gt; 현대 판타지</v>
      </c>
    </row>
    <row r="2057" spans="1:57" x14ac:dyDescent="0.3">
      <c r="A2057">
        <v>2313011955</v>
      </c>
      <c r="B2057">
        <v>2313012317</v>
      </c>
      <c r="C2057" t="str">
        <f>T("갓 오브 블랙필드 363화")</f>
        <v>갓 오브 블랙필드 363화</v>
      </c>
      <c r="D2057" t="str">
        <f>T("363")</f>
        <v>363</v>
      </c>
      <c r="E2057" t="str">
        <f t="shared" si="335"/>
        <v>무장</v>
      </c>
      <c r="H2057" t="str">
        <f t="shared" si="334"/>
        <v>스토리위즈</v>
      </c>
      <c r="I2057" t="str">
        <f t="shared" si="336"/>
        <v>갓 오브 블랙필드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200</v>
      </c>
      <c r="AH2057">
        <v>2</v>
      </c>
      <c r="AI2057">
        <v>0</v>
      </c>
      <c r="AJ2057">
        <v>0</v>
      </c>
      <c r="AK2057">
        <v>200</v>
      </c>
      <c r="AL2057">
        <v>0</v>
      </c>
      <c r="AM2057">
        <v>0</v>
      </c>
      <c r="AN2057">
        <v>0</v>
      </c>
      <c r="AO2057">
        <v>0</v>
      </c>
      <c r="AP2057"/>
      <c r="AQ2057">
        <v>0</v>
      </c>
      <c r="AR2057">
        <v>0</v>
      </c>
      <c r="AT2057">
        <v>0</v>
      </c>
      <c r="AU2057">
        <v>0</v>
      </c>
      <c r="AW2057">
        <v>0</v>
      </c>
      <c r="AX2057">
        <v>0</v>
      </c>
      <c r="AY2057">
        <v>140</v>
      </c>
      <c r="BC2057" t="str">
        <f t="shared" si="337"/>
        <v>9791137602113</v>
      </c>
      <c r="BE2057" t="str">
        <f t="shared" si="338"/>
        <v>판타지 웹소설 &gt; 현대 판타지</v>
      </c>
    </row>
    <row r="2058" spans="1:57" x14ac:dyDescent="0.3">
      <c r="A2058">
        <v>2313011955</v>
      </c>
      <c r="B2058">
        <v>2313012318</v>
      </c>
      <c r="C2058" t="str">
        <f>T("갓 오브 블랙필드 364화")</f>
        <v>갓 오브 블랙필드 364화</v>
      </c>
      <c r="D2058" t="str">
        <f>T("364")</f>
        <v>364</v>
      </c>
      <c r="E2058" t="str">
        <f t="shared" si="335"/>
        <v>무장</v>
      </c>
      <c r="H2058" t="str">
        <f t="shared" si="334"/>
        <v>스토리위즈</v>
      </c>
      <c r="I2058" t="str">
        <f t="shared" si="336"/>
        <v>갓 오브 블랙필드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2</v>
      </c>
      <c r="AI2058">
        <v>0</v>
      </c>
      <c r="AJ2058">
        <v>0</v>
      </c>
      <c r="AK2058">
        <v>200</v>
      </c>
      <c r="AL2058">
        <v>0</v>
      </c>
      <c r="AM2058">
        <v>0</v>
      </c>
      <c r="AN2058">
        <v>0</v>
      </c>
      <c r="AO2058">
        <v>0</v>
      </c>
      <c r="AP2058"/>
      <c r="AQ2058">
        <v>0</v>
      </c>
      <c r="AR2058">
        <v>0</v>
      </c>
      <c r="AT2058">
        <v>0</v>
      </c>
      <c r="AU2058">
        <v>0</v>
      </c>
      <c r="AW2058">
        <v>0</v>
      </c>
      <c r="AX2058">
        <v>0</v>
      </c>
      <c r="AY2058">
        <v>140</v>
      </c>
      <c r="BC2058" t="str">
        <f t="shared" si="337"/>
        <v>9791137602113</v>
      </c>
      <c r="BE2058" t="str">
        <f t="shared" si="338"/>
        <v>판타지 웹소설 &gt; 현대 판타지</v>
      </c>
    </row>
    <row r="2059" spans="1:57" x14ac:dyDescent="0.3">
      <c r="A2059">
        <v>2313011955</v>
      </c>
      <c r="B2059">
        <v>2313012319</v>
      </c>
      <c r="C2059" t="str">
        <f>T("갓 오브 블랙필드 365화")</f>
        <v>갓 오브 블랙필드 365화</v>
      </c>
      <c r="D2059" t="str">
        <f>T("365")</f>
        <v>365</v>
      </c>
      <c r="E2059" t="str">
        <f t="shared" si="335"/>
        <v>무장</v>
      </c>
      <c r="H2059" t="str">
        <f t="shared" si="334"/>
        <v>스토리위즈</v>
      </c>
      <c r="I2059" t="str">
        <f t="shared" si="336"/>
        <v>갓 오브 블랙필드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2</v>
      </c>
      <c r="AI2059">
        <v>0</v>
      </c>
      <c r="AJ2059">
        <v>0</v>
      </c>
      <c r="AK2059">
        <v>200</v>
      </c>
      <c r="AL2059">
        <v>0</v>
      </c>
      <c r="AM2059">
        <v>0</v>
      </c>
      <c r="AN2059">
        <v>0</v>
      </c>
      <c r="AO2059">
        <v>0</v>
      </c>
      <c r="AP2059"/>
      <c r="AQ2059">
        <v>0</v>
      </c>
      <c r="AR2059">
        <v>0</v>
      </c>
      <c r="AT2059">
        <v>0</v>
      </c>
      <c r="AU2059">
        <v>0</v>
      </c>
      <c r="AW2059">
        <v>0</v>
      </c>
      <c r="AX2059">
        <v>0</v>
      </c>
      <c r="AY2059">
        <v>140</v>
      </c>
      <c r="BC2059" t="str">
        <f t="shared" si="337"/>
        <v>9791137602113</v>
      </c>
      <c r="BE2059" t="str">
        <f t="shared" si="338"/>
        <v>판타지 웹소설 &gt; 현대 판타지</v>
      </c>
    </row>
    <row r="2060" spans="1:57" x14ac:dyDescent="0.3">
      <c r="A2060">
        <v>2313011955</v>
      </c>
      <c r="B2060">
        <v>2313012320</v>
      </c>
      <c r="C2060" t="str">
        <f>T("갓 오브 블랙필드 366화")</f>
        <v>갓 오브 블랙필드 366화</v>
      </c>
      <c r="D2060" t="str">
        <f>T("366")</f>
        <v>366</v>
      </c>
      <c r="E2060" t="str">
        <f t="shared" si="335"/>
        <v>무장</v>
      </c>
      <c r="H2060" t="str">
        <f t="shared" si="334"/>
        <v>스토리위즈</v>
      </c>
      <c r="I2060" t="str">
        <f t="shared" si="336"/>
        <v>갓 오브 블랙필드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/>
      <c r="AQ2060">
        <v>0</v>
      </c>
      <c r="AR2060">
        <v>0</v>
      </c>
      <c r="AT2060">
        <v>0</v>
      </c>
      <c r="AU2060">
        <v>0</v>
      </c>
      <c r="AW2060">
        <v>0</v>
      </c>
      <c r="AX2060">
        <v>0</v>
      </c>
      <c r="AY2060">
        <v>140</v>
      </c>
      <c r="BC2060" t="str">
        <f t="shared" si="337"/>
        <v>9791137602113</v>
      </c>
      <c r="BE2060" t="str">
        <f t="shared" si="338"/>
        <v>판타지 웹소설 &gt; 현대 판타지</v>
      </c>
    </row>
    <row r="2061" spans="1:57" x14ac:dyDescent="0.3">
      <c r="A2061">
        <v>2313011955</v>
      </c>
      <c r="B2061">
        <v>2313012321</v>
      </c>
      <c r="C2061" t="str">
        <f>T("갓 오브 블랙필드 367화")</f>
        <v>갓 오브 블랙필드 367화</v>
      </c>
      <c r="D2061" t="str">
        <f>T("367")</f>
        <v>367</v>
      </c>
      <c r="E2061" t="str">
        <f t="shared" si="335"/>
        <v>무장</v>
      </c>
      <c r="H2061" t="str">
        <f t="shared" si="334"/>
        <v>스토리위즈</v>
      </c>
      <c r="I2061" t="str">
        <f t="shared" si="336"/>
        <v>갓 오브 블랙필드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200</v>
      </c>
      <c r="AH2061">
        <v>2</v>
      </c>
      <c r="AI2061">
        <v>0</v>
      </c>
      <c r="AJ2061">
        <v>0</v>
      </c>
      <c r="AK2061">
        <v>200</v>
      </c>
      <c r="AL2061">
        <v>0</v>
      </c>
      <c r="AM2061">
        <v>0</v>
      </c>
      <c r="AN2061">
        <v>0</v>
      </c>
      <c r="AO2061">
        <v>0</v>
      </c>
      <c r="AP2061"/>
      <c r="AQ2061">
        <v>0</v>
      </c>
      <c r="AR2061">
        <v>0</v>
      </c>
      <c r="AT2061">
        <v>0</v>
      </c>
      <c r="AU2061">
        <v>0</v>
      </c>
      <c r="AW2061">
        <v>0</v>
      </c>
      <c r="AX2061">
        <v>0</v>
      </c>
      <c r="AY2061">
        <v>140</v>
      </c>
      <c r="BC2061" t="str">
        <f t="shared" si="337"/>
        <v>9791137602113</v>
      </c>
      <c r="BE2061" t="str">
        <f t="shared" si="338"/>
        <v>판타지 웹소설 &gt; 현대 판타지</v>
      </c>
    </row>
    <row r="2062" spans="1:57" x14ac:dyDescent="0.3">
      <c r="A2062">
        <v>2313011955</v>
      </c>
      <c r="B2062">
        <v>2313012322</v>
      </c>
      <c r="C2062" t="str">
        <f>T("갓 오브 블랙필드 368화")</f>
        <v>갓 오브 블랙필드 368화</v>
      </c>
      <c r="D2062" t="str">
        <f>T("368")</f>
        <v>368</v>
      </c>
      <c r="E2062" t="str">
        <f t="shared" si="335"/>
        <v>무장</v>
      </c>
      <c r="H2062" t="str">
        <f t="shared" si="334"/>
        <v>스토리위즈</v>
      </c>
      <c r="I2062" t="str">
        <f t="shared" si="336"/>
        <v>갓 오브 블랙필드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200</v>
      </c>
      <c r="AH2062">
        <v>2</v>
      </c>
      <c r="AI2062">
        <v>0</v>
      </c>
      <c r="AJ2062">
        <v>0</v>
      </c>
      <c r="AK2062">
        <v>200</v>
      </c>
      <c r="AL2062">
        <v>0</v>
      </c>
      <c r="AM2062">
        <v>0</v>
      </c>
      <c r="AN2062">
        <v>0</v>
      </c>
      <c r="AO2062">
        <v>0</v>
      </c>
      <c r="AP2062"/>
      <c r="AQ2062">
        <v>0</v>
      </c>
      <c r="AR2062">
        <v>0</v>
      </c>
      <c r="AT2062">
        <v>0</v>
      </c>
      <c r="AU2062">
        <v>0</v>
      </c>
      <c r="AW2062">
        <v>0</v>
      </c>
      <c r="AX2062">
        <v>0</v>
      </c>
      <c r="AY2062">
        <v>140</v>
      </c>
      <c r="BC2062" t="str">
        <f t="shared" si="337"/>
        <v>9791137602113</v>
      </c>
      <c r="BE2062" t="str">
        <f t="shared" si="338"/>
        <v>판타지 웹소설 &gt; 현대 판타지</v>
      </c>
    </row>
    <row r="2063" spans="1:57" x14ac:dyDescent="0.3">
      <c r="A2063">
        <v>2313011955</v>
      </c>
      <c r="B2063">
        <v>2313012323</v>
      </c>
      <c r="C2063" t="str">
        <f>T("갓 오브 블랙필드 369화")</f>
        <v>갓 오브 블랙필드 369화</v>
      </c>
      <c r="D2063" t="str">
        <f>T("369")</f>
        <v>369</v>
      </c>
      <c r="E2063" t="str">
        <f t="shared" si="335"/>
        <v>무장</v>
      </c>
      <c r="H2063" t="str">
        <f t="shared" si="334"/>
        <v>스토리위즈</v>
      </c>
      <c r="I2063" t="str">
        <f t="shared" si="336"/>
        <v>갓 오브 블랙필드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200</v>
      </c>
      <c r="AH2063">
        <v>2</v>
      </c>
      <c r="AI2063">
        <v>0</v>
      </c>
      <c r="AJ2063">
        <v>0</v>
      </c>
      <c r="AK2063">
        <v>200</v>
      </c>
      <c r="AL2063">
        <v>0</v>
      </c>
      <c r="AM2063">
        <v>0</v>
      </c>
      <c r="AN2063">
        <v>0</v>
      </c>
      <c r="AO2063">
        <v>0</v>
      </c>
      <c r="AP2063"/>
      <c r="AQ2063">
        <v>0</v>
      </c>
      <c r="AR2063">
        <v>0</v>
      </c>
      <c r="AT2063">
        <v>0</v>
      </c>
      <c r="AU2063">
        <v>0</v>
      </c>
      <c r="AW2063">
        <v>0</v>
      </c>
      <c r="AX2063">
        <v>0</v>
      </c>
      <c r="AY2063">
        <v>140</v>
      </c>
      <c r="BC2063" t="str">
        <f t="shared" si="337"/>
        <v>9791137602113</v>
      </c>
      <c r="BE2063" t="str">
        <f t="shared" si="338"/>
        <v>판타지 웹소설 &gt; 현대 판타지</v>
      </c>
    </row>
    <row r="2064" spans="1:57" x14ac:dyDescent="0.3">
      <c r="A2064">
        <v>2313011955</v>
      </c>
      <c r="B2064">
        <v>2313012324</v>
      </c>
      <c r="C2064" t="str">
        <f>T("갓 오브 블랙필드 370화")</f>
        <v>갓 오브 블랙필드 370화</v>
      </c>
      <c r="D2064" t="str">
        <f>T("370")</f>
        <v>370</v>
      </c>
      <c r="E2064" t="str">
        <f t="shared" si="335"/>
        <v>무장</v>
      </c>
      <c r="H2064" t="str">
        <f t="shared" si="334"/>
        <v>스토리위즈</v>
      </c>
      <c r="I2064" t="str">
        <f t="shared" si="336"/>
        <v>갓 오브 블랙필드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200</v>
      </c>
      <c r="AH2064">
        <v>2</v>
      </c>
      <c r="AI2064">
        <v>0</v>
      </c>
      <c r="AJ2064">
        <v>0</v>
      </c>
      <c r="AK2064">
        <v>200</v>
      </c>
      <c r="AL2064">
        <v>0</v>
      </c>
      <c r="AM2064">
        <v>0</v>
      </c>
      <c r="AN2064">
        <v>0</v>
      </c>
      <c r="AO2064">
        <v>0</v>
      </c>
      <c r="AP2064"/>
      <c r="AQ2064">
        <v>0</v>
      </c>
      <c r="AR2064">
        <v>0</v>
      </c>
      <c r="AT2064">
        <v>0</v>
      </c>
      <c r="AU2064">
        <v>0</v>
      </c>
      <c r="AW2064">
        <v>0</v>
      </c>
      <c r="AX2064">
        <v>0</v>
      </c>
      <c r="AY2064">
        <v>140</v>
      </c>
      <c r="BC2064" t="str">
        <f t="shared" si="337"/>
        <v>9791137602113</v>
      </c>
      <c r="BE2064" t="str">
        <f t="shared" si="338"/>
        <v>판타지 웹소설 &gt; 현대 판타지</v>
      </c>
    </row>
    <row r="2065" spans="1:57" x14ac:dyDescent="0.3">
      <c r="A2065">
        <v>2313011955</v>
      </c>
      <c r="B2065">
        <v>2313012325</v>
      </c>
      <c r="C2065" t="str">
        <f>T("갓 오브 블랙필드 371화")</f>
        <v>갓 오브 블랙필드 371화</v>
      </c>
      <c r="D2065" t="str">
        <f>T("371")</f>
        <v>371</v>
      </c>
      <c r="E2065" t="str">
        <f t="shared" si="335"/>
        <v>무장</v>
      </c>
      <c r="H2065" t="str">
        <f t="shared" si="334"/>
        <v>스토리위즈</v>
      </c>
      <c r="I2065" t="str">
        <f t="shared" si="336"/>
        <v>갓 오브 블랙필드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200</v>
      </c>
      <c r="AH2065">
        <v>2</v>
      </c>
      <c r="AI2065">
        <v>0</v>
      </c>
      <c r="AJ2065">
        <v>0</v>
      </c>
      <c r="AK2065">
        <v>200</v>
      </c>
      <c r="AL2065">
        <v>0</v>
      </c>
      <c r="AM2065">
        <v>0</v>
      </c>
      <c r="AN2065">
        <v>0</v>
      </c>
      <c r="AO2065">
        <v>0</v>
      </c>
      <c r="AP2065"/>
      <c r="AQ2065">
        <v>0</v>
      </c>
      <c r="AR2065">
        <v>0</v>
      </c>
      <c r="AT2065">
        <v>0</v>
      </c>
      <c r="AU2065">
        <v>0</v>
      </c>
      <c r="AW2065">
        <v>0</v>
      </c>
      <c r="AX2065">
        <v>0</v>
      </c>
      <c r="AY2065">
        <v>140</v>
      </c>
      <c r="BC2065" t="str">
        <f t="shared" si="337"/>
        <v>9791137602113</v>
      </c>
      <c r="BE2065" t="str">
        <f t="shared" si="338"/>
        <v>판타지 웹소설 &gt; 현대 판타지</v>
      </c>
    </row>
    <row r="2066" spans="1:57" x14ac:dyDescent="0.3">
      <c r="A2066">
        <v>2313011955</v>
      </c>
      <c r="B2066">
        <v>2313012326</v>
      </c>
      <c r="C2066" t="str">
        <f>T("갓 오브 블랙필드 372화")</f>
        <v>갓 오브 블랙필드 372화</v>
      </c>
      <c r="D2066" t="str">
        <f>T("372")</f>
        <v>372</v>
      </c>
      <c r="E2066" t="str">
        <f t="shared" si="335"/>
        <v>무장</v>
      </c>
      <c r="H2066" t="str">
        <f t="shared" si="334"/>
        <v>스토리위즈</v>
      </c>
      <c r="I2066" t="str">
        <f t="shared" si="336"/>
        <v>갓 오브 블랙필드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200</v>
      </c>
      <c r="AH2066">
        <v>2</v>
      </c>
      <c r="AI2066">
        <v>0</v>
      </c>
      <c r="AJ2066">
        <v>0</v>
      </c>
      <c r="AK2066">
        <v>200</v>
      </c>
      <c r="AL2066">
        <v>0</v>
      </c>
      <c r="AM2066">
        <v>0</v>
      </c>
      <c r="AN2066">
        <v>0</v>
      </c>
      <c r="AO2066">
        <v>0</v>
      </c>
      <c r="AP2066"/>
      <c r="AQ2066">
        <v>0</v>
      </c>
      <c r="AR2066">
        <v>0</v>
      </c>
      <c r="AT2066">
        <v>0</v>
      </c>
      <c r="AU2066">
        <v>0</v>
      </c>
      <c r="AW2066">
        <v>0</v>
      </c>
      <c r="AX2066">
        <v>0</v>
      </c>
      <c r="AY2066">
        <v>140</v>
      </c>
      <c r="BC2066" t="str">
        <f t="shared" si="337"/>
        <v>9791137602113</v>
      </c>
      <c r="BE2066" t="str">
        <f t="shared" si="338"/>
        <v>판타지 웹소설 &gt; 현대 판타지</v>
      </c>
    </row>
    <row r="2067" spans="1:57" x14ac:dyDescent="0.3">
      <c r="A2067">
        <v>2313011955</v>
      </c>
      <c r="B2067">
        <v>2313012327</v>
      </c>
      <c r="C2067" t="str">
        <f>T("갓 오브 블랙필드 373화")</f>
        <v>갓 오브 블랙필드 373화</v>
      </c>
      <c r="D2067" t="str">
        <f>T("373")</f>
        <v>373</v>
      </c>
      <c r="E2067" t="str">
        <f t="shared" si="335"/>
        <v>무장</v>
      </c>
      <c r="H2067" t="str">
        <f t="shared" si="334"/>
        <v>스토리위즈</v>
      </c>
      <c r="I2067" t="str">
        <f t="shared" si="336"/>
        <v>갓 오브 블랙필드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200</v>
      </c>
      <c r="AH2067">
        <v>2</v>
      </c>
      <c r="AI2067">
        <v>0</v>
      </c>
      <c r="AJ2067">
        <v>0</v>
      </c>
      <c r="AK2067">
        <v>200</v>
      </c>
      <c r="AL2067">
        <v>0</v>
      </c>
      <c r="AM2067">
        <v>0</v>
      </c>
      <c r="AN2067">
        <v>0</v>
      </c>
      <c r="AO2067">
        <v>0</v>
      </c>
      <c r="AP2067"/>
      <c r="AQ2067">
        <v>0</v>
      </c>
      <c r="AR2067">
        <v>0</v>
      </c>
      <c r="AT2067">
        <v>0</v>
      </c>
      <c r="AU2067">
        <v>0</v>
      </c>
      <c r="AW2067">
        <v>0</v>
      </c>
      <c r="AX2067">
        <v>0</v>
      </c>
      <c r="AY2067">
        <v>140</v>
      </c>
      <c r="BC2067" t="str">
        <f t="shared" si="337"/>
        <v>9791137602113</v>
      </c>
      <c r="BE2067" t="str">
        <f t="shared" si="338"/>
        <v>판타지 웹소설 &gt; 현대 판타지</v>
      </c>
    </row>
    <row r="2068" spans="1:57" x14ac:dyDescent="0.3">
      <c r="A2068">
        <v>2313011955</v>
      </c>
      <c r="B2068">
        <v>2313012328</v>
      </c>
      <c r="C2068" t="str">
        <f>T("갓 오브 블랙필드 374화")</f>
        <v>갓 오브 블랙필드 374화</v>
      </c>
      <c r="D2068" t="str">
        <f>T("374")</f>
        <v>374</v>
      </c>
      <c r="E2068" t="str">
        <f t="shared" si="335"/>
        <v>무장</v>
      </c>
      <c r="H2068" t="str">
        <f t="shared" si="334"/>
        <v>스토리위즈</v>
      </c>
      <c r="I2068" t="str">
        <f t="shared" si="336"/>
        <v>갓 오브 블랙필드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/>
      <c r="AQ2068">
        <v>0</v>
      </c>
      <c r="AR2068">
        <v>0</v>
      </c>
      <c r="AT2068">
        <v>0</v>
      </c>
      <c r="AU2068">
        <v>0</v>
      </c>
      <c r="AW2068">
        <v>0</v>
      </c>
      <c r="AX2068">
        <v>0</v>
      </c>
      <c r="AY2068">
        <v>140</v>
      </c>
      <c r="BC2068" t="str">
        <f t="shared" si="337"/>
        <v>9791137602113</v>
      </c>
      <c r="BE2068" t="str">
        <f t="shared" si="338"/>
        <v>판타지 웹소설 &gt; 현대 판타지</v>
      </c>
    </row>
    <row r="2069" spans="1:57" x14ac:dyDescent="0.3">
      <c r="A2069">
        <v>2313011955</v>
      </c>
      <c r="B2069">
        <v>2313012329</v>
      </c>
      <c r="C2069" t="str">
        <f>T("갓 오브 블랙필드 375화")</f>
        <v>갓 오브 블랙필드 375화</v>
      </c>
      <c r="D2069" t="str">
        <f>T("375")</f>
        <v>375</v>
      </c>
      <c r="E2069" t="str">
        <f t="shared" si="335"/>
        <v>무장</v>
      </c>
      <c r="H2069" t="str">
        <f t="shared" si="334"/>
        <v>스토리위즈</v>
      </c>
      <c r="I2069" t="str">
        <f t="shared" si="336"/>
        <v>갓 오브 블랙필드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200</v>
      </c>
      <c r="AH2069">
        <v>2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0</v>
      </c>
      <c r="AP2069"/>
      <c r="AQ2069">
        <v>0</v>
      </c>
      <c r="AR2069">
        <v>0</v>
      </c>
      <c r="AT2069">
        <v>0</v>
      </c>
      <c r="AU2069">
        <v>0</v>
      </c>
      <c r="AW2069">
        <v>0</v>
      </c>
      <c r="AX2069">
        <v>0</v>
      </c>
      <c r="AY2069">
        <v>140</v>
      </c>
      <c r="BC2069" t="str">
        <f t="shared" si="337"/>
        <v>9791137602113</v>
      </c>
      <c r="BE2069" t="str">
        <f t="shared" si="338"/>
        <v>판타지 웹소설 &gt; 현대 판타지</v>
      </c>
    </row>
    <row r="2070" spans="1:57" x14ac:dyDescent="0.3">
      <c r="A2070">
        <v>2313011955</v>
      </c>
      <c r="B2070">
        <v>2313012330</v>
      </c>
      <c r="C2070" t="str">
        <f>T("갓 오브 블랙필드 376화")</f>
        <v>갓 오브 블랙필드 376화</v>
      </c>
      <c r="D2070" t="str">
        <f>T("376")</f>
        <v>376</v>
      </c>
      <c r="E2070" t="str">
        <f t="shared" si="335"/>
        <v>무장</v>
      </c>
      <c r="H2070" t="str">
        <f t="shared" si="334"/>
        <v>스토리위즈</v>
      </c>
      <c r="I2070" t="str">
        <f t="shared" si="336"/>
        <v>갓 오브 블랙필드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200</v>
      </c>
      <c r="AH2070">
        <v>2</v>
      </c>
      <c r="AI2070">
        <v>0</v>
      </c>
      <c r="AJ2070">
        <v>0</v>
      </c>
      <c r="AK2070">
        <v>200</v>
      </c>
      <c r="AL2070">
        <v>0</v>
      </c>
      <c r="AM2070">
        <v>0</v>
      </c>
      <c r="AN2070">
        <v>0</v>
      </c>
      <c r="AO2070">
        <v>0</v>
      </c>
      <c r="AP2070"/>
      <c r="AQ2070">
        <v>0</v>
      </c>
      <c r="AR2070">
        <v>0</v>
      </c>
      <c r="AT2070">
        <v>0</v>
      </c>
      <c r="AU2070">
        <v>0</v>
      </c>
      <c r="AW2070">
        <v>0</v>
      </c>
      <c r="AX2070">
        <v>0</v>
      </c>
      <c r="AY2070">
        <v>140</v>
      </c>
      <c r="BC2070" t="str">
        <f t="shared" si="337"/>
        <v>9791137602113</v>
      </c>
      <c r="BE2070" t="str">
        <f t="shared" si="338"/>
        <v>판타지 웹소설 &gt; 현대 판타지</v>
      </c>
    </row>
    <row r="2071" spans="1:57" x14ac:dyDescent="0.3">
      <c r="A2071">
        <v>2313011955</v>
      </c>
      <c r="B2071">
        <v>2313012331</v>
      </c>
      <c r="C2071" t="str">
        <f>T("갓 오브 블랙필드 377화")</f>
        <v>갓 오브 블랙필드 377화</v>
      </c>
      <c r="D2071" t="str">
        <f>T("377")</f>
        <v>377</v>
      </c>
      <c r="E2071" t="str">
        <f t="shared" si="335"/>
        <v>무장</v>
      </c>
      <c r="H2071" t="str">
        <f t="shared" si="334"/>
        <v>스토리위즈</v>
      </c>
      <c r="I2071" t="str">
        <f t="shared" si="336"/>
        <v>갓 오브 블랙필드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200</v>
      </c>
      <c r="AH2071">
        <v>2</v>
      </c>
      <c r="AI2071">
        <v>0</v>
      </c>
      <c r="AJ2071">
        <v>0</v>
      </c>
      <c r="AK2071">
        <v>200</v>
      </c>
      <c r="AL2071">
        <v>0</v>
      </c>
      <c r="AM2071">
        <v>0</v>
      </c>
      <c r="AN2071">
        <v>0</v>
      </c>
      <c r="AO2071">
        <v>0</v>
      </c>
      <c r="AP2071"/>
      <c r="AQ2071">
        <v>0</v>
      </c>
      <c r="AR2071">
        <v>0</v>
      </c>
      <c r="AT2071">
        <v>0</v>
      </c>
      <c r="AU2071">
        <v>0</v>
      </c>
      <c r="AW2071">
        <v>0</v>
      </c>
      <c r="AX2071">
        <v>0</v>
      </c>
      <c r="AY2071">
        <v>140</v>
      </c>
      <c r="BC2071" t="str">
        <f t="shared" si="337"/>
        <v>9791137602113</v>
      </c>
      <c r="BE2071" t="str">
        <f t="shared" si="338"/>
        <v>판타지 웹소설 &gt; 현대 판타지</v>
      </c>
    </row>
    <row r="2072" spans="1:57" x14ac:dyDescent="0.3">
      <c r="A2072">
        <v>2313011955</v>
      </c>
      <c r="B2072">
        <v>2313012332</v>
      </c>
      <c r="C2072" t="str">
        <f>T("갓 오브 블랙필드 378화")</f>
        <v>갓 오브 블랙필드 378화</v>
      </c>
      <c r="D2072" t="str">
        <f>T("378")</f>
        <v>378</v>
      </c>
      <c r="E2072" t="str">
        <f t="shared" si="335"/>
        <v>무장</v>
      </c>
      <c r="H2072" t="str">
        <f t="shared" si="334"/>
        <v>스토리위즈</v>
      </c>
      <c r="I2072" t="str">
        <f t="shared" si="336"/>
        <v>갓 오브 블랙필드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200</v>
      </c>
      <c r="AH2072">
        <v>2</v>
      </c>
      <c r="AI2072">
        <v>0</v>
      </c>
      <c r="AJ2072">
        <v>0</v>
      </c>
      <c r="AK2072">
        <v>200</v>
      </c>
      <c r="AL2072">
        <v>0</v>
      </c>
      <c r="AM2072">
        <v>0</v>
      </c>
      <c r="AN2072">
        <v>0</v>
      </c>
      <c r="AO2072">
        <v>0</v>
      </c>
      <c r="AP2072"/>
      <c r="AQ2072">
        <v>0</v>
      </c>
      <c r="AR2072">
        <v>0</v>
      </c>
      <c r="AT2072">
        <v>0</v>
      </c>
      <c r="AU2072">
        <v>0</v>
      </c>
      <c r="AW2072">
        <v>0</v>
      </c>
      <c r="AX2072">
        <v>0</v>
      </c>
      <c r="AY2072">
        <v>140</v>
      </c>
      <c r="BC2072" t="str">
        <f t="shared" si="337"/>
        <v>9791137602113</v>
      </c>
      <c r="BE2072" t="str">
        <f t="shared" si="338"/>
        <v>판타지 웹소설 &gt; 현대 판타지</v>
      </c>
    </row>
    <row r="2073" spans="1:57" x14ac:dyDescent="0.3">
      <c r="A2073">
        <v>2313011955</v>
      </c>
      <c r="B2073">
        <v>2313012333</v>
      </c>
      <c r="C2073" t="str">
        <f>T("갓 오브 블랙필드 379화")</f>
        <v>갓 오브 블랙필드 379화</v>
      </c>
      <c r="D2073" t="str">
        <f>T("379")</f>
        <v>379</v>
      </c>
      <c r="E2073" t="str">
        <f t="shared" si="335"/>
        <v>무장</v>
      </c>
      <c r="H2073" t="str">
        <f t="shared" si="334"/>
        <v>스토리위즈</v>
      </c>
      <c r="I2073" t="str">
        <f t="shared" si="336"/>
        <v>갓 오브 블랙필드</v>
      </c>
      <c r="J2073">
        <v>100</v>
      </c>
      <c r="K2073">
        <v>200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200</v>
      </c>
      <c r="AH2073">
        <v>2</v>
      </c>
      <c r="AI2073">
        <v>0</v>
      </c>
      <c r="AJ2073">
        <v>0</v>
      </c>
      <c r="AK2073">
        <v>200</v>
      </c>
      <c r="AL2073">
        <v>0</v>
      </c>
      <c r="AM2073">
        <v>0</v>
      </c>
      <c r="AN2073">
        <v>0</v>
      </c>
      <c r="AO2073">
        <v>0</v>
      </c>
      <c r="AP2073"/>
      <c r="AQ2073">
        <v>0</v>
      </c>
      <c r="AR2073">
        <v>0</v>
      </c>
      <c r="AT2073">
        <v>0</v>
      </c>
      <c r="AU2073">
        <v>0</v>
      </c>
      <c r="AW2073">
        <v>0</v>
      </c>
      <c r="AX2073">
        <v>0</v>
      </c>
      <c r="AY2073">
        <v>140</v>
      </c>
      <c r="BC2073" t="str">
        <f t="shared" si="337"/>
        <v>9791137602113</v>
      </c>
      <c r="BE2073" t="str">
        <f t="shared" si="338"/>
        <v>판타지 웹소설 &gt; 현대 판타지</v>
      </c>
    </row>
    <row r="2074" spans="1:57" x14ac:dyDescent="0.3">
      <c r="A2074">
        <v>2313011955</v>
      </c>
      <c r="B2074">
        <v>2313012334</v>
      </c>
      <c r="C2074" t="str">
        <f>T("갓 오브 블랙필드 380화")</f>
        <v>갓 오브 블랙필드 380화</v>
      </c>
      <c r="D2074" t="str">
        <f>T("380")</f>
        <v>380</v>
      </c>
      <c r="E2074" t="str">
        <f t="shared" si="335"/>
        <v>무장</v>
      </c>
      <c r="H2074" t="str">
        <f t="shared" si="334"/>
        <v>스토리위즈</v>
      </c>
      <c r="I2074" t="str">
        <f t="shared" si="336"/>
        <v>갓 오브 블랙필드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200</v>
      </c>
      <c r="AH2074">
        <v>2</v>
      </c>
      <c r="AI2074">
        <v>0</v>
      </c>
      <c r="AJ2074">
        <v>0</v>
      </c>
      <c r="AK2074">
        <v>200</v>
      </c>
      <c r="AL2074">
        <v>0</v>
      </c>
      <c r="AM2074">
        <v>0</v>
      </c>
      <c r="AN2074">
        <v>0</v>
      </c>
      <c r="AO2074">
        <v>0</v>
      </c>
      <c r="AP2074"/>
      <c r="AQ2074">
        <v>0</v>
      </c>
      <c r="AR2074">
        <v>0</v>
      </c>
      <c r="AT2074">
        <v>0</v>
      </c>
      <c r="AU2074">
        <v>0</v>
      </c>
      <c r="AW2074">
        <v>0</v>
      </c>
      <c r="AX2074">
        <v>0</v>
      </c>
      <c r="AY2074">
        <v>140</v>
      </c>
      <c r="BC2074" t="str">
        <f t="shared" si="337"/>
        <v>9791137602113</v>
      </c>
      <c r="BE2074" t="str">
        <f t="shared" si="338"/>
        <v>판타지 웹소설 &gt; 현대 판타지</v>
      </c>
    </row>
    <row r="2075" spans="1:57" x14ac:dyDescent="0.3">
      <c r="A2075">
        <v>2313011955</v>
      </c>
      <c r="B2075">
        <v>2313012335</v>
      </c>
      <c r="C2075" t="str">
        <f>T("갓 오브 블랙필드 381화")</f>
        <v>갓 오브 블랙필드 381화</v>
      </c>
      <c r="D2075" t="str">
        <f>T("381")</f>
        <v>381</v>
      </c>
      <c r="E2075" t="str">
        <f t="shared" si="335"/>
        <v>무장</v>
      </c>
      <c r="H2075" t="str">
        <f t="shared" si="334"/>
        <v>스토리위즈</v>
      </c>
      <c r="I2075" t="str">
        <f t="shared" si="336"/>
        <v>갓 오브 블랙필드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200</v>
      </c>
      <c r="AH2075">
        <v>2</v>
      </c>
      <c r="AI2075">
        <v>0</v>
      </c>
      <c r="AJ2075">
        <v>0</v>
      </c>
      <c r="AK2075">
        <v>200</v>
      </c>
      <c r="AL2075">
        <v>0</v>
      </c>
      <c r="AM2075">
        <v>0</v>
      </c>
      <c r="AN2075">
        <v>0</v>
      </c>
      <c r="AO2075">
        <v>0</v>
      </c>
      <c r="AP2075"/>
      <c r="AQ2075">
        <v>0</v>
      </c>
      <c r="AR2075">
        <v>0</v>
      </c>
      <c r="AT2075">
        <v>0</v>
      </c>
      <c r="AU2075">
        <v>0</v>
      </c>
      <c r="AW2075">
        <v>0</v>
      </c>
      <c r="AX2075">
        <v>0</v>
      </c>
      <c r="AY2075">
        <v>140</v>
      </c>
      <c r="BC2075" t="str">
        <f t="shared" si="337"/>
        <v>9791137602113</v>
      </c>
      <c r="BE2075" t="str">
        <f t="shared" si="338"/>
        <v>판타지 웹소설 &gt; 현대 판타지</v>
      </c>
    </row>
    <row r="2076" spans="1:57" x14ac:dyDescent="0.3">
      <c r="A2076">
        <v>2313011955</v>
      </c>
      <c r="B2076">
        <v>2313012336</v>
      </c>
      <c r="C2076" t="str">
        <f>T("갓 오브 블랙필드 382화")</f>
        <v>갓 오브 블랙필드 382화</v>
      </c>
      <c r="D2076" t="str">
        <f>T("382")</f>
        <v>382</v>
      </c>
      <c r="E2076" t="str">
        <f t="shared" si="335"/>
        <v>무장</v>
      </c>
      <c r="H2076" t="str">
        <f t="shared" si="334"/>
        <v>스토리위즈</v>
      </c>
      <c r="I2076" t="str">
        <f t="shared" si="336"/>
        <v>갓 오브 블랙필드</v>
      </c>
      <c r="J2076">
        <v>100</v>
      </c>
      <c r="K2076">
        <v>200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200</v>
      </c>
      <c r="AH2076">
        <v>2</v>
      </c>
      <c r="AI2076">
        <v>0</v>
      </c>
      <c r="AJ2076">
        <v>0</v>
      </c>
      <c r="AK2076">
        <v>200</v>
      </c>
      <c r="AL2076">
        <v>0</v>
      </c>
      <c r="AM2076">
        <v>0</v>
      </c>
      <c r="AN2076">
        <v>0</v>
      </c>
      <c r="AO2076">
        <v>0</v>
      </c>
      <c r="AP2076"/>
      <c r="AQ2076">
        <v>0</v>
      </c>
      <c r="AR2076">
        <v>0</v>
      </c>
      <c r="AT2076">
        <v>0</v>
      </c>
      <c r="AU2076">
        <v>0</v>
      </c>
      <c r="AW2076">
        <v>0</v>
      </c>
      <c r="AX2076">
        <v>0</v>
      </c>
      <c r="AY2076">
        <v>140</v>
      </c>
      <c r="BC2076" t="str">
        <f t="shared" si="337"/>
        <v>9791137602113</v>
      </c>
      <c r="BE2076" t="str">
        <f t="shared" si="338"/>
        <v>판타지 웹소설 &gt; 현대 판타지</v>
      </c>
    </row>
    <row r="2077" spans="1:57" x14ac:dyDescent="0.3">
      <c r="A2077">
        <v>2313011955</v>
      </c>
      <c r="B2077">
        <v>2313012337</v>
      </c>
      <c r="C2077" t="str">
        <f>T("갓 오브 블랙필드 383화")</f>
        <v>갓 오브 블랙필드 383화</v>
      </c>
      <c r="D2077" t="str">
        <f>T("383")</f>
        <v>383</v>
      </c>
      <c r="E2077" t="str">
        <f t="shared" si="335"/>
        <v>무장</v>
      </c>
      <c r="H2077" t="str">
        <f t="shared" si="334"/>
        <v>스토리위즈</v>
      </c>
      <c r="I2077" t="str">
        <f t="shared" si="336"/>
        <v>갓 오브 블랙필드</v>
      </c>
      <c r="J2077">
        <v>100</v>
      </c>
      <c r="K2077">
        <v>200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200</v>
      </c>
      <c r="AH2077">
        <v>2</v>
      </c>
      <c r="AI2077">
        <v>0</v>
      </c>
      <c r="AJ2077">
        <v>0</v>
      </c>
      <c r="AK2077">
        <v>200</v>
      </c>
      <c r="AL2077">
        <v>0</v>
      </c>
      <c r="AM2077">
        <v>0</v>
      </c>
      <c r="AN2077">
        <v>0</v>
      </c>
      <c r="AO2077">
        <v>0</v>
      </c>
      <c r="AP2077"/>
      <c r="AQ2077">
        <v>0</v>
      </c>
      <c r="AR2077">
        <v>0</v>
      </c>
      <c r="AT2077">
        <v>0</v>
      </c>
      <c r="AU2077">
        <v>0</v>
      </c>
      <c r="AW2077">
        <v>0</v>
      </c>
      <c r="AX2077">
        <v>0</v>
      </c>
      <c r="AY2077">
        <v>140</v>
      </c>
      <c r="BC2077" t="str">
        <f t="shared" si="337"/>
        <v>9791137602113</v>
      </c>
      <c r="BE2077" t="str">
        <f t="shared" si="338"/>
        <v>판타지 웹소설 &gt; 현대 판타지</v>
      </c>
    </row>
    <row r="2078" spans="1:57" x14ac:dyDescent="0.3">
      <c r="A2078">
        <v>2313011955</v>
      </c>
      <c r="B2078">
        <v>2313012338</v>
      </c>
      <c r="C2078" t="str">
        <f>T("갓 오브 블랙필드 384화")</f>
        <v>갓 오브 블랙필드 384화</v>
      </c>
      <c r="D2078" t="str">
        <f>T("384")</f>
        <v>384</v>
      </c>
      <c r="E2078" t="str">
        <f t="shared" si="335"/>
        <v>무장</v>
      </c>
      <c r="H2078" t="str">
        <f t="shared" si="334"/>
        <v>스토리위즈</v>
      </c>
      <c r="I2078" t="str">
        <f t="shared" si="336"/>
        <v>갓 오브 블랙필드</v>
      </c>
      <c r="J2078">
        <v>100</v>
      </c>
      <c r="K2078">
        <v>200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200</v>
      </c>
      <c r="AH2078">
        <v>2</v>
      </c>
      <c r="AI2078">
        <v>0</v>
      </c>
      <c r="AJ2078">
        <v>0</v>
      </c>
      <c r="AK2078">
        <v>200</v>
      </c>
      <c r="AL2078">
        <v>0</v>
      </c>
      <c r="AM2078">
        <v>0</v>
      </c>
      <c r="AN2078">
        <v>0</v>
      </c>
      <c r="AO2078">
        <v>0</v>
      </c>
      <c r="AP2078"/>
      <c r="AQ2078">
        <v>0</v>
      </c>
      <c r="AR2078">
        <v>0</v>
      </c>
      <c r="AT2078">
        <v>0</v>
      </c>
      <c r="AU2078">
        <v>0</v>
      </c>
      <c r="AW2078">
        <v>0</v>
      </c>
      <c r="AX2078">
        <v>0</v>
      </c>
      <c r="AY2078">
        <v>140</v>
      </c>
      <c r="BC2078" t="str">
        <f t="shared" si="337"/>
        <v>9791137602113</v>
      </c>
      <c r="BE2078" t="str">
        <f t="shared" si="338"/>
        <v>판타지 웹소설 &gt; 현대 판타지</v>
      </c>
    </row>
    <row r="2079" spans="1:57" x14ac:dyDescent="0.3">
      <c r="A2079">
        <v>2313011955</v>
      </c>
      <c r="B2079">
        <v>2313012339</v>
      </c>
      <c r="C2079" t="str">
        <f>T("갓 오브 블랙필드 385화")</f>
        <v>갓 오브 블랙필드 385화</v>
      </c>
      <c r="D2079" t="str">
        <f>T("385")</f>
        <v>385</v>
      </c>
      <c r="E2079" t="str">
        <f t="shared" si="335"/>
        <v>무장</v>
      </c>
      <c r="H2079" t="str">
        <f t="shared" si="334"/>
        <v>스토리위즈</v>
      </c>
      <c r="I2079" t="str">
        <f t="shared" si="336"/>
        <v>갓 오브 블랙필드</v>
      </c>
      <c r="J2079">
        <v>100</v>
      </c>
      <c r="K2079">
        <v>200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200</v>
      </c>
      <c r="AH2079">
        <v>2</v>
      </c>
      <c r="AI2079">
        <v>0</v>
      </c>
      <c r="AJ2079">
        <v>0</v>
      </c>
      <c r="AK2079">
        <v>200</v>
      </c>
      <c r="AL2079">
        <v>0</v>
      </c>
      <c r="AM2079">
        <v>0</v>
      </c>
      <c r="AN2079">
        <v>0</v>
      </c>
      <c r="AO2079">
        <v>0</v>
      </c>
      <c r="AP2079"/>
      <c r="AQ2079">
        <v>0</v>
      </c>
      <c r="AR2079">
        <v>0</v>
      </c>
      <c r="AT2079">
        <v>0</v>
      </c>
      <c r="AU2079">
        <v>0</v>
      </c>
      <c r="AW2079">
        <v>0</v>
      </c>
      <c r="AX2079">
        <v>0</v>
      </c>
      <c r="AY2079">
        <v>140</v>
      </c>
      <c r="BC2079" t="str">
        <f t="shared" si="337"/>
        <v>9791137602113</v>
      </c>
      <c r="BE2079" t="str">
        <f t="shared" si="338"/>
        <v>판타지 웹소설 &gt; 현대 판타지</v>
      </c>
    </row>
    <row r="2080" spans="1:57" x14ac:dyDescent="0.3">
      <c r="A2080">
        <v>2313011955</v>
      </c>
      <c r="B2080">
        <v>2313012340</v>
      </c>
      <c r="C2080" t="str">
        <f>T("갓 오브 블랙필드 386화")</f>
        <v>갓 오브 블랙필드 386화</v>
      </c>
      <c r="D2080" t="str">
        <f>T("386")</f>
        <v>386</v>
      </c>
      <c r="E2080" t="str">
        <f t="shared" si="335"/>
        <v>무장</v>
      </c>
      <c r="H2080" t="str">
        <f t="shared" si="334"/>
        <v>스토리위즈</v>
      </c>
      <c r="I2080" t="str">
        <f t="shared" si="336"/>
        <v>갓 오브 블랙필드</v>
      </c>
      <c r="J2080">
        <v>100</v>
      </c>
      <c r="K2080">
        <v>200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200</v>
      </c>
      <c r="AH2080">
        <v>2</v>
      </c>
      <c r="AI2080">
        <v>0</v>
      </c>
      <c r="AJ2080">
        <v>0</v>
      </c>
      <c r="AK2080">
        <v>200</v>
      </c>
      <c r="AL2080">
        <v>0</v>
      </c>
      <c r="AM2080">
        <v>0</v>
      </c>
      <c r="AN2080">
        <v>0</v>
      </c>
      <c r="AO2080">
        <v>0</v>
      </c>
      <c r="AP2080"/>
      <c r="AQ2080">
        <v>0</v>
      </c>
      <c r="AR2080">
        <v>0</v>
      </c>
      <c r="AT2080">
        <v>0</v>
      </c>
      <c r="AU2080">
        <v>0</v>
      </c>
      <c r="AW2080">
        <v>0</v>
      </c>
      <c r="AX2080">
        <v>0</v>
      </c>
      <c r="AY2080">
        <v>140</v>
      </c>
      <c r="BC2080" t="str">
        <f t="shared" si="337"/>
        <v>9791137602113</v>
      </c>
      <c r="BE2080" t="str">
        <f t="shared" si="338"/>
        <v>판타지 웹소설 &gt; 현대 판타지</v>
      </c>
    </row>
    <row r="2081" spans="1:57" x14ac:dyDescent="0.3">
      <c r="A2081">
        <v>2313011955</v>
      </c>
      <c r="B2081">
        <v>2313012341</v>
      </c>
      <c r="C2081" t="str">
        <f>T("갓 오브 블랙필드 387화")</f>
        <v>갓 오브 블랙필드 387화</v>
      </c>
      <c r="D2081" t="str">
        <f>T("387")</f>
        <v>387</v>
      </c>
      <c r="E2081" t="str">
        <f t="shared" si="335"/>
        <v>무장</v>
      </c>
      <c r="H2081" t="str">
        <f t="shared" si="334"/>
        <v>스토리위즈</v>
      </c>
      <c r="I2081" t="str">
        <f t="shared" si="336"/>
        <v>갓 오브 블랙필드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200</v>
      </c>
      <c r="AH2081">
        <v>2</v>
      </c>
      <c r="AI2081">
        <v>0</v>
      </c>
      <c r="AJ2081">
        <v>0</v>
      </c>
      <c r="AK2081">
        <v>200</v>
      </c>
      <c r="AL2081">
        <v>0</v>
      </c>
      <c r="AM2081">
        <v>0</v>
      </c>
      <c r="AN2081">
        <v>0</v>
      </c>
      <c r="AO2081">
        <v>0</v>
      </c>
      <c r="AP2081"/>
      <c r="AQ2081">
        <v>0</v>
      </c>
      <c r="AR2081">
        <v>0</v>
      </c>
      <c r="AT2081">
        <v>0</v>
      </c>
      <c r="AU2081">
        <v>0</v>
      </c>
      <c r="AW2081">
        <v>0</v>
      </c>
      <c r="AX2081">
        <v>0</v>
      </c>
      <c r="AY2081">
        <v>140</v>
      </c>
      <c r="BC2081" t="str">
        <f t="shared" si="337"/>
        <v>9791137602113</v>
      </c>
      <c r="BE2081" t="str">
        <f t="shared" si="338"/>
        <v>판타지 웹소설 &gt; 현대 판타지</v>
      </c>
    </row>
    <row r="2082" spans="1:57" x14ac:dyDescent="0.3">
      <c r="A2082">
        <v>2313011955</v>
      </c>
      <c r="B2082">
        <v>2313012342</v>
      </c>
      <c r="C2082" t="str">
        <f>T("갓 오브 블랙필드 388화")</f>
        <v>갓 오브 블랙필드 388화</v>
      </c>
      <c r="D2082" t="str">
        <f>T("388")</f>
        <v>388</v>
      </c>
      <c r="E2082" t="str">
        <f t="shared" si="335"/>
        <v>무장</v>
      </c>
      <c r="H2082" t="str">
        <f t="shared" si="334"/>
        <v>스토리위즈</v>
      </c>
      <c r="I2082" t="str">
        <f t="shared" si="336"/>
        <v>갓 오브 블랙필드</v>
      </c>
      <c r="J2082">
        <v>100</v>
      </c>
      <c r="K2082">
        <v>200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200</v>
      </c>
      <c r="AH2082">
        <v>2</v>
      </c>
      <c r="AI2082">
        <v>0</v>
      </c>
      <c r="AJ2082">
        <v>0</v>
      </c>
      <c r="AK2082">
        <v>200</v>
      </c>
      <c r="AL2082">
        <v>0</v>
      </c>
      <c r="AM2082">
        <v>0</v>
      </c>
      <c r="AN2082">
        <v>0</v>
      </c>
      <c r="AO2082">
        <v>0</v>
      </c>
      <c r="AP2082"/>
      <c r="AQ2082">
        <v>0</v>
      </c>
      <c r="AR2082">
        <v>0</v>
      </c>
      <c r="AT2082">
        <v>0</v>
      </c>
      <c r="AU2082">
        <v>0</v>
      </c>
      <c r="AW2082">
        <v>0</v>
      </c>
      <c r="AX2082">
        <v>0</v>
      </c>
      <c r="AY2082">
        <v>140</v>
      </c>
      <c r="BC2082" t="str">
        <f t="shared" si="337"/>
        <v>9791137602113</v>
      </c>
      <c r="BE2082" t="str">
        <f t="shared" si="338"/>
        <v>판타지 웹소설 &gt; 현대 판타지</v>
      </c>
    </row>
    <row r="2083" spans="1:57" x14ac:dyDescent="0.3">
      <c r="A2083">
        <v>2313011955</v>
      </c>
      <c r="B2083">
        <v>2313012343</v>
      </c>
      <c r="C2083" t="str">
        <f>T("갓 오브 블랙필드 389화")</f>
        <v>갓 오브 블랙필드 389화</v>
      </c>
      <c r="D2083" t="str">
        <f>T("389")</f>
        <v>389</v>
      </c>
      <c r="E2083" t="str">
        <f t="shared" si="335"/>
        <v>무장</v>
      </c>
      <c r="H2083" t="str">
        <f t="shared" si="334"/>
        <v>스토리위즈</v>
      </c>
      <c r="I2083" t="str">
        <f t="shared" si="336"/>
        <v>갓 오브 블랙필드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200</v>
      </c>
      <c r="AL2083">
        <v>0</v>
      </c>
      <c r="AM2083">
        <v>0</v>
      </c>
      <c r="AN2083">
        <v>0</v>
      </c>
      <c r="AO2083">
        <v>0</v>
      </c>
      <c r="AP2083"/>
      <c r="AQ2083">
        <v>0</v>
      </c>
      <c r="AR2083">
        <v>0</v>
      </c>
      <c r="AT2083">
        <v>0</v>
      </c>
      <c r="AU2083">
        <v>0</v>
      </c>
      <c r="AW2083">
        <v>0</v>
      </c>
      <c r="AX2083">
        <v>0</v>
      </c>
      <c r="AY2083">
        <v>140</v>
      </c>
      <c r="BC2083" t="str">
        <f t="shared" si="337"/>
        <v>9791137602113</v>
      </c>
      <c r="BE2083" t="str">
        <f t="shared" si="338"/>
        <v>판타지 웹소설 &gt; 현대 판타지</v>
      </c>
    </row>
    <row r="2084" spans="1:57" x14ac:dyDescent="0.3">
      <c r="A2084">
        <v>2313011955</v>
      </c>
      <c r="B2084">
        <v>2313012344</v>
      </c>
      <c r="C2084" t="str">
        <f>T("갓 오브 블랙필드 390화")</f>
        <v>갓 오브 블랙필드 390화</v>
      </c>
      <c r="D2084" t="str">
        <f>T("390")</f>
        <v>390</v>
      </c>
      <c r="E2084" t="str">
        <f t="shared" si="335"/>
        <v>무장</v>
      </c>
      <c r="H2084" t="str">
        <f t="shared" si="334"/>
        <v>스토리위즈</v>
      </c>
      <c r="I2084" t="str">
        <f t="shared" si="336"/>
        <v>갓 오브 블랙필드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2</v>
      </c>
      <c r="AI2084">
        <v>0</v>
      </c>
      <c r="AJ2084">
        <v>0</v>
      </c>
      <c r="AK2084">
        <v>200</v>
      </c>
      <c r="AL2084">
        <v>0</v>
      </c>
      <c r="AM2084">
        <v>0</v>
      </c>
      <c r="AN2084">
        <v>0</v>
      </c>
      <c r="AO2084">
        <v>0</v>
      </c>
      <c r="AP2084"/>
      <c r="AQ2084">
        <v>0</v>
      </c>
      <c r="AR2084">
        <v>0</v>
      </c>
      <c r="AT2084">
        <v>0</v>
      </c>
      <c r="AU2084">
        <v>0</v>
      </c>
      <c r="AW2084">
        <v>0</v>
      </c>
      <c r="AX2084">
        <v>0</v>
      </c>
      <c r="AY2084">
        <v>140</v>
      </c>
      <c r="BC2084" t="str">
        <f t="shared" si="337"/>
        <v>9791137602113</v>
      </c>
      <c r="BE2084" t="str">
        <f t="shared" si="338"/>
        <v>판타지 웹소설 &gt; 현대 판타지</v>
      </c>
    </row>
    <row r="2085" spans="1:57" x14ac:dyDescent="0.3">
      <c r="A2085">
        <v>2313011955</v>
      </c>
      <c r="B2085">
        <v>2313012345</v>
      </c>
      <c r="C2085" t="str">
        <f>T("갓 오브 블랙필드 391화")</f>
        <v>갓 오브 블랙필드 391화</v>
      </c>
      <c r="D2085" t="str">
        <f>T("391")</f>
        <v>391</v>
      </c>
      <c r="E2085" t="str">
        <f t="shared" si="335"/>
        <v>무장</v>
      </c>
      <c r="H2085" t="str">
        <f t="shared" si="334"/>
        <v>스토리위즈</v>
      </c>
      <c r="I2085" t="str">
        <f t="shared" si="336"/>
        <v>갓 오브 블랙필드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200</v>
      </c>
      <c r="AH2085">
        <v>2</v>
      </c>
      <c r="AI2085">
        <v>0</v>
      </c>
      <c r="AJ2085">
        <v>0</v>
      </c>
      <c r="AK2085">
        <v>200</v>
      </c>
      <c r="AL2085">
        <v>0</v>
      </c>
      <c r="AM2085">
        <v>0</v>
      </c>
      <c r="AN2085">
        <v>0</v>
      </c>
      <c r="AO2085">
        <v>0</v>
      </c>
      <c r="AP2085"/>
      <c r="AQ2085">
        <v>0</v>
      </c>
      <c r="AR2085">
        <v>0</v>
      </c>
      <c r="AT2085">
        <v>0</v>
      </c>
      <c r="AU2085">
        <v>0</v>
      </c>
      <c r="AW2085">
        <v>0</v>
      </c>
      <c r="AX2085">
        <v>0</v>
      </c>
      <c r="AY2085">
        <v>140</v>
      </c>
      <c r="BC2085" t="str">
        <f t="shared" si="337"/>
        <v>9791137602113</v>
      </c>
      <c r="BE2085" t="str">
        <f t="shared" si="338"/>
        <v>판타지 웹소설 &gt; 현대 판타지</v>
      </c>
    </row>
    <row r="2086" spans="1:57" x14ac:dyDescent="0.3">
      <c r="A2086">
        <v>2313011955</v>
      </c>
      <c r="B2086">
        <v>2313012346</v>
      </c>
      <c r="C2086" t="str">
        <f>T("갓 오브 블랙필드 392화")</f>
        <v>갓 오브 블랙필드 392화</v>
      </c>
      <c r="D2086" t="str">
        <f>T("392")</f>
        <v>392</v>
      </c>
      <c r="E2086" t="str">
        <f t="shared" si="335"/>
        <v>무장</v>
      </c>
      <c r="H2086" t="str">
        <f t="shared" si="334"/>
        <v>스토리위즈</v>
      </c>
      <c r="I2086" t="str">
        <f t="shared" si="336"/>
        <v>갓 오브 블랙필드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200</v>
      </c>
      <c r="AL2086">
        <v>0</v>
      </c>
      <c r="AM2086">
        <v>0</v>
      </c>
      <c r="AN2086">
        <v>0</v>
      </c>
      <c r="AO2086">
        <v>0</v>
      </c>
      <c r="AP2086"/>
      <c r="AQ2086">
        <v>0</v>
      </c>
      <c r="AR2086">
        <v>0</v>
      </c>
      <c r="AT2086">
        <v>0</v>
      </c>
      <c r="AU2086">
        <v>0</v>
      </c>
      <c r="AW2086">
        <v>0</v>
      </c>
      <c r="AX2086">
        <v>0</v>
      </c>
      <c r="AY2086">
        <v>140</v>
      </c>
      <c r="BC2086" t="str">
        <f t="shared" si="337"/>
        <v>9791137602113</v>
      </c>
      <c r="BE2086" t="str">
        <f t="shared" si="338"/>
        <v>판타지 웹소설 &gt; 현대 판타지</v>
      </c>
    </row>
    <row r="2087" spans="1:57" x14ac:dyDescent="0.3">
      <c r="A2087">
        <v>2313011955</v>
      </c>
      <c r="B2087">
        <v>2313012347</v>
      </c>
      <c r="C2087" t="str">
        <f>T("갓 오브 블랙필드 393화")</f>
        <v>갓 오브 블랙필드 393화</v>
      </c>
      <c r="D2087" t="str">
        <f>T("393")</f>
        <v>393</v>
      </c>
      <c r="E2087" t="str">
        <f t="shared" si="335"/>
        <v>무장</v>
      </c>
      <c r="H2087" t="str">
        <f t="shared" si="334"/>
        <v>스토리위즈</v>
      </c>
      <c r="I2087" t="str">
        <f t="shared" si="336"/>
        <v>갓 오브 블랙필드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/>
      <c r="AQ2087">
        <v>0</v>
      </c>
      <c r="AR2087">
        <v>0</v>
      </c>
      <c r="AT2087">
        <v>0</v>
      </c>
      <c r="AU2087">
        <v>0</v>
      </c>
      <c r="AW2087">
        <v>0</v>
      </c>
      <c r="AX2087">
        <v>0</v>
      </c>
      <c r="AY2087">
        <v>140</v>
      </c>
      <c r="BC2087" t="str">
        <f t="shared" si="337"/>
        <v>9791137602113</v>
      </c>
      <c r="BE2087" t="str">
        <f t="shared" si="338"/>
        <v>판타지 웹소설 &gt; 현대 판타지</v>
      </c>
    </row>
    <row r="2088" spans="1:57" x14ac:dyDescent="0.3">
      <c r="A2088">
        <v>2313011955</v>
      </c>
      <c r="B2088">
        <v>2313012348</v>
      </c>
      <c r="C2088" t="str">
        <f>T("갓 오브 블랙필드 394화")</f>
        <v>갓 오브 블랙필드 394화</v>
      </c>
      <c r="D2088" t="str">
        <f>T("394")</f>
        <v>394</v>
      </c>
      <c r="E2088" t="str">
        <f t="shared" si="335"/>
        <v>무장</v>
      </c>
      <c r="H2088" t="str">
        <f t="shared" si="334"/>
        <v>스토리위즈</v>
      </c>
      <c r="I2088" t="str">
        <f t="shared" si="336"/>
        <v>갓 오브 블랙필드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200</v>
      </c>
      <c r="AL2088">
        <v>0</v>
      </c>
      <c r="AM2088">
        <v>0</v>
      </c>
      <c r="AN2088">
        <v>0</v>
      </c>
      <c r="AO2088">
        <v>0</v>
      </c>
      <c r="AP2088"/>
      <c r="AQ2088">
        <v>0</v>
      </c>
      <c r="AR2088">
        <v>0</v>
      </c>
      <c r="AT2088">
        <v>0</v>
      </c>
      <c r="AU2088">
        <v>0</v>
      </c>
      <c r="AW2088">
        <v>0</v>
      </c>
      <c r="AX2088">
        <v>0</v>
      </c>
      <c r="AY2088">
        <v>140</v>
      </c>
      <c r="BC2088" t="str">
        <f t="shared" si="337"/>
        <v>9791137602113</v>
      </c>
      <c r="BE2088" t="str">
        <f t="shared" si="338"/>
        <v>판타지 웹소설 &gt; 현대 판타지</v>
      </c>
    </row>
    <row r="2089" spans="1:57" x14ac:dyDescent="0.3">
      <c r="A2089">
        <v>2313011955</v>
      </c>
      <c r="B2089">
        <v>2313012349</v>
      </c>
      <c r="C2089" t="str">
        <f>T("갓 오브 블랙필드 395화")</f>
        <v>갓 오브 블랙필드 395화</v>
      </c>
      <c r="D2089" t="str">
        <f>T("395")</f>
        <v>395</v>
      </c>
      <c r="E2089" t="str">
        <f t="shared" si="335"/>
        <v>무장</v>
      </c>
      <c r="H2089" t="str">
        <f t="shared" si="334"/>
        <v>스토리위즈</v>
      </c>
      <c r="I2089" t="str">
        <f t="shared" si="336"/>
        <v>갓 오브 블랙필드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200</v>
      </c>
      <c r="AL2089">
        <v>0</v>
      </c>
      <c r="AM2089">
        <v>0</v>
      </c>
      <c r="AN2089">
        <v>0</v>
      </c>
      <c r="AO2089">
        <v>0</v>
      </c>
      <c r="AP2089"/>
      <c r="AQ2089">
        <v>0</v>
      </c>
      <c r="AR2089">
        <v>0</v>
      </c>
      <c r="AT2089">
        <v>0</v>
      </c>
      <c r="AU2089">
        <v>0</v>
      </c>
      <c r="AW2089">
        <v>0</v>
      </c>
      <c r="AX2089">
        <v>0</v>
      </c>
      <c r="AY2089">
        <v>140</v>
      </c>
      <c r="BC2089" t="str">
        <f t="shared" si="337"/>
        <v>9791137602113</v>
      </c>
      <c r="BE2089" t="str">
        <f t="shared" si="338"/>
        <v>판타지 웹소설 &gt; 현대 판타지</v>
      </c>
    </row>
    <row r="2090" spans="1:57" x14ac:dyDescent="0.3">
      <c r="A2090">
        <v>2313011955</v>
      </c>
      <c r="B2090">
        <v>2313012350</v>
      </c>
      <c r="C2090" t="str">
        <f>T("갓 오브 블랙필드 396화")</f>
        <v>갓 오브 블랙필드 396화</v>
      </c>
      <c r="D2090" t="str">
        <f>T("396")</f>
        <v>396</v>
      </c>
      <c r="E2090" t="str">
        <f t="shared" si="335"/>
        <v>무장</v>
      </c>
      <c r="H2090" t="str">
        <f t="shared" si="334"/>
        <v>스토리위즈</v>
      </c>
      <c r="I2090" t="str">
        <f t="shared" si="336"/>
        <v>갓 오브 블랙필드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0</v>
      </c>
      <c r="AP2090"/>
      <c r="AQ2090">
        <v>0</v>
      </c>
      <c r="AR2090">
        <v>0</v>
      </c>
      <c r="AT2090">
        <v>0</v>
      </c>
      <c r="AU2090">
        <v>0</v>
      </c>
      <c r="AW2090">
        <v>0</v>
      </c>
      <c r="AX2090">
        <v>0</v>
      </c>
      <c r="AY2090">
        <v>140</v>
      </c>
      <c r="BC2090" t="str">
        <f t="shared" si="337"/>
        <v>9791137602113</v>
      </c>
      <c r="BE2090" t="str">
        <f t="shared" si="338"/>
        <v>판타지 웹소설 &gt; 현대 판타지</v>
      </c>
    </row>
    <row r="2091" spans="1:57" x14ac:dyDescent="0.3">
      <c r="A2091">
        <v>2313011955</v>
      </c>
      <c r="B2091">
        <v>2313012351</v>
      </c>
      <c r="C2091" t="str">
        <f>T("갓 오브 블랙필드 397화")</f>
        <v>갓 오브 블랙필드 397화</v>
      </c>
      <c r="D2091" t="str">
        <f>T("397")</f>
        <v>397</v>
      </c>
      <c r="E2091" t="str">
        <f t="shared" si="335"/>
        <v>무장</v>
      </c>
      <c r="H2091" t="str">
        <f t="shared" si="334"/>
        <v>스토리위즈</v>
      </c>
      <c r="I2091" t="str">
        <f t="shared" si="336"/>
        <v>갓 오브 블랙필드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200</v>
      </c>
      <c r="AL2091">
        <v>0</v>
      </c>
      <c r="AM2091">
        <v>0</v>
      </c>
      <c r="AN2091">
        <v>0</v>
      </c>
      <c r="AO2091">
        <v>0</v>
      </c>
      <c r="AP2091"/>
      <c r="AQ2091">
        <v>0</v>
      </c>
      <c r="AR2091">
        <v>0</v>
      </c>
      <c r="AT2091">
        <v>0</v>
      </c>
      <c r="AU2091">
        <v>0</v>
      </c>
      <c r="AW2091">
        <v>0</v>
      </c>
      <c r="AX2091">
        <v>0</v>
      </c>
      <c r="AY2091">
        <v>140</v>
      </c>
      <c r="BC2091" t="str">
        <f t="shared" si="337"/>
        <v>9791137602113</v>
      </c>
      <c r="BE2091" t="str">
        <f t="shared" si="338"/>
        <v>판타지 웹소설 &gt; 현대 판타지</v>
      </c>
    </row>
    <row r="2092" spans="1:57" x14ac:dyDescent="0.3">
      <c r="A2092">
        <v>2313011955</v>
      </c>
      <c r="B2092">
        <v>2313012352</v>
      </c>
      <c r="C2092" t="str">
        <f>T("갓 오브 블랙필드 398화")</f>
        <v>갓 오브 블랙필드 398화</v>
      </c>
      <c r="D2092" t="str">
        <f>T("398")</f>
        <v>398</v>
      </c>
      <c r="E2092" t="str">
        <f t="shared" si="335"/>
        <v>무장</v>
      </c>
      <c r="H2092" t="str">
        <f t="shared" si="334"/>
        <v>스토리위즈</v>
      </c>
      <c r="I2092" t="str">
        <f t="shared" si="336"/>
        <v>갓 오브 블랙필드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/>
      <c r="AQ2092">
        <v>0</v>
      </c>
      <c r="AR2092">
        <v>0</v>
      </c>
      <c r="AT2092">
        <v>0</v>
      </c>
      <c r="AU2092">
        <v>0</v>
      </c>
      <c r="AW2092">
        <v>0</v>
      </c>
      <c r="AX2092">
        <v>0</v>
      </c>
      <c r="AY2092">
        <v>140</v>
      </c>
      <c r="BC2092" t="str">
        <f t="shared" si="337"/>
        <v>9791137602113</v>
      </c>
      <c r="BE2092" t="str">
        <f t="shared" si="338"/>
        <v>판타지 웹소설 &gt; 현대 판타지</v>
      </c>
    </row>
    <row r="2093" spans="1:57" x14ac:dyDescent="0.3">
      <c r="A2093">
        <v>2313011955</v>
      </c>
      <c r="B2093">
        <v>2313012353</v>
      </c>
      <c r="C2093" t="str">
        <f>T("갓 오브 블랙필드 399화")</f>
        <v>갓 오브 블랙필드 399화</v>
      </c>
      <c r="D2093" t="str">
        <f>T("399")</f>
        <v>399</v>
      </c>
      <c r="E2093" t="str">
        <f t="shared" si="335"/>
        <v>무장</v>
      </c>
      <c r="H2093" t="str">
        <f t="shared" si="334"/>
        <v>스토리위즈</v>
      </c>
      <c r="I2093" t="str">
        <f t="shared" si="336"/>
        <v>갓 오브 블랙필드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200</v>
      </c>
      <c r="AL2093">
        <v>0</v>
      </c>
      <c r="AM2093">
        <v>0</v>
      </c>
      <c r="AN2093">
        <v>0</v>
      </c>
      <c r="AO2093">
        <v>0</v>
      </c>
      <c r="AP2093"/>
      <c r="AQ2093">
        <v>0</v>
      </c>
      <c r="AR2093">
        <v>0</v>
      </c>
      <c r="AT2093">
        <v>0</v>
      </c>
      <c r="AU2093">
        <v>0</v>
      </c>
      <c r="AW2093">
        <v>0</v>
      </c>
      <c r="AX2093">
        <v>0</v>
      </c>
      <c r="AY2093">
        <v>140</v>
      </c>
      <c r="BC2093" t="str">
        <f t="shared" si="337"/>
        <v>9791137602113</v>
      </c>
      <c r="BE2093" t="str">
        <f t="shared" si="338"/>
        <v>판타지 웹소설 &gt; 현대 판타지</v>
      </c>
    </row>
    <row r="2094" spans="1:57" x14ac:dyDescent="0.3">
      <c r="A2094">
        <v>2313011955</v>
      </c>
      <c r="B2094">
        <v>2313012354</v>
      </c>
      <c r="C2094" t="str">
        <f>T("갓 오브 블랙필드 400화")</f>
        <v>갓 오브 블랙필드 400화</v>
      </c>
      <c r="D2094" t="str">
        <f>T("400")</f>
        <v>400</v>
      </c>
      <c r="E2094" t="str">
        <f t="shared" si="335"/>
        <v>무장</v>
      </c>
      <c r="H2094" t="str">
        <f t="shared" si="334"/>
        <v>스토리위즈</v>
      </c>
      <c r="I2094" t="str">
        <f t="shared" si="336"/>
        <v>갓 오브 블랙필드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0</v>
      </c>
      <c r="AP2094"/>
      <c r="AQ2094">
        <v>0</v>
      </c>
      <c r="AR2094">
        <v>0</v>
      </c>
      <c r="AT2094">
        <v>0</v>
      </c>
      <c r="AU2094">
        <v>0</v>
      </c>
      <c r="AW2094">
        <v>0</v>
      </c>
      <c r="AX2094">
        <v>0</v>
      </c>
      <c r="AY2094">
        <v>140</v>
      </c>
      <c r="BC2094" t="str">
        <f t="shared" si="337"/>
        <v>9791137602113</v>
      </c>
      <c r="BE2094" t="str">
        <f t="shared" si="338"/>
        <v>판타지 웹소설 &gt; 현대 판타지</v>
      </c>
    </row>
    <row r="2095" spans="1:57" x14ac:dyDescent="0.3">
      <c r="A2095">
        <v>2313011955</v>
      </c>
      <c r="B2095">
        <v>2313012355</v>
      </c>
      <c r="C2095" t="str">
        <f>T("갓 오브 블랙필드 401화")</f>
        <v>갓 오브 블랙필드 401화</v>
      </c>
      <c r="D2095" t="str">
        <f>T("401")</f>
        <v>401</v>
      </c>
      <c r="E2095" t="str">
        <f t="shared" si="335"/>
        <v>무장</v>
      </c>
      <c r="H2095" t="str">
        <f t="shared" si="334"/>
        <v>스토리위즈</v>
      </c>
      <c r="I2095" t="str">
        <f t="shared" si="336"/>
        <v>갓 오브 블랙필드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200</v>
      </c>
      <c r="AL2095">
        <v>0</v>
      </c>
      <c r="AM2095">
        <v>0</v>
      </c>
      <c r="AN2095">
        <v>0</v>
      </c>
      <c r="AO2095">
        <v>0</v>
      </c>
      <c r="AP2095"/>
      <c r="AQ2095">
        <v>0</v>
      </c>
      <c r="AR2095">
        <v>0</v>
      </c>
      <c r="AT2095">
        <v>0</v>
      </c>
      <c r="AU2095">
        <v>0</v>
      </c>
      <c r="AW2095">
        <v>0</v>
      </c>
      <c r="AX2095">
        <v>0</v>
      </c>
      <c r="AY2095">
        <v>140</v>
      </c>
      <c r="BC2095" t="str">
        <f t="shared" si="337"/>
        <v>9791137602113</v>
      </c>
      <c r="BE2095" t="str">
        <f t="shared" si="338"/>
        <v>판타지 웹소설 &gt; 현대 판타지</v>
      </c>
    </row>
    <row r="2096" spans="1:57" x14ac:dyDescent="0.3">
      <c r="A2096">
        <v>2313011955</v>
      </c>
      <c r="B2096">
        <v>2313012356</v>
      </c>
      <c r="C2096" t="str">
        <f>T("갓 오브 블랙필드 402화")</f>
        <v>갓 오브 블랙필드 402화</v>
      </c>
      <c r="D2096" t="str">
        <f>T("402")</f>
        <v>402</v>
      </c>
      <c r="E2096" t="str">
        <f t="shared" si="335"/>
        <v>무장</v>
      </c>
      <c r="H2096" t="str">
        <f t="shared" si="334"/>
        <v>스토리위즈</v>
      </c>
      <c r="I2096" t="str">
        <f t="shared" si="336"/>
        <v>갓 오브 블랙필드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200</v>
      </c>
      <c r="AL2096">
        <v>0</v>
      </c>
      <c r="AM2096">
        <v>0</v>
      </c>
      <c r="AN2096">
        <v>0</v>
      </c>
      <c r="AO2096">
        <v>0</v>
      </c>
      <c r="AP2096"/>
      <c r="AQ2096">
        <v>0</v>
      </c>
      <c r="AR2096">
        <v>0</v>
      </c>
      <c r="AT2096">
        <v>0</v>
      </c>
      <c r="AU2096">
        <v>0</v>
      </c>
      <c r="AW2096">
        <v>0</v>
      </c>
      <c r="AX2096">
        <v>0</v>
      </c>
      <c r="AY2096">
        <v>140</v>
      </c>
      <c r="BC2096" t="str">
        <f t="shared" si="337"/>
        <v>9791137602113</v>
      </c>
      <c r="BE2096" t="str">
        <f t="shared" si="338"/>
        <v>판타지 웹소설 &gt; 현대 판타지</v>
      </c>
    </row>
    <row r="2097" spans="1:57" x14ac:dyDescent="0.3">
      <c r="A2097">
        <v>2313011955</v>
      </c>
      <c r="B2097">
        <v>2313012357</v>
      </c>
      <c r="C2097" t="str">
        <f>T("갓 오브 블랙필드 403화")</f>
        <v>갓 오브 블랙필드 403화</v>
      </c>
      <c r="D2097" t="str">
        <f>T("403")</f>
        <v>403</v>
      </c>
      <c r="E2097" t="str">
        <f t="shared" si="335"/>
        <v>무장</v>
      </c>
      <c r="H2097" t="str">
        <f t="shared" si="334"/>
        <v>스토리위즈</v>
      </c>
      <c r="I2097" t="str">
        <f t="shared" si="336"/>
        <v>갓 오브 블랙필드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0</v>
      </c>
      <c r="AP2097"/>
      <c r="AQ2097">
        <v>0</v>
      </c>
      <c r="AR2097">
        <v>0</v>
      </c>
      <c r="AT2097">
        <v>0</v>
      </c>
      <c r="AU2097">
        <v>0</v>
      </c>
      <c r="AW2097">
        <v>0</v>
      </c>
      <c r="AX2097">
        <v>0</v>
      </c>
      <c r="AY2097">
        <v>140</v>
      </c>
      <c r="BC2097" t="str">
        <f t="shared" si="337"/>
        <v>9791137602113</v>
      </c>
      <c r="BE2097" t="str">
        <f t="shared" si="338"/>
        <v>판타지 웹소설 &gt; 현대 판타지</v>
      </c>
    </row>
    <row r="2098" spans="1:57" x14ac:dyDescent="0.3">
      <c r="A2098">
        <v>2313011955</v>
      </c>
      <c r="B2098">
        <v>2313012358</v>
      </c>
      <c r="C2098" t="str">
        <f>T("갓 오브 블랙필드 404화")</f>
        <v>갓 오브 블랙필드 404화</v>
      </c>
      <c r="D2098" t="str">
        <f>T("404")</f>
        <v>404</v>
      </c>
      <c r="E2098" t="str">
        <f t="shared" si="335"/>
        <v>무장</v>
      </c>
      <c r="H2098" t="str">
        <f t="shared" si="334"/>
        <v>스토리위즈</v>
      </c>
      <c r="I2098" t="str">
        <f t="shared" si="336"/>
        <v>갓 오브 블랙필드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200</v>
      </c>
      <c r="AL2098">
        <v>0</v>
      </c>
      <c r="AM2098">
        <v>0</v>
      </c>
      <c r="AN2098">
        <v>0</v>
      </c>
      <c r="AO2098">
        <v>0</v>
      </c>
      <c r="AP2098"/>
      <c r="AQ2098">
        <v>0</v>
      </c>
      <c r="AR2098">
        <v>0</v>
      </c>
      <c r="AT2098">
        <v>0</v>
      </c>
      <c r="AU2098">
        <v>0</v>
      </c>
      <c r="AW2098">
        <v>0</v>
      </c>
      <c r="AX2098">
        <v>0</v>
      </c>
      <c r="AY2098">
        <v>140</v>
      </c>
      <c r="BC2098" t="str">
        <f t="shared" si="337"/>
        <v>9791137602113</v>
      </c>
      <c r="BE2098" t="str">
        <f t="shared" si="338"/>
        <v>판타지 웹소설 &gt; 현대 판타지</v>
      </c>
    </row>
    <row r="2099" spans="1:57" x14ac:dyDescent="0.3">
      <c r="A2099">
        <v>2313011955</v>
      </c>
      <c r="B2099">
        <v>2313012359</v>
      </c>
      <c r="C2099" t="str">
        <f>T("갓 오브 블랙필드 405화")</f>
        <v>갓 오브 블랙필드 405화</v>
      </c>
      <c r="D2099" t="str">
        <f>T("405")</f>
        <v>405</v>
      </c>
      <c r="E2099" t="str">
        <f t="shared" si="335"/>
        <v>무장</v>
      </c>
      <c r="H2099" t="str">
        <f t="shared" si="334"/>
        <v>스토리위즈</v>
      </c>
      <c r="I2099" t="str">
        <f t="shared" si="336"/>
        <v>갓 오브 블랙필드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/>
      <c r="AQ2099">
        <v>0</v>
      </c>
      <c r="AR2099">
        <v>0</v>
      </c>
      <c r="AT2099">
        <v>0</v>
      </c>
      <c r="AU2099">
        <v>0</v>
      </c>
      <c r="AW2099">
        <v>0</v>
      </c>
      <c r="AX2099">
        <v>0</v>
      </c>
      <c r="AY2099">
        <v>140</v>
      </c>
      <c r="BC2099" t="str">
        <f t="shared" si="337"/>
        <v>9791137602113</v>
      </c>
      <c r="BE2099" t="str">
        <f t="shared" si="338"/>
        <v>판타지 웹소설 &gt; 현대 판타지</v>
      </c>
    </row>
    <row r="2100" spans="1:57" x14ac:dyDescent="0.3">
      <c r="A2100">
        <v>2313011955</v>
      </c>
      <c r="B2100">
        <v>2313012360</v>
      </c>
      <c r="C2100" t="str">
        <f>T("갓 오브 블랙필드 406화")</f>
        <v>갓 오브 블랙필드 406화</v>
      </c>
      <c r="D2100" t="str">
        <f>T("406")</f>
        <v>406</v>
      </c>
      <c r="E2100" t="str">
        <f t="shared" si="335"/>
        <v>무장</v>
      </c>
      <c r="H2100" t="str">
        <f t="shared" si="334"/>
        <v>스토리위즈</v>
      </c>
      <c r="I2100" t="str">
        <f t="shared" si="336"/>
        <v>갓 오브 블랙필드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0</v>
      </c>
      <c r="AP2100"/>
      <c r="AQ2100">
        <v>0</v>
      </c>
      <c r="AR2100">
        <v>0</v>
      </c>
      <c r="AT2100">
        <v>0</v>
      </c>
      <c r="AU2100">
        <v>0</v>
      </c>
      <c r="AW2100">
        <v>0</v>
      </c>
      <c r="AX2100">
        <v>0</v>
      </c>
      <c r="AY2100">
        <v>140</v>
      </c>
      <c r="BC2100" t="str">
        <f t="shared" si="337"/>
        <v>9791137602113</v>
      </c>
      <c r="BE2100" t="str">
        <f t="shared" si="338"/>
        <v>판타지 웹소설 &gt; 현대 판타지</v>
      </c>
    </row>
    <row r="2101" spans="1:57" x14ac:dyDescent="0.3">
      <c r="A2101">
        <v>2313011955</v>
      </c>
      <c r="B2101">
        <v>2313012361</v>
      </c>
      <c r="C2101" t="str">
        <f>T("갓 오브 블랙필드 407화")</f>
        <v>갓 오브 블랙필드 407화</v>
      </c>
      <c r="D2101" t="str">
        <f>T("407")</f>
        <v>407</v>
      </c>
      <c r="E2101" t="str">
        <f t="shared" si="335"/>
        <v>무장</v>
      </c>
      <c r="H2101" t="str">
        <f t="shared" si="334"/>
        <v>스토리위즈</v>
      </c>
      <c r="I2101" t="str">
        <f t="shared" si="336"/>
        <v>갓 오브 블랙필드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200</v>
      </c>
      <c r="AL2101">
        <v>0</v>
      </c>
      <c r="AM2101">
        <v>0</v>
      </c>
      <c r="AN2101">
        <v>0</v>
      </c>
      <c r="AO2101">
        <v>0</v>
      </c>
      <c r="AP2101"/>
      <c r="AQ2101">
        <v>0</v>
      </c>
      <c r="AR2101">
        <v>0</v>
      </c>
      <c r="AT2101">
        <v>0</v>
      </c>
      <c r="AU2101">
        <v>0</v>
      </c>
      <c r="AW2101">
        <v>0</v>
      </c>
      <c r="AX2101">
        <v>0</v>
      </c>
      <c r="AY2101">
        <v>140</v>
      </c>
      <c r="BC2101" t="str">
        <f t="shared" si="337"/>
        <v>9791137602113</v>
      </c>
      <c r="BE2101" t="str">
        <f t="shared" si="338"/>
        <v>판타지 웹소설 &gt; 현대 판타지</v>
      </c>
    </row>
    <row r="2102" spans="1:57" x14ac:dyDescent="0.3">
      <c r="A2102">
        <v>2313011955</v>
      </c>
      <c r="B2102">
        <v>2313012362</v>
      </c>
      <c r="C2102" t="str">
        <f>T("갓 오브 블랙필드 408화")</f>
        <v>갓 오브 블랙필드 408화</v>
      </c>
      <c r="D2102" t="str">
        <f>T("408")</f>
        <v>408</v>
      </c>
      <c r="E2102" t="str">
        <f t="shared" si="335"/>
        <v>무장</v>
      </c>
      <c r="H2102" t="str">
        <f t="shared" si="334"/>
        <v>스토리위즈</v>
      </c>
      <c r="I2102" t="str">
        <f t="shared" si="336"/>
        <v>갓 오브 블랙필드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/>
      <c r="AQ2102">
        <v>0</v>
      </c>
      <c r="AR2102">
        <v>0</v>
      </c>
      <c r="AT2102">
        <v>0</v>
      </c>
      <c r="AU2102">
        <v>0</v>
      </c>
      <c r="AW2102">
        <v>0</v>
      </c>
      <c r="AX2102">
        <v>0</v>
      </c>
      <c r="AY2102">
        <v>140</v>
      </c>
      <c r="BC2102" t="str">
        <f t="shared" si="337"/>
        <v>9791137602113</v>
      </c>
      <c r="BE2102" t="str">
        <f t="shared" si="338"/>
        <v>판타지 웹소설 &gt; 현대 판타지</v>
      </c>
    </row>
    <row r="2103" spans="1:57" x14ac:dyDescent="0.3">
      <c r="A2103">
        <v>2313011955</v>
      </c>
      <c r="B2103">
        <v>2313012363</v>
      </c>
      <c r="C2103" t="str">
        <f>T("갓 오브 블랙필드 409화")</f>
        <v>갓 오브 블랙필드 409화</v>
      </c>
      <c r="D2103" t="str">
        <f>T("409")</f>
        <v>409</v>
      </c>
      <c r="E2103" t="str">
        <f t="shared" si="335"/>
        <v>무장</v>
      </c>
      <c r="H2103" t="str">
        <f t="shared" si="334"/>
        <v>스토리위즈</v>
      </c>
      <c r="I2103" t="str">
        <f t="shared" si="336"/>
        <v>갓 오브 블랙필드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200</v>
      </c>
      <c r="AL2103">
        <v>0</v>
      </c>
      <c r="AM2103">
        <v>0</v>
      </c>
      <c r="AN2103">
        <v>0</v>
      </c>
      <c r="AO2103">
        <v>0</v>
      </c>
      <c r="AP2103"/>
      <c r="AQ2103">
        <v>0</v>
      </c>
      <c r="AR2103">
        <v>0</v>
      </c>
      <c r="AT2103">
        <v>0</v>
      </c>
      <c r="AU2103">
        <v>0</v>
      </c>
      <c r="AW2103">
        <v>0</v>
      </c>
      <c r="AX2103">
        <v>0</v>
      </c>
      <c r="AY2103">
        <v>140</v>
      </c>
      <c r="BC2103" t="str">
        <f t="shared" si="337"/>
        <v>9791137602113</v>
      </c>
      <c r="BE2103" t="str">
        <f t="shared" si="338"/>
        <v>판타지 웹소설 &gt; 현대 판타지</v>
      </c>
    </row>
    <row r="2104" spans="1:57" x14ac:dyDescent="0.3">
      <c r="A2104">
        <v>2313011955</v>
      </c>
      <c r="B2104">
        <v>2313012364</v>
      </c>
      <c r="C2104" t="str">
        <f>T("갓 오브 블랙필드 410화")</f>
        <v>갓 오브 블랙필드 410화</v>
      </c>
      <c r="D2104" t="str">
        <f>T("410")</f>
        <v>410</v>
      </c>
      <c r="E2104" t="str">
        <f t="shared" si="335"/>
        <v>무장</v>
      </c>
      <c r="H2104" t="str">
        <f t="shared" si="334"/>
        <v>스토리위즈</v>
      </c>
      <c r="I2104" t="str">
        <f t="shared" si="336"/>
        <v>갓 오브 블랙필드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0</v>
      </c>
      <c r="AP2104"/>
      <c r="AQ2104">
        <v>0</v>
      </c>
      <c r="AR2104">
        <v>0</v>
      </c>
      <c r="AT2104">
        <v>0</v>
      </c>
      <c r="AU2104">
        <v>0</v>
      </c>
      <c r="AW2104">
        <v>0</v>
      </c>
      <c r="AX2104">
        <v>0</v>
      </c>
      <c r="AY2104">
        <v>140</v>
      </c>
      <c r="BC2104" t="str">
        <f t="shared" si="337"/>
        <v>9791137602113</v>
      </c>
      <c r="BE2104" t="str">
        <f t="shared" si="338"/>
        <v>판타지 웹소설 &gt; 현대 판타지</v>
      </c>
    </row>
    <row r="2105" spans="1:57" x14ac:dyDescent="0.3">
      <c r="A2105">
        <v>2313011955</v>
      </c>
      <c r="B2105">
        <v>2313012365</v>
      </c>
      <c r="C2105" t="str">
        <f>T("갓 오브 블랙필드 411화")</f>
        <v>갓 오브 블랙필드 411화</v>
      </c>
      <c r="D2105" t="str">
        <f>T("411")</f>
        <v>411</v>
      </c>
      <c r="E2105" t="str">
        <f t="shared" si="335"/>
        <v>무장</v>
      </c>
      <c r="H2105" t="str">
        <f t="shared" si="334"/>
        <v>스토리위즈</v>
      </c>
      <c r="I2105" t="str">
        <f t="shared" si="336"/>
        <v>갓 오브 블랙필드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200</v>
      </c>
      <c r="AL2105">
        <v>0</v>
      </c>
      <c r="AM2105">
        <v>0</v>
      </c>
      <c r="AN2105">
        <v>0</v>
      </c>
      <c r="AO2105">
        <v>0</v>
      </c>
      <c r="AP2105"/>
      <c r="AQ2105">
        <v>0</v>
      </c>
      <c r="AR2105">
        <v>0</v>
      </c>
      <c r="AT2105">
        <v>0</v>
      </c>
      <c r="AU2105">
        <v>0</v>
      </c>
      <c r="AW2105">
        <v>0</v>
      </c>
      <c r="AX2105">
        <v>0</v>
      </c>
      <c r="AY2105">
        <v>140</v>
      </c>
      <c r="BC2105" t="str">
        <f t="shared" si="337"/>
        <v>9791137602113</v>
      </c>
      <c r="BE2105" t="str">
        <f t="shared" si="338"/>
        <v>판타지 웹소설 &gt; 현대 판타지</v>
      </c>
    </row>
    <row r="2106" spans="1:57" x14ac:dyDescent="0.3">
      <c r="A2106">
        <v>2313011955</v>
      </c>
      <c r="B2106">
        <v>2313012366</v>
      </c>
      <c r="C2106" t="str">
        <f>T("갓 오브 블랙필드 412화")</f>
        <v>갓 오브 블랙필드 412화</v>
      </c>
      <c r="D2106" t="str">
        <f>T("412")</f>
        <v>412</v>
      </c>
      <c r="E2106" t="str">
        <f t="shared" si="335"/>
        <v>무장</v>
      </c>
      <c r="H2106" t="str">
        <f t="shared" si="334"/>
        <v>스토리위즈</v>
      </c>
      <c r="I2106" t="str">
        <f t="shared" si="336"/>
        <v>갓 오브 블랙필드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0</v>
      </c>
      <c r="AP2106"/>
      <c r="AQ2106">
        <v>0</v>
      </c>
      <c r="AR2106">
        <v>0</v>
      </c>
      <c r="AT2106">
        <v>0</v>
      </c>
      <c r="AU2106">
        <v>0</v>
      </c>
      <c r="AW2106">
        <v>0</v>
      </c>
      <c r="AX2106">
        <v>0</v>
      </c>
      <c r="AY2106">
        <v>140</v>
      </c>
      <c r="BC2106" t="str">
        <f t="shared" si="337"/>
        <v>9791137602113</v>
      </c>
      <c r="BE2106" t="str">
        <f t="shared" si="338"/>
        <v>판타지 웹소설 &gt; 현대 판타지</v>
      </c>
    </row>
    <row r="2107" spans="1:57" x14ac:dyDescent="0.3">
      <c r="A2107">
        <v>2313011955</v>
      </c>
      <c r="B2107">
        <v>2313012367</v>
      </c>
      <c r="C2107" t="str">
        <f>T("갓 오브 블랙필드 413화")</f>
        <v>갓 오브 블랙필드 413화</v>
      </c>
      <c r="D2107" t="str">
        <f>T("413")</f>
        <v>413</v>
      </c>
      <c r="E2107" t="str">
        <f t="shared" si="335"/>
        <v>무장</v>
      </c>
      <c r="H2107" t="str">
        <f t="shared" si="334"/>
        <v>스토리위즈</v>
      </c>
      <c r="I2107" t="str">
        <f t="shared" si="336"/>
        <v>갓 오브 블랙필드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0</v>
      </c>
      <c r="AP2107"/>
      <c r="AQ2107">
        <v>0</v>
      </c>
      <c r="AR2107">
        <v>0</v>
      </c>
      <c r="AT2107">
        <v>0</v>
      </c>
      <c r="AU2107">
        <v>0</v>
      </c>
      <c r="AW2107">
        <v>0</v>
      </c>
      <c r="AX2107">
        <v>0</v>
      </c>
      <c r="AY2107">
        <v>140</v>
      </c>
      <c r="BC2107" t="str">
        <f t="shared" si="337"/>
        <v>9791137602113</v>
      </c>
      <c r="BE2107" t="str">
        <f t="shared" si="338"/>
        <v>판타지 웹소설 &gt; 현대 판타지</v>
      </c>
    </row>
    <row r="2108" spans="1:57" x14ac:dyDescent="0.3">
      <c r="A2108">
        <v>2313011955</v>
      </c>
      <c r="B2108">
        <v>2313012368</v>
      </c>
      <c r="C2108" t="str">
        <f>T("갓 오브 블랙필드 414화")</f>
        <v>갓 오브 블랙필드 414화</v>
      </c>
      <c r="D2108" t="str">
        <f>T("414")</f>
        <v>414</v>
      </c>
      <c r="E2108" t="str">
        <f t="shared" si="335"/>
        <v>무장</v>
      </c>
      <c r="H2108" t="str">
        <f t="shared" ref="H2108:H2171" si="339">T("스토리위즈")</f>
        <v>스토리위즈</v>
      </c>
      <c r="I2108" t="str">
        <f t="shared" si="336"/>
        <v>갓 오브 블랙필드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200</v>
      </c>
      <c r="AL2108">
        <v>0</v>
      </c>
      <c r="AM2108">
        <v>0</v>
      </c>
      <c r="AN2108">
        <v>0</v>
      </c>
      <c r="AO2108">
        <v>0</v>
      </c>
      <c r="AP2108"/>
      <c r="AQ2108">
        <v>0</v>
      </c>
      <c r="AR2108">
        <v>0</v>
      </c>
      <c r="AT2108">
        <v>0</v>
      </c>
      <c r="AU2108">
        <v>0</v>
      </c>
      <c r="AW2108">
        <v>0</v>
      </c>
      <c r="AX2108">
        <v>0</v>
      </c>
      <c r="AY2108">
        <v>140</v>
      </c>
      <c r="BC2108" t="str">
        <f t="shared" si="337"/>
        <v>9791137602113</v>
      </c>
      <c r="BE2108" t="str">
        <f t="shared" si="338"/>
        <v>판타지 웹소설 &gt; 현대 판타지</v>
      </c>
    </row>
    <row r="2109" spans="1:57" x14ac:dyDescent="0.3">
      <c r="A2109">
        <v>2313011955</v>
      </c>
      <c r="B2109">
        <v>2313012369</v>
      </c>
      <c r="C2109" t="str">
        <f>T("갓 오브 블랙필드 415화")</f>
        <v>갓 오브 블랙필드 415화</v>
      </c>
      <c r="D2109" t="str">
        <f>T("415")</f>
        <v>415</v>
      </c>
      <c r="E2109" t="str">
        <f t="shared" si="335"/>
        <v>무장</v>
      </c>
      <c r="H2109" t="str">
        <f t="shared" si="339"/>
        <v>스토리위즈</v>
      </c>
      <c r="I2109" t="str">
        <f t="shared" si="336"/>
        <v>갓 오브 블랙필드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200</v>
      </c>
      <c r="AL2109">
        <v>0</v>
      </c>
      <c r="AM2109">
        <v>0</v>
      </c>
      <c r="AN2109">
        <v>0</v>
      </c>
      <c r="AO2109">
        <v>0</v>
      </c>
      <c r="AP2109"/>
      <c r="AQ2109">
        <v>0</v>
      </c>
      <c r="AR2109">
        <v>0</v>
      </c>
      <c r="AT2109">
        <v>0</v>
      </c>
      <c r="AU2109">
        <v>0</v>
      </c>
      <c r="AW2109">
        <v>0</v>
      </c>
      <c r="AX2109">
        <v>0</v>
      </c>
      <c r="AY2109">
        <v>140</v>
      </c>
      <c r="BC2109" t="str">
        <f t="shared" si="337"/>
        <v>9791137602113</v>
      </c>
      <c r="BE2109" t="str">
        <f t="shared" si="338"/>
        <v>판타지 웹소설 &gt; 현대 판타지</v>
      </c>
    </row>
    <row r="2110" spans="1:57" x14ac:dyDescent="0.3">
      <c r="A2110">
        <v>2313011955</v>
      </c>
      <c r="B2110">
        <v>2313012370</v>
      </c>
      <c r="C2110" t="str">
        <f>T("갓 오브 블랙필드 416화")</f>
        <v>갓 오브 블랙필드 416화</v>
      </c>
      <c r="D2110" t="str">
        <f>T("416")</f>
        <v>416</v>
      </c>
      <c r="E2110" t="str">
        <f t="shared" si="335"/>
        <v>무장</v>
      </c>
      <c r="H2110" t="str">
        <f t="shared" si="339"/>
        <v>스토리위즈</v>
      </c>
      <c r="I2110" t="str">
        <f t="shared" si="336"/>
        <v>갓 오브 블랙필드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200</v>
      </c>
      <c r="AL2110">
        <v>0</v>
      </c>
      <c r="AM2110">
        <v>0</v>
      </c>
      <c r="AN2110">
        <v>0</v>
      </c>
      <c r="AO2110">
        <v>0</v>
      </c>
      <c r="AP2110"/>
      <c r="AQ2110">
        <v>0</v>
      </c>
      <c r="AR2110">
        <v>0</v>
      </c>
      <c r="AT2110">
        <v>0</v>
      </c>
      <c r="AU2110">
        <v>0</v>
      </c>
      <c r="AW2110">
        <v>0</v>
      </c>
      <c r="AX2110">
        <v>0</v>
      </c>
      <c r="AY2110">
        <v>140</v>
      </c>
      <c r="BC2110" t="str">
        <f t="shared" si="337"/>
        <v>9791137602113</v>
      </c>
      <c r="BE2110" t="str">
        <f t="shared" si="338"/>
        <v>판타지 웹소설 &gt; 현대 판타지</v>
      </c>
    </row>
    <row r="2111" spans="1:57" x14ac:dyDescent="0.3">
      <c r="A2111">
        <v>2313011955</v>
      </c>
      <c r="B2111">
        <v>2313012371</v>
      </c>
      <c r="C2111" t="str">
        <f>T("갓 오브 블랙필드 417화")</f>
        <v>갓 오브 블랙필드 417화</v>
      </c>
      <c r="D2111" t="str">
        <f>T("417")</f>
        <v>417</v>
      </c>
      <c r="E2111" t="str">
        <f t="shared" si="335"/>
        <v>무장</v>
      </c>
      <c r="H2111" t="str">
        <f t="shared" si="339"/>
        <v>스토리위즈</v>
      </c>
      <c r="I2111" t="str">
        <f t="shared" si="336"/>
        <v>갓 오브 블랙필드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200</v>
      </c>
      <c r="AL2111">
        <v>0</v>
      </c>
      <c r="AM2111">
        <v>0</v>
      </c>
      <c r="AN2111">
        <v>0</v>
      </c>
      <c r="AO2111">
        <v>0</v>
      </c>
      <c r="AP2111"/>
      <c r="AQ2111">
        <v>0</v>
      </c>
      <c r="AR2111">
        <v>0</v>
      </c>
      <c r="AT2111">
        <v>0</v>
      </c>
      <c r="AU2111">
        <v>0</v>
      </c>
      <c r="AW2111">
        <v>0</v>
      </c>
      <c r="AX2111">
        <v>0</v>
      </c>
      <c r="AY2111">
        <v>140</v>
      </c>
      <c r="BC2111" t="str">
        <f t="shared" si="337"/>
        <v>9791137602113</v>
      </c>
      <c r="BE2111" t="str">
        <f t="shared" si="338"/>
        <v>판타지 웹소설 &gt; 현대 판타지</v>
      </c>
    </row>
    <row r="2112" spans="1:57" x14ac:dyDescent="0.3">
      <c r="A2112">
        <v>2313011955</v>
      </c>
      <c r="B2112">
        <v>2313012372</v>
      </c>
      <c r="C2112" t="str">
        <f>T("갓 오브 블랙필드 418화")</f>
        <v>갓 오브 블랙필드 418화</v>
      </c>
      <c r="D2112" t="str">
        <f>T("418")</f>
        <v>418</v>
      </c>
      <c r="E2112" t="str">
        <f t="shared" si="335"/>
        <v>무장</v>
      </c>
      <c r="H2112" t="str">
        <f t="shared" si="339"/>
        <v>스토리위즈</v>
      </c>
      <c r="I2112" t="str">
        <f t="shared" si="336"/>
        <v>갓 오브 블랙필드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200</v>
      </c>
      <c r="AL2112">
        <v>0</v>
      </c>
      <c r="AM2112">
        <v>0</v>
      </c>
      <c r="AN2112">
        <v>0</v>
      </c>
      <c r="AO2112">
        <v>0</v>
      </c>
      <c r="AP2112"/>
      <c r="AQ2112">
        <v>0</v>
      </c>
      <c r="AR2112">
        <v>0</v>
      </c>
      <c r="AT2112">
        <v>0</v>
      </c>
      <c r="AU2112">
        <v>0</v>
      </c>
      <c r="AW2112">
        <v>0</v>
      </c>
      <c r="AX2112">
        <v>0</v>
      </c>
      <c r="AY2112">
        <v>140</v>
      </c>
      <c r="BC2112" t="str">
        <f t="shared" si="337"/>
        <v>9791137602113</v>
      </c>
      <c r="BE2112" t="str">
        <f t="shared" si="338"/>
        <v>판타지 웹소설 &gt; 현대 판타지</v>
      </c>
    </row>
    <row r="2113" spans="1:57" x14ac:dyDescent="0.3">
      <c r="A2113">
        <v>2313011955</v>
      </c>
      <c r="B2113">
        <v>2313012373</v>
      </c>
      <c r="C2113" t="str">
        <f>T("갓 오브 블랙필드 419화 (1부 완결)")</f>
        <v>갓 오브 블랙필드 419화 (1부 완결)</v>
      </c>
      <c r="D2113" t="str">
        <f>T("419")</f>
        <v>419</v>
      </c>
      <c r="E2113" t="str">
        <f t="shared" si="335"/>
        <v>무장</v>
      </c>
      <c r="H2113" t="str">
        <f t="shared" si="339"/>
        <v>스토리위즈</v>
      </c>
      <c r="I2113" t="str">
        <f t="shared" si="336"/>
        <v>갓 오브 블랙필드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200</v>
      </c>
      <c r="AL2113">
        <v>0</v>
      </c>
      <c r="AM2113">
        <v>0</v>
      </c>
      <c r="AN2113">
        <v>0</v>
      </c>
      <c r="AO2113">
        <v>0</v>
      </c>
      <c r="AP2113"/>
      <c r="AQ2113">
        <v>0</v>
      </c>
      <c r="AR2113">
        <v>0</v>
      </c>
      <c r="AT2113">
        <v>0</v>
      </c>
      <c r="AU2113">
        <v>0</v>
      </c>
      <c r="AW2113">
        <v>0</v>
      </c>
      <c r="AX2113">
        <v>0</v>
      </c>
      <c r="AY2113">
        <v>140</v>
      </c>
      <c r="BC2113" t="str">
        <f t="shared" si="337"/>
        <v>9791137602113</v>
      </c>
      <c r="BE2113" t="str">
        <f t="shared" si="338"/>
        <v>판타지 웹소설 &gt; 현대 판타지</v>
      </c>
    </row>
    <row r="2114" spans="1:57" x14ac:dyDescent="0.3">
      <c r="A2114">
        <v>2313011955</v>
      </c>
      <c r="B2114">
        <v>2313012697</v>
      </c>
      <c r="C2114" t="str">
        <f>T("갓 오브 블랙필드 481화 (외전 62)")</f>
        <v>갓 오브 블랙필드 481화 (외전 62)</v>
      </c>
      <c r="D2114" t="str">
        <f>T("481")</f>
        <v>481</v>
      </c>
      <c r="E2114" t="str">
        <f t="shared" ref="E2114:E2174" si="340">T("무장")</f>
        <v>무장</v>
      </c>
      <c r="H2114" t="str">
        <f t="shared" si="339"/>
        <v>스토리위즈</v>
      </c>
      <c r="I2114" t="str">
        <f t="shared" ref="I2114:I2174" si="341">T("갓 오브 블랙필드")</f>
        <v>갓 오브 블랙필드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200</v>
      </c>
      <c r="AL2114">
        <v>0</v>
      </c>
      <c r="AM2114">
        <v>0</v>
      </c>
      <c r="AN2114">
        <v>0</v>
      </c>
      <c r="AO2114">
        <v>0</v>
      </c>
      <c r="AP2114"/>
      <c r="AQ2114">
        <v>0</v>
      </c>
      <c r="AR2114">
        <v>0</v>
      </c>
      <c r="AT2114">
        <v>0</v>
      </c>
      <c r="AU2114">
        <v>0</v>
      </c>
      <c r="AW2114">
        <v>0</v>
      </c>
      <c r="AX2114">
        <v>0</v>
      </c>
      <c r="AY2114">
        <v>140</v>
      </c>
      <c r="BA2114" t="str">
        <f>T("9788928067343")</f>
        <v>9788928067343</v>
      </c>
      <c r="BC2114" t="str">
        <f t="shared" ref="BC2114:BC2174" si="342">T("9791137602113")</f>
        <v>9791137602113</v>
      </c>
      <c r="BE2114" t="str">
        <f t="shared" ref="BE2114:BE2174" si="343">T("판타지 웹소설 &gt; 현대 판타지")</f>
        <v>판타지 웹소설 &gt; 현대 판타지</v>
      </c>
    </row>
    <row r="2115" spans="1:57" x14ac:dyDescent="0.3">
      <c r="A2115">
        <v>2313011955</v>
      </c>
      <c r="B2115">
        <v>2313012699</v>
      </c>
      <c r="C2115" t="str">
        <f>T("갓 오브 블랙필드 2부 2화")</f>
        <v>갓 오브 블랙필드 2부 2화</v>
      </c>
      <c r="D2115" t="str">
        <f>T("483")</f>
        <v>483</v>
      </c>
      <c r="E2115" t="str">
        <f t="shared" si="340"/>
        <v>무장</v>
      </c>
      <c r="H2115" t="str">
        <f t="shared" si="339"/>
        <v>스토리위즈</v>
      </c>
      <c r="I2115" t="str">
        <f t="shared" si="341"/>
        <v>갓 오브 블랙필드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200</v>
      </c>
      <c r="AL2115">
        <v>0</v>
      </c>
      <c r="AM2115">
        <v>0</v>
      </c>
      <c r="AN2115">
        <v>0</v>
      </c>
      <c r="AO2115">
        <v>0</v>
      </c>
      <c r="AP2115"/>
      <c r="AQ2115">
        <v>0</v>
      </c>
      <c r="AR2115">
        <v>0</v>
      </c>
      <c r="AT2115">
        <v>0</v>
      </c>
      <c r="AU2115">
        <v>0</v>
      </c>
      <c r="AW2115">
        <v>0</v>
      </c>
      <c r="AX2115">
        <v>0</v>
      </c>
      <c r="AY2115">
        <v>140</v>
      </c>
      <c r="BC2115" t="str">
        <f t="shared" si="342"/>
        <v>9791137602113</v>
      </c>
      <c r="BE2115" t="str">
        <f t="shared" si="343"/>
        <v>판타지 웹소설 &gt; 현대 판타지</v>
      </c>
    </row>
    <row r="2116" spans="1:57" x14ac:dyDescent="0.3">
      <c r="A2116">
        <v>2313011955</v>
      </c>
      <c r="B2116">
        <v>2313012700</v>
      </c>
      <c r="C2116" t="str">
        <f>T("갓 오브 블랙필드 2부 3화")</f>
        <v>갓 오브 블랙필드 2부 3화</v>
      </c>
      <c r="D2116" t="str">
        <f>T("484")</f>
        <v>484</v>
      </c>
      <c r="E2116" t="str">
        <f t="shared" si="340"/>
        <v>무장</v>
      </c>
      <c r="H2116" t="str">
        <f t="shared" si="339"/>
        <v>스토리위즈</v>
      </c>
      <c r="I2116" t="str">
        <f t="shared" si="341"/>
        <v>갓 오브 블랙필드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200</v>
      </c>
      <c r="AL2116">
        <v>0</v>
      </c>
      <c r="AM2116">
        <v>0</v>
      </c>
      <c r="AN2116">
        <v>0</v>
      </c>
      <c r="AO2116">
        <v>0</v>
      </c>
      <c r="AP2116"/>
      <c r="AQ2116">
        <v>0</v>
      </c>
      <c r="AR2116">
        <v>0</v>
      </c>
      <c r="AT2116">
        <v>0</v>
      </c>
      <c r="AU2116">
        <v>0</v>
      </c>
      <c r="AW2116">
        <v>0</v>
      </c>
      <c r="AX2116">
        <v>0</v>
      </c>
      <c r="AY2116">
        <v>140</v>
      </c>
      <c r="BC2116" t="str">
        <f t="shared" si="342"/>
        <v>9791137602113</v>
      </c>
      <c r="BE2116" t="str">
        <f t="shared" si="343"/>
        <v>판타지 웹소설 &gt; 현대 판타지</v>
      </c>
    </row>
    <row r="2117" spans="1:57" x14ac:dyDescent="0.3">
      <c r="A2117">
        <v>2313011955</v>
      </c>
      <c r="B2117">
        <v>2313012701</v>
      </c>
      <c r="C2117" t="str">
        <f>T("갓 오브 블랙필드 2부 4화")</f>
        <v>갓 오브 블랙필드 2부 4화</v>
      </c>
      <c r="D2117" t="str">
        <f>T("485")</f>
        <v>485</v>
      </c>
      <c r="E2117" t="str">
        <f t="shared" si="340"/>
        <v>무장</v>
      </c>
      <c r="H2117" t="str">
        <f t="shared" si="339"/>
        <v>스토리위즈</v>
      </c>
      <c r="I2117" t="str">
        <f t="shared" si="341"/>
        <v>갓 오브 블랙필드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200</v>
      </c>
      <c r="AL2117">
        <v>0</v>
      </c>
      <c r="AM2117">
        <v>0</v>
      </c>
      <c r="AN2117">
        <v>0</v>
      </c>
      <c r="AO2117">
        <v>0</v>
      </c>
      <c r="AP2117"/>
      <c r="AQ2117">
        <v>0</v>
      </c>
      <c r="AR2117">
        <v>0</v>
      </c>
      <c r="AT2117">
        <v>0</v>
      </c>
      <c r="AU2117">
        <v>0</v>
      </c>
      <c r="AW2117">
        <v>0</v>
      </c>
      <c r="AX2117">
        <v>0</v>
      </c>
      <c r="AY2117">
        <v>140</v>
      </c>
      <c r="BC2117" t="str">
        <f t="shared" si="342"/>
        <v>9791137602113</v>
      </c>
      <c r="BE2117" t="str">
        <f t="shared" si="343"/>
        <v>판타지 웹소설 &gt; 현대 판타지</v>
      </c>
    </row>
    <row r="2118" spans="1:57" x14ac:dyDescent="0.3">
      <c r="A2118">
        <v>2313011955</v>
      </c>
      <c r="B2118">
        <v>2313012702</v>
      </c>
      <c r="C2118" t="str">
        <f>T("갓 오브 블랙필드 2부 5화")</f>
        <v>갓 오브 블랙필드 2부 5화</v>
      </c>
      <c r="D2118" t="str">
        <f>T("486")</f>
        <v>486</v>
      </c>
      <c r="E2118" t="str">
        <f t="shared" si="340"/>
        <v>무장</v>
      </c>
      <c r="H2118" t="str">
        <f t="shared" si="339"/>
        <v>스토리위즈</v>
      </c>
      <c r="I2118" t="str">
        <f t="shared" si="341"/>
        <v>갓 오브 블랙필드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200</v>
      </c>
      <c r="AL2118">
        <v>0</v>
      </c>
      <c r="AM2118">
        <v>0</v>
      </c>
      <c r="AN2118">
        <v>0</v>
      </c>
      <c r="AO2118">
        <v>0</v>
      </c>
      <c r="AP2118"/>
      <c r="AQ2118">
        <v>0</v>
      </c>
      <c r="AR2118">
        <v>0</v>
      </c>
      <c r="AT2118">
        <v>0</v>
      </c>
      <c r="AU2118">
        <v>0</v>
      </c>
      <c r="AW2118">
        <v>0</v>
      </c>
      <c r="AX2118">
        <v>0</v>
      </c>
      <c r="AY2118">
        <v>140</v>
      </c>
      <c r="BC2118" t="str">
        <f t="shared" si="342"/>
        <v>9791137602113</v>
      </c>
      <c r="BE2118" t="str">
        <f t="shared" si="343"/>
        <v>판타지 웹소설 &gt; 현대 판타지</v>
      </c>
    </row>
    <row r="2119" spans="1:57" x14ac:dyDescent="0.3">
      <c r="A2119">
        <v>2313011955</v>
      </c>
      <c r="B2119">
        <v>2313012703</v>
      </c>
      <c r="C2119" t="str">
        <f>T("갓 오브 블랙필드 2부 6화")</f>
        <v>갓 오브 블랙필드 2부 6화</v>
      </c>
      <c r="D2119" t="str">
        <f>T("487")</f>
        <v>487</v>
      </c>
      <c r="E2119" t="str">
        <f t="shared" si="340"/>
        <v>무장</v>
      </c>
      <c r="H2119" t="str">
        <f t="shared" si="339"/>
        <v>스토리위즈</v>
      </c>
      <c r="I2119" t="str">
        <f t="shared" si="341"/>
        <v>갓 오브 블랙필드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200</v>
      </c>
      <c r="AL2119">
        <v>0</v>
      </c>
      <c r="AM2119">
        <v>0</v>
      </c>
      <c r="AN2119">
        <v>0</v>
      </c>
      <c r="AO2119">
        <v>0</v>
      </c>
      <c r="AP2119"/>
      <c r="AQ2119">
        <v>0</v>
      </c>
      <c r="AR2119">
        <v>0</v>
      </c>
      <c r="AT2119">
        <v>0</v>
      </c>
      <c r="AU2119">
        <v>0</v>
      </c>
      <c r="AW2119">
        <v>0</v>
      </c>
      <c r="AX2119">
        <v>0</v>
      </c>
      <c r="AY2119">
        <v>140</v>
      </c>
      <c r="BC2119" t="str">
        <f t="shared" si="342"/>
        <v>9791137602113</v>
      </c>
      <c r="BE2119" t="str">
        <f t="shared" si="343"/>
        <v>판타지 웹소설 &gt; 현대 판타지</v>
      </c>
    </row>
    <row r="2120" spans="1:57" x14ac:dyDescent="0.3">
      <c r="A2120">
        <v>2313011955</v>
      </c>
      <c r="B2120">
        <v>2313012704</v>
      </c>
      <c r="C2120" t="str">
        <f>T("갓 오브 블랙필드 2부 7화")</f>
        <v>갓 오브 블랙필드 2부 7화</v>
      </c>
      <c r="D2120" t="str">
        <f>T("488")</f>
        <v>488</v>
      </c>
      <c r="E2120" t="str">
        <f t="shared" si="340"/>
        <v>무장</v>
      </c>
      <c r="H2120" t="str">
        <f t="shared" si="339"/>
        <v>스토리위즈</v>
      </c>
      <c r="I2120" t="str">
        <f t="shared" si="341"/>
        <v>갓 오브 블랙필드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200</v>
      </c>
      <c r="AL2120">
        <v>0</v>
      </c>
      <c r="AM2120">
        <v>0</v>
      </c>
      <c r="AN2120">
        <v>0</v>
      </c>
      <c r="AO2120">
        <v>0</v>
      </c>
      <c r="AP2120"/>
      <c r="AQ2120">
        <v>0</v>
      </c>
      <c r="AR2120">
        <v>0</v>
      </c>
      <c r="AT2120">
        <v>0</v>
      </c>
      <c r="AU2120">
        <v>0</v>
      </c>
      <c r="AW2120">
        <v>0</v>
      </c>
      <c r="AX2120">
        <v>0</v>
      </c>
      <c r="AY2120">
        <v>140</v>
      </c>
      <c r="BC2120" t="str">
        <f t="shared" si="342"/>
        <v>9791137602113</v>
      </c>
      <c r="BE2120" t="str">
        <f t="shared" si="343"/>
        <v>판타지 웹소설 &gt; 현대 판타지</v>
      </c>
    </row>
    <row r="2121" spans="1:57" x14ac:dyDescent="0.3">
      <c r="A2121">
        <v>2313011955</v>
      </c>
      <c r="B2121">
        <v>2313012705</v>
      </c>
      <c r="C2121" t="str">
        <f>T("갓 오브 블랙필드 2부 8화")</f>
        <v>갓 오브 블랙필드 2부 8화</v>
      </c>
      <c r="D2121" t="str">
        <f>T("489")</f>
        <v>489</v>
      </c>
      <c r="E2121" t="str">
        <f t="shared" si="340"/>
        <v>무장</v>
      </c>
      <c r="H2121" t="str">
        <f t="shared" si="339"/>
        <v>스토리위즈</v>
      </c>
      <c r="I2121" t="str">
        <f t="shared" si="341"/>
        <v>갓 오브 블랙필드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200</v>
      </c>
      <c r="AL2121">
        <v>0</v>
      </c>
      <c r="AM2121">
        <v>0</v>
      </c>
      <c r="AN2121">
        <v>0</v>
      </c>
      <c r="AO2121">
        <v>0</v>
      </c>
      <c r="AP2121"/>
      <c r="AQ2121">
        <v>0</v>
      </c>
      <c r="AR2121">
        <v>0</v>
      </c>
      <c r="AT2121">
        <v>0</v>
      </c>
      <c r="AU2121">
        <v>0</v>
      </c>
      <c r="AW2121">
        <v>0</v>
      </c>
      <c r="AX2121">
        <v>0</v>
      </c>
      <c r="AY2121">
        <v>140</v>
      </c>
      <c r="BC2121" t="str">
        <f t="shared" si="342"/>
        <v>9791137602113</v>
      </c>
      <c r="BE2121" t="str">
        <f t="shared" si="343"/>
        <v>판타지 웹소설 &gt; 현대 판타지</v>
      </c>
    </row>
    <row r="2122" spans="1:57" x14ac:dyDescent="0.3">
      <c r="A2122">
        <v>2313011955</v>
      </c>
      <c r="B2122">
        <v>2313012706</v>
      </c>
      <c r="C2122" t="str">
        <f>T("갓 오브 블랙필드 2부 9화")</f>
        <v>갓 오브 블랙필드 2부 9화</v>
      </c>
      <c r="D2122" t="str">
        <f>T("490")</f>
        <v>490</v>
      </c>
      <c r="E2122" t="str">
        <f t="shared" si="340"/>
        <v>무장</v>
      </c>
      <c r="H2122" t="str">
        <f t="shared" si="339"/>
        <v>스토리위즈</v>
      </c>
      <c r="I2122" t="str">
        <f t="shared" si="341"/>
        <v>갓 오브 블랙필드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200</v>
      </c>
      <c r="AL2122">
        <v>0</v>
      </c>
      <c r="AM2122">
        <v>0</v>
      </c>
      <c r="AN2122">
        <v>0</v>
      </c>
      <c r="AO2122">
        <v>0</v>
      </c>
      <c r="AP2122"/>
      <c r="AQ2122">
        <v>0</v>
      </c>
      <c r="AR2122">
        <v>0</v>
      </c>
      <c r="AT2122">
        <v>0</v>
      </c>
      <c r="AU2122">
        <v>0</v>
      </c>
      <c r="AW2122">
        <v>0</v>
      </c>
      <c r="AX2122">
        <v>0</v>
      </c>
      <c r="AY2122">
        <v>140</v>
      </c>
      <c r="BC2122" t="str">
        <f t="shared" si="342"/>
        <v>9791137602113</v>
      </c>
      <c r="BE2122" t="str">
        <f t="shared" si="343"/>
        <v>판타지 웹소설 &gt; 현대 판타지</v>
      </c>
    </row>
    <row r="2123" spans="1:57" x14ac:dyDescent="0.3">
      <c r="A2123">
        <v>2313011955</v>
      </c>
      <c r="B2123">
        <v>2313012707</v>
      </c>
      <c r="C2123" t="str">
        <f>T("갓 오브 블랙필드 2부 10화")</f>
        <v>갓 오브 블랙필드 2부 10화</v>
      </c>
      <c r="D2123" t="str">
        <f>T("491")</f>
        <v>491</v>
      </c>
      <c r="E2123" t="str">
        <f t="shared" si="340"/>
        <v>무장</v>
      </c>
      <c r="H2123" t="str">
        <f t="shared" si="339"/>
        <v>스토리위즈</v>
      </c>
      <c r="I2123" t="str">
        <f t="shared" si="341"/>
        <v>갓 오브 블랙필드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0</v>
      </c>
      <c r="AP2123"/>
      <c r="AQ2123">
        <v>0</v>
      </c>
      <c r="AR2123">
        <v>0</v>
      </c>
      <c r="AT2123">
        <v>0</v>
      </c>
      <c r="AU2123">
        <v>0</v>
      </c>
      <c r="AW2123">
        <v>0</v>
      </c>
      <c r="AX2123">
        <v>0</v>
      </c>
      <c r="AY2123">
        <v>140</v>
      </c>
      <c r="BC2123" t="str">
        <f t="shared" si="342"/>
        <v>9791137602113</v>
      </c>
      <c r="BE2123" t="str">
        <f t="shared" si="343"/>
        <v>판타지 웹소설 &gt; 현대 판타지</v>
      </c>
    </row>
    <row r="2124" spans="1:57" x14ac:dyDescent="0.3">
      <c r="A2124">
        <v>2313011955</v>
      </c>
      <c r="B2124">
        <v>2313012708</v>
      </c>
      <c r="C2124" t="str">
        <f>T("갓 오브 블랙필드 2부 11화")</f>
        <v>갓 오브 블랙필드 2부 11화</v>
      </c>
      <c r="D2124" t="str">
        <f>T("492")</f>
        <v>492</v>
      </c>
      <c r="E2124" t="str">
        <f t="shared" si="340"/>
        <v>무장</v>
      </c>
      <c r="H2124" t="str">
        <f t="shared" si="339"/>
        <v>스토리위즈</v>
      </c>
      <c r="I2124" t="str">
        <f t="shared" si="341"/>
        <v>갓 오브 블랙필드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200</v>
      </c>
      <c r="AL2124">
        <v>0</v>
      </c>
      <c r="AM2124">
        <v>0</v>
      </c>
      <c r="AN2124">
        <v>0</v>
      </c>
      <c r="AO2124">
        <v>0</v>
      </c>
      <c r="AP2124"/>
      <c r="AQ2124">
        <v>0</v>
      </c>
      <c r="AR2124">
        <v>0</v>
      </c>
      <c r="AT2124">
        <v>0</v>
      </c>
      <c r="AU2124">
        <v>0</v>
      </c>
      <c r="AW2124">
        <v>0</v>
      </c>
      <c r="AX2124">
        <v>0</v>
      </c>
      <c r="AY2124">
        <v>140</v>
      </c>
      <c r="BC2124" t="str">
        <f t="shared" si="342"/>
        <v>9791137602113</v>
      </c>
      <c r="BE2124" t="str">
        <f t="shared" si="343"/>
        <v>판타지 웹소설 &gt; 현대 판타지</v>
      </c>
    </row>
    <row r="2125" spans="1:57" x14ac:dyDescent="0.3">
      <c r="A2125">
        <v>2313011955</v>
      </c>
      <c r="B2125">
        <v>2313012709</v>
      </c>
      <c r="C2125" t="str">
        <f>T("갓 오브 블랙필드 2부 12화")</f>
        <v>갓 오브 블랙필드 2부 12화</v>
      </c>
      <c r="D2125" t="str">
        <f>T("493")</f>
        <v>493</v>
      </c>
      <c r="E2125" t="str">
        <f t="shared" si="340"/>
        <v>무장</v>
      </c>
      <c r="H2125" t="str">
        <f t="shared" si="339"/>
        <v>스토리위즈</v>
      </c>
      <c r="I2125" t="str">
        <f t="shared" si="341"/>
        <v>갓 오브 블랙필드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200</v>
      </c>
      <c r="AL2125">
        <v>0</v>
      </c>
      <c r="AM2125">
        <v>0</v>
      </c>
      <c r="AN2125">
        <v>0</v>
      </c>
      <c r="AO2125">
        <v>0</v>
      </c>
      <c r="AP2125"/>
      <c r="AQ2125">
        <v>0</v>
      </c>
      <c r="AR2125">
        <v>0</v>
      </c>
      <c r="AT2125">
        <v>0</v>
      </c>
      <c r="AU2125">
        <v>0</v>
      </c>
      <c r="AW2125">
        <v>0</v>
      </c>
      <c r="AX2125">
        <v>0</v>
      </c>
      <c r="AY2125">
        <v>140</v>
      </c>
      <c r="BC2125" t="str">
        <f t="shared" si="342"/>
        <v>9791137602113</v>
      </c>
      <c r="BE2125" t="str">
        <f t="shared" si="343"/>
        <v>판타지 웹소설 &gt; 현대 판타지</v>
      </c>
    </row>
    <row r="2126" spans="1:57" x14ac:dyDescent="0.3">
      <c r="A2126">
        <v>2313011955</v>
      </c>
      <c r="B2126">
        <v>2313012710</v>
      </c>
      <c r="C2126" t="str">
        <f>T("갓 오브 블랙필드 2부 13화")</f>
        <v>갓 오브 블랙필드 2부 13화</v>
      </c>
      <c r="D2126" t="str">
        <f>T("494")</f>
        <v>494</v>
      </c>
      <c r="E2126" t="str">
        <f t="shared" si="340"/>
        <v>무장</v>
      </c>
      <c r="H2126" t="str">
        <f t="shared" si="339"/>
        <v>스토리위즈</v>
      </c>
      <c r="I2126" t="str">
        <f t="shared" si="341"/>
        <v>갓 오브 블랙필드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200</v>
      </c>
      <c r="AL2126">
        <v>0</v>
      </c>
      <c r="AM2126">
        <v>0</v>
      </c>
      <c r="AN2126">
        <v>0</v>
      </c>
      <c r="AO2126">
        <v>0</v>
      </c>
      <c r="AP2126"/>
      <c r="AQ2126">
        <v>0</v>
      </c>
      <c r="AR2126">
        <v>0</v>
      </c>
      <c r="AT2126">
        <v>0</v>
      </c>
      <c r="AU2126">
        <v>0</v>
      </c>
      <c r="AW2126">
        <v>0</v>
      </c>
      <c r="AX2126">
        <v>0</v>
      </c>
      <c r="AY2126">
        <v>140</v>
      </c>
      <c r="BC2126" t="str">
        <f t="shared" si="342"/>
        <v>9791137602113</v>
      </c>
      <c r="BE2126" t="str">
        <f t="shared" si="343"/>
        <v>판타지 웹소설 &gt; 현대 판타지</v>
      </c>
    </row>
    <row r="2127" spans="1:57" x14ac:dyDescent="0.3">
      <c r="A2127">
        <v>2313011955</v>
      </c>
      <c r="B2127">
        <v>2313012711</v>
      </c>
      <c r="C2127" t="str">
        <f>T("갓 오브 블랙필드 2부 14화")</f>
        <v>갓 오브 블랙필드 2부 14화</v>
      </c>
      <c r="D2127" t="str">
        <f>T("495")</f>
        <v>495</v>
      </c>
      <c r="E2127" t="str">
        <f t="shared" si="340"/>
        <v>무장</v>
      </c>
      <c r="H2127" t="str">
        <f t="shared" si="339"/>
        <v>스토리위즈</v>
      </c>
      <c r="I2127" t="str">
        <f t="shared" si="341"/>
        <v>갓 오브 블랙필드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200</v>
      </c>
      <c r="AL2127">
        <v>0</v>
      </c>
      <c r="AM2127">
        <v>0</v>
      </c>
      <c r="AN2127">
        <v>0</v>
      </c>
      <c r="AO2127">
        <v>0</v>
      </c>
      <c r="AP2127"/>
      <c r="AQ2127">
        <v>0</v>
      </c>
      <c r="AR2127">
        <v>0</v>
      </c>
      <c r="AT2127">
        <v>0</v>
      </c>
      <c r="AU2127">
        <v>0</v>
      </c>
      <c r="AW2127">
        <v>0</v>
      </c>
      <c r="AX2127">
        <v>0</v>
      </c>
      <c r="AY2127">
        <v>140</v>
      </c>
      <c r="BC2127" t="str">
        <f t="shared" si="342"/>
        <v>9791137602113</v>
      </c>
      <c r="BE2127" t="str">
        <f t="shared" si="343"/>
        <v>판타지 웹소설 &gt; 현대 판타지</v>
      </c>
    </row>
    <row r="2128" spans="1:57" x14ac:dyDescent="0.3">
      <c r="A2128">
        <v>2313011955</v>
      </c>
      <c r="B2128">
        <v>2313012712</v>
      </c>
      <c r="C2128" t="str">
        <f>T("갓 오브 블랙필드 2부 15화")</f>
        <v>갓 오브 블랙필드 2부 15화</v>
      </c>
      <c r="D2128" t="str">
        <f>T("496")</f>
        <v>496</v>
      </c>
      <c r="E2128" t="str">
        <f t="shared" si="340"/>
        <v>무장</v>
      </c>
      <c r="H2128" t="str">
        <f t="shared" si="339"/>
        <v>스토리위즈</v>
      </c>
      <c r="I2128" t="str">
        <f t="shared" si="341"/>
        <v>갓 오브 블랙필드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200</v>
      </c>
      <c r="AL2128">
        <v>0</v>
      </c>
      <c r="AM2128">
        <v>0</v>
      </c>
      <c r="AN2128">
        <v>0</v>
      </c>
      <c r="AO2128">
        <v>0</v>
      </c>
      <c r="AP2128"/>
      <c r="AQ2128">
        <v>0</v>
      </c>
      <c r="AR2128">
        <v>0</v>
      </c>
      <c r="AT2128">
        <v>0</v>
      </c>
      <c r="AU2128">
        <v>0</v>
      </c>
      <c r="AW2128">
        <v>0</v>
      </c>
      <c r="AX2128">
        <v>0</v>
      </c>
      <c r="AY2128">
        <v>140</v>
      </c>
      <c r="BC2128" t="str">
        <f t="shared" si="342"/>
        <v>9791137602113</v>
      </c>
      <c r="BE2128" t="str">
        <f t="shared" si="343"/>
        <v>판타지 웹소설 &gt; 현대 판타지</v>
      </c>
    </row>
    <row r="2129" spans="1:57" x14ac:dyDescent="0.3">
      <c r="A2129">
        <v>2313011955</v>
      </c>
      <c r="B2129">
        <v>2313012713</v>
      </c>
      <c r="C2129" t="str">
        <f>T("갓 오브 블랙필드 2부 16화")</f>
        <v>갓 오브 블랙필드 2부 16화</v>
      </c>
      <c r="D2129" t="str">
        <f>T("497")</f>
        <v>497</v>
      </c>
      <c r="E2129" t="str">
        <f t="shared" si="340"/>
        <v>무장</v>
      </c>
      <c r="H2129" t="str">
        <f t="shared" si="339"/>
        <v>스토리위즈</v>
      </c>
      <c r="I2129" t="str">
        <f t="shared" si="341"/>
        <v>갓 오브 블랙필드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200</v>
      </c>
      <c r="AL2129">
        <v>0</v>
      </c>
      <c r="AM2129">
        <v>0</v>
      </c>
      <c r="AN2129">
        <v>0</v>
      </c>
      <c r="AO2129">
        <v>0</v>
      </c>
      <c r="AP2129"/>
      <c r="AQ2129">
        <v>0</v>
      </c>
      <c r="AR2129">
        <v>0</v>
      </c>
      <c r="AT2129">
        <v>0</v>
      </c>
      <c r="AU2129">
        <v>0</v>
      </c>
      <c r="AW2129">
        <v>0</v>
      </c>
      <c r="AX2129">
        <v>0</v>
      </c>
      <c r="AY2129">
        <v>140</v>
      </c>
      <c r="BC2129" t="str">
        <f t="shared" si="342"/>
        <v>9791137602113</v>
      </c>
      <c r="BE2129" t="str">
        <f t="shared" si="343"/>
        <v>판타지 웹소설 &gt; 현대 판타지</v>
      </c>
    </row>
    <row r="2130" spans="1:57" x14ac:dyDescent="0.3">
      <c r="A2130">
        <v>2313011955</v>
      </c>
      <c r="B2130">
        <v>2313012714</v>
      </c>
      <c r="C2130" t="str">
        <f>T("갓 오브 블랙필드 2부 17화")</f>
        <v>갓 오브 블랙필드 2부 17화</v>
      </c>
      <c r="D2130" t="str">
        <f>T("498")</f>
        <v>498</v>
      </c>
      <c r="E2130" t="str">
        <f t="shared" si="340"/>
        <v>무장</v>
      </c>
      <c r="H2130" t="str">
        <f t="shared" si="339"/>
        <v>스토리위즈</v>
      </c>
      <c r="I2130" t="str">
        <f t="shared" si="341"/>
        <v>갓 오브 블랙필드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200</v>
      </c>
      <c r="AL2130">
        <v>0</v>
      </c>
      <c r="AM2130">
        <v>0</v>
      </c>
      <c r="AN2130">
        <v>0</v>
      </c>
      <c r="AO2130">
        <v>0</v>
      </c>
      <c r="AP2130"/>
      <c r="AQ2130">
        <v>0</v>
      </c>
      <c r="AR2130">
        <v>0</v>
      </c>
      <c r="AT2130">
        <v>0</v>
      </c>
      <c r="AU2130">
        <v>0</v>
      </c>
      <c r="AW2130">
        <v>0</v>
      </c>
      <c r="AX2130">
        <v>0</v>
      </c>
      <c r="AY2130">
        <v>140</v>
      </c>
      <c r="BC2130" t="str">
        <f t="shared" si="342"/>
        <v>9791137602113</v>
      </c>
      <c r="BE2130" t="str">
        <f t="shared" si="343"/>
        <v>판타지 웹소설 &gt; 현대 판타지</v>
      </c>
    </row>
    <row r="2131" spans="1:57" x14ac:dyDescent="0.3">
      <c r="A2131">
        <v>2313011955</v>
      </c>
      <c r="B2131">
        <v>2313012715</v>
      </c>
      <c r="C2131" t="str">
        <f>T("갓 오브 블랙필드 2부 18화")</f>
        <v>갓 오브 블랙필드 2부 18화</v>
      </c>
      <c r="D2131" t="str">
        <f>T("499")</f>
        <v>499</v>
      </c>
      <c r="E2131" t="str">
        <f t="shared" si="340"/>
        <v>무장</v>
      </c>
      <c r="H2131" t="str">
        <f t="shared" si="339"/>
        <v>스토리위즈</v>
      </c>
      <c r="I2131" t="str">
        <f t="shared" si="341"/>
        <v>갓 오브 블랙필드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200</v>
      </c>
      <c r="AL2131">
        <v>0</v>
      </c>
      <c r="AM2131">
        <v>0</v>
      </c>
      <c r="AN2131">
        <v>0</v>
      </c>
      <c r="AO2131">
        <v>0</v>
      </c>
      <c r="AP2131"/>
      <c r="AQ2131">
        <v>0</v>
      </c>
      <c r="AR2131">
        <v>0</v>
      </c>
      <c r="AT2131">
        <v>0</v>
      </c>
      <c r="AU2131">
        <v>0</v>
      </c>
      <c r="AW2131">
        <v>0</v>
      </c>
      <c r="AX2131">
        <v>0</v>
      </c>
      <c r="AY2131">
        <v>140</v>
      </c>
      <c r="BC2131" t="str">
        <f t="shared" si="342"/>
        <v>9791137602113</v>
      </c>
      <c r="BE2131" t="str">
        <f t="shared" si="343"/>
        <v>판타지 웹소설 &gt; 현대 판타지</v>
      </c>
    </row>
    <row r="2132" spans="1:57" x14ac:dyDescent="0.3">
      <c r="A2132">
        <v>2313011955</v>
      </c>
      <c r="B2132">
        <v>2313012716</v>
      </c>
      <c r="C2132" t="str">
        <f>T("갓 오브 블랙필드 2부 19화")</f>
        <v>갓 오브 블랙필드 2부 19화</v>
      </c>
      <c r="D2132" t="str">
        <f>T("500")</f>
        <v>500</v>
      </c>
      <c r="E2132" t="str">
        <f t="shared" si="340"/>
        <v>무장</v>
      </c>
      <c r="H2132" t="str">
        <f t="shared" si="339"/>
        <v>스토리위즈</v>
      </c>
      <c r="I2132" t="str">
        <f t="shared" si="341"/>
        <v>갓 오브 블랙필드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200</v>
      </c>
      <c r="AL2132">
        <v>0</v>
      </c>
      <c r="AM2132">
        <v>0</v>
      </c>
      <c r="AN2132">
        <v>0</v>
      </c>
      <c r="AO2132">
        <v>0</v>
      </c>
      <c r="AP2132"/>
      <c r="AQ2132">
        <v>0</v>
      </c>
      <c r="AR2132">
        <v>0</v>
      </c>
      <c r="AT2132">
        <v>0</v>
      </c>
      <c r="AU2132">
        <v>0</v>
      </c>
      <c r="AW2132">
        <v>0</v>
      </c>
      <c r="AX2132">
        <v>0</v>
      </c>
      <c r="AY2132">
        <v>140</v>
      </c>
      <c r="BC2132" t="str">
        <f t="shared" si="342"/>
        <v>9791137602113</v>
      </c>
      <c r="BE2132" t="str">
        <f t="shared" si="343"/>
        <v>판타지 웹소설 &gt; 현대 판타지</v>
      </c>
    </row>
    <row r="2133" spans="1:57" x14ac:dyDescent="0.3">
      <c r="A2133">
        <v>2313011955</v>
      </c>
      <c r="B2133">
        <v>2313012717</v>
      </c>
      <c r="C2133" t="str">
        <f>T("갓 오브 블랙필드 2부 20화")</f>
        <v>갓 오브 블랙필드 2부 20화</v>
      </c>
      <c r="D2133" t="str">
        <f>T("501")</f>
        <v>501</v>
      </c>
      <c r="E2133" t="str">
        <f t="shared" si="340"/>
        <v>무장</v>
      </c>
      <c r="H2133" t="str">
        <f t="shared" si="339"/>
        <v>스토리위즈</v>
      </c>
      <c r="I2133" t="str">
        <f t="shared" si="341"/>
        <v>갓 오브 블랙필드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200</v>
      </c>
      <c r="AL2133">
        <v>0</v>
      </c>
      <c r="AM2133">
        <v>0</v>
      </c>
      <c r="AN2133">
        <v>0</v>
      </c>
      <c r="AO2133">
        <v>0</v>
      </c>
      <c r="AP2133"/>
      <c r="AQ2133">
        <v>0</v>
      </c>
      <c r="AR2133">
        <v>0</v>
      </c>
      <c r="AT2133">
        <v>0</v>
      </c>
      <c r="AU2133">
        <v>0</v>
      </c>
      <c r="AW2133">
        <v>0</v>
      </c>
      <c r="AX2133">
        <v>0</v>
      </c>
      <c r="AY2133">
        <v>140</v>
      </c>
      <c r="BC2133" t="str">
        <f t="shared" si="342"/>
        <v>9791137602113</v>
      </c>
      <c r="BE2133" t="str">
        <f t="shared" si="343"/>
        <v>판타지 웹소설 &gt; 현대 판타지</v>
      </c>
    </row>
    <row r="2134" spans="1:57" x14ac:dyDescent="0.3">
      <c r="A2134">
        <v>2313011955</v>
      </c>
      <c r="B2134">
        <v>2313012718</v>
      </c>
      <c r="C2134" t="str">
        <f>T("갓 오브 블랙필드 2부 21화")</f>
        <v>갓 오브 블랙필드 2부 21화</v>
      </c>
      <c r="D2134" t="str">
        <f>T("502")</f>
        <v>502</v>
      </c>
      <c r="E2134" t="str">
        <f t="shared" si="340"/>
        <v>무장</v>
      </c>
      <c r="H2134" t="str">
        <f t="shared" si="339"/>
        <v>스토리위즈</v>
      </c>
      <c r="I2134" t="str">
        <f t="shared" si="341"/>
        <v>갓 오브 블랙필드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200</v>
      </c>
      <c r="AL2134">
        <v>0</v>
      </c>
      <c r="AM2134">
        <v>0</v>
      </c>
      <c r="AN2134">
        <v>0</v>
      </c>
      <c r="AO2134">
        <v>0</v>
      </c>
      <c r="AP2134"/>
      <c r="AQ2134">
        <v>0</v>
      </c>
      <c r="AR2134">
        <v>0</v>
      </c>
      <c r="AT2134">
        <v>0</v>
      </c>
      <c r="AU2134">
        <v>0</v>
      </c>
      <c r="AW2134">
        <v>0</v>
      </c>
      <c r="AX2134">
        <v>0</v>
      </c>
      <c r="AY2134">
        <v>140</v>
      </c>
      <c r="BC2134" t="str">
        <f t="shared" si="342"/>
        <v>9791137602113</v>
      </c>
      <c r="BE2134" t="str">
        <f t="shared" si="343"/>
        <v>판타지 웹소설 &gt; 현대 판타지</v>
      </c>
    </row>
    <row r="2135" spans="1:57" x14ac:dyDescent="0.3">
      <c r="A2135">
        <v>2313011955</v>
      </c>
      <c r="B2135">
        <v>2313012719</v>
      </c>
      <c r="C2135" t="str">
        <f>T("갓 오브 블랙필드 2부 22화")</f>
        <v>갓 오브 블랙필드 2부 22화</v>
      </c>
      <c r="D2135" t="str">
        <f>T("503")</f>
        <v>503</v>
      </c>
      <c r="E2135" t="str">
        <f t="shared" si="340"/>
        <v>무장</v>
      </c>
      <c r="H2135" t="str">
        <f t="shared" si="339"/>
        <v>스토리위즈</v>
      </c>
      <c r="I2135" t="str">
        <f t="shared" si="341"/>
        <v>갓 오브 블랙필드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200</v>
      </c>
      <c r="AL2135">
        <v>0</v>
      </c>
      <c r="AM2135">
        <v>0</v>
      </c>
      <c r="AN2135">
        <v>0</v>
      </c>
      <c r="AO2135">
        <v>0</v>
      </c>
      <c r="AP2135"/>
      <c r="AQ2135">
        <v>0</v>
      </c>
      <c r="AR2135">
        <v>0</v>
      </c>
      <c r="AT2135">
        <v>0</v>
      </c>
      <c r="AU2135">
        <v>0</v>
      </c>
      <c r="AW2135">
        <v>0</v>
      </c>
      <c r="AX2135">
        <v>0</v>
      </c>
      <c r="AY2135">
        <v>140</v>
      </c>
      <c r="BC2135" t="str">
        <f t="shared" si="342"/>
        <v>9791137602113</v>
      </c>
      <c r="BE2135" t="str">
        <f t="shared" si="343"/>
        <v>판타지 웹소설 &gt; 현대 판타지</v>
      </c>
    </row>
    <row r="2136" spans="1:57" x14ac:dyDescent="0.3">
      <c r="A2136">
        <v>2313011955</v>
      </c>
      <c r="B2136">
        <v>2313012720</v>
      </c>
      <c r="C2136" t="str">
        <f>T("갓 오브 블랙필드 2부 23화")</f>
        <v>갓 오브 블랙필드 2부 23화</v>
      </c>
      <c r="D2136" t="str">
        <f>T("504")</f>
        <v>504</v>
      </c>
      <c r="E2136" t="str">
        <f t="shared" si="340"/>
        <v>무장</v>
      </c>
      <c r="H2136" t="str">
        <f t="shared" si="339"/>
        <v>스토리위즈</v>
      </c>
      <c r="I2136" t="str">
        <f t="shared" si="341"/>
        <v>갓 오브 블랙필드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200</v>
      </c>
      <c r="AL2136">
        <v>0</v>
      </c>
      <c r="AM2136">
        <v>0</v>
      </c>
      <c r="AN2136">
        <v>0</v>
      </c>
      <c r="AO2136">
        <v>0</v>
      </c>
      <c r="AP2136"/>
      <c r="AQ2136">
        <v>0</v>
      </c>
      <c r="AR2136">
        <v>0</v>
      </c>
      <c r="AT2136">
        <v>0</v>
      </c>
      <c r="AU2136">
        <v>0</v>
      </c>
      <c r="AW2136">
        <v>0</v>
      </c>
      <c r="AX2136">
        <v>0</v>
      </c>
      <c r="AY2136">
        <v>140</v>
      </c>
      <c r="BC2136" t="str">
        <f t="shared" si="342"/>
        <v>9791137602113</v>
      </c>
      <c r="BE2136" t="str">
        <f t="shared" si="343"/>
        <v>판타지 웹소설 &gt; 현대 판타지</v>
      </c>
    </row>
    <row r="2137" spans="1:57" x14ac:dyDescent="0.3">
      <c r="A2137">
        <v>2313011955</v>
      </c>
      <c r="B2137">
        <v>2313012721</v>
      </c>
      <c r="C2137" t="str">
        <f>T("갓 오브 블랙필드 2부 24화")</f>
        <v>갓 오브 블랙필드 2부 24화</v>
      </c>
      <c r="D2137" t="str">
        <f>T("505")</f>
        <v>505</v>
      </c>
      <c r="E2137" t="str">
        <f t="shared" si="340"/>
        <v>무장</v>
      </c>
      <c r="H2137" t="str">
        <f t="shared" si="339"/>
        <v>스토리위즈</v>
      </c>
      <c r="I2137" t="str">
        <f t="shared" si="341"/>
        <v>갓 오브 블랙필드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200</v>
      </c>
      <c r="AL2137">
        <v>0</v>
      </c>
      <c r="AM2137">
        <v>0</v>
      </c>
      <c r="AN2137">
        <v>0</v>
      </c>
      <c r="AO2137">
        <v>0</v>
      </c>
      <c r="AP2137"/>
      <c r="AQ2137">
        <v>0</v>
      </c>
      <c r="AR2137">
        <v>0</v>
      </c>
      <c r="AT2137">
        <v>0</v>
      </c>
      <c r="AU2137">
        <v>0</v>
      </c>
      <c r="AW2137">
        <v>0</v>
      </c>
      <c r="AX2137">
        <v>0</v>
      </c>
      <c r="AY2137">
        <v>140</v>
      </c>
      <c r="BC2137" t="str">
        <f t="shared" si="342"/>
        <v>9791137602113</v>
      </c>
      <c r="BE2137" t="str">
        <f t="shared" si="343"/>
        <v>판타지 웹소설 &gt; 현대 판타지</v>
      </c>
    </row>
    <row r="2138" spans="1:57" x14ac:dyDescent="0.3">
      <c r="A2138">
        <v>2313011955</v>
      </c>
      <c r="B2138">
        <v>2313012722</v>
      </c>
      <c r="C2138" t="str">
        <f>T("갓 오브 블랙필드 2부 25화")</f>
        <v>갓 오브 블랙필드 2부 25화</v>
      </c>
      <c r="D2138" t="str">
        <f>T("506")</f>
        <v>506</v>
      </c>
      <c r="E2138" t="str">
        <f t="shared" si="340"/>
        <v>무장</v>
      </c>
      <c r="H2138" t="str">
        <f t="shared" si="339"/>
        <v>스토리위즈</v>
      </c>
      <c r="I2138" t="str">
        <f t="shared" si="341"/>
        <v>갓 오브 블랙필드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200</v>
      </c>
      <c r="AL2138">
        <v>0</v>
      </c>
      <c r="AM2138">
        <v>0</v>
      </c>
      <c r="AN2138">
        <v>0</v>
      </c>
      <c r="AO2138">
        <v>0</v>
      </c>
      <c r="AP2138"/>
      <c r="AQ2138">
        <v>0</v>
      </c>
      <c r="AR2138">
        <v>0</v>
      </c>
      <c r="AT2138">
        <v>0</v>
      </c>
      <c r="AU2138">
        <v>0</v>
      </c>
      <c r="AW2138">
        <v>0</v>
      </c>
      <c r="AX2138">
        <v>0</v>
      </c>
      <c r="AY2138">
        <v>140</v>
      </c>
      <c r="BC2138" t="str">
        <f t="shared" si="342"/>
        <v>9791137602113</v>
      </c>
      <c r="BE2138" t="str">
        <f t="shared" si="343"/>
        <v>판타지 웹소설 &gt; 현대 판타지</v>
      </c>
    </row>
    <row r="2139" spans="1:57" x14ac:dyDescent="0.3">
      <c r="A2139">
        <v>2313011955</v>
      </c>
      <c r="B2139">
        <v>2313012723</v>
      </c>
      <c r="C2139" t="str">
        <f>T("갓 오브 블랙필드 2부 26화")</f>
        <v>갓 오브 블랙필드 2부 26화</v>
      </c>
      <c r="D2139" t="str">
        <f>T("507")</f>
        <v>507</v>
      </c>
      <c r="E2139" t="str">
        <f t="shared" si="340"/>
        <v>무장</v>
      </c>
      <c r="H2139" t="str">
        <f t="shared" si="339"/>
        <v>스토리위즈</v>
      </c>
      <c r="I2139" t="str">
        <f t="shared" si="341"/>
        <v>갓 오브 블랙필드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200</v>
      </c>
      <c r="AL2139">
        <v>0</v>
      </c>
      <c r="AM2139">
        <v>0</v>
      </c>
      <c r="AN2139">
        <v>0</v>
      </c>
      <c r="AO2139">
        <v>0</v>
      </c>
      <c r="AP2139"/>
      <c r="AQ2139">
        <v>0</v>
      </c>
      <c r="AR2139">
        <v>0</v>
      </c>
      <c r="AT2139">
        <v>0</v>
      </c>
      <c r="AU2139">
        <v>0</v>
      </c>
      <c r="AW2139">
        <v>0</v>
      </c>
      <c r="AX2139">
        <v>0</v>
      </c>
      <c r="AY2139">
        <v>140</v>
      </c>
      <c r="BC2139" t="str">
        <f t="shared" si="342"/>
        <v>9791137602113</v>
      </c>
      <c r="BE2139" t="str">
        <f t="shared" si="343"/>
        <v>판타지 웹소설 &gt; 현대 판타지</v>
      </c>
    </row>
    <row r="2140" spans="1:57" x14ac:dyDescent="0.3">
      <c r="A2140">
        <v>2313011955</v>
      </c>
      <c r="B2140">
        <v>2313012724</v>
      </c>
      <c r="C2140" t="str">
        <f>T("갓 오브 블랙필드 2부 27화")</f>
        <v>갓 오브 블랙필드 2부 27화</v>
      </c>
      <c r="D2140" t="str">
        <f>T("508")</f>
        <v>508</v>
      </c>
      <c r="E2140" t="str">
        <f t="shared" si="340"/>
        <v>무장</v>
      </c>
      <c r="H2140" t="str">
        <f t="shared" si="339"/>
        <v>스토리위즈</v>
      </c>
      <c r="I2140" t="str">
        <f t="shared" si="341"/>
        <v>갓 오브 블랙필드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200</v>
      </c>
      <c r="AL2140">
        <v>0</v>
      </c>
      <c r="AM2140">
        <v>0</v>
      </c>
      <c r="AN2140">
        <v>0</v>
      </c>
      <c r="AO2140">
        <v>0</v>
      </c>
      <c r="AP2140"/>
      <c r="AQ2140">
        <v>0</v>
      </c>
      <c r="AR2140">
        <v>0</v>
      </c>
      <c r="AT2140">
        <v>0</v>
      </c>
      <c r="AU2140">
        <v>0</v>
      </c>
      <c r="AW2140">
        <v>0</v>
      </c>
      <c r="AX2140">
        <v>0</v>
      </c>
      <c r="AY2140">
        <v>140</v>
      </c>
      <c r="BC2140" t="str">
        <f t="shared" si="342"/>
        <v>9791137602113</v>
      </c>
      <c r="BE2140" t="str">
        <f t="shared" si="343"/>
        <v>판타지 웹소설 &gt; 현대 판타지</v>
      </c>
    </row>
    <row r="2141" spans="1:57" x14ac:dyDescent="0.3">
      <c r="A2141">
        <v>2313011955</v>
      </c>
      <c r="B2141">
        <v>2313012725</v>
      </c>
      <c r="C2141" t="str">
        <f>T("갓 오브 블랙필드 2부 28화")</f>
        <v>갓 오브 블랙필드 2부 28화</v>
      </c>
      <c r="D2141" t="str">
        <f>T("509")</f>
        <v>509</v>
      </c>
      <c r="E2141" t="str">
        <f t="shared" si="340"/>
        <v>무장</v>
      </c>
      <c r="H2141" t="str">
        <f t="shared" si="339"/>
        <v>스토리위즈</v>
      </c>
      <c r="I2141" t="str">
        <f t="shared" si="341"/>
        <v>갓 오브 블랙필드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200</v>
      </c>
      <c r="AL2141">
        <v>0</v>
      </c>
      <c r="AM2141">
        <v>0</v>
      </c>
      <c r="AN2141">
        <v>0</v>
      </c>
      <c r="AO2141">
        <v>0</v>
      </c>
      <c r="AP2141"/>
      <c r="AQ2141">
        <v>0</v>
      </c>
      <c r="AR2141">
        <v>0</v>
      </c>
      <c r="AT2141">
        <v>0</v>
      </c>
      <c r="AU2141">
        <v>0</v>
      </c>
      <c r="AW2141">
        <v>0</v>
      </c>
      <c r="AX2141">
        <v>0</v>
      </c>
      <c r="AY2141">
        <v>140</v>
      </c>
      <c r="BC2141" t="str">
        <f t="shared" si="342"/>
        <v>9791137602113</v>
      </c>
      <c r="BE2141" t="str">
        <f t="shared" si="343"/>
        <v>판타지 웹소설 &gt; 현대 판타지</v>
      </c>
    </row>
    <row r="2142" spans="1:57" x14ac:dyDescent="0.3">
      <c r="A2142">
        <v>2313011955</v>
      </c>
      <c r="B2142">
        <v>2313012726</v>
      </c>
      <c r="C2142" t="str">
        <f>T("갓 오브 블랙필드 2부 29화")</f>
        <v>갓 오브 블랙필드 2부 29화</v>
      </c>
      <c r="D2142" t="str">
        <f>T("510")</f>
        <v>510</v>
      </c>
      <c r="E2142" t="str">
        <f t="shared" si="340"/>
        <v>무장</v>
      </c>
      <c r="H2142" t="str">
        <f t="shared" si="339"/>
        <v>스토리위즈</v>
      </c>
      <c r="I2142" t="str">
        <f t="shared" si="341"/>
        <v>갓 오브 블랙필드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200</v>
      </c>
      <c r="AL2142">
        <v>0</v>
      </c>
      <c r="AM2142">
        <v>0</v>
      </c>
      <c r="AN2142">
        <v>0</v>
      </c>
      <c r="AO2142">
        <v>0</v>
      </c>
      <c r="AP2142"/>
      <c r="AQ2142">
        <v>0</v>
      </c>
      <c r="AR2142">
        <v>0</v>
      </c>
      <c r="AT2142">
        <v>0</v>
      </c>
      <c r="AU2142">
        <v>0</v>
      </c>
      <c r="AW2142">
        <v>0</v>
      </c>
      <c r="AX2142">
        <v>0</v>
      </c>
      <c r="AY2142">
        <v>140</v>
      </c>
      <c r="BC2142" t="str">
        <f t="shared" si="342"/>
        <v>9791137602113</v>
      </c>
      <c r="BE2142" t="str">
        <f t="shared" si="343"/>
        <v>판타지 웹소설 &gt; 현대 판타지</v>
      </c>
    </row>
    <row r="2143" spans="1:57" x14ac:dyDescent="0.3">
      <c r="A2143">
        <v>2313011955</v>
      </c>
      <c r="B2143">
        <v>2313012727</v>
      </c>
      <c r="C2143" t="str">
        <f>T("갓 오브 블랙필드 2부 30화")</f>
        <v>갓 오브 블랙필드 2부 30화</v>
      </c>
      <c r="D2143" t="str">
        <f>T("511")</f>
        <v>511</v>
      </c>
      <c r="E2143" t="str">
        <f t="shared" si="340"/>
        <v>무장</v>
      </c>
      <c r="H2143" t="str">
        <f t="shared" si="339"/>
        <v>스토리위즈</v>
      </c>
      <c r="I2143" t="str">
        <f t="shared" si="341"/>
        <v>갓 오브 블랙필드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200</v>
      </c>
      <c r="AL2143">
        <v>0</v>
      </c>
      <c r="AM2143">
        <v>0</v>
      </c>
      <c r="AN2143">
        <v>0</v>
      </c>
      <c r="AO2143">
        <v>0</v>
      </c>
      <c r="AP2143"/>
      <c r="AQ2143">
        <v>0</v>
      </c>
      <c r="AR2143">
        <v>0</v>
      </c>
      <c r="AT2143">
        <v>0</v>
      </c>
      <c r="AU2143">
        <v>0</v>
      </c>
      <c r="AW2143">
        <v>0</v>
      </c>
      <c r="AX2143">
        <v>0</v>
      </c>
      <c r="AY2143">
        <v>140</v>
      </c>
      <c r="BC2143" t="str">
        <f t="shared" si="342"/>
        <v>9791137602113</v>
      </c>
      <c r="BE2143" t="str">
        <f t="shared" si="343"/>
        <v>판타지 웹소설 &gt; 현대 판타지</v>
      </c>
    </row>
    <row r="2144" spans="1:57" x14ac:dyDescent="0.3">
      <c r="A2144">
        <v>2313011955</v>
      </c>
      <c r="B2144">
        <v>2313012728</v>
      </c>
      <c r="C2144" t="str">
        <f>T("갓 오브 블랙필드 2부 31화")</f>
        <v>갓 오브 블랙필드 2부 31화</v>
      </c>
      <c r="D2144" t="str">
        <f>T("512")</f>
        <v>512</v>
      </c>
      <c r="E2144" t="str">
        <f t="shared" si="340"/>
        <v>무장</v>
      </c>
      <c r="H2144" t="str">
        <f t="shared" si="339"/>
        <v>스토리위즈</v>
      </c>
      <c r="I2144" t="str">
        <f t="shared" si="341"/>
        <v>갓 오브 블랙필드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200</v>
      </c>
      <c r="AL2144">
        <v>0</v>
      </c>
      <c r="AM2144">
        <v>0</v>
      </c>
      <c r="AN2144">
        <v>0</v>
      </c>
      <c r="AO2144">
        <v>0</v>
      </c>
      <c r="AP2144"/>
      <c r="AQ2144">
        <v>0</v>
      </c>
      <c r="AR2144">
        <v>0</v>
      </c>
      <c r="AT2144">
        <v>0</v>
      </c>
      <c r="AU2144">
        <v>0</v>
      </c>
      <c r="AW2144">
        <v>0</v>
      </c>
      <c r="AX2144">
        <v>0</v>
      </c>
      <c r="AY2144">
        <v>140</v>
      </c>
      <c r="BC2144" t="str">
        <f t="shared" si="342"/>
        <v>9791137602113</v>
      </c>
      <c r="BE2144" t="str">
        <f t="shared" si="343"/>
        <v>판타지 웹소설 &gt; 현대 판타지</v>
      </c>
    </row>
    <row r="2145" spans="1:57" x14ac:dyDescent="0.3">
      <c r="A2145">
        <v>2313011955</v>
      </c>
      <c r="B2145">
        <v>2313012729</v>
      </c>
      <c r="C2145" t="str">
        <f>T("갓 오브 블랙필드 2부 32화")</f>
        <v>갓 오브 블랙필드 2부 32화</v>
      </c>
      <c r="D2145" t="str">
        <f>T("513")</f>
        <v>513</v>
      </c>
      <c r="E2145" t="str">
        <f t="shared" si="340"/>
        <v>무장</v>
      </c>
      <c r="H2145" t="str">
        <f t="shared" si="339"/>
        <v>스토리위즈</v>
      </c>
      <c r="I2145" t="str">
        <f t="shared" si="341"/>
        <v>갓 오브 블랙필드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200</v>
      </c>
      <c r="AL2145">
        <v>0</v>
      </c>
      <c r="AM2145">
        <v>0</v>
      </c>
      <c r="AN2145">
        <v>0</v>
      </c>
      <c r="AO2145">
        <v>0</v>
      </c>
      <c r="AP2145"/>
      <c r="AQ2145">
        <v>0</v>
      </c>
      <c r="AR2145">
        <v>0</v>
      </c>
      <c r="AT2145">
        <v>0</v>
      </c>
      <c r="AU2145">
        <v>0</v>
      </c>
      <c r="AW2145">
        <v>0</v>
      </c>
      <c r="AX2145">
        <v>0</v>
      </c>
      <c r="AY2145">
        <v>140</v>
      </c>
      <c r="BC2145" t="str">
        <f t="shared" si="342"/>
        <v>9791137602113</v>
      </c>
      <c r="BE2145" t="str">
        <f t="shared" si="343"/>
        <v>판타지 웹소설 &gt; 현대 판타지</v>
      </c>
    </row>
    <row r="2146" spans="1:57" x14ac:dyDescent="0.3">
      <c r="A2146">
        <v>2313011955</v>
      </c>
      <c r="B2146">
        <v>2313012730</v>
      </c>
      <c r="C2146" t="str">
        <f>T("갓 오브 블랙필드 2부 33화")</f>
        <v>갓 오브 블랙필드 2부 33화</v>
      </c>
      <c r="D2146" t="str">
        <f>T("514")</f>
        <v>514</v>
      </c>
      <c r="E2146" t="str">
        <f t="shared" si="340"/>
        <v>무장</v>
      </c>
      <c r="H2146" t="str">
        <f t="shared" si="339"/>
        <v>스토리위즈</v>
      </c>
      <c r="I2146" t="str">
        <f t="shared" si="341"/>
        <v>갓 오브 블랙필드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200</v>
      </c>
      <c r="AL2146">
        <v>0</v>
      </c>
      <c r="AM2146">
        <v>0</v>
      </c>
      <c r="AN2146">
        <v>0</v>
      </c>
      <c r="AO2146">
        <v>0</v>
      </c>
      <c r="AP2146"/>
      <c r="AQ2146">
        <v>0</v>
      </c>
      <c r="AR2146">
        <v>0</v>
      </c>
      <c r="AT2146">
        <v>0</v>
      </c>
      <c r="AU2146">
        <v>0</v>
      </c>
      <c r="AW2146">
        <v>0</v>
      </c>
      <c r="AX2146">
        <v>0</v>
      </c>
      <c r="AY2146">
        <v>140</v>
      </c>
      <c r="BC2146" t="str">
        <f t="shared" si="342"/>
        <v>9791137602113</v>
      </c>
      <c r="BE2146" t="str">
        <f t="shared" si="343"/>
        <v>판타지 웹소설 &gt; 현대 판타지</v>
      </c>
    </row>
    <row r="2147" spans="1:57" x14ac:dyDescent="0.3">
      <c r="A2147">
        <v>2313011955</v>
      </c>
      <c r="B2147">
        <v>2313012731</v>
      </c>
      <c r="C2147" t="str">
        <f>T("갓 오브 블랙필드 2부 34화")</f>
        <v>갓 오브 블랙필드 2부 34화</v>
      </c>
      <c r="D2147" t="str">
        <f>T("515")</f>
        <v>515</v>
      </c>
      <c r="E2147" t="str">
        <f t="shared" si="340"/>
        <v>무장</v>
      </c>
      <c r="H2147" t="str">
        <f t="shared" si="339"/>
        <v>스토리위즈</v>
      </c>
      <c r="I2147" t="str">
        <f t="shared" si="341"/>
        <v>갓 오브 블랙필드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200</v>
      </c>
      <c r="AL2147">
        <v>0</v>
      </c>
      <c r="AM2147">
        <v>0</v>
      </c>
      <c r="AN2147">
        <v>0</v>
      </c>
      <c r="AO2147">
        <v>0</v>
      </c>
      <c r="AP2147"/>
      <c r="AQ2147">
        <v>0</v>
      </c>
      <c r="AR2147">
        <v>0</v>
      </c>
      <c r="AT2147">
        <v>0</v>
      </c>
      <c r="AU2147">
        <v>0</v>
      </c>
      <c r="AW2147">
        <v>0</v>
      </c>
      <c r="AX2147">
        <v>0</v>
      </c>
      <c r="AY2147">
        <v>140</v>
      </c>
      <c r="BC2147" t="str">
        <f t="shared" si="342"/>
        <v>9791137602113</v>
      </c>
      <c r="BE2147" t="str">
        <f t="shared" si="343"/>
        <v>판타지 웹소설 &gt; 현대 판타지</v>
      </c>
    </row>
    <row r="2148" spans="1:57" x14ac:dyDescent="0.3">
      <c r="A2148">
        <v>2313011955</v>
      </c>
      <c r="B2148">
        <v>2313012732</v>
      </c>
      <c r="C2148" t="str">
        <f>T("갓 오브 블랙필드 2부 35화")</f>
        <v>갓 오브 블랙필드 2부 35화</v>
      </c>
      <c r="D2148" t="str">
        <f>T("516")</f>
        <v>516</v>
      </c>
      <c r="E2148" t="str">
        <f t="shared" si="340"/>
        <v>무장</v>
      </c>
      <c r="H2148" t="str">
        <f t="shared" si="339"/>
        <v>스토리위즈</v>
      </c>
      <c r="I2148" t="str">
        <f t="shared" si="341"/>
        <v>갓 오브 블랙필드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200</v>
      </c>
      <c r="AL2148">
        <v>0</v>
      </c>
      <c r="AM2148">
        <v>0</v>
      </c>
      <c r="AN2148">
        <v>0</v>
      </c>
      <c r="AO2148">
        <v>0</v>
      </c>
      <c r="AP2148"/>
      <c r="AQ2148">
        <v>0</v>
      </c>
      <c r="AR2148">
        <v>0</v>
      </c>
      <c r="AT2148">
        <v>0</v>
      </c>
      <c r="AU2148">
        <v>0</v>
      </c>
      <c r="AW2148">
        <v>0</v>
      </c>
      <c r="AX2148">
        <v>0</v>
      </c>
      <c r="AY2148">
        <v>140</v>
      </c>
      <c r="BC2148" t="str">
        <f t="shared" si="342"/>
        <v>9791137602113</v>
      </c>
      <c r="BE2148" t="str">
        <f t="shared" si="343"/>
        <v>판타지 웹소설 &gt; 현대 판타지</v>
      </c>
    </row>
    <row r="2149" spans="1:57" x14ac:dyDescent="0.3">
      <c r="A2149">
        <v>2313011955</v>
      </c>
      <c r="B2149">
        <v>2313012733</v>
      </c>
      <c r="C2149" t="str">
        <f>T("갓 오브 블랙필드 2부 36화")</f>
        <v>갓 오브 블랙필드 2부 36화</v>
      </c>
      <c r="D2149" t="str">
        <f>T("517")</f>
        <v>517</v>
      </c>
      <c r="E2149" t="str">
        <f t="shared" si="340"/>
        <v>무장</v>
      </c>
      <c r="H2149" t="str">
        <f t="shared" si="339"/>
        <v>스토리위즈</v>
      </c>
      <c r="I2149" t="str">
        <f t="shared" si="341"/>
        <v>갓 오브 블랙필드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200</v>
      </c>
      <c r="AL2149">
        <v>0</v>
      </c>
      <c r="AM2149">
        <v>0</v>
      </c>
      <c r="AN2149">
        <v>0</v>
      </c>
      <c r="AO2149">
        <v>0</v>
      </c>
      <c r="AP2149"/>
      <c r="AQ2149">
        <v>0</v>
      </c>
      <c r="AR2149">
        <v>0</v>
      </c>
      <c r="AT2149">
        <v>0</v>
      </c>
      <c r="AU2149">
        <v>0</v>
      </c>
      <c r="AW2149">
        <v>0</v>
      </c>
      <c r="AX2149">
        <v>0</v>
      </c>
      <c r="AY2149">
        <v>140</v>
      </c>
      <c r="BC2149" t="str">
        <f t="shared" si="342"/>
        <v>9791137602113</v>
      </c>
      <c r="BE2149" t="str">
        <f t="shared" si="343"/>
        <v>판타지 웹소설 &gt; 현대 판타지</v>
      </c>
    </row>
    <row r="2150" spans="1:57" x14ac:dyDescent="0.3">
      <c r="A2150">
        <v>2313011955</v>
      </c>
      <c r="B2150">
        <v>2313012734</v>
      </c>
      <c r="C2150" t="str">
        <f>T("갓 오브 블랙필드 2부 37화")</f>
        <v>갓 오브 블랙필드 2부 37화</v>
      </c>
      <c r="D2150" t="str">
        <f>T("518")</f>
        <v>518</v>
      </c>
      <c r="E2150" t="str">
        <f t="shared" si="340"/>
        <v>무장</v>
      </c>
      <c r="H2150" t="str">
        <f t="shared" si="339"/>
        <v>스토리위즈</v>
      </c>
      <c r="I2150" t="str">
        <f t="shared" si="341"/>
        <v>갓 오브 블랙필드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200</v>
      </c>
      <c r="AL2150">
        <v>0</v>
      </c>
      <c r="AM2150">
        <v>0</v>
      </c>
      <c r="AN2150">
        <v>0</v>
      </c>
      <c r="AO2150">
        <v>0</v>
      </c>
      <c r="AP2150"/>
      <c r="AQ2150">
        <v>0</v>
      </c>
      <c r="AR2150">
        <v>0</v>
      </c>
      <c r="AT2150">
        <v>0</v>
      </c>
      <c r="AU2150">
        <v>0</v>
      </c>
      <c r="AW2150">
        <v>0</v>
      </c>
      <c r="AX2150">
        <v>0</v>
      </c>
      <c r="AY2150">
        <v>140</v>
      </c>
      <c r="BC2150" t="str">
        <f t="shared" si="342"/>
        <v>9791137602113</v>
      </c>
      <c r="BE2150" t="str">
        <f t="shared" si="343"/>
        <v>판타지 웹소설 &gt; 현대 판타지</v>
      </c>
    </row>
    <row r="2151" spans="1:57" x14ac:dyDescent="0.3">
      <c r="A2151">
        <v>2313011955</v>
      </c>
      <c r="B2151">
        <v>2313012735</v>
      </c>
      <c r="C2151" t="str">
        <f>T("갓 오브 블랙필드 2부 38화")</f>
        <v>갓 오브 블랙필드 2부 38화</v>
      </c>
      <c r="D2151" t="str">
        <f>T("519")</f>
        <v>519</v>
      </c>
      <c r="E2151" t="str">
        <f t="shared" si="340"/>
        <v>무장</v>
      </c>
      <c r="H2151" t="str">
        <f t="shared" si="339"/>
        <v>스토리위즈</v>
      </c>
      <c r="I2151" t="str">
        <f t="shared" si="341"/>
        <v>갓 오브 블랙필드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200</v>
      </c>
      <c r="AL2151">
        <v>0</v>
      </c>
      <c r="AM2151">
        <v>0</v>
      </c>
      <c r="AN2151">
        <v>0</v>
      </c>
      <c r="AO2151">
        <v>0</v>
      </c>
      <c r="AP2151"/>
      <c r="AQ2151">
        <v>0</v>
      </c>
      <c r="AR2151">
        <v>0</v>
      </c>
      <c r="AT2151">
        <v>0</v>
      </c>
      <c r="AU2151">
        <v>0</v>
      </c>
      <c r="AW2151">
        <v>0</v>
      </c>
      <c r="AX2151">
        <v>0</v>
      </c>
      <c r="AY2151">
        <v>140</v>
      </c>
      <c r="BC2151" t="str">
        <f t="shared" si="342"/>
        <v>9791137602113</v>
      </c>
      <c r="BE2151" t="str">
        <f t="shared" si="343"/>
        <v>판타지 웹소설 &gt; 현대 판타지</v>
      </c>
    </row>
    <row r="2152" spans="1:57" x14ac:dyDescent="0.3">
      <c r="A2152">
        <v>2313011955</v>
      </c>
      <c r="B2152">
        <v>2313012736</v>
      </c>
      <c r="C2152" t="str">
        <f>T("갓 오브 블랙필드 2부 39화")</f>
        <v>갓 오브 블랙필드 2부 39화</v>
      </c>
      <c r="D2152" t="str">
        <f>T("520")</f>
        <v>520</v>
      </c>
      <c r="E2152" t="str">
        <f t="shared" si="340"/>
        <v>무장</v>
      </c>
      <c r="H2152" t="str">
        <f t="shared" si="339"/>
        <v>스토리위즈</v>
      </c>
      <c r="I2152" t="str">
        <f t="shared" si="341"/>
        <v>갓 오브 블랙필드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200</v>
      </c>
      <c r="AL2152">
        <v>0</v>
      </c>
      <c r="AM2152">
        <v>0</v>
      </c>
      <c r="AN2152">
        <v>0</v>
      </c>
      <c r="AO2152">
        <v>0</v>
      </c>
      <c r="AP2152"/>
      <c r="AQ2152">
        <v>0</v>
      </c>
      <c r="AR2152">
        <v>0</v>
      </c>
      <c r="AT2152">
        <v>0</v>
      </c>
      <c r="AU2152">
        <v>0</v>
      </c>
      <c r="AW2152">
        <v>0</v>
      </c>
      <c r="AX2152">
        <v>0</v>
      </c>
      <c r="AY2152">
        <v>140</v>
      </c>
      <c r="BC2152" t="str">
        <f t="shared" si="342"/>
        <v>9791137602113</v>
      </c>
      <c r="BE2152" t="str">
        <f t="shared" si="343"/>
        <v>판타지 웹소설 &gt; 현대 판타지</v>
      </c>
    </row>
    <row r="2153" spans="1:57" x14ac:dyDescent="0.3">
      <c r="A2153">
        <v>2313011955</v>
      </c>
      <c r="B2153">
        <v>2313012737</v>
      </c>
      <c r="C2153" t="str">
        <f>T("갓 오브 블랙필드 2부 40화")</f>
        <v>갓 오브 블랙필드 2부 40화</v>
      </c>
      <c r="D2153" t="str">
        <f>T("521")</f>
        <v>521</v>
      </c>
      <c r="E2153" t="str">
        <f t="shared" si="340"/>
        <v>무장</v>
      </c>
      <c r="H2153" t="str">
        <f t="shared" si="339"/>
        <v>스토리위즈</v>
      </c>
      <c r="I2153" t="str">
        <f t="shared" si="341"/>
        <v>갓 오브 블랙필드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200</v>
      </c>
      <c r="AL2153">
        <v>0</v>
      </c>
      <c r="AM2153">
        <v>0</v>
      </c>
      <c r="AN2153">
        <v>0</v>
      </c>
      <c r="AO2153">
        <v>0</v>
      </c>
      <c r="AP2153"/>
      <c r="AQ2153">
        <v>0</v>
      </c>
      <c r="AR2153">
        <v>0</v>
      </c>
      <c r="AT2153">
        <v>0</v>
      </c>
      <c r="AU2153">
        <v>0</v>
      </c>
      <c r="AW2153">
        <v>0</v>
      </c>
      <c r="AX2153">
        <v>0</v>
      </c>
      <c r="AY2153">
        <v>140</v>
      </c>
      <c r="BC2153" t="str">
        <f t="shared" si="342"/>
        <v>9791137602113</v>
      </c>
      <c r="BE2153" t="str">
        <f t="shared" si="343"/>
        <v>판타지 웹소설 &gt; 현대 판타지</v>
      </c>
    </row>
    <row r="2154" spans="1:57" x14ac:dyDescent="0.3">
      <c r="A2154">
        <v>2313011955</v>
      </c>
      <c r="B2154">
        <v>2313012738</v>
      </c>
      <c r="C2154" t="str">
        <f>T("갓 오브 블랙필드 2부 41화")</f>
        <v>갓 오브 블랙필드 2부 41화</v>
      </c>
      <c r="D2154" t="str">
        <f>T("522")</f>
        <v>522</v>
      </c>
      <c r="E2154" t="str">
        <f t="shared" si="340"/>
        <v>무장</v>
      </c>
      <c r="H2154" t="str">
        <f t="shared" si="339"/>
        <v>스토리위즈</v>
      </c>
      <c r="I2154" t="str">
        <f t="shared" si="341"/>
        <v>갓 오브 블랙필드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200</v>
      </c>
      <c r="AL2154">
        <v>0</v>
      </c>
      <c r="AM2154">
        <v>0</v>
      </c>
      <c r="AN2154">
        <v>0</v>
      </c>
      <c r="AO2154">
        <v>0</v>
      </c>
      <c r="AP2154"/>
      <c r="AQ2154">
        <v>0</v>
      </c>
      <c r="AR2154">
        <v>0</v>
      </c>
      <c r="AT2154">
        <v>0</v>
      </c>
      <c r="AU2154">
        <v>0</v>
      </c>
      <c r="AW2154">
        <v>0</v>
      </c>
      <c r="AX2154">
        <v>0</v>
      </c>
      <c r="AY2154">
        <v>140</v>
      </c>
      <c r="BC2154" t="str">
        <f t="shared" si="342"/>
        <v>9791137602113</v>
      </c>
      <c r="BE2154" t="str">
        <f t="shared" si="343"/>
        <v>판타지 웹소설 &gt; 현대 판타지</v>
      </c>
    </row>
    <row r="2155" spans="1:57" x14ac:dyDescent="0.3">
      <c r="A2155">
        <v>2313011955</v>
      </c>
      <c r="B2155">
        <v>2313012739</v>
      </c>
      <c r="C2155" t="str">
        <f>T("갓 오브 블랙필드 2부 42화")</f>
        <v>갓 오브 블랙필드 2부 42화</v>
      </c>
      <c r="D2155" t="str">
        <f>T("523")</f>
        <v>523</v>
      </c>
      <c r="E2155" t="str">
        <f t="shared" si="340"/>
        <v>무장</v>
      </c>
      <c r="H2155" t="str">
        <f t="shared" si="339"/>
        <v>스토리위즈</v>
      </c>
      <c r="I2155" t="str">
        <f t="shared" si="341"/>
        <v>갓 오브 블랙필드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200</v>
      </c>
      <c r="AL2155">
        <v>0</v>
      </c>
      <c r="AM2155">
        <v>0</v>
      </c>
      <c r="AN2155">
        <v>0</v>
      </c>
      <c r="AO2155">
        <v>0</v>
      </c>
      <c r="AP2155"/>
      <c r="AQ2155">
        <v>0</v>
      </c>
      <c r="AR2155">
        <v>0</v>
      </c>
      <c r="AT2155">
        <v>0</v>
      </c>
      <c r="AU2155">
        <v>0</v>
      </c>
      <c r="AW2155">
        <v>0</v>
      </c>
      <c r="AX2155">
        <v>0</v>
      </c>
      <c r="AY2155">
        <v>140</v>
      </c>
      <c r="BC2155" t="str">
        <f t="shared" si="342"/>
        <v>9791137602113</v>
      </c>
      <c r="BE2155" t="str">
        <f t="shared" si="343"/>
        <v>판타지 웹소설 &gt; 현대 판타지</v>
      </c>
    </row>
    <row r="2156" spans="1:57" x14ac:dyDescent="0.3">
      <c r="A2156">
        <v>2313011955</v>
      </c>
      <c r="B2156">
        <v>2313012740</v>
      </c>
      <c r="C2156" t="str">
        <f>T("갓 오브 블랙필드 2부 43화")</f>
        <v>갓 오브 블랙필드 2부 43화</v>
      </c>
      <c r="D2156" t="str">
        <f>T("524")</f>
        <v>524</v>
      </c>
      <c r="E2156" t="str">
        <f t="shared" si="340"/>
        <v>무장</v>
      </c>
      <c r="H2156" t="str">
        <f t="shared" si="339"/>
        <v>스토리위즈</v>
      </c>
      <c r="I2156" t="str">
        <f t="shared" si="341"/>
        <v>갓 오브 블랙필드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200</v>
      </c>
      <c r="AL2156">
        <v>0</v>
      </c>
      <c r="AM2156">
        <v>0</v>
      </c>
      <c r="AN2156">
        <v>0</v>
      </c>
      <c r="AO2156">
        <v>0</v>
      </c>
      <c r="AP2156"/>
      <c r="AQ2156">
        <v>0</v>
      </c>
      <c r="AR2156">
        <v>0</v>
      </c>
      <c r="AT2156">
        <v>0</v>
      </c>
      <c r="AU2156">
        <v>0</v>
      </c>
      <c r="AW2156">
        <v>0</v>
      </c>
      <c r="AX2156">
        <v>0</v>
      </c>
      <c r="AY2156">
        <v>140</v>
      </c>
      <c r="BC2156" t="str">
        <f t="shared" si="342"/>
        <v>9791137602113</v>
      </c>
      <c r="BE2156" t="str">
        <f t="shared" si="343"/>
        <v>판타지 웹소설 &gt; 현대 판타지</v>
      </c>
    </row>
    <row r="2157" spans="1:57" x14ac:dyDescent="0.3">
      <c r="A2157">
        <v>2313011955</v>
      </c>
      <c r="B2157">
        <v>2313012741</v>
      </c>
      <c r="C2157" t="str">
        <f>T("갓 오브 블랙필드 2부 44화")</f>
        <v>갓 오브 블랙필드 2부 44화</v>
      </c>
      <c r="D2157" t="str">
        <f>T("525")</f>
        <v>525</v>
      </c>
      <c r="E2157" t="str">
        <f t="shared" si="340"/>
        <v>무장</v>
      </c>
      <c r="H2157" t="str">
        <f t="shared" si="339"/>
        <v>스토리위즈</v>
      </c>
      <c r="I2157" t="str">
        <f t="shared" si="341"/>
        <v>갓 오브 블랙필드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200</v>
      </c>
      <c r="AL2157">
        <v>0</v>
      </c>
      <c r="AM2157">
        <v>0</v>
      </c>
      <c r="AN2157">
        <v>0</v>
      </c>
      <c r="AO2157">
        <v>0</v>
      </c>
      <c r="AP2157"/>
      <c r="AQ2157">
        <v>0</v>
      </c>
      <c r="AR2157">
        <v>0</v>
      </c>
      <c r="AT2157">
        <v>0</v>
      </c>
      <c r="AU2157">
        <v>0</v>
      </c>
      <c r="AW2157">
        <v>0</v>
      </c>
      <c r="AX2157">
        <v>0</v>
      </c>
      <c r="AY2157">
        <v>140</v>
      </c>
      <c r="BC2157" t="str">
        <f t="shared" si="342"/>
        <v>9791137602113</v>
      </c>
      <c r="BE2157" t="str">
        <f t="shared" si="343"/>
        <v>판타지 웹소설 &gt; 현대 판타지</v>
      </c>
    </row>
    <row r="2158" spans="1:57" x14ac:dyDescent="0.3">
      <c r="A2158">
        <v>2313011955</v>
      </c>
      <c r="B2158">
        <v>2313012742</v>
      </c>
      <c r="C2158" t="str">
        <f>T("갓 오브 블랙필드 2부 45화")</f>
        <v>갓 오브 블랙필드 2부 45화</v>
      </c>
      <c r="D2158" t="str">
        <f>T("526")</f>
        <v>526</v>
      </c>
      <c r="E2158" t="str">
        <f t="shared" si="340"/>
        <v>무장</v>
      </c>
      <c r="H2158" t="str">
        <f t="shared" si="339"/>
        <v>스토리위즈</v>
      </c>
      <c r="I2158" t="str">
        <f t="shared" si="341"/>
        <v>갓 오브 블랙필드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200</v>
      </c>
      <c r="AL2158">
        <v>0</v>
      </c>
      <c r="AM2158">
        <v>0</v>
      </c>
      <c r="AN2158">
        <v>0</v>
      </c>
      <c r="AO2158">
        <v>0</v>
      </c>
      <c r="AP2158"/>
      <c r="AQ2158">
        <v>0</v>
      </c>
      <c r="AR2158">
        <v>0</v>
      </c>
      <c r="AT2158">
        <v>0</v>
      </c>
      <c r="AU2158">
        <v>0</v>
      </c>
      <c r="AW2158">
        <v>0</v>
      </c>
      <c r="AX2158">
        <v>0</v>
      </c>
      <c r="AY2158">
        <v>140</v>
      </c>
      <c r="BC2158" t="str">
        <f t="shared" si="342"/>
        <v>9791137602113</v>
      </c>
      <c r="BE2158" t="str">
        <f t="shared" si="343"/>
        <v>판타지 웹소설 &gt; 현대 판타지</v>
      </c>
    </row>
    <row r="2159" spans="1:57" x14ac:dyDescent="0.3">
      <c r="A2159">
        <v>2313011955</v>
      </c>
      <c r="B2159">
        <v>2313012743</v>
      </c>
      <c r="C2159" t="str">
        <f>T("갓 오브 블랙필드 2부 46화")</f>
        <v>갓 오브 블랙필드 2부 46화</v>
      </c>
      <c r="D2159" t="str">
        <f>T("527")</f>
        <v>527</v>
      </c>
      <c r="E2159" t="str">
        <f t="shared" si="340"/>
        <v>무장</v>
      </c>
      <c r="H2159" t="str">
        <f t="shared" si="339"/>
        <v>스토리위즈</v>
      </c>
      <c r="I2159" t="str">
        <f t="shared" si="341"/>
        <v>갓 오브 블랙필드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200</v>
      </c>
      <c r="AL2159">
        <v>0</v>
      </c>
      <c r="AM2159">
        <v>0</v>
      </c>
      <c r="AN2159">
        <v>0</v>
      </c>
      <c r="AO2159">
        <v>0</v>
      </c>
      <c r="AP2159"/>
      <c r="AQ2159">
        <v>0</v>
      </c>
      <c r="AR2159">
        <v>0</v>
      </c>
      <c r="AT2159">
        <v>0</v>
      </c>
      <c r="AU2159">
        <v>0</v>
      </c>
      <c r="AW2159">
        <v>0</v>
      </c>
      <c r="AX2159">
        <v>0</v>
      </c>
      <c r="AY2159">
        <v>140</v>
      </c>
      <c r="BC2159" t="str">
        <f t="shared" si="342"/>
        <v>9791137602113</v>
      </c>
      <c r="BE2159" t="str">
        <f t="shared" si="343"/>
        <v>판타지 웹소설 &gt; 현대 판타지</v>
      </c>
    </row>
    <row r="2160" spans="1:57" x14ac:dyDescent="0.3">
      <c r="A2160">
        <v>2313011955</v>
      </c>
      <c r="B2160">
        <v>2313012744</v>
      </c>
      <c r="C2160" t="str">
        <f>T("갓 오브 블랙필드 2부 47화")</f>
        <v>갓 오브 블랙필드 2부 47화</v>
      </c>
      <c r="D2160" t="str">
        <f>T("528")</f>
        <v>528</v>
      </c>
      <c r="E2160" t="str">
        <f t="shared" si="340"/>
        <v>무장</v>
      </c>
      <c r="H2160" t="str">
        <f t="shared" si="339"/>
        <v>스토리위즈</v>
      </c>
      <c r="I2160" t="str">
        <f t="shared" si="341"/>
        <v>갓 오브 블랙필드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200</v>
      </c>
      <c r="AL2160">
        <v>0</v>
      </c>
      <c r="AM2160">
        <v>0</v>
      </c>
      <c r="AN2160">
        <v>0</v>
      </c>
      <c r="AO2160">
        <v>0</v>
      </c>
      <c r="AP2160"/>
      <c r="AQ2160">
        <v>0</v>
      </c>
      <c r="AR2160">
        <v>0</v>
      </c>
      <c r="AT2160">
        <v>0</v>
      </c>
      <c r="AU2160">
        <v>0</v>
      </c>
      <c r="AW2160">
        <v>0</v>
      </c>
      <c r="AX2160">
        <v>0</v>
      </c>
      <c r="AY2160">
        <v>140</v>
      </c>
      <c r="BC2160" t="str">
        <f t="shared" si="342"/>
        <v>9791137602113</v>
      </c>
      <c r="BE2160" t="str">
        <f t="shared" si="343"/>
        <v>판타지 웹소설 &gt; 현대 판타지</v>
      </c>
    </row>
    <row r="2161" spans="1:57" x14ac:dyDescent="0.3">
      <c r="A2161">
        <v>2313011955</v>
      </c>
      <c r="B2161">
        <v>2313012745</v>
      </c>
      <c r="C2161" t="str">
        <f>T("갓 오브 블랙필드 2부 48화")</f>
        <v>갓 오브 블랙필드 2부 48화</v>
      </c>
      <c r="D2161" t="str">
        <f>T("529")</f>
        <v>529</v>
      </c>
      <c r="E2161" t="str">
        <f t="shared" si="340"/>
        <v>무장</v>
      </c>
      <c r="H2161" t="str">
        <f t="shared" si="339"/>
        <v>스토리위즈</v>
      </c>
      <c r="I2161" t="str">
        <f t="shared" si="341"/>
        <v>갓 오브 블랙필드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200</v>
      </c>
      <c r="AL2161">
        <v>0</v>
      </c>
      <c r="AM2161">
        <v>0</v>
      </c>
      <c r="AN2161">
        <v>0</v>
      </c>
      <c r="AO2161">
        <v>0</v>
      </c>
      <c r="AP2161"/>
      <c r="AQ2161">
        <v>0</v>
      </c>
      <c r="AR2161">
        <v>0</v>
      </c>
      <c r="AT2161">
        <v>0</v>
      </c>
      <c r="AU2161">
        <v>0</v>
      </c>
      <c r="AW2161">
        <v>0</v>
      </c>
      <c r="AX2161">
        <v>0</v>
      </c>
      <c r="AY2161">
        <v>140</v>
      </c>
      <c r="BC2161" t="str">
        <f t="shared" si="342"/>
        <v>9791137602113</v>
      </c>
      <c r="BE2161" t="str">
        <f t="shared" si="343"/>
        <v>판타지 웹소설 &gt; 현대 판타지</v>
      </c>
    </row>
    <row r="2162" spans="1:57" x14ac:dyDescent="0.3">
      <c r="A2162">
        <v>2313011955</v>
      </c>
      <c r="B2162">
        <v>2313012746</v>
      </c>
      <c r="C2162" t="str">
        <f>T("갓 오브 블랙필드 2부 49화")</f>
        <v>갓 오브 블랙필드 2부 49화</v>
      </c>
      <c r="D2162" t="str">
        <f>T("530")</f>
        <v>530</v>
      </c>
      <c r="E2162" t="str">
        <f t="shared" si="340"/>
        <v>무장</v>
      </c>
      <c r="H2162" t="str">
        <f t="shared" si="339"/>
        <v>스토리위즈</v>
      </c>
      <c r="I2162" t="str">
        <f t="shared" si="341"/>
        <v>갓 오브 블랙필드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200</v>
      </c>
      <c r="AL2162">
        <v>0</v>
      </c>
      <c r="AM2162">
        <v>0</v>
      </c>
      <c r="AN2162">
        <v>0</v>
      </c>
      <c r="AO2162">
        <v>0</v>
      </c>
      <c r="AP2162"/>
      <c r="AQ2162">
        <v>0</v>
      </c>
      <c r="AR2162">
        <v>0</v>
      </c>
      <c r="AT2162">
        <v>0</v>
      </c>
      <c r="AU2162">
        <v>0</v>
      </c>
      <c r="AW2162">
        <v>0</v>
      </c>
      <c r="AX2162">
        <v>0</v>
      </c>
      <c r="AY2162">
        <v>140</v>
      </c>
      <c r="BC2162" t="str">
        <f t="shared" si="342"/>
        <v>9791137602113</v>
      </c>
      <c r="BE2162" t="str">
        <f t="shared" si="343"/>
        <v>판타지 웹소설 &gt; 현대 판타지</v>
      </c>
    </row>
    <row r="2163" spans="1:57" x14ac:dyDescent="0.3">
      <c r="A2163">
        <v>2313011955</v>
      </c>
      <c r="B2163">
        <v>2313012747</v>
      </c>
      <c r="C2163" t="str">
        <f>T("갓 오브 블랙필드 2부 50화")</f>
        <v>갓 오브 블랙필드 2부 50화</v>
      </c>
      <c r="D2163" t="str">
        <f>T("531")</f>
        <v>531</v>
      </c>
      <c r="E2163" t="str">
        <f t="shared" si="340"/>
        <v>무장</v>
      </c>
      <c r="H2163" t="str">
        <f t="shared" si="339"/>
        <v>스토리위즈</v>
      </c>
      <c r="I2163" t="str">
        <f t="shared" si="341"/>
        <v>갓 오브 블랙필드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200</v>
      </c>
      <c r="AL2163">
        <v>0</v>
      </c>
      <c r="AM2163">
        <v>0</v>
      </c>
      <c r="AN2163">
        <v>0</v>
      </c>
      <c r="AO2163">
        <v>0</v>
      </c>
      <c r="AP2163"/>
      <c r="AQ2163">
        <v>0</v>
      </c>
      <c r="AR2163">
        <v>0</v>
      </c>
      <c r="AT2163">
        <v>0</v>
      </c>
      <c r="AU2163">
        <v>0</v>
      </c>
      <c r="AW2163">
        <v>0</v>
      </c>
      <c r="AX2163">
        <v>0</v>
      </c>
      <c r="AY2163">
        <v>140</v>
      </c>
      <c r="BC2163" t="str">
        <f t="shared" si="342"/>
        <v>9791137602113</v>
      </c>
      <c r="BE2163" t="str">
        <f t="shared" si="343"/>
        <v>판타지 웹소설 &gt; 현대 판타지</v>
      </c>
    </row>
    <row r="2164" spans="1:57" x14ac:dyDescent="0.3">
      <c r="A2164">
        <v>2313011955</v>
      </c>
      <c r="B2164">
        <v>2313012748</v>
      </c>
      <c r="C2164" t="str">
        <f>T("갓 오브 블랙필드 2부 51화")</f>
        <v>갓 오브 블랙필드 2부 51화</v>
      </c>
      <c r="D2164" t="str">
        <f>T("532")</f>
        <v>532</v>
      </c>
      <c r="E2164" t="str">
        <f t="shared" si="340"/>
        <v>무장</v>
      </c>
      <c r="H2164" t="str">
        <f t="shared" si="339"/>
        <v>스토리위즈</v>
      </c>
      <c r="I2164" t="str">
        <f t="shared" si="341"/>
        <v>갓 오브 블랙필드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200</v>
      </c>
      <c r="AL2164">
        <v>0</v>
      </c>
      <c r="AM2164">
        <v>0</v>
      </c>
      <c r="AN2164">
        <v>0</v>
      </c>
      <c r="AO2164">
        <v>0</v>
      </c>
      <c r="AP2164"/>
      <c r="AQ2164">
        <v>0</v>
      </c>
      <c r="AR2164">
        <v>0</v>
      </c>
      <c r="AT2164">
        <v>0</v>
      </c>
      <c r="AU2164">
        <v>0</v>
      </c>
      <c r="AW2164">
        <v>0</v>
      </c>
      <c r="AX2164">
        <v>0</v>
      </c>
      <c r="AY2164">
        <v>140</v>
      </c>
      <c r="BC2164" t="str">
        <f t="shared" si="342"/>
        <v>9791137602113</v>
      </c>
      <c r="BE2164" t="str">
        <f t="shared" si="343"/>
        <v>판타지 웹소설 &gt; 현대 판타지</v>
      </c>
    </row>
    <row r="2165" spans="1:57" x14ac:dyDescent="0.3">
      <c r="A2165">
        <v>2313011955</v>
      </c>
      <c r="B2165">
        <v>2313012749</v>
      </c>
      <c r="C2165" t="str">
        <f>T("갓 오브 블랙필드 2부 52화")</f>
        <v>갓 오브 블랙필드 2부 52화</v>
      </c>
      <c r="D2165" t="str">
        <f>T("533")</f>
        <v>533</v>
      </c>
      <c r="E2165" t="str">
        <f t="shared" si="340"/>
        <v>무장</v>
      </c>
      <c r="H2165" t="str">
        <f t="shared" si="339"/>
        <v>스토리위즈</v>
      </c>
      <c r="I2165" t="str">
        <f t="shared" si="341"/>
        <v>갓 오브 블랙필드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200</v>
      </c>
      <c r="AL2165">
        <v>0</v>
      </c>
      <c r="AM2165">
        <v>0</v>
      </c>
      <c r="AN2165">
        <v>0</v>
      </c>
      <c r="AO2165">
        <v>0</v>
      </c>
      <c r="AP2165"/>
      <c r="AQ2165">
        <v>0</v>
      </c>
      <c r="AR2165">
        <v>0</v>
      </c>
      <c r="AT2165">
        <v>0</v>
      </c>
      <c r="AU2165">
        <v>0</v>
      </c>
      <c r="AW2165">
        <v>0</v>
      </c>
      <c r="AX2165">
        <v>0</v>
      </c>
      <c r="AY2165">
        <v>140</v>
      </c>
      <c r="BC2165" t="str">
        <f t="shared" si="342"/>
        <v>9791137602113</v>
      </c>
      <c r="BE2165" t="str">
        <f t="shared" si="343"/>
        <v>판타지 웹소설 &gt; 현대 판타지</v>
      </c>
    </row>
    <row r="2166" spans="1:57" x14ac:dyDescent="0.3">
      <c r="A2166">
        <v>2313011955</v>
      </c>
      <c r="B2166">
        <v>2313012750</v>
      </c>
      <c r="C2166" t="str">
        <f>T("갓 오브 블랙필드 2부 53화")</f>
        <v>갓 오브 블랙필드 2부 53화</v>
      </c>
      <c r="D2166" t="str">
        <f>T("534")</f>
        <v>534</v>
      </c>
      <c r="E2166" t="str">
        <f t="shared" si="340"/>
        <v>무장</v>
      </c>
      <c r="H2166" t="str">
        <f t="shared" si="339"/>
        <v>스토리위즈</v>
      </c>
      <c r="I2166" t="str">
        <f t="shared" si="341"/>
        <v>갓 오브 블랙필드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200</v>
      </c>
      <c r="AL2166">
        <v>0</v>
      </c>
      <c r="AM2166">
        <v>0</v>
      </c>
      <c r="AN2166">
        <v>0</v>
      </c>
      <c r="AO2166">
        <v>0</v>
      </c>
      <c r="AP2166"/>
      <c r="AQ2166">
        <v>0</v>
      </c>
      <c r="AR2166">
        <v>0</v>
      </c>
      <c r="AT2166">
        <v>0</v>
      </c>
      <c r="AU2166">
        <v>0</v>
      </c>
      <c r="AW2166">
        <v>0</v>
      </c>
      <c r="AX2166">
        <v>0</v>
      </c>
      <c r="AY2166">
        <v>140</v>
      </c>
      <c r="BC2166" t="str">
        <f t="shared" si="342"/>
        <v>9791137602113</v>
      </c>
      <c r="BE2166" t="str">
        <f t="shared" si="343"/>
        <v>판타지 웹소설 &gt; 현대 판타지</v>
      </c>
    </row>
    <row r="2167" spans="1:57" x14ac:dyDescent="0.3">
      <c r="A2167">
        <v>2313011955</v>
      </c>
      <c r="B2167">
        <v>2313012751</v>
      </c>
      <c r="C2167" t="str">
        <f>T("갓 오브 블랙필드 2부 54화")</f>
        <v>갓 오브 블랙필드 2부 54화</v>
      </c>
      <c r="D2167" t="str">
        <f>T("535")</f>
        <v>535</v>
      </c>
      <c r="E2167" t="str">
        <f t="shared" si="340"/>
        <v>무장</v>
      </c>
      <c r="H2167" t="str">
        <f t="shared" si="339"/>
        <v>스토리위즈</v>
      </c>
      <c r="I2167" t="str">
        <f t="shared" si="341"/>
        <v>갓 오브 블랙필드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200</v>
      </c>
      <c r="AL2167">
        <v>0</v>
      </c>
      <c r="AM2167">
        <v>0</v>
      </c>
      <c r="AN2167">
        <v>0</v>
      </c>
      <c r="AO2167">
        <v>0</v>
      </c>
      <c r="AP2167"/>
      <c r="AQ2167">
        <v>0</v>
      </c>
      <c r="AR2167">
        <v>0</v>
      </c>
      <c r="AT2167">
        <v>0</v>
      </c>
      <c r="AU2167">
        <v>0</v>
      </c>
      <c r="AW2167">
        <v>0</v>
      </c>
      <c r="AX2167">
        <v>0</v>
      </c>
      <c r="AY2167">
        <v>140</v>
      </c>
      <c r="BC2167" t="str">
        <f t="shared" si="342"/>
        <v>9791137602113</v>
      </c>
      <c r="BE2167" t="str">
        <f t="shared" si="343"/>
        <v>판타지 웹소설 &gt; 현대 판타지</v>
      </c>
    </row>
    <row r="2168" spans="1:57" x14ac:dyDescent="0.3">
      <c r="A2168">
        <v>2313011955</v>
      </c>
      <c r="B2168">
        <v>2313012752</v>
      </c>
      <c r="C2168" t="str">
        <f>T("갓 오브 블랙필드 2부 55화")</f>
        <v>갓 오브 블랙필드 2부 55화</v>
      </c>
      <c r="D2168" t="str">
        <f>T("536")</f>
        <v>536</v>
      </c>
      <c r="E2168" t="str">
        <f t="shared" si="340"/>
        <v>무장</v>
      </c>
      <c r="H2168" t="str">
        <f t="shared" si="339"/>
        <v>스토리위즈</v>
      </c>
      <c r="I2168" t="str">
        <f t="shared" si="341"/>
        <v>갓 오브 블랙필드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200</v>
      </c>
      <c r="AL2168">
        <v>0</v>
      </c>
      <c r="AM2168">
        <v>0</v>
      </c>
      <c r="AN2168">
        <v>0</v>
      </c>
      <c r="AO2168">
        <v>0</v>
      </c>
      <c r="AP2168"/>
      <c r="AQ2168">
        <v>0</v>
      </c>
      <c r="AR2168">
        <v>0</v>
      </c>
      <c r="AT2168">
        <v>0</v>
      </c>
      <c r="AU2168">
        <v>0</v>
      </c>
      <c r="AW2168">
        <v>0</v>
      </c>
      <c r="AX2168">
        <v>0</v>
      </c>
      <c r="AY2168">
        <v>140</v>
      </c>
      <c r="BC2168" t="str">
        <f t="shared" si="342"/>
        <v>9791137602113</v>
      </c>
      <c r="BE2168" t="str">
        <f t="shared" si="343"/>
        <v>판타지 웹소설 &gt; 현대 판타지</v>
      </c>
    </row>
    <row r="2169" spans="1:57" x14ac:dyDescent="0.3">
      <c r="A2169">
        <v>2313011955</v>
      </c>
      <c r="B2169">
        <v>2313012753</v>
      </c>
      <c r="C2169" t="str">
        <f>T("갓 오브 블랙필드 2부 56화")</f>
        <v>갓 오브 블랙필드 2부 56화</v>
      </c>
      <c r="D2169" t="str">
        <f>T("537")</f>
        <v>537</v>
      </c>
      <c r="E2169" t="str">
        <f t="shared" si="340"/>
        <v>무장</v>
      </c>
      <c r="H2169" t="str">
        <f t="shared" si="339"/>
        <v>스토리위즈</v>
      </c>
      <c r="I2169" t="str">
        <f t="shared" si="341"/>
        <v>갓 오브 블랙필드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200</v>
      </c>
      <c r="AL2169">
        <v>0</v>
      </c>
      <c r="AM2169">
        <v>0</v>
      </c>
      <c r="AN2169">
        <v>0</v>
      </c>
      <c r="AO2169">
        <v>0</v>
      </c>
      <c r="AP2169"/>
      <c r="AQ2169">
        <v>0</v>
      </c>
      <c r="AR2169">
        <v>0</v>
      </c>
      <c r="AT2169">
        <v>0</v>
      </c>
      <c r="AU2169">
        <v>0</v>
      </c>
      <c r="AW2169">
        <v>0</v>
      </c>
      <c r="AX2169">
        <v>0</v>
      </c>
      <c r="AY2169">
        <v>140</v>
      </c>
      <c r="BC2169" t="str">
        <f t="shared" si="342"/>
        <v>9791137602113</v>
      </c>
      <c r="BE2169" t="str">
        <f t="shared" si="343"/>
        <v>판타지 웹소설 &gt; 현대 판타지</v>
      </c>
    </row>
    <row r="2170" spans="1:57" x14ac:dyDescent="0.3">
      <c r="A2170">
        <v>2313011955</v>
      </c>
      <c r="B2170">
        <v>2313012754</v>
      </c>
      <c r="C2170" t="str">
        <f>T("갓 오브 블랙필드 2부 57화")</f>
        <v>갓 오브 블랙필드 2부 57화</v>
      </c>
      <c r="D2170" t="str">
        <f>T("538")</f>
        <v>538</v>
      </c>
      <c r="E2170" t="str">
        <f t="shared" si="340"/>
        <v>무장</v>
      </c>
      <c r="H2170" t="str">
        <f t="shared" si="339"/>
        <v>스토리위즈</v>
      </c>
      <c r="I2170" t="str">
        <f t="shared" si="341"/>
        <v>갓 오브 블랙필드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200</v>
      </c>
      <c r="AL2170">
        <v>0</v>
      </c>
      <c r="AM2170">
        <v>0</v>
      </c>
      <c r="AN2170">
        <v>0</v>
      </c>
      <c r="AO2170">
        <v>0</v>
      </c>
      <c r="AP2170"/>
      <c r="AQ2170">
        <v>0</v>
      </c>
      <c r="AR2170">
        <v>0</v>
      </c>
      <c r="AT2170">
        <v>0</v>
      </c>
      <c r="AU2170">
        <v>0</v>
      </c>
      <c r="AW2170">
        <v>0</v>
      </c>
      <c r="AX2170">
        <v>0</v>
      </c>
      <c r="AY2170">
        <v>140</v>
      </c>
      <c r="BC2170" t="str">
        <f t="shared" si="342"/>
        <v>9791137602113</v>
      </c>
      <c r="BE2170" t="str">
        <f t="shared" si="343"/>
        <v>판타지 웹소설 &gt; 현대 판타지</v>
      </c>
    </row>
    <row r="2171" spans="1:57" x14ac:dyDescent="0.3">
      <c r="A2171">
        <v>2313011955</v>
      </c>
      <c r="B2171">
        <v>2313012755</v>
      </c>
      <c r="C2171" t="str">
        <f>T("갓 오브 블랙필드 2부 58화")</f>
        <v>갓 오브 블랙필드 2부 58화</v>
      </c>
      <c r="D2171" t="str">
        <f>T("539")</f>
        <v>539</v>
      </c>
      <c r="E2171" t="str">
        <f t="shared" si="340"/>
        <v>무장</v>
      </c>
      <c r="H2171" t="str">
        <f t="shared" si="339"/>
        <v>스토리위즈</v>
      </c>
      <c r="I2171" t="str">
        <f t="shared" si="341"/>
        <v>갓 오브 블랙필드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200</v>
      </c>
      <c r="AL2171">
        <v>0</v>
      </c>
      <c r="AM2171">
        <v>0</v>
      </c>
      <c r="AN2171">
        <v>0</v>
      </c>
      <c r="AO2171">
        <v>0</v>
      </c>
      <c r="AP2171"/>
      <c r="AQ2171">
        <v>0</v>
      </c>
      <c r="AR2171">
        <v>0</v>
      </c>
      <c r="AT2171">
        <v>0</v>
      </c>
      <c r="AU2171">
        <v>0</v>
      </c>
      <c r="AW2171">
        <v>0</v>
      </c>
      <c r="AX2171">
        <v>0</v>
      </c>
      <c r="AY2171">
        <v>140</v>
      </c>
      <c r="BC2171" t="str">
        <f t="shared" si="342"/>
        <v>9791137602113</v>
      </c>
      <c r="BE2171" t="str">
        <f t="shared" si="343"/>
        <v>판타지 웹소설 &gt; 현대 판타지</v>
      </c>
    </row>
    <row r="2172" spans="1:57" x14ac:dyDescent="0.3">
      <c r="A2172">
        <v>2313011955</v>
      </c>
      <c r="B2172">
        <v>2313012756</v>
      </c>
      <c r="C2172" t="str">
        <f>T("갓 오브 블랙필드 2부 59화")</f>
        <v>갓 오브 블랙필드 2부 59화</v>
      </c>
      <c r="D2172" t="str">
        <f>T("540")</f>
        <v>540</v>
      </c>
      <c r="E2172" t="str">
        <f t="shared" si="340"/>
        <v>무장</v>
      </c>
      <c r="H2172" t="str">
        <f t="shared" ref="H2172:H2224" si="344">T("스토리위즈")</f>
        <v>스토리위즈</v>
      </c>
      <c r="I2172" t="str">
        <f t="shared" si="341"/>
        <v>갓 오브 블랙필드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200</v>
      </c>
      <c r="AL2172">
        <v>0</v>
      </c>
      <c r="AM2172">
        <v>0</v>
      </c>
      <c r="AN2172">
        <v>0</v>
      </c>
      <c r="AO2172">
        <v>0</v>
      </c>
      <c r="AP2172"/>
      <c r="AQ2172">
        <v>0</v>
      </c>
      <c r="AR2172">
        <v>0</v>
      </c>
      <c r="AT2172">
        <v>0</v>
      </c>
      <c r="AU2172">
        <v>0</v>
      </c>
      <c r="AW2172">
        <v>0</v>
      </c>
      <c r="AX2172">
        <v>0</v>
      </c>
      <c r="AY2172">
        <v>140</v>
      </c>
      <c r="BC2172" t="str">
        <f t="shared" si="342"/>
        <v>9791137602113</v>
      </c>
      <c r="BE2172" t="str">
        <f t="shared" si="343"/>
        <v>판타지 웹소설 &gt; 현대 판타지</v>
      </c>
    </row>
    <row r="2173" spans="1:57" x14ac:dyDescent="0.3">
      <c r="A2173">
        <v>2313011955</v>
      </c>
      <c r="B2173">
        <v>2313012757</v>
      </c>
      <c r="C2173" t="str">
        <f>T("갓 오브 블랙필드 2부 60화")</f>
        <v>갓 오브 블랙필드 2부 60화</v>
      </c>
      <c r="D2173" t="str">
        <f>T("541")</f>
        <v>541</v>
      </c>
      <c r="E2173" t="str">
        <f t="shared" si="340"/>
        <v>무장</v>
      </c>
      <c r="H2173" t="str">
        <f t="shared" si="344"/>
        <v>스토리위즈</v>
      </c>
      <c r="I2173" t="str">
        <f t="shared" si="341"/>
        <v>갓 오브 블랙필드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200</v>
      </c>
      <c r="AL2173">
        <v>0</v>
      </c>
      <c r="AM2173">
        <v>0</v>
      </c>
      <c r="AN2173">
        <v>0</v>
      </c>
      <c r="AO2173">
        <v>0</v>
      </c>
      <c r="AP2173"/>
      <c r="AQ2173">
        <v>0</v>
      </c>
      <c r="AR2173">
        <v>0</v>
      </c>
      <c r="AT2173">
        <v>0</v>
      </c>
      <c r="AU2173">
        <v>0</v>
      </c>
      <c r="AW2173">
        <v>0</v>
      </c>
      <c r="AX2173">
        <v>0</v>
      </c>
      <c r="AY2173">
        <v>140</v>
      </c>
      <c r="BC2173" t="str">
        <f t="shared" si="342"/>
        <v>9791137602113</v>
      </c>
      <c r="BE2173" t="str">
        <f t="shared" si="343"/>
        <v>판타지 웹소설 &gt; 현대 판타지</v>
      </c>
    </row>
    <row r="2174" spans="1:57" x14ac:dyDescent="0.3">
      <c r="A2174">
        <v>2313011955</v>
      </c>
      <c r="B2174">
        <v>2313012758</v>
      </c>
      <c r="C2174" t="str">
        <f>T("갓 오브 블랙필드 2부 61화")</f>
        <v>갓 오브 블랙필드 2부 61화</v>
      </c>
      <c r="D2174" t="str">
        <f>T("542")</f>
        <v>542</v>
      </c>
      <c r="E2174" t="str">
        <f t="shared" si="340"/>
        <v>무장</v>
      </c>
      <c r="H2174" t="str">
        <f t="shared" si="344"/>
        <v>스토리위즈</v>
      </c>
      <c r="I2174" t="str">
        <f t="shared" si="341"/>
        <v>갓 오브 블랙필드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200</v>
      </c>
      <c r="AL2174">
        <v>0</v>
      </c>
      <c r="AM2174">
        <v>0</v>
      </c>
      <c r="AN2174">
        <v>0</v>
      </c>
      <c r="AO2174">
        <v>0</v>
      </c>
      <c r="AP2174"/>
      <c r="AQ2174">
        <v>0</v>
      </c>
      <c r="AR2174">
        <v>0</v>
      </c>
      <c r="AT2174">
        <v>0</v>
      </c>
      <c r="AU2174">
        <v>0</v>
      </c>
      <c r="AW2174">
        <v>0</v>
      </c>
      <c r="AX2174">
        <v>0</v>
      </c>
      <c r="AY2174">
        <v>140</v>
      </c>
      <c r="BC2174" t="str">
        <f t="shared" si="342"/>
        <v>9791137602113</v>
      </c>
      <c r="BE2174" t="str">
        <f t="shared" si="343"/>
        <v>판타지 웹소설 &gt; 현대 판타지</v>
      </c>
    </row>
    <row r="2175" spans="1:57" x14ac:dyDescent="0.3">
      <c r="A2175">
        <v>2313012849</v>
      </c>
      <c r="B2175">
        <v>2313012875</v>
      </c>
      <c r="C2175" t="str">
        <f>T("디버프 마스터 27화")</f>
        <v>디버프 마스터 27화</v>
      </c>
      <c r="D2175" t="str">
        <f>T("27")</f>
        <v>27</v>
      </c>
      <c r="E2175" t="str">
        <f t="shared" ref="E2175:E2224" si="345">T("담화공")</f>
        <v>담화공</v>
      </c>
      <c r="H2175" t="str">
        <f t="shared" si="344"/>
        <v>스토리위즈</v>
      </c>
      <c r="I2175" t="str">
        <f t="shared" ref="I2175:I2224" si="346">T("디버프 마스터")</f>
        <v>디버프 마스터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100</v>
      </c>
      <c r="AL2175">
        <v>0</v>
      </c>
      <c r="AM2175">
        <v>120</v>
      </c>
      <c r="AN2175">
        <v>-12</v>
      </c>
      <c r="AO2175">
        <v>0</v>
      </c>
      <c r="AP2175"/>
      <c r="AQ2175">
        <v>0</v>
      </c>
      <c r="AR2175">
        <v>0</v>
      </c>
      <c r="AS2175">
        <v>120</v>
      </c>
      <c r="AT2175">
        <v>-12</v>
      </c>
      <c r="AU2175">
        <v>0</v>
      </c>
      <c r="AW2175">
        <v>0</v>
      </c>
      <c r="AX2175">
        <v>0</v>
      </c>
      <c r="AY2175">
        <v>145.6</v>
      </c>
      <c r="BC2175" t="str">
        <f t="shared" ref="BC2175:BC2224" si="347">T("9791137602663")</f>
        <v>9791137602663</v>
      </c>
      <c r="BE2175" t="str">
        <f t="shared" ref="BE2175:BE2224" si="348">T("판타지 웹소설 &gt; 퓨전 판타지")</f>
        <v>판타지 웹소설 &gt; 퓨전 판타지</v>
      </c>
    </row>
    <row r="2176" spans="1:57" x14ac:dyDescent="0.3">
      <c r="A2176">
        <v>2313012849</v>
      </c>
      <c r="B2176">
        <v>2313012876</v>
      </c>
      <c r="C2176" t="str">
        <f>T("디버프 마스터 28화")</f>
        <v>디버프 마스터 28화</v>
      </c>
      <c r="D2176" t="str">
        <f>T("28")</f>
        <v>28</v>
      </c>
      <c r="E2176" t="str">
        <f t="shared" si="345"/>
        <v>담화공</v>
      </c>
      <c r="H2176" t="str">
        <f t="shared" si="344"/>
        <v>스토리위즈</v>
      </c>
      <c r="I2176" t="str">
        <f t="shared" si="346"/>
        <v>디버프 마스터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100</v>
      </c>
      <c r="AL2176">
        <v>0</v>
      </c>
      <c r="AM2176">
        <v>120</v>
      </c>
      <c r="AN2176">
        <v>-12</v>
      </c>
      <c r="AO2176">
        <v>0</v>
      </c>
      <c r="AP2176"/>
      <c r="AQ2176">
        <v>0</v>
      </c>
      <c r="AR2176">
        <v>0</v>
      </c>
      <c r="AS2176">
        <v>120</v>
      </c>
      <c r="AT2176">
        <v>-12</v>
      </c>
      <c r="AU2176">
        <v>0</v>
      </c>
      <c r="AW2176">
        <v>0</v>
      </c>
      <c r="AX2176">
        <v>0</v>
      </c>
      <c r="AY2176">
        <v>145.6</v>
      </c>
      <c r="BC2176" t="str">
        <f t="shared" si="347"/>
        <v>9791137602663</v>
      </c>
      <c r="BE2176" t="str">
        <f t="shared" si="348"/>
        <v>판타지 웹소설 &gt; 퓨전 판타지</v>
      </c>
    </row>
    <row r="2177" spans="1:57" x14ac:dyDescent="0.3">
      <c r="A2177">
        <v>2313012849</v>
      </c>
      <c r="B2177">
        <v>2313012877</v>
      </c>
      <c r="C2177" t="str">
        <f>T("디버프 마스터 29화")</f>
        <v>디버프 마스터 29화</v>
      </c>
      <c r="D2177" t="str">
        <f>T("29")</f>
        <v>29</v>
      </c>
      <c r="E2177" t="str">
        <f t="shared" si="345"/>
        <v>담화공</v>
      </c>
      <c r="H2177" t="str">
        <f t="shared" si="344"/>
        <v>스토리위즈</v>
      </c>
      <c r="I2177" t="str">
        <f t="shared" si="346"/>
        <v>디버프 마스터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100</v>
      </c>
      <c r="AL2177">
        <v>0</v>
      </c>
      <c r="AM2177">
        <v>120</v>
      </c>
      <c r="AN2177">
        <v>-12</v>
      </c>
      <c r="AO2177">
        <v>0</v>
      </c>
      <c r="AP2177"/>
      <c r="AQ2177">
        <v>0</v>
      </c>
      <c r="AR2177">
        <v>0</v>
      </c>
      <c r="AS2177">
        <v>120</v>
      </c>
      <c r="AT2177">
        <v>-12</v>
      </c>
      <c r="AU2177">
        <v>0</v>
      </c>
      <c r="AW2177">
        <v>0</v>
      </c>
      <c r="AX2177">
        <v>0</v>
      </c>
      <c r="AY2177">
        <v>145.6</v>
      </c>
      <c r="BC2177" t="str">
        <f t="shared" si="347"/>
        <v>9791137602663</v>
      </c>
      <c r="BE2177" t="str">
        <f t="shared" si="348"/>
        <v>판타지 웹소설 &gt; 퓨전 판타지</v>
      </c>
    </row>
    <row r="2178" spans="1:57" x14ac:dyDescent="0.3">
      <c r="A2178">
        <v>2313012849</v>
      </c>
      <c r="B2178">
        <v>2313012878</v>
      </c>
      <c r="C2178" t="str">
        <f>T("디버프 마스터 30화")</f>
        <v>디버프 마스터 30화</v>
      </c>
      <c r="D2178" t="str">
        <f>T("30")</f>
        <v>30</v>
      </c>
      <c r="E2178" t="str">
        <f t="shared" si="345"/>
        <v>담화공</v>
      </c>
      <c r="H2178" t="str">
        <f t="shared" si="344"/>
        <v>스토리위즈</v>
      </c>
      <c r="I2178" t="str">
        <f t="shared" si="346"/>
        <v>디버프 마스터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100</v>
      </c>
      <c r="AL2178">
        <v>0</v>
      </c>
      <c r="AM2178">
        <v>120</v>
      </c>
      <c r="AN2178">
        <v>-12</v>
      </c>
      <c r="AO2178">
        <v>0</v>
      </c>
      <c r="AP2178"/>
      <c r="AQ2178">
        <v>0</v>
      </c>
      <c r="AR2178">
        <v>0</v>
      </c>
      <c r="AS2178">
        <v>120</v>
      </c>
      <c r="AT2178">
        <v>-12</v>
      </c>
      <c r="AU2178">
        <v>0</v>
      </c>
      <c r="AW2178">
        <v>0</v>
      </c>
      <c r="AX2178">
        <v>0</v>
      </c>
      <c r="AY2178">
        <v>145.6</v>
      </c>
      <c r="BC2178" t="str">
        <f t="shared" si="347"/>
        <v>9791137602663</v>
      </c>
      <c r="BE2178" t="str">
        <f t="shared" si="348"/>
        <v>판타지 웹소설 &gt; 퓨전 판타지</v>
      </c>
    </row>
    <row r="2179" spans="1:57" x14ac:dyDescent="0.3">
      <c r="A2179">
        <v>2313012849</v>
      </c>
      <c r="B2179">
        <v>2313012879</v>
      </c>
      <c r="C2179" t="str">
        <f>T("디버프 마스터 31화")</f>
        <v>디버프 마스터 31화</v>
      </c>
      <c r="D2179" t="str">
        <f>T("31")</f>
        <v>31</v>
      </c>
      <c r="E2179" t="str">
        <f t="shared" si="345"/>
        <v>담화공</v>
      </c>
      <c r="H2179" t="str">
        <f t="shared" si="344"/>
        <v>스토리위즈</v>
      </c>
      <c r="I2179" t="str">
        <f t="shared" si="346"/>
        <v>디버프 마스터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100</v>
      </c>
      <c r="AL2179">
        <v>0</v>
      </c>
      <c r="AM2179">
        <v>120</v>
      </c>
      <c r="AN2179">
        <v>-12</v>
      </c>
      <c r="AO2179">
        <v>0</v>
      </c>
      <c r="AP2179"/>
      <c r="AQ2179">
        <v>0</v>
      </c>
      <c r="AR2179">
        <v>0</v>
      </c>
      <c r="AS2179">
        <v>120</v>
      </c>
      <c r="AT2179">
        <v>-12</v>
      </c>
      <c r="AU2179">
        <v>0</v>
      </c>
      <c r="AW2179">
        <v>0</v>
      </c>
      <c r="AX2179">
        <v>0</v>
      </c>
      <c r="AY2179">
        <v>145.6</v>
      </c>
      <c r="BC2179" t="str">
        <f t="shared" si="347"/>
        <v>9791137602663</v>
      </c>
      <c r="BE2179" t="str">
        <f t="shared" si="348"/>
        <v>판타지 웹소설 &gt; 퓨전 판타지</v>
      </c>
    </row>
    <row r="2180" spans="1:57" x14ac:dyDescent="0.3">
      <c r="A2180">
        <v>2313012849</v>
      </c>
      <c r="B2180">
        <v>2313012880</v>
      </c>
      <c r="C2180" t="str">
        <f>T("디버프 마스터 32화")</f>
        <v>디버프 마스터 32화</v>
      </c>
      <c r="D2180" t="str">
        <f>T("32")</f>
        <v>32</v>
      </c>
      <c r="E2180" t="str">
        <f t="shared" si="345"/>
        <v>담화공</v>
      </c>
      <c r="H2180" t="str">
        <f t="shared" si="344"/>
        <v>스토리위즈</v>
      </c>
      <c r="I2180" t="str">
        <f t="shared" si="346"/>
        <v>디버프 마스터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100</v>
      </c>
      <c r="AL2180">
        <v>0</v>
      </c>
      <c r="AM2180">
        <v>120</v>
      </c>
      <c r="AN2180">
        <v>-12</v>
      </c>
      <c r="AO2180">
        <v>0</v>
      </c>
      <c r="AP2180"/>
      <c r="AQ2180">
        <v>0</v>
      </c>
      <c r="AR2180">
        <v>0</v>
      </c>
      <c r="AS2180">
        <v>120</v>
      </c>
      <c r="AT2180">
        <v>-12</v>
      </c>
      <c r="AU2180">
        <v>0</v>
      </c>
      <c r="AW2180">
        <v>0</v>
      </c>
      <c r="AX2180">
        <v>0</v>
      </c>
      <c r="AY2180">
        <v>145.6</v>
      </c>
      <c r="BC2180" t="str">
        <f t="shared" si="347"/>
        <v>9791137602663</v>
      </c>
      <c r="BE2180" t="str">
        <f t="shared" si="348"/>
        <v>판타지 웹소설 &gt; 퓨전 판타지</v>
      </c>
    </row>
    <row r="2181" spans="1:57" x14ac:dyDescent="0.3">
      <c r="A2181">
        <v>2313012849</v>
      </c>
      <c r="B2181">
        <v>2313012881</v>
      </c>
      <c r="C2181" t="str">
        <f>T("디버프 마스터 33화")</f>
        <v>디버프 마스터 33화</v>
      </c>
      <c r="D2181" t="str">
        <f>T("33")</f>
        <v>33</v>
      </c>
      <c r="E2181" t="str">
        <f t="shared" si="345"/>
        <v>담화공</v>
      </c>
      <c r="H2181" t="str">
        <f t="shared" si="344"/>
        <v>스토리위즈</v>
      </c>
      <c r="I2181" t="str">
        <f t="shared" si="346"/>
        <v>디버프 마스터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100</v>
      </c>
      <c r="AL2181">
        <v>0</v>
      </c>
      <c r="AM2181">
        <v>120</v>
      </c>
      <c r="AN2181">
        <v>-12</v>
      </c>
      <c r="AO2181">
        <v>0</v>
      </c>
      <c r="AP2181"/>
      <c r="AQ2181">
        <v>0</v>
      </c>
      <c r="AR2181">
        <v>0</v>
      </c>
      <c r="AS2181">
        <v>120</v>
      </c>
      <c r="AT2181">
        <v>-12</v>
      </c>
      <c r="AU2181">
        <v>0</v>
      </c>
      <c r="AW2181">
        <v>0</v>
      </c>
      <c r="AX2181">
        <v>0</v>
      </c>
      <c r="AY2181">
        <v>145.6</v>
      </c>
      <c r="BC2181" t="str">
        <f t="shared" si="347"/>
        <v>9791137602663</v>
      </c>
      <c r="BE2181" t="str">
        <f t="shared" si="348"/>
        <v>판타지 웹소설 &gt; 퓨전 판타지</v>
      </c>
    </row>
    <row r="2182" spans="1:57" x14ac:dyDescent="0.3">
      <c r="A2182">
        <v>2313012849</v>
      </c>
      <c r="B2182">
        <v>2313012882</v>
      </c>
      <c r="C2182" t="str">
        <f>T("디버프 마스터 34화")</f>
        <v>디버프 마스터 34화</v>
      </c>
      <c r="D2182" t="str">
        <f>T("34")</f>
        <v>34</v>
      </c>
      <c r="E2182" t="str">
        <f t="shared" si="345"/>
        <v>담화공</v>
      </c>
      <c r="H2182" t="str">
        <f t="shared" si="344"/>
        <v>스토리위즈</v>
      </c>
      <c r="I2182" t="str">
        <f t="shared" si="346"/>
        <v>디버프 마스터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100</v>
      </c>
      <c r="AL2182">
        <v>0</v>
      </c>
      <c r="AM2182">
        <v>120</v>
      </c>
      <c r="AN2182">
        <v>-12</v>
      </c>
      <c r="AO2182">
        <v>0</v>
      </c>
      <c r="AP2182"/>
      <c r="AQ2182">
        <v>0</v>
      </c>
      <c r="AR2182">
        <v>0</v>
      </c>
      <c r="AS2182">
        <v>120</v>
      </c>
      <c r="AT2182">
        <v>-12</v>
      </c>
      <c r="AU2182">
        <v>0</v>
      </c>
      <c r="AW2182">
        <v>0</v>
      </c>
      <c r="AX2182">
        <v>0</v>
      </c>
      <c r="AY2182">
        <v>145.6</v>
      </c>
      <c r="BC2182" t="str">
        <f t="shared" si="347"/>
        <v>9791137602663</v>
      </c>
      <c r="BE2182" t="str">
        <f t="shared" si="348"/>
        <v>판타지 웹소설 &gt; 퓨전 판타지</v>
      </c>
    </row>
    <row r="2183" spans="1:57" x14ac:dyDescent="0.3">
      <c r="A2183">
        <v>2313012849</v>
      </c>
      <c r="B2183">
        <v>2313012883</v>
      </c>
      <c r="C2183" t="str">
        <f>T("디버프 마스터 35화")</f>
        <v>디버프 마스터 35화</v>
      </c>
      <c r="D2183" t="str">
        <f>T("35")</f>
        <v>35</v>
      </c>
      <c r="E2183" t="str">
        <f t="shared" si="345"/>
        <v>담화공</v>
      </c>
      <c r="H2183" t="str">
        <f t="shared" si="344"/>
        <v>스토리위즈</v>
      </c>
      <c r="I2183" t="str">
        <f t="shared" si="346"/>
        <v>디버프 마스터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100</v>
      </c>
      <c r="AL2183">
        <v>0</v>
      </c>
      <c r="AM2183">
        <v>120</v>
      </c>
      <c r="AN2183">
        <v>-12</v>
      </c>
      <c r="AO2183">
        <v>0</v>
      </c>
      <c r="AP2183"/>
      <c r="AQ2183">
        <v>0</v>
      </c>
      <c r="AR2183">
        <v>0</v>
      </c>
      <c r="AS2183">
        <v>120</v>
      </c>
      <c r="AT2183">
        <v>-12</v>
      </c>
      <c r="AU2183">
        <v>0</v>
      </c>
      <c r="AW2183">
        <v>0</v>
      </c>
      <c r="AX2183">
        <v>0</v>
      </c>
      <c r="AY2183">
        <v>145.6</v>
      </c>
      <c r="BC2183" t="str">
        <f t="shared" si="347"/>
        <v>9791137602663</v>
      </c>
      <c r="BE2183" t="str">
        <f t="shared" si="348"/>
        <v>판타지 웹소설 &gt; 퓨전 판타지</v>
      </c>
    </row>
    <row r="2184" spans="1:57" x14ac:dyDescent="0.3">
      <c r="A2184">
        <v>2313012849</v>
      </c>
      <c r="B2184">
        <v>2313012884</v>
      </c>
      <c r="C2184" t="str">
        <f>T("디버프 마스터 36화")</f>
        <v>디버프 마스터 36화</v>
      </c>
      <c r="D2184" t="str">
        <f>T("36")</f>
        <v>36</v>
      </c>
      <c r="E2184" t="str">
        <f t="shared" si="345"/>
        <v>담화공</v>
      </c>
      <c r="H2184" t="str">
        <f t="shared" si="344"/>
        <v>스토리위즈</v>
      </c>
      <c r="I2184" t="str">
        <f t="shared" si="346"/>
        <v>디버프 마스터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100</v>
      </c>
      <c r="AL2184">
        <v>0</v>
      </c>
      <c r="AM2184">
        <v>120</v>
      </c>
      <c r="AN2184">
        <v>-12</v>
      </c>
      <c r="AO2184">
        <v>0</v>
      </c>
      <c r="AP2184"/>
      <c r="AQ2184">
        <v>0</v>
      </c>
      <c r="AR2184">
        <v>0</v>
      </c>
      <c r="AS2184">
        <v>120</v>
      </c>
      <c r="AT2184">
        <v>-12</v>
      </c>
      <c r="AU2184">
        <v>0</v>
      </c>
      <c r="AW2184">
        <v>0</v>
      </c>
      <c r="AX2184">
        <v>0</v>
      </c>
      <c r="AY2184">
        <v>145.6</v>
      </c>
      <c r="BC2184" t="str">
        <f t="shared" si="347"/>
        <v>9791137602663</v>
      </c>
      <c r="BE2184" t="str">
        <f t="shared" si="348"/>
        <v>판타지 웹소설 &gt; 퓨전 판타지</v>
      </c>
    </row>
    <row r="2185" spans="1:57" x14ac:dyDescent="0.3">
      <c r="A2185">
        <v>2313012849</v>
      </c>
      <c r="B2185">
        <v>2313012885</v>
      </c>
      <c r="C2185" t="str">
        <f>T("디버프 마스터 37화")</f>
        <v>디버프 마스터 37화</v>
      </c>
      <c r="D2185" t="str">
        <f>T("37")</f>
        <v>37</v>
      </c>
      <c r="E2185" t="str">
        <f t="shared" si="345"/>
        <v>담화공</v>
      </c>
      <c r="H2185" t="str">
        <f t="shared" si="344"/>
        <v>스토리위즈</v>
      </c>
      <c r="I2185" t="str">
        <f t="shared" si="346"/>
        <v>디버프 마스터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100</v>
      </c>
      <c r="AL2185">
        <v>0</v>
      </c>
      <c r="AM2185">
        <v>120</v>
      </c>
      <c r="AN2185">
        <v>-12</v>
      </c>
      <c r="AO2185">
        <v>0</v>
      </c>
      <c r="AP2185"/>
      <c r="AQ2185">
        <v>0</v>
      </c>
      <c r="AR2185">
        <v>0</v>
      </c>
      <c r="AS2185">
        <v>120</v>
      </c>
      <c r="AT2185">
        <v>-12</v>
      </c>
      <c r="AU2185">
        <v>0</v>
      </c>
      <c r="AW2185">
        <v>0</v>
      </c>
      <c r="AX2185">
        <v>0</v>
      </c>
      <c r="AY2185">
        <v>145.6</v>
      </c>
      <c r="BC2185" t="str">
        <f t="shared" si="347"/>
        <v>9791137602663</v>
      </c>
      <c r="BE2185" t="str">
        <f t="shared" si="348"/>
        <v>판타지 웹소설 &gt; 퓨전 판타지</v>
      </c>
    </row>
    <row r="2186" spans="1:57" x14ac:dyDescent="0.3">
      <c r="A2186">
        <v>2313012849</v>
      </c>
      <c r="B2186">
        <v>2313012886</v>
      </c>
      <c r="C2186" t="str">
        <f>T("디버프 마스터 38화")</f>
        <v>디버프 마스터 38화</v>
      </c>
      <c r="D2186" t="str">
        <f>T("38")</f>
        <v>38</v>
      </c>
      <c r="E2186" t="str">
        <f t="shared" si="345"/>
        <v>담화공</v>
      </c>
      <c r="H2186" t="str">
        <f t="shared" si="344"/>
        <v>스토리위즈</v>
      </c>
      <c r="I2186" t="str">
        <f t="shared" si="346"/>
        <v>디버프 마스터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100</v>
      </c>
      <c r="AL2186">
        <v>0</v>
      </c>
      <c r="AM2186">
        <v>120</v>
      </c>
      <c r="AN2186">
        <v>-12</v>
      </c>
      <c r="AO2186">
        <v>0</v>
      </c>
      <c r="AP2186"/>
      <c r="AQ2186">
        <v>0</v>
      </c>
      <c r="AR2186">
        <v>0</v>
      </c>
      <c r="AS2186">
        <v>120</v>
      </c>
      <c r="AT2186">
        <v>-12</v>
      </c>
      <c r="AU2186">
        <v>0</v>
      </c>
      <c r="AW2186">
        <v>0</v>
      </c>
      <c r="AX2186">
        <v>0</v>
      </c>
      <c r="AY2186">
        <v>145.6</v>
      </c>
      <c r="BC2186" t="str">
        <f t="shared" si="347"/>
        <v>9791137602663</v>
      </c>
      <c r="BE2186" t="str">
        <f t="shared" si="348"/>
        <v>판타지 웹소설 &gt; 퓨전 판타지</v>
      </c>
    </row>
    <row r="2187" spans="1:57" x14ac:dyDescent="0.3">
      <c r="A2187">
        <v>2313012849</v>
      </c>
      <c r="B2187">
        <v>2313012887</v>
      </c>
      <c r="C2187" t="str">
        <f>T("디버프 마스터 39화")</f>
        <v>디버프 마스터 39화</v>
      </c>
      <c r="D2187" t="str">
        <f>T("39")</f>
        <v>39</v>
      </c>
      <c r="E2187" t="str">
        <f t="shared" si="345"/>
        <v>담화공</v>
      </c>
      <c r="H2187" t="str">
        <f t="shared" si="344"/>
        <v>스토리위즈</v>
      </c>
      <c r="I2187" t="str">
        <f t="shared" si="346"/>
        <v>디버프 마스터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100</v>
      </c>
      <c r="AL2187">
        <v>0</v>
      </c>
      <c r="AM2187">
        <v>120</v>
      </c>
      <c r="AN2187">
        <v>-12</v>
      </c>
      <c r="AO2187">
        <v>0</v>
      </c>
      <c r="AP2187"/>
      <c r="AQ2187">
        <v>0</v>
      </c>
      <c r="AR2187">
        <v>0</v>
      </c>
      <c r="AS2187">
        <v>120</v>
      </c>
      <c r="AT2187">
        <v>-12</v>
      </c>
      <c r="AU2187">
        <v>0</v>
      </c>
      <c r="AW2187">
        <v>0</v>
      </c>
      <c r="AX2187">
        <v>0</v>
      </c>
      <c r="AY2187">
        <v>145.6</v>
      </c>
      <c r="BC2187" t="str">
        <f t="shared" si="347"/>
        <v>9791137602663</v>
      </c>
      <c r="BE2187" t="str">
        <f t="shared" si="348"/>
        <v>판타지 웹소설 &gt; 퓨전 판타지</v>
      </c>
    </row>
    <row r="2188" spans="1:57" x14ac:dyDescent="0.3">
      <c r="A2188">
        <v>2313012849</v>
      </c>
      <c r="B2188">
        <v>2313012888</v>
      </c>
      <c r="C2188" t="str">
        <f>T("디버프 마스터 40화")</f>
        <v>디버프 마스터 40화</v>
      </c>
      <c r="D2188" t="str">
        <f>T("40")</f>
        <v>40</v>
      </c>
      <c r="E2188" t="str">
        <f t="shared" si="345"/>
        <v>담화공</v>
      </c>
      <c r="H2188" t="str">
        <f t="shared" si="344"/>
        <v>스토리위즈</v>
      </c>
      <c r="I2188" t="str">
        <f t="shared" si="346"/>
        <v>디버프 마스터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100</v>
      </c>
      <c r="AL2188">
        <v>0</v>
      </c>
      <c r="AM2188">
        <v>120</v>
      </c>
      <c r="AN2188">
        <v>-12</v>
      </c>
      <c r="AO2188">
        <v>0</v>
      </c>
      <c r="AP2188"/>
      <c r="AQ2188">
        <v>0</v>
      </c>
      <c r="AR2188">
        <v>0</v>
      </c>
      <c r="AS2188">
        <v>120</v>
      </c>
      <c r="AT2188">
        <v>-12</v>
      </c>
      <c r="AU2188">
        <v>0</v>
      </c>
      <c r="AW2188">
        <v>0</v>
      </c>
      <c r="AX2188">
        <v>0</v>
      </c>
      <c r="AY2188">
        <v>145.6</v>
      </c>
      <c r="BC2188" t="str">
        <f t="shared" si="347"/>
        <v>9791137602663</v>
      </c>
      <c r="BE2188" t="str">
        <f t="shared" si="348"/>
        <v>판타지 웹소설 &gt; 퓨전 판타지</v>
      </c>
    </row>
    <row r="2189" spans="1:57" x14ac:dyDescent="0.3">
      <c r="A2189">
        <v>2313012849</v>
      </c>
      <c r="B2189">
        <v>2313012889</v>
      </c>
      <c r="C2189" t="str">
        <f>T("디버프 마스터 41화")</f>
        <v>디버프 마스터 41화</v>
      </c>
      <c r="D2189" t="str">
        <f>T("41")</f>
        <v>41</v>
      </c>
      <c r="E2189" t="str">
        <f t="shared" si="345"/>
        <v>담화공</v>
      </c>
      <c r="H2189" t="str">
        <f t="shared" si="344"/>
        <v>스토리위즈</v>
      </c>
      <c r="I2189" t="str">
        <f t="shared" si="346"/>
        <v>디버프 마스터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100</v>
      </c>
      <c r="AL2189">
        <v>0</v>
      </c>
      <c r="AM2189">
        <v>120</v>
      </c>
      <c r="AN2189">
        <v>-12</v>
      </c>
      <c r="AO2189">
        <v>0</v>
      </c>
      <c r="AP2189"/>
      <c r="AQ2189">
        <v>0</v>
      </c>
      <c r="AR2189">
        <v>0</v>
      </c>
      <c r="AS2189">
        <v>120</v>
      </c>
      <c r="AT2189">
        <v>-12</v>
      </c>
      <c r="AU2189">
        <v>0</v>
      </c>
      <c r="AW2189">
        <v>0</v>
      </c>
      <c r="AX2189">
        <v>0</v>
      </c>
      <c r="AY2189">
        <v>145.6</v>
      </c>
      <c r="BC2189" t="str">
        <f t="shared" si="347"/>
        <v>9791137602663</v>
      </c>
      <c r="BE2189" t="str">
        <f t="shared" si="348"/>
        <v>판타지 웹소설 &gt; 퓨전 판타지</v>
      </c>
    </row>
    <row r="2190" spans="1:57" x14ac:dyDescent="0.3">
      <c r="A2190">
        <v>2313012849</v>
      </c>
      <c r="B2190">
        <v>2313012890</v>
      </c>
      <c r="C2190" t="str">
        <f>T("디버프 마스터 42화")</f>
        <v>디버프 마스터 42화</v>
      </c>
      <c r="D2190" t="str">
        <f>T("42")</f>
        <v>42</v>
      </c>
      <c r="E2190" t="str">
        <f t="shared" si="345"/>
        <v>담화공</v>
      </c>
      <c r="H2190" t="str">
        <f t="shared" si="344"/>
        <v>스토리위즈</v>
      </c>
      <c r="I2190" t="str">
        <f t="shared" si="346"/>
        <v>디버프 마스터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100</v>
      </c>
      <c r="AL2190">
        <v>0</v>
      </c>
      <c r="AM2190">
        <v>120</v>
      </c>
      <c r="AN2190">
        <v>-12</v>
      </c>
      <c r="AO2190">
        <v>0</v>
      </c>
      <c r="AP2190"/>
      <c r="AQ2190">
        <v>0</v>
      </c>
      <c r="AR2190">
        <v>0</v>
      </c>
      <c r="AS2190">
        <v>120</v>
      </c>
      <c r="AT2190">
        <v>-12</v>
      </c>
      <c r="AU2190">
        <v>0</v>
      </c>
      <c r="AW2190">
        <v>0</v>
      </c>
      <c r="AX2190">
        <v>0</v>
      </c>
      <c r="AY2190">
        <v>145.6</v>
      </c>
      <c r="BC2190" t="str">
        <f t="shared" si="347"/>
        <v>9791137602663</v>
      </c>
      <c r="BE2190" t="str">
        <f t="shared" si="348"/>
        <v>판타지 웹소설 &gt; 퓨전 판타지</v>
      </c>
    </row>
    <row r="2191" spans="1:57" x14ac:dyDescent="0.3">
      <c r="A2191">
        <v>2313012849</v>
      </c>
      <c r="B2191">
        <v>2313012891</v>
      </c>
      <c r="C2191" t="str">
        <f>T("디버프 마스터 43화")</f>
        <v>디버프 마스터 43화</v>
      </c>
      <c r="D2191" t="str">
        <f>T("43")</f>
        <v>43</v>
      </c>
      <c r="E2191" t="str">
        <f t="shared" si="345"/>
        <v>담화공</v>
      </c>
      <c r="H2191" t="str">
        <f t="shared" si="344"/>
        <v>스토리위즈</v>
      </c>
      <c r="I2191" t="str">
        <f t="shared" si="346"/>
        <v>디버프 마스터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100</v>
      </c>
      <c r="AL2191">
        <v>0</v>
      </c>
      <c r="AM2191">
        <v>120</v>
      </c>
      <c r="AN2191">
        <v>-12</v>
      </c>
      <c r="AO2191">
        <v>0</v>
      </c>
      <c r="AP2191"/>
      <c r="AQ2191">
        <v>0</v>
      </c>
      <c r="AR2191">
        <v>0</v>
      </c>
      <c r="AS2191">
        <v>120</v>
      </c>
      <c r="AT2191">
        <v>-12</v>
      </c>
      <c r="AU2191">
        <v>0</v>
      </c>
      <c r="AW2191">
        <v>0</v>
      </c>
      <c r="AX2191">
        <v>0</v>
      </c>
      <c r="AY2191">
        <v>145.6</v>
      </c>
      <c r="BC2191" t="str">
        <f t="shared" si="347"/>
        <v>9791137602663</v>
      </c>
      <c r="BE2191" t="str">
        <f t="shared" si="348"/>
        <v>판타지 웹소설 &gt; 퓨전 판타지</v>
      </c>
    </row>
    <row r="2192" spans="1:57" x14ac:dyDescent="0.3">
      <c r="A2192">
        <v>2313012849</v>
      </c>
      <c r="B2192">
        <v>2313012892</v>
      </c>
      <c r="C2192" t="str">
        <f>T("디버프 마스터 44화")</f>
        <v>디버프 마스터 44화</v>
      </c>
      <c r="D2192" t="str">
        <f>T("44")</f>
        <v>44</v>
      </c>
      <c r="E2192" t="str">
        <f t="shared" si="345"/>
        <v>담화공</v>
      </c>
      <c r="H2192" t="str">
        <f t="shared" si="344"/>
        <v>스토리위즈</v>
      </c>
      <c r="I2192" t="str">
        <f t="shared" si="346"/>
        <v>디버프 마스터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100</v>
      </c>
      <c r="AL2192">
        <v>0</v>
      </c>
      <c r="AM2192">
        <v>120</v>
      </c>
      <c r="AN2192">
        <v>-12</v>
      </c>
      <c r="AO2192">
        <v>0</v>
      </c>
      <c r="AP2192"/>
      <c r="AQ2192">
        <v>0</v>
      </c>
      <c r="AR2192">
        <v>0</v>
      </c>
      <c r="AS2192">
        <v>120</v>
      </c>
      <c r="AT2192">
        <v>-12</v>
      </c>
      <c r="AU2192">
        <v>0</v>
      </c>
      <c r="AW2192">
        <v>0</v>
      </c>
      <c r="AX2192">
        <v>0</v>
      </c>
      <c r="AY2192">
        <v>145.6</v>
      </c>
      <c r="BC2192" t="str">
        <f t="shared" si="347"/>
        <v>9791137602663</v>
      </c>
      <c r="BE2192" t="str">
        <f t="shared" si="348"/>
        <v>판타지 웹소설 &gt; 퓨전 판타지</v>
      </c>
    </row>
    <row r="2193" spans="1:57" x14ac:dyDescent="0.3">
      <c r="A2193">
        <v>2313012849</v>
      </c>
      <c r="B2193">
        <v>2313012893</v>
      </c>
      <c r="C2193" t="str">
        <f>T("디버프 마스터 45화")</f>
        <v>디버프 마스터 45화</v>
      </c>
      <c r="D2193" t="str">
        <f>T("45")</f>
        <v>45</v>
      </c>
      <c r="E2193" t="str">
        <f t="shared" si="345"/>
        <v>담화공</v>
      </c>
      <c r="H2193" t="str">
        <f t="shared" si="344"/>
        <v>스토리위즈</v>
      </c>
      <c r="I2193" t="str">
        <f t="shared" si="346"/>
        <v>디버프 마스터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100</v>
      </c>
      <c r="AL2193">
        <v>0</v>
      </c>
      <c r="AM2193">
        <v>120</v>
      </c>
      <c r="AN2193">
        <v>-12</v>
      </c>
      <c r="AO2193">
        <v>0</v>
      </c>
      <c r="AP2193"/>
      <c r="AQ2193">
        <v>0</v>
      </c>
      <c r="AR2193">
        <v>0</v>
      </c>
      <c r="AS2193">
        <v>120</v>
      </c>
      <c r="AT2193">
        <v>-12</v>
      </c>
      <c r="AU2193">
        <v>0</v>
      </c>
      <c r="AW2193">
        <v>0</v>
      </c>
      <c r="AX2193">
        <v>0</v>
      </c>
      <c r="AY2193">
        <v>145.6</v>
      </c>
      <c r="BC2193" t="str">
        <f t="shared" si="347"/>
        <v>9791137602663</v>
      </c>
      <c r="BE2193" t="str">
        <f t="shared" si="348"/>
        <v>판타지 웹소설 &gt; 퓨전 판타지</v>
      </c>
    </row>
    <row r="2194" spans="1:57" x14ac:dyDescent="0.3">
      <c r="A2194">
        <v>2313012849</v>
      </c>
      <c r="B2194">
        <v>2313012894</v>
      </c>
      <c r="C2194" t="str">
        <f>T("디버프 마스터 46화")</f>
        <v>디버프 마스터 46화</v>
      </c>
      <c r="D2194" t="str">
        <f>T("46")</f>
        <v>46</v>
      </c>
      <c r="E2194" t="str">
        <f t="shared" si="345"/>
        <v>담화공</v>
      </c>
      <c r="H2194" t="str">
        <f t="shared" si="344"/>
        <v>스토리위즈</v>
      </c>
      <c r="I2194" t="str">
        <f t="shared" si="346"/>
        <v>디버프 마스터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100</v>
      </c>
      <c r="AL2194">
        <v>0</v>
      </c>
      <c r="AM2194">
        <v>120</v>
      </c>
      <c r="AN2194">
        <v>-12</v>
      </c>
      <c r="AO2194">
        <v>0</v>
      </c>
      <c r="AP2194"/>
      <c r="AQ2194">
        <v>0</v>
      </c>
      <c r="AR2194">
        <v>0</v>
      </c>
      <c r="AS2194">
        <v>120</v>
      </c>
      <c r="AT2194">
        <v>-12</v>
      </c>
      <c r="AU2194">
        <v>0</v>
      </c>
      <c r="AW2194">
        <v>0</v>
      </c>
      <c r="AX2194">
        <v>0</v>
      </c>
      <c r="AY2194">
        <v>145.6</v>
      </c>
      <c r="BC2194" t="str">
        <f t="shared" si="347"/>
        <v>9791137602663</v>
      </c>
      <c r="BE2194" t="str">
        <f t="shared" si="348"/>
        <v>판타지 웹소설 &gt; 퓨전 판타지</v>
      </c>
    </row>
    <row r="2195" spans="1:57" x14ac:dyDescent="0.3">
      <c r="A2195">
        <v>2313012849</v>
      </c>
      <c r="B2195">
        <v>2313012895</v>
      </c>
      <c r="C2195" t="str">
        <f>T("디버프 마스터 47화")</f>
        <v>디버프 마스터 47화</v>
      </c>
      <c r="D2195" t="str">
        <f>T("47")</f>
        <v>47</v>
      </c>
      <c r="E2195" t="str">
        <f t="shared" si="345"/>
        <v>담화공</v>
      </c>
      <c r="H2195" t="str">
        <f t="shared" si="344"/>
        <v>스토리위즈</v>
      </c>
      <c r="I2195" t="str">
        <f t="shared" si="346"/>
        <v>디버프 마스터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100</v>
      </c>
      <c r="AL2195">
        <v>0</v>
      </c>
      <c r="AM2195">
        <v>120</v>
      </c>
      <c r="AN2195">
        <v>-12</v>
      </c>
      <c r="AO2195">
        <v>0</v>
      </c>
      <c r="AP2195"/>
      <c r="AQ2195">
        <v>0</v>
      </c>
      <c r="AR2195">
        <v>0</v>
      </c>
      <c r="AS2195">
        <v>120</v>
      </c>
      <c r="AT2195">
        <v>-12</v>
      </c>
      <c r="AU2195">
        <v>0</v>
      </c>
      <c r="AW2195">
        <v>0</v>
      </c>
      <c r="AX2195">
        <v>0</v>
      </c>
      <c r="AY2195">
        <v>145.6</v>
      </c>
      <c r="BC2195" t="str">
        <f t="shared" si="347"/>
        <v>9791137602663</v>
      </c>
      <c r="BE2195" t="str">
        <f t="shared" si="348"/>
        <v>판타지 웹소설 &gt; 퓨전 판타지</v>
      </c>
    </row>
    <row r="2196" spans="1:57" x14ac:dyDescent="0.3">
      <c r="A2196">
        <v>2313012849</v>
      </c>
      <c r="B2196">
        <v>2313012896</v>
      </c>
      <c r="C2196" t="str">
        <f>T("디버프 마스터 48화")</f>
        <v>디버프 마스터 48화</v>
      </c>
      <c r="D2196" t="str">
        <f>T("48")</f>
        <v>48</v>
      </c>
      <c r="E2196" t="str">
        <f t="shared" si="345"/>
        <v>담화공</v>
      </c>
      <c r="H2196" t="str">
        <f t="shared" si="344"/>
        <v>스토리위즈</v>
      </c>
      <c r="I2196" t="str">
        <f t="shared" si="346"/>
        <v>디버프 마스터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100</v>
      </c>
      <c r="AL2196">
        <v>0</v>
      </c>
      <c r="AM2196">
        <v>120</v>
      </c>
      <c r="AN2196">
        <v>-12</v>
      </c>
      <c r="AO2196">
        <v>0</v>
      </c>
      <c r="AP2196"/>
      <c r="AQ2196">
        <v>0</v>
      </c>
      <c r="AR2196">
        <v>0</v>
      </c>
      <c r="AS2196">
        <v>120</v>
      </c>
      <c r="AT2196">
        <v>-12</v>
      </c>
      <c r="AU2196">
        <v>0</v>
      </c>
      <c r="AW2196">
        <v>0</v>
      </c>
      <c r="AX2196">
        <v>0</v>
      </c>
      <c r="AY2196">
        <v>145.6</v>
      </c>
      <c r="BC2196" t="str">
        <f t="shared" si="347"/>
        <v>9791137602663</v>
      </c>
      <c r="BE2196" t="str">
        <f t="shared" si="348"/>
        <v>판타지 웹소설 &gt; 퓨전 판타지</v>
      </c>
    </row>
    <row r="2197" spans="1:57" x14ac:dyDescent="0.3">
      <c r="A2197">
        <v>2313012849</v>
      </c>
      <c r="B2197">
        <v>2313012897</v>
      </c>
      <c r="C2197" t="str">
        <f>T("디버프 마스터 49화")</f>
        <v>디버프 마스터 49화</v>
      </c>
      <c r="D2197" t="str">
        <f>T("49")</f>
        <v>49</v>
      </c>
      <c r="E2197" t="str">
        <f t="shared" si="345"/>
        <v>담화공</v>
      </c>
      <c r="H2197" t="str">
        <f t="shared" si="344"/>
        <v>스토리위즈</v>
      </c>
      <c r="I2197" t="str">
        <f t="shared" si="346"/>
        <v>디버프 마스터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100</v>
      </c>
      <c r="AL2197">
        <v>0</v>
      </c>
      <c r="AM2197">
        <v>120</v>
      </c>
      <c r="AN2197">
        <v>-12</v>
      </c>
      <c r="AO2197">
        <v>0</v>
      </c>
      <c r="AP2197"/>
      <c r="AQ2197">
        <v>0</v>
      </c>
      <c r="AR2197">
        <v>0</v>
      </c>
      <c r="AS2197">
        <v>120</v>
      </c>
      <c r="AT2197">
        <v>-12</v>
      </c>
      <c r="AU2197">
        <v>0</v>
      </c>
      <c r="AW2197">
        <v>0</v>
      </c>
      <c r="AX2197">
        <v>0</v>
      </c>
      <c r="AY2197">
        <v>145.6</v>
      </c>
      <c r="BC2197" t="str">
        <f t="shared" si="347"/>
        <v>9791137602663</v>
      </c>
      <c r="BE2197" t="str">
        <f t="shared" si="348"/>
        <v>판타지 웹소설 &gt; 퓨전 판타지</v>
      </c>
    </row>
    <row r="2198" spans="1:57" x14ac:dyDescent="0.3">
      <c r="A2198">
        <v>2313012849</v>
      </c>
      <c r="B2198">
        <v>2313012898</v>
      </c>
      <c r="C2198" t="str">
        <f>T("디버프 마스터 50화")</f>
        <v>디버프 마스터 50화</v>
      </c>
      <c r="D2198" t="str">
        <f>T("50")</f>
        <v>50</v>
      </c>
      <c r="E2198" t="str">
        <f t="shared" si="345"/>
        <v>담화공</v>
      </c>
      <c r="H2198" t="str">
        <f t="shared" si="344"/>
        <v>스토리위즈</v>
      </c>
      <c r="I2198" t="str">
        <f t="shared" si="346"/>
        <v>디버프 마스터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100</v>
      </c>
      <c r="AL2198">
        <v>0</v>
      </c>
      <c r="AM2198">
        <v>120</v>
      </c>
      <c r="AN2198">
        <v>-12</v>
      </c>
      <c r="AO2198">
        <v>0</v>
      </c>
      <c r="AP2198"/>
      <c r="AQ2198">
        <v>0</v>
      </c>
      <c r="AR2198">
        <v>0</v>
      </c>
      <c r="AS2198">
        <v>120</v>
      </c>
      <c r="AT2198">
        <v>-12</v>
      </c>
      <c r="AU2198">
        <v>0</v>
      </c>
      <c r="AW2198">
        <v>0</v>
      </c>
      <c r="AX2198">
        <v>0</v>
      </c>
      <c r="AY2198">
        <v>145.6</v>
      </c>
      <c r="BC2198" t="str">
        <f t="shared" si="347"/>
        <v>9791137602663</v>
      </c>
      <c r="BE2198" t="str">
        <f t="shared" si="348"/>
        <v>판타지 웹소설 &gt; 퓨전 판타지</v>
      </c>
    </row>
    <row r="2199" spans="1:57" x14ac:dyDescent="0.3">
      <c r="A2199">
        <v>2313012849</v>
      </c>
      <c r="B2199">
        <v>2313012899</v>
      </c>
      <c r="C2199" t="str">
        <f>T("디버프 마스터 51화")</f>
        <v>디버프 마스터 51화</v>
      </c>
      <c r="D2199" t="str">
        <f>T("51")</f>
        <v>51</v>
      </c>
      <c r="E2199" t="str">
        <f t="shared" si="345"/>
        <v>담화공</v>
      </c>
      <c r="H2199" t="str">
        <f t="shared" si="344"/>
        <v>스토리위즈</v>
      </c>
      <c r="I2199" t="str">
        <f t="shared" si="346"/>
        <v>디버프 마스터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100</v>
      </c>
      <c r="AL2199">
        <v>0</v>
      </c>
      <c r="AM2199">
        <v>120</v>
      </c>
      <c r="AN2199">
        <v>-12</v>
      </c>
      <c r="AO2199">
        <v>0</v>
      </c>
      <c r="AP2199"/>
      <c r="AQ2199">
        <v>0</v>
      </c>
      <c r="AR2199">
        <v>0</v>
      </c>
      <c r="AS2199">
        <v>120</v>
      </c>
      <c r="AT2199">
        <v>-12</v>
      </c>
      <c r="AU2199">
        <v>0</v>
      </c>
      <c r="AW2199">
        <v>0</v>
      </c>
      <c r="AX2199">
        <v>0</v>
      </c>
      <c r="AY2199">
        <v>145.6</v>
      </c>
      <c r="BC2199" t="str">
        <f t="shared" si="347"/>
        <v>9791137602663</v>
      </c>
      <c r="BE2199" t="str">
        <f t="shared" si="348"/>
        <v>판타지 웹소설 &gt; 퓨전 판타지</v>
      </c>
    </row>
    <row r="2200" spans="1:57" x14ac:dyDescent="0.3">
      <c r="A2200">
        <v>2313012849</v>
      </c>
      <c r="B2200">
        <v>2313012900</v>
      </c>
      <c r="C2200" t="str">
        <f>T("디버프 마스터 52화")</f>
        <v>디버프 마스터 52화</v>
      </c>
      <c r="D2200" t="str">
        <f>T("52")</f>
        <v>52</v>
      </c>
      <c r="E2200" t="str">
        <f t="shared" si="345"/>
        <v>담화공</v>
      </c>
      <c r="H2200" t="str">
        <f t="shared" si="344"/>
        <v>스토리위즈</v>
      </c>
      <c r="I2200" t="str">
        <f t="shared" si="346"/>
        <v>디버프 마스터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100</v>
      </c>
      <c r="AL2200">
        <v>0</v>
      </c>
      <c r="AM2200">
        <v>120</v>
      </c>
      <c r="AN2200">
        <v>-12</v>
      </c>
      <c r="AO2200">
        <v>0</v>
      </c>
      <c r="AP2200"/>
      <c r="AQ2200">
        <v>0</v>
      </c>
      <c r="AR2200">
        <v>0</v>
      </c>
      <c r="AS2200">
        <v>120</v>
      </c>
      <c r="AT2200">
        <v>-12</v>
      </c>
      <c r="AU2200">
        <v>0</v>
      </c>
      <c r="AW2200">
        <v>0</v>
      </c>
      <c r="AX2200">
        <v>0</v>
      </c>
      <c r="AY2200">
        <v>145.6</v>
      </c>
      <c r="BC2200" t="str">
        <f t="shared" si="347"/>
        <v>9791137602663</v>
      </c>
      <c r="BE2200" t="str">
        <f t="shared" si="348"/>
        <v>판타지 웹소설 &gt; 퓨전 판타지</v>
      </c>
    </row>
    <row r="2201" spans="1:57" x14ac:dyDescent="0.3">
      <c r="A2201">
        <v>2313012849</v>
      </c>
      <c r="B2201">
        <v>2313012901</v>
      </c>
      <c r="C2201" t="str">
        <f>T("디버프 마스터 53화")</f>
        <v>디버프 마스터 53화</v>
      </c>
      <c r="D2201" t="str">
        <f>T("53")</f>
        <v>53</v>
      </c>
      <c r="E2201" t="str">
        <f t="shared" si="345"/>
        <v>담화공</v>
      </c>
      <c r="H2201" t="str">
        <f t="shared" si="344"/>
        <v>스토리위즈</v>
      </c>
      <c r="I2201" t="str">
        <f t="shared" si="346"/>
        <v>디버프 마스터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100</v>
      </c>
      <c r="AL2201">
        <v>0</v>
      </c>
      <c r="AM2201">
        <v>120</v>
      </c>
      <c r="AN2201">
        <v>-12</v>
      </c>
      <c r="AO2201">
        <v>0</v>
      </c>
      <c r="AP2201"/>
      <c r="AQ2201">
        <v>0</v>
      </c>
      <c r="AR2201">
        <v>0</v>
      </c>
      <c r="AS2201">
        <v>120</v>
      </c>
      <c r="AT2201">
        <v>-12</v>
      </c>
      <c r="AU2201">
        <v>0</v>
      </c>
      <c r="AW2201">
        <v>0</v>
      </c>
      <c r="AX2201">
        <v>0</v>
      </c>
      <c r="AY2201">
        <v>145.6</v>
      </c>
      <c r="BC2201" t="str">
        <f t="shared" si="347"/>
        <v>9791137602663</v>
      </c>
      <c r="BE2201" t="str">
        <f t="shared" si="348"/>
        <v>판타지 웹소설 &gt; 퓨전 판타지</v>
      </c>
    </row>
    <row r="2202" spans="1:57" x14ac:dyDescent="0.3">
      <c r="A2202">
        <v>2313012849</v>
      </c>
      <c r="B2202">
        <v>2313012902</v>
      </c>
      <c r="C2202" t="str">
        <f>T("디버프 마스터 54화")</f>
        <v>디버프 마스터 54화</v>
      </c>
      <c r="D2202" t="str">
        <f>T("54")</f>
        <v>54</v>
      </c>
      <c r="E2202" t="str">
        <f t="shared" si="345"/>
        <v>담화공</v>
      </c>
      <c r="H2202" t="str">
        <f t="shared" si="344"/>
        <v>스토리위즈</v>
      </c>
      <c r="I2202" t="str">
        <f t="shared" si="346"/>
        <v>디버프 마스터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100</v>
      </c>
      <c r="AL2202">
        <v>0</v>
      </c>
      <c r="AM2202">
        <v>120</v>
      </c>
      <c r="AN2202">
        <v>-12</v>
      </c>
      <c r="AO2202">
        <v>0</v>
      </c>
      <c r="AP2202"/>
      <c r="AQ2202">
        <v>0</v>
      </c>
      <c r="AR2202">
        <v>0</v>
      </c>
      <c r="AS2202">
        <v>120</v>
      </c>
      <c r="AT2202">
        <v>-12</v>
      </c>
      <c r="AU2202">
        <v>0</v>
      </c>
      <c r="AW2202">
        <v>0</v>
      </c>
      <c r="AX2202">
        <v>0</v>
      </c>
      <c r="AY2202">
        <v>145.6</v>
      </c>
      <c r="BC2202" t="str">
        <f t="shared" si="347"/>
        <v>9791137602663</v>
      </c>
      <c r="BE2202" t="str">
        <f t="shared" si="348"/>
        <v>판타지 웹소설 &gt; 퓨전 판타지</v>
      </c>
    </row>
    <row r="2203" spans="1:57" x14ac:dyDescent="0.3">
      <c r="A2203">
        <v>2313012849</v>
      </c>
      <c r="B2203">
        <v>2313012903</v>
      </c>
      <c r="C2203" t="str">
        <f>T("디버프 마스터 55화")</f>
        <v>디버프 마스터 55화</v>
      </c>
      <c r="D2203" t="str">
        <f>T("55")</f>
        <v>55</v>
      </c>
      <c r="E2203" t="str">
        <f t="shared" si="345"/>
        <v>담화공</v>
      </c>
      <c r="H2203" t="str">
        <f t="shared" si="344"/>
        <v>스토리위즈</v>
      </c>
      <c r="I2203" t="str">
        <f t="shared" si="346"/>
        <v>디버프 마스터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100</v>
      </c>
      <c r="AL2203">
        <v>0</v>
      </c>
      <c r="AM2203">
        <v>120</v>
      </c>
      <c r="AN2203">
        <v>-12</v>
      </c>
      <c r="AO2203">
        <v>0</v>
      </c>
      <c r="AP2203"/>
      <c r="AQ2203">
        <v>0</v>
      </c>
      <c r="AR2203">
        <v>0</v>
      </c>
      <c r="AS2203">
        <v>120</v>
      </c>
      <c r="AT2203">
        <v>-12</v>
      </c>
      <c r="AU2203">
        <v>0</v>
      </c>
      <c r="AW2203">
        <v>0</v>
      </c>
      <c r="AX2203">
        <v>0</v>
      </c>
      <c r="AY2203">
        <v>145.6</v>
      </c>
      <c r="BC2203" t="str">
        <f t="shared" si="347"/>
        <v>9791137602663</v>
      </c>
      <c r="BE2203" t="str">
        <f t="shared" si="348"/>
        <v>판타지 웹소설 &gt; 퓨전 판타지</v>
      </c>
    </row>
    <row r="2204" spans="1:57" x14ac:dyDescent="0.3">
      <c r="A2204">
        <v>2313012849</v>
      </c>
      <c r="B2204">
        <v>2313012904</v>
      </c>
      <c r="C2204" t="str">
        <f>T("디버프 마스터 56화")</f>
        <v>디버프 마스터 56화</v>
      </c>
      <c r="D2204" t="str">
        <f>T("56")</f>
        <v>56</v>
      </c>
      <c r="E2204" t="str">
        <f t="shared" si="345"/>
        <v>담화공</v>
      </c>
      <c r="H2204" t="str">
        <f t="shared" si="344"/>
        <v>스토리위즈</v>
      </c>
      <c r="I2204" t="str">
        <f t="shared" si="346"/>
        <v>디버프 마스터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100</v>
      </c>
      <c r="AL2204">
        <v>0</v>
      </c>
      <c r="AM2204">
        <v>120</v>
      </c>
      <c r="AN2204">
        <v>-12</v>
      </c>
      <c r="AO2204">
        <v>0</v>
      </c>
      <c r="AP2204"/>
      <c r="AQ2204">
        <v>0</v>
      </c>
      <c r="AR2204">
        <v>0</v>
      </c>
      <c r="AS2204">
        <v>120</v>
      </c>
      <c r="AT2204">
        <v>-12</v>
      </c>
      <c r="AU2204">
        <v>0</v>
      </c>
      <c r="AW2204">
        <v>0</v>
      </c>
      <c r="AX2204">
        <v>0</v>
      </c>
      <c r="AY2204">
        <v>145.6</v>
      </c>
      <c r="BC2204" t="str">
        <f t="shared" si="347"/>
        <v>9791137602663</v>
      </c>
      <c r="BE2204" t="str">
        <f t="shared" si="348"/>
        <v>판타지 웹소설 &gt; 퓨전 판타지</v>
      </c>
    </row>
    <row r="2205" spans="1:57" x14ac:dyDescent="0.3">
      <c r="A2205">
        <v>2313012849</v>
      </c>
      <c r="B2205">
        <v>2313012905</v>
      </c>
      <c r="C2205" t="str">
        <f>T("디버프 마스터 57화")</f>
        <v>디버프 마스터 57화</v>
      </c>
      <c r="D2205" t="str">
        <f>T("57")</f>
        <v>57</v>
      </c>
      <c r="E2205" t="str">
        <f t="shared" si="345"/>
        <v>담화공</v>
      </c>
      <c r="H2205" t="str">
        <f t="shared" si="344"/>
        <v>스토리위즈</v>
      </c>
      <c r="I2205" t="str">
        <f t="shared" si="346"/>
        <v>디버프 마스터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100</v>
      </c>
      <c r="AL2205">
        <v>0</v>
      </c>
      <c r="AM2205">
        <v>120</v>
      </c>
      <c r="AN2205">
        <v>-12</v>
      </c>
      <c r="AO2205">
        <v>0</v>
      </c>
      <c r="AP2205"/>
      <c r="AQ2205">
        <v>0</v>
      </c>
      <c r="AR2205">
        <v>0</v>
      </c>
      <c r="AS2205">
        <v>120</v>
      </c>
      <c r="AT2205">
        <v>-12</v>
      </c>
      <c r="AU2205">
        <v>0</v>
      </c>
      <c r="AW2205">
        <v>0</v>
      </c>
      <c r="AX2205">
        <v>0</v>
      </c>
      <c r="AY2205">
        <v>145.6</v>
      </c>
      <c r="BC2205" t="str">
        <f t="shared" si="347"/>
        <v>9791137602663</v>
      </c>
      <c r="BE2205" t="str">
        <f t="shared" si="348"/>
        <v>판타지 웹소설 &gt; 퓨전 판타지</v>
      </c>
    </row>
    <row r="2206" spans="1:57" x14ac:dyDescent="0.3">
      <c r="A2206">
        <v>2313012849</v>
      </c>
      <c r="B2206">
        <v>2313012906</v>
      </c>
      <c r="C2206" t="str">
        <f>T("디버프 마스터 58화")</f>
        <v>디버프 마스터 58화</v>
      </c>
      <c r="D2206" t="str">
        <f>T("58")</f>
        <v>58</v>
      </c>
      <c r="E2206" t="str">
        <f t="shared" si="345"/>
        <v>담화공</v>
      </c>
      <c r="H2206" t="str">
        <f t="shared" si="344"/>
        <v>스토리위즈</v>
      </c>
      <c r="I2206" t="str">
        <f t="shared" si="346"/>
        <v>디버프 마스터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100</v>
      </c>
      <c r="AL2206">
        <v>0</v>
      </c>
      <c r="AM2206">
        <v>120</v>
      </c>
      <c r="AN2206">
        <v>-12</v>
      </c>
      <c r="AO2206">
        <v>0</v>
      </c>
      <c r="AP2206"/>
      <c r="AQ2206">
        <v>0</v>
      </c>
      <c r="AR2206">
        <v>0</v>
      </c>
      <c r="AS2206">
        <v>120</v>
      </c>
      <c r="AT2206">
        <v>-12</v>
      </c>
      <c r="AU2206">
        <v>0</v>
      </c>
      <c r="AW2206">
        <v>0</v>
      </c>
      <c r="AX2206">
        <v>0</v>
      </c>
      <c r="AY2206">
        <v>145.6</v>
      </c>
      <c r="BC2206" t="str">
        <f t="shared" si="347"/>
        <v>9791137602663</v>
      </c>
      <c r="BE2206" t="str">
        <f t="shared" si="348"/>
        <v>판타지 웹소설 &gt; 퓨전 판타지</v>
      </c>
    </row>
    <row r="2207" spans="1:57" x14ac:dyDescent="0.3">
      <c r="A2207">
        <v>2313012849</v>
      </c>
      <c r="B2207">
        <v>2313012907</v>
      </c>
      <c r="C2207" t="str">
        <f>T("디버프 마스터 59화")</f>
        <v>디버프 마스터 59화</v>
      </c>
      <c r="D2207" t="str">
        <f>T("59")</f>
        <v>59</v>
      </c>
      <c r="E2207" t="str">
        <f t="shared" si="345"/>
        <v>담화공</v>
      </c>
      <c r="H2207" t="str">
        <f t="shared" si="344"/>
        <v>스토리위즈</v>
      </c>
      <c r="I2207" t="str">
        <f t="shared" si="346"/>
        <v>디버프 마스터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100</v>
      </c>
      <c r="AL2207">
        <v>0</v>
      </c>
      <c r="AM2207">
        <v>120</v>
      </c>
      <c r="AN2207">
        <v>-12</v>
      </c>
      <c r="AO2207">
        <v>0</v>
      </c>
      <c r="AP2207"/>
      <c r="AQ2207">
        <v>0</v>
      </c>
      <c r="AR2207">
        <v>0</v>
      </c>
      <c r="AS2207">
        <v>120</v>
      </c>
      <c r="AT2207">
        <v>-12</v>
      </c>
      <c r="AU2207">
        <v>0</v>
      </c>
      <c r="AW2207">
        <v>0</v>
      </c>
      <c r="AX2207">
        <v>0</v>
      </c>
      <c r="AY2207">
        <v>145.6</v>
      </c>
      <c r="BC2207" t="str">
        <f t="shared" si="347"/>
        <v>9791137602663</v>
      </c>
      <c r="BE2207" t="str">
        <f t="shared" si="348"/>
        <v>판타지 웹소설 &gt; 퓨전 판타지</v>
      </c>
    </row>
    <row r="2208" spans="1:57" x14ac:dyDescent="0.3">
      <c r="A2208">
        <v>2313012849</v>
      </c>
      <c r="B2208">
        <v>2313012908</v>
      </c>
      <c r="C2208" t="str">
        <f>T("디버프 마스터 60화")</f>
        <v>디버프 마스터 60화</v>
      </c>
      <c r="D2208" t="str">
        <f>T("60")</f>
        <v>60</v>
      </c>
      <c r="E2208" t="str">
        <f t="shared" si="345"/>
        <v>담화공</v>
      </c>
      <c r="H2208" t="str">
        <f t="shared" si="344"/>
        <v>스토리위즈</v>
      </c>
      <c r="I2208" t="str">
        <f t="shared" si="346"/>
        <v>디버프 마스터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100</v>
      </c>
      <c r="AL2208">
        <v>0</v>
      </c>
      <c r="AM2208">
        <v>120</v>
      </c>
      <c r="AN2208">
        <v>-12</v>
      </c>
      <c r="AO2208">
        <v>0</v>
      </c>
      <c r="AP2208"/>
      <c r="AQ2208">
        <v>0</v>
      </c>
      <c r="AR2208">
        <v>0</v>
      </c>
      <c r="AS2208">
        <v>120</v>
      </c>
      <c r="AT2208">
        <v>-12</v>
      </c>
      <c r="AU2208">
        <v>0</v>
      </c>
      <c r="AW2208">
        <v>0</v>
      </c>
      <c r="AX2208">
        <v>0</v>
      </c>
      <c r="AY2208">
        <v>145.6</v>
      </c>
      <c r="BC2208" t="str">
        <f t="shared" si="347"/>
        <v>9791137602663</v>
      </c>
      <c r="BE2208" t="str">
        <f t="shared" si="348"/>
        <v>판타지 웹소설 &gt; 퓨전 판타지</v>
      </c>
    </row>
    <row r="2209" spans="1:57" x14ac:dyDescent="0.3">
      <c r="A2209">
        <v>2313012849</v>
      </c>
      <c r="B2209">
        <v>2313012909</v>
      </c>
      <c r="C2209" t="str">
        <f>T("디버프 마스터 61화")</f>
        <v>디버프 마스터 61화</v>
      </c>
      <c r="D2209" t="str">
        <f>T("61")</f>
        <v>61</v>
      </c>
      <c r="E2209" t="str">
        <f t="shared" si="345"/>
        <v>담화공</v>
      </c>
      <c r="H2209" t="str">
        <f t="shared" si="344"/>
        <v>스토리위즈</v>
      </c>
      <c r="I2209" t="str">
        <f t="shared" si="346"/>
        <v>디버프 마스터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100</v>
      </c>
      <c r="AL2209">
        <v>0</v>
      </c>
      <c r="AM2209">
        <v>120</v>
      </c>
      <c r="AN2209">
        <v>-12</v>
      </c>
      <c r="AO2209">
        <v>0</v>
      </c>
      <c r="AP2209"/>
      <c r="AQ2209">
        <v>0</v>
      </c>
      <c r="AR2209">
        <v>0</v>
      </c>
      <c r="AS2209">
        <v>120</v>
      </c>
      <c r="AT2209">
        <v>-12</v>
      </c>
      <c r="AU2209">
        <v>0</v>
      </c>
      <c r="AW2209">
        <v>0</v>
      </c>
      <c r="AX2209">
        <v>0</v>
      </c>
      <c r="AY2209">
        <v>145.6</v>
      </c>
      <c r="BC2209" t="str">
        <f t="shared" si="347"/>
        <v>9791137602663</v>
      </c>
      <c r="BE2209" t="str">
        <f t="shared" si="348"/>
        <v>판타지 웹소설 &gt; 퓨전 판타지</v>
      </c>
    </row>
    <row r="2210" spans="1:57" x14ac:dyDescent="0.3">
      <c r="A2210">
        <v>2313012849</v>
      </c>
      <c r="B2210">
        <v>2313012910</v>
      </c>
      <c r="C2210" t="str">
        <f>T("디버프 마스터 62화")</f>
        <v>디버프 마스터 62화</v>
      </c>
      <c r="D2210" t="str">
        <f>T("62")</f>
        <v>62</v>
      </c>
      <c r="E2210" t="str">
        <f t="shared" si="345"/>
        <v>담화공</v>
      </c>
      <c r="H2210" t="str">
        <f t="shared" si="344"/>
        <v>스토리위즈</v>
      </c>
      <c r="I2210" t="str">
        <f t="shared" si="346"/>
        <v>디버프 마스터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100</v>
      </c>
      <c r="AL2210">
        <v>0</v>
      </c>
      <c r="AM2210">
        <v>120</v>
      </c>
      <c r="AN2210">
        <v>-12</v>
      </c>
      <c r="AO2210">
        <v>0</v>
      </c>
      <c r="AP2210"/>
      <c r="AQ2210">
        <v>0</v>
      </c>
      <c r="AR2210">
        <v>0</v>
      </c>
      <c r="AS2210">
        <v>120</v>
      </c>
      <c r="AT2210">
        <v>-12</v>
      </c>
      <c r="AU2210">
        <v>0</v>
      </c>
      <c r="AW2210">
        <v>0</v>
      </c>
      <c r="AX2210">
        <v>0</v>
      </c>
      <c r="AY2210">
        <v>145.6</v>
      </c>
      <c r="BC2210" t="str">
        <f t="shared" si="347"/>
        <v>9791137602663</v>
      </c>
      <c r="BE2210" t="str">
        <f t="shared" si="348"/>
        <v>판타지 웹소설 &gt; 퓨전 판타지</v>
      </c>
    </row>
    <row r="2211" spans="1:57" x14ac:dyDescent="0.3">
      <c r="A2211">
        <v>2313012849</v>
      </c>
      <c r="B2211">
        <v>2313012911</v>
      </c>
      <c r="C2211" t="str">
        <f>T("디버프 마스터 63화")</f>
        <v>디버프 마스터 63화</v>
      </c>
      <c r="D2211" t="str">
        <f>T("63")</f>
        <v>63</v>
      </c>
      <c r="E2211" t="str">
        <f t="shared" si="345"/>
        <v>담화공</v>
      </c>
      <c r="H2211" t="str">
        <f t="shared" si="344"/>
        <v>스토리위즈</v>
      </c>
      <c r="I2211" t="str">
        <f t="shared" si="346"/>
        <v>디버프 마스터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100</v>
      </c>
      <c r="AL2211">
        <v>0</v>
      </c>
      <c r="AM2211">
        <v>120</v>
      </c>
      <c r="AN2211">
        <v>-12</v>
      </c>
      <c r="AO2211">
        <v>0</v>
      </c>
      <c r="AP2211"/>
      <c r="AQ2211">
        <v>0</v>
      </c>
      <c r="AR2211">
        <v>0</v>
      </c>
      <c r="AS2211">
        <v>120</v>
      </c>
      <c r="AT2211">
        <v>-12</v>
      </c>
      <c r="AU2211">
        <v>0</v>
      </c>
      <c r="AW2211">
        <v>0</v>
      </c>
      <c r="AX2211">
        <v>0</v>
      </c>
      <c r="AY2211">
        <v>145.6</v>
      </c>
      <c r="BC2211" t="str">
        <f t="shared" si="347"/>
        <v>9791137602663</v>
      </c>
      <c r="BE2211" t="str">
        <f t="shared" si="348"/>
        <v>판타지 웹소설 &gt; 퓨전 판타지</v>
      </c>
    </row>
    <row r="2212" spans="1:57" x14ac:dyDescent="0.3">
      <c r="A2212">
        <v>2313012849</v>
      </c>
      <c r="B2212">
        <v>2313012912</v>
      </c>
      <c r="C2212" t="str">
        <f>T("디버프 마스터 64화")</f>
        <v>디버프 마스터 64화</v>
      </c>
      <c r="D2212" t="str">
        <f>T("64")</f>
        <v>64</v>
      </c>
      <c r="E2212" t="str">
        <f t="shared" si="345"/>
        <v>담화공</v>
      </c>
      <c r="H2212" t="str">
        <f t="shared" si="344"/>
        <v>스토리위즈</v>
      </c>
      <c r="I2212" t="str">
        <f t="shared" si="346"/>
        <v>디버프 마스터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100</v>
      </c>
      <c r="AL2212">
        <v>0</v>
      </c>
      <c r="AM2212">
        <v>120</v>
      </c>
      <c r="AN2212">
        <v>-12</v>
      </c>
      <c r="AO2212">
        <v>0</v>
      </c>
      <c r="AP2212"/>
      <c r="AQ2212">
        <v>0</v>
      </c>
      <c r="AR2212">
        <v>0</v>
      </c>
      <c r="AS2212">
        <v>120</v>
      </c>
      <c r="AT2212">
        <v>-12</v>
      </c>
      <c r="AU2212">
        <v>0</v>
      </c>
      <c r="AW2212">
        <v>0</v>
      </c>
      <c r="AX2212">
        <v>0</v>
      </c>
      <c r="AY2212">
        <v>145.6</v>
      </c>
      <c r="BC2212" t="str">
        <f t="shared" si="347"/>
        <v>9791137602663</v>
      </c>
      <c r="BE2212" t="str">
        <f t="shared" si="348"/>
        <v>판타지 웹소설 &gt; 퓨전 판타지</v>
      </c>
    </row>
    <row r="2213" spans="1:57" x14ac:dyDescent="0.3">
      <c r="A2213">
        <v>2313012849</v>
      </c>
      <c r="B2213">
        <v>2313012913</v>
      </c>
      <c r="C2213" t="str">
        <f>T("디버프 마스터 65화")</f>
        <v>디버프 마스터 65화</v>
      </c>
      <c r="D2213" t="str">
        <f>T("65")</f>
        <v>65</v>
      </c>
      <c r="E2213" t="str">
        <f t="shared" si="345"/>
        <v>담화공</v>
      </c>
      <c r="H2213" t="str">
        <f t="shared" si="344"/>
        <v>스토리위즈</v>
      </c>
      <c r="I2213" t="str">
        <f t="shared" si="346"/>
        <v>디버프 마스터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100</v>
      </c>
      <c r="AL2213">
        <v>0</v>
      </c>
      <c r="AM2213">
        <v>120</v>
      </c>
      <c r="AN2213">
        <v>-12</v>
      </c>
      <c r="AO2213">
        <v>0</v>
      </c>
      <c r="AP2213"/>
      <c r="AQ2213">
        <v>0</v>
      </c>
      <c r="AR2213">
        <v>0</v>
      </c>
      <c r="AS2213">
        <v>120</v>
      </c>
      <c r="AT2213">
        <v>-12</v>
      </c>
      <c r="AU2213">
        <v>0</v>
      </c>
      <c r="AW2213">
        <v>0</v>
      </c>
      <c r="AX2213">
        <v>0</v>
      </c>
      <c r="AY2213">
        <v>145.6</v>
      </c>
      <c r="BC2213" t="str">
        <f t="shared" si="347"/>
        <v>9791137602663</v>
      </c>
      <c r="BE2213" t="str">
        <f t="shared" si="348"/>
        <v>판타지 웹소설 &gt; 퓨전 판타지</v>
      </c>
    </row>
    <row r="2214" spans="1:57" x14ac:dyDescent="0.3">
      <c r="A2214">
        <v>2313012849</v>
      </c>
      <c r="B2214">
        <v>2313012914</v>
      </c>
      <c r="C2214" t="str">
        <f>T("디버프 마스터 66화")</f>
        <v>디버프 마스터 66화</v>
      </c>
      <c r="D2214" t="str">
        <f>T("66")</f>
        <v>66</v>
      </c>
      <c r="E2214" t="str">
        <f t="shared" si="345"/>
        <v>담화공</v>
      </c>
      <c r="H2214" t="str">
        <f t="shared" si="344"/>
        <v>스토리위즈</v>
      </c>
      <c r="I2214" t="str">
        <f t="shared" si="346"/>
        <v>디버프 마스터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100</v>
      </c>
      <c r="AL2214">
        <v>0</v>
      </c>
      <c r="AM2214">
        <v>120</v>
      </c>
      <c r="AN2214">
        <v>-12</v>
      </c>
      <c r="AO2214">
        <v>0</v>
      </c>
      <c r="AP2214"/>
      <c r="AQ2214">
        <v>0</v>
      </c>
      <c r="AR2214">
        <v>0</v>
      </c>
      <c r="AS2214">
        <v>120</v>
      </c>
      <c r="AT2214">
        <v>-12</v>
      </c>
      <c r="AU2214">
        <v>0</v>
      </c>
      <c r="AW2214">
        <v>0</v>
      </c>
      <c r="AX2214">
        <v>0</v>
      </c>
      <c r="AY2214">
        <v>145.6</v>
      </c>
      <c r="BC2214" t="str">
        <f t="shared" si="347"/>
        <v>9791137602663</v>
      </c>
      <c r="BE2214" t="str">
        <f t="shared" si="348"/>
        <v>판타지 웹소설 &gt; 퓨전 판타지</v>
      </c>
    </row>
    <row r="2215" spans="1:57" x14ac:dyDescent="0.3">
      <c r="A2215">
        <v>2313012849</v>
      </c>
      <c r="B2215">
        <v>2313012915</v>
      </c>
      <c r="C2215" t="str">
        <f>T("디버프 마스터 67화")</f>
        <v>디버프 마스터 67화</v>
      </c>
      <c r="D2215" t="str">
        <f>T("67")</f>
        <v>67</v>
      </c>
      <c r="E2215" t="str">
        <f t="shared" si="345"/>
        <v>담화공</v>
      </c>
      <c r="H2215" t="str">
        <f t="shared" si="344"/>
        <v>스토리위즈</v>
      </c>
      <c r="I2215" t="str">
        <f t="shared" si="346"/>
        <v>디버프 마스터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100</v>
      </c>
      <c r="AL2215">
        <v>0</v>
      </c>
      <c r="AM2215">
        <v>120</v>
      </c>
      <c r="AN2215">
        <v>-12</v>
      </c>
      <c r="AO2215">
        <v>0</v>
      </c>
      <c r="AP2215"/>
      <c r="AQ2215">
        <v>0</v>
      </c>
      <c r="AR2215">
        <v>0</v>
      </c>
      <c r="AS2215">
        <v>120</v>
      </c>
      <c r="AT2215">
        <v>-12</v>
      </c>
      <c r="AU2215">
        <v>0</v>
      </c>
      <c r="AW2215">
        <v>0</v>
      </c>
      <c r="AX2215">
        <v>0</v>
      </c>
      <c r="AY2215">
        <v>145.6</v>
      </c>
      <c r="BC2215" t="str">
        <f t="shared" si="347"/>
        <v>9791137602663</v>
      </c>
      <c r="BE2215" t="str">
        <f t="shared" si="348"/>
        <v>판타지 웹소설 &gt; 퓨전 판타지</v>
      </c>
    </row>
    <row r="2216" spans="1:57" x14ac:dyDescent="0.3">
      <c r="A2216">
        <v>2313012849</v>
      </c>
      <c r="B2216">
        <v>2313012916</v>
      </c>
      <c r="C2216" t="str">
        <f>T("디버프 마스터 68화")</f>
        <v>디버프 마스터 68화</v>
      </c>
      <c r="D2216" t="str">
        <f>T("68")</f>
        <v>68</v>
      </c>
      <c r="E2216" t="str">
        <f t="shared" si="345"/>
        <v>담화공</v>
      </c>
      <c r="H2216" t="str">
        <f t="shared" si="344"/>
        <v>스토리위즈</v>
      </c>
      <c r="I2216" t="str">
        <f t="shared" si="346"/>
        <v>디버프 마스터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100</v>
      </c>
      <c r="AL2216">
        <v>0</v>
      </c>
      <c r="AM2216">
        <v>120</v>
      </c>
      <c r="AN2216">
        <v>-12</v>
      </c>
      <c r="AO2216">
        <v>0</v>
      </c>
      <c r="AP2216"/>
      <c r="AQ2216">
        <v>0</v>
      </c>
      <c r="AR2216">
        <v>0</v>
      </c>
      <c r="AS2216">
        <v>120</v>
      </c>
      <c r="AT2216">
        <v>-12</v>
      </c>
      <c r="AU2216">
        <v>0</v>
      </c>
      <c r="AW2216">
        <v>0</v>
      </c>
      <c r="AX2216">
        <v>0</v>
      </c>
      <c r="AY2216">
        <v>145.6</v>
      </c>
      <c r="BC2216" t="str">
        <f t="shared" si="347"/>
        <v>9791137602663</v>
      </c>
      <c r="BE2216" t="str">
        <f t="shared" si="348"/>
        <v>판타지 웹소설 &gt; 퓨전 판타지</v>
      </c>
    </row>
    <row r="2217" spans="1:57" x14ac:dyDescent="0.3">
      <c r="A2217">
        <v>2313012849</v>
      </c>
      <c r="B2217">
        <v>2313012917</v>
      </c>
      <c r="C2217" t="str">
        <f>T("디버프 마스터 69화")</f>
        <v>디버프 마스터 69화</v>
      </c>
      <c r="D2217" t="str">
        <f>T("69")</f>
        <v>69</v>
      </c>
      <c r="E2217" t="str">
        <f t="shared" si="345"/>
        <v>담화공</v>
      </c>
      <c r="H2217" t="str">
        <f t="shared" si="344"/>
        <v>스토리위즈</v>
      </c>
      <c r="I2217" t="str">
        <f t="shared" si="346"/>
        <v>디버프 마스터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100</v>
      </c>
      <c r="AL2217">
        <v>0</v>
      </c>
      <c r="AM2217">
        <v>120</v>
      </c>
      <c r="AN2217">
        <v>-12</v>
      </c>
      <c r="AO2217">
        <v>0</v>
      </c>
      <c r="AP2217"/>
      <c r="AQ2217">
        <v>0</v>
      </c>
      <c r="AR2217">
        <v>0</v>
      </c>
      <c r="AS2217">
        <v>120</v>
      </c>
      <c r="AT2217">
        <v>-12</v>
      </c>
      <c r="AU2217">
        <v>0</v>
      </c>
      <c r="AW2217">
        <v>0</v>
      </c>
      <c r="AX2217">
        <v>0</v>
      </c>
      <c r="AY2217">
        <v>145.6</v>
      </c>
      <c r="BC2217" t="str">
        <f t="shared" si="347"/>
        <v>9791137602663</v>
      </c>
      <c r="BE2217" t="str">
        <f t="shared" si="348"/>
        <v>판타지 웹소설 &gt; 퓨전 판타지</v>
      </c>
    </row>
    <row r="2218" spans="1:57" x14ac:dyDescent="0.3">
      <c r="A2218">
        <v>2313012849</v>
      </c>
      <c r="B2218">
        <v>2313012918</v>
      </c>
      <c r="C2218" t="str">
        <f>T("디버프 마스터 70화")</f>
        <v>디버프 마스터 70화</v>
      </c>
      <c r="D2218" t="str">
        <f>T("70")</f>
        <v>70</v>
      </c>
      <c r="E2218" t="str">
        <f t="shared" si="345"/>
        <v>담화공</v>
      </c>
      <c r="H2218" t="str">
        <f t="shared" si="344"/>
        <v>스토리위즈</v>
      </c>
      <c r="I2218" t="str">
        <f t="shared" si="346"/>
        <v>디버프 마스터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100</v>
      </c>
      <c r="AL2218">
        <v>0</v>
      </c>
      <c r="AM2218">
        <v>120</v>
      </c>
      <c r="AN2218">
        <v>-12</v>
      </c>
      <c r="AO2218">
        <v>0</v>
      </c>
      <c r="AP2218"/>
      <c r="AQ2218">
        <v>0</v>
      </c>
      <c r="AR2218">
        <v>0</v>
      </c>
      <c r="AS2218">
        <v>120</v>
      </c>
      <c r="AT2218">
        <v>-12</v>
      </c>
      <c r="AU2218">
        <v>0</v>
      </c>
      <c r="AW2218">
        <v>0</v>
      </c>
      <c r="AX2218">
        <v>0</v>
      </c>
      <c r="AY2218">
        <v>145.6</v>
      </c>
      <c r="BC2218" t="str">
        <f t="shared" si="347"/>
        <v>9791137602663</v>
      </c>
      <c r="BE2218" t="str">
        <f t="shared" si="348"/>
        <v>판타지 웹소설 &gt; 퓨전 판타지</v>
      </c>
    </row>
    <row r="2219" spans="1:57" x14ac:dyDescent="0.3">
      <c r="A2219">
        <v>2313012849</v>
      </c>
      <c r="B2219">
        <v>2313012919</v>
      </c>
      <c r="C2219" t="str">
        <f>T("디버프 마스터 71화")</f>
        <v>디버프 마스터 71화</v>
      </c>
      <c r="D2219" t="str">
        <f>T("71")</f>
        <v>71</v>
      </c>
      <c r="E2219" t="str">
        <f t="shared" si="345"/>
        <v>담화공</v>
      </c>
      <c r="H2219" t="str">
        <f t="shared" si="344"/>
        <v>스토리위즈</v>
      </c>
      <c r="I2219" t="str">
        <f t="shared" si="346"/>
        <v>디버프 마스터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100</v>
      </c>
      <c r="AL2219">
        <v>0</v>
      </c>
      <c r="AM2219">
        <v>120</v>
      </c>
      <c r="AN2219">
        <v>-12</v>
      </c>
      <c r="AO2219">
        <v>0</v>
      </c>
      <c r="AP2219"/>
      <c r="AQ2219">
        <v>0</v>
      </c>
      <c r="AR2219">
        <v>0</v>
      </c>
      <c r="AS2219">
        <v>120</v>
      </c>
      <c r="AT2219">
        <v>-12</v>
      </c>
      <c r="AU2219">
        <v>0</v>
      </c>
      <c r="AW2219">
        <v>0</v>
      </c>
      <c r="AX2219">
        <v>0</v>
      </c>
      <c r="AY2219">
        <v>145.6</v>
      </c>
      <c r="BC2219" t="str">
        <f t="shared" si="347"/>
        <v>9791137602663</v>
      </c>
      <c r="BE2219" t="str">
        <f t="shared" si="348"/>
        <v>판타지 웹소설 &gt; 퓨전 판타지</v>
      </c>
    </row>
    <row r="2220" spans="1:57" x14ac:dyDescent="0.3">
      <c r="A2220">
        <v>2313012849</v>
      </c>
      <c r="B2220">
        <v>2313012920</v>
      </c>
      <c r="C2220" t="str">
        <f>T("디버프 마스터 72화")</f>
        <v>디버프 마스터 72화</v>
      </c>
      <c r="D2220" t="str">
        <f>T("72")</f>
        <v>72</v>
      </c>
      <c r="E2220" t="str">
        <f t="shared" si="345"/>
        <v>담화공</v>
      </c>
      <c r="H2220" t="str">
        <f t="shared" si="344"/>
        <v>스토리위즈</v>
      </c>
      <c r="I2220" t="str">
        <f t="shared" si="346"/>
        <v>디버프 마스터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100</v>
      </c>
      <c r="AL2220">
        <v>0</v>
      </c>
      <c r="AM2220">
        <v>120</v>
      </c>
      <c r="AN2220">
        <v>-12</v>
      </c>
      <c r="AO2220">
        <v>0</v>
      </c>
      <c r="AP2220"/>
      <c r="AQ2220">
        <v>0</v>
      </c>
      <c r="AR2220">
        <v>0</v>
      </c>
      <c r="AS2220">
        <v>120</v>
      </c>
      <c r="AT2220">
        <v>-12</v>
      </c>
      <c r="AU2220">
        <v>0</v>
      </c>
      <c r="AW2220">
        <v>0</v>
      </c>
      <c r="AX2220">
        <v>0</v>
      </c>
      <c r="AY2220">
        <v>145.6</v>
      </c>
      <c r="BC2220" t="str">
        <f t="shared" si="347"/>
        <v>9791137602663</v>
      </c>
      <c r="BE2220" t="str">
        <f t="shared" si="348"/>
        <v>판타지 웹소설 &gt; 퓨전 판타지</v>
      </c>
    </row>
    <row r="2221" spans="1:57" x14ac:dyDescent="0.3">
      <c r="A2221">
        <v>2313012849</v>
      </c>
      <c r="B2221">
        <v>2313012921</v>
      </c>
      <c r="C2221" t="str">
        <f>T("디버프 마스터 73화")</f>
        <v>디버프 마스터 73화</v>
      </c>
      <c r="D2221" t="str">
        <f>T("73")</f>
        <v>73</v>
      </c>
      <c r="E2221" t="str">
        <f t="shared" si="345"/>
        <v>담화공</v>
      </c>
      <c r="H2221" t="str">
        <f t="shared" si="344"/>
        <v>스토리위즈</v>
      </c>
      <c r="I2221" t="str">
        <f t="shared" si="346"/>
        <v>디버프 마스터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100</v>
      </c>
      <c r="AL2221">
        <v>0</v>
      </c>
      <c r="AM2221">
        <v>120</v>
      </c>
      <c r="AN2221">
        <v>-12</v>
      </c>
      <c r="AO2221">
        <v>0</v>
      </c>
      <c r="AP2221"/>
      <c r="AQ2221">
        <v>0</v>
      </c>
      <c r="AR2221">
        <v>0</v>
      </c>
      <c r="AS2221">
        <v>120</v>
      </c>
      <c r="AT2221">
        <v>-12</v>
      </c>
      <c r="AU2221">
        <v>0</v>
      </c>
      <c r="AW2221">
        <v>0</v>
      </c>
      <c r="AX2221">
        <v>0</v>
      </c>
      <c r="AY2221">
        <v>145.6</v>
      </c>
      <c r="BC2221" t="str">
        <f t="shared" si="347"/>
        <v>9791137602663</v>
      </c>
      <c r="BE2221" t="str">
        <f t="shared" si="348"/>
        <v>판타지 웹소설 &gt; 퓨전 판타지</v>
      </c>
    </row>
    <row r="2222" spans="1:57" x14ac:dyDescent="0.3">
      <c r="A2222">
        <v>2313012849</v>
      </c>
      <c r="B2222">
        <v>2313012922</v>
      </c>
      <c r="C2222" t="str">
        <f>T("디버프 마스터 74화")</f>
        <v>디버프 마스터 74화</v>
      </c>
      <c r="D2222" t="str">
        <f>T("74")</f>
        <v>74</v>
      </c>
      <c r="E2222" t="str">
        <f t="shared" si="345"/>
        <v>담화공</v>
      </c>
      <c r="H2222" t="str">
        <f t="shared" si="344"/>
        <v>스토리위즈</v>
      </c>
      <c r="I2222" t="str">
        <f t="shared" si="346"/>
        <v>디버프 마스터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100</v>
      </c>
      <c r="AL2222">
        <v>0</v>
      </c>
      <c r="AM2222">
        <v>120</v>
      </c>
      <c r="AN2222">
        <v>-12</v>
      </c>
      <c r="AO2222">
        <v>0</v>
      </c>
      <c r="AP2222"/>
      <c r="AQ2222">
        <v>0</v>
      </c>
      <c r="AR2222">
        <v>0</v>
      </c>
      <c r="AS2222">
        <v>120</v>
      </c>
      <c r="AT2222">
        <v>-12</v>
      </c>
      <c r="AU2222">
        <v>0</v>
      </c>
      <c r="AW2222">
        <v>0</v>
      </c>
      <c r="AX2222">
        <v>0</v>
      </c>
      <c r="AY2222">
        <v>145.6</v>
      </c>
      <c r="BC2222" t="str">
        <f t="shared" si="347"/>
        <v>9791137602663</v>
      </c>
      <c r="BE2222" t="str">
        <f t="shared" si="348"/>
        <v>판타지 웹소설 &gt; 퓨전 판타지</v>
      </c>
    </row>
    <row r="2223" spans="1:57" x14ac:dyDescent="0.3">
      <c r="A2223">
        <v>2313012849</v>
      </c>
      <c r="B2223">
        <v>2313012923</v>
      </c>
      <c r="C2223" t="str">
        <f>T("디버프 마스터 75화")</f>
        <v>디버프 마스터 75화</v>
      </c>
      <c r="D2223" t="str">
        <f>T("75")</f>
        <v>75</v>
      </c>
      <c r="E2223" t="str">
        <f t="shared" si="345"/>
        <v>담화공</v>
      </c>
      <c r="H2223" t="str">
        <f t="shared" si="344"/>
        <v>스토리위즈</v>
      </c>
      <c r="I2223" t="str">
        <f t="shared" si="346"/>
        <v>디버프 마스터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100</v>
      </c>
      <c r="AL2223">
        <v>0</v>
      </c>
      <c r="AM2223">
        <v>120</v>
      </c>
      <c r="AN2223">
        <v>-12</v>
      </c>
      <c r="AO2223">
        <v>0</v>
      </c>
      <c r="AP2223"/>
      <c r="AQ2223">
        <v>0</v>
      </c>
      <c r="AR2223">
        <v>0</v>
      </c>
      <c r="AS2223">
        <v>120</v>
      </c>
      <c r="AT2223">
        <v>-12</v>
      </c>
      <c r="AU2223">
        <v>0</v>
      </c>
      <c r="AW2223">
        <v>0</v>
      </c>
      <c r="AX2223">
        <v>0</v>
      </c>
      <c r="AY2223">
        <v>145.6</v>
      </c>
      <c r="BC2223" t="str">
        <f t="shared" si="347"/>
        <v>9791137602663</v>
      </c>
      <c r="BE2223" t="str">
        <f t="shared" si="348"/>
        <v>판타지 웹소설 &gt; 퓨전 판타지</v>
      </c>
    </row>
    <row r="2224" spans="1:57" x14ac:dyDescent="0.3">
      <c r="A2224">
        <v>2313012849</v>
      </c>
      <c r="B2224">
        <v>2313012982</v>
      </c>
      <c r="C2224" t="str">
        <f>T("디버프 마스터 134화")</f>
        <v>디버프 마스터 134화</v>
      </c>
      <c r="D2224" t="str">
        <f>T("134")</f>
        <v>134</v>
      </c>
      <c r="E2224" t="str">
        <f t="shared" si="345"/>
        <v>담화공</v>
      </c>
      <c r="H2224" t="str">
        <f t="shared" si="344"/>
        <v>스토리위즈</v>
      </c>
      <c r="I2224" t="str">
        <f t="shared" si="346"/>
        <v>디버프 마스터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100</v>
      </c>
      <c r="AL2224">
        <v>0</v>
      </c>
      <c r="AM2224">
        <v>120</v>
      </c>
      <c r="AN2224">
        <v>-12</v>
      </c>
      <c r="AO2224">
        <v>0</v>
      </c>
      <c r="AP2224"/>
      <c r="AQ2224">
        <v>0</v>
      </c>
      <c r="AR2224">
        <v>0</v>
      </c>
      <c r="AS2224">
        <v>120</v>
      </c>
      <c r="AT2224">
        <v>-12</v>
      </c>
      <c r="AU2224">
        <v>0</v>
      </c>
      <c r="AW2224">
        <v>0</v>
      </c>
      <c r="AX2224">
        <v>0</v>
      </c>
      <c r="AY2224">
        <v>145.6</v>
      </c>
      <c r="BC2224" t="str">
        <f t="shared" si="347"/>
        <v>9791137602663</v>
      </c>
      <c r="BE2224" t="str">
        <f t="shared" si="348"/>
        <v>판타지 웹소설 &gt; 퓨전 판타지</v>
      </c>
    </row>
    <row r="2225" spans="1:57" x14ac:dyDescent="0.3">
      <c r="A2225">
        <v>2313017163</v>
      </c>
      <c r="B2225">
        <v>2313017170</v>
      </c>
      <c r="C2225" t="str">
        <f>T("친절하기는 얼어 죽을 7화")</f>
        <v>친절하기는 얼어 죽을 7화</v>
      </c>
      <c r="D2225" t="str">
        <f>T("8")</f>
        <v>8</v>
      </c>
      <c r="E2225" t="str">
        <f t="shared" ref="E2225:E2232" si="349">T("솜목화")</f>
        <v>솜목화</v>
      </c>
      <c r="H2225" t="str">
        <f t="shared" ref="H2225:H2232" si="350">T("블레슈(Blesshuu)")</f>
        <v>블레슈(Blesshuu)</v>
      </c>
      <c r="I2225" t="str">
        <f t="shared" ref="I2225:I2232" si="351">T("친절하기는 얼어 죽을")</f>
        <v>친절하기는 얼어 죽을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200</v>
      </c>
      <c r="AL2225">
        <v>0</v>
      </c>
      <c r="AM2225">
        <v>0</v>
      </c>
      <c r="AN2225">
        <v>0</v>
      </c>
      <c r="AO2225">
        <v>0</v>
      </c>
      <c r="AP2225"/>
      <c r="AQ2225">
        <v>0</v>
      </c>
      <c r="AR2225">
        <v>0</v>
      </c>
      <c r="AT2225">
        <v>0</v>
      </c>
      <c r="AU2225">
        <v>0</v>
      </c>
      <c r="AW2225">
        <v>0</v>
      </c>
      <c r="AX2225">
        <v>0</v>
      </c>
      <c r="AY2225">
        <v>120</v>
      </c>
      <c r="BA2225" t="str">
        <f t="shared" ref="BA2225:BA2232" si="352">T("0000000000000")</f>
        <v>0000000000000</v>
      </c>
      <c r="BC2225" t="str">
        <f t="shared" ref="BC2225:BC2232" si="353">T("9791137604131")</f>
        <v>9791137604131</v>
      </c>
      <c r="BE2225" t="str">
        <f t="shared" ref="BE2225:BE2232" si="354">T("로맨스 웹소설 &gt; 현대물")</f>
        <v>로맨스 웹소설 &gt; 현대물</v>
      </c>
    </row>
    <row r="2226" spans="1:57" x14ac:dyDescent="0.3">
      <c r="A2226">
        <v>2313017163</v>
      </c>
      <c r="B2226">
        <v>2313017171</v>
      </c>
      <c r="C2226" t="str">
        <f>T("친절하기는 얼어 죽을 8화")</f>
        <v>친절하기는 얼어 죽을 8화</v>
      </c>
      <c r="D2226" t="str">
        <f>T("9")</f>
        <v>9</v>
      </c>
      <c r="E2226" t="str">
        <f t="shared" si="349"/>
        <v>솜목화</v>
      </c>
      <c r="H2226" t="str">
        <f t="shared" si="350"/>
        <v>블레슈(Blesshuu)</v>
      </c>
      <c r="I2226" t="str">
        <f t="shared" si="351"/>
        <v>친절하기는 얼어 죽을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2</v>
      </c>
      <c r="AI2226">
        <v>0</v>
      </c>
      <c r="AJ2226">
        <v>0</v>
      </c>
      <c r="AK2226">
        <v>200</v>
      </c>
      <c r="AL2226">
        <v>0</v>
      </c>
      <c r="AM2226">
        <v>0</v>
      </c>
      <c r="AN2226">
        <v>0</v>
      </c>
      <c r="AO2226">
        <v>0</v>
      </c>
      <c r="AP2226"/>
      <c r="AQ2226">
        <v>0</v>
      </c>
      <c r="AR2226">
        <v>0</v>
      </c>
      <c r="AT2226">
        <v>0</v>
      </c>
      <c r="AU2226">
        <v>0</v>
      </c>
      <c r="AW2226">
        <v>0</v>
      </c>
      <c r="AX2226">
        <v>0</v>
      </c>
      <c r="AY2226">
        <v>120</v>
      </c>
      <c r="BA2226" t="str">
        <f t="shared" si="352"/>
        <v>0000000000000</v>
      </c>
      <c r="BC2226" t="str">
        <f t="shared" si="353"/>
        <v>9791137604131</v>
      </c>
      <c r="BE2226" t="str">
        <f t="shared" si="354"/>
        <v>로맨스 웹소설 &gt; 현대물</v>
      </c>
    </row>
    <row r="2227" spans="1:57" x14ac:dyDescent="0.3">
      <c r="A2227">
        <v>2313017163</v>
      </c>
      <c r="B2227">
        <v>2313017172</v>
      </c>
      <c r="C2227" t="str">
        <f>T("친절하기는 얼어 죽을 9화")</f>
        <v>친절하기는 얼어 죽을 9화</v>
      </c>
      <c r="D2227" t="str">
        <f>T("10")</f>
        <v>10</v>
      </c>
      <c r="E2227" t="str">
        <f t="shared" si="349"/>
        <v>솜목화</v>
      </c>
      <c r="H2227" t="str">
        <f t="shared" si="350"/>
        <v>블레슈(Blesshuu)</v>
      </c>
      <c r="I2227" t="str">
        <f t="shared" si="351"/>
        <v>친절하기는 얼어 죽을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2</v>
      </c>
      <c r="AI2227">
        <v>0</v>
      </c>
      <c r="AJ2227">
        <v>0</v>
      </c>
      <c r="AK2227">
        <v>200</v>
      </c>
      <c r="AL2227">
        <v>0</v>
      </c>
      <c r="AM2227">
        <v>0</v>
      </c>
      <c r="AN2227">
        <v>0</v>
      </c>
      <c r="AO2227">
        <v>0</v>
      </c>
      <c r="AP2227"/>
      <c r="AQ2227">
        <v>0</v>
      </c>
      <c r="AR2227">
        <v>0</v>
      </c>
      <c r="AT2227">
        <v>0</v>
      </c>
      <c r="AU2227">
        <v>0</v>
      </c>
      <c r="AW2227">
        <v>0</v>
      </c>
      <c r="AX2227">
        <v>0</v>
      </c>
      <c r="AY2227">
        <v>120</v>
      </c>
      <c r="BA2227" t="str">
        <f t="shared" si="352"/>
        <v>0000000000000</v>
      </c>
      <c r="BC2227" t="str">
        <f t="shared" si="353"/>
        <v>9791137604131</v>
      </c>
      <c r="BE2227" t="str">
        <f t="shared" si="354"/>
        <v>로맨스 웹소설 &gt; 현대물</v>
      </c>
    </row>
    <row r="2228" spans="1:57" x14ac:dyDescent="0.3">
      <c r="A2228">
        <v>2313017163</v>
      </c>
      <c r="B2228">
        <v>2313017173</v>
      </c>
      <c r="C2228" t="str">
        <f>T("친절하기는 얼어 죽을 10화")</f>
        <v>친절하기는 얼어 죽을 10화</v>
      </c>
      <c r="D2228" t="str">
        <f>T("11")</f>
        <v>11</v>
      </c>
      <c r="E2228" t="str">
        <f t="shared" si="349"/>
        <v>솜목화</v>
      </c>
      <c r="H2228" t="str">
        <f t="shared" si="350"/>
        <v>블레슈(Blesshuu)</v>
      </c>
      <c r="I2228" t="str">
        <f t="shared" si="351"/>
        <v>친절하기는 얼어 죽을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2</v>
      </c>
      <c r="AI2228">
        <v>0</v>
      </c>
      <c r="AJ2228">
        <v>0</v>
      </c>
      <c r="AK2228">
        <v>200</v>
      </c>
      <c r="AL2228">
        <v>0</v>
      </c>
      <c r="AM2228">
        <v>0</v>
      </c>
      <c r="AN2228">
        <v>0</v>
      </c>
      <c r="AO2228">
        <v>0</v>
      </c>
      <c r="AP2228"/>
      <c r="AQ2228">
        <v>0</v>
      </c>
      <c r="AR2228">
        <v>0</v>
      </c>
      <c r="AT2228">
        <v>0</v>
      </c>
      <c r="AU2228">
        <v>0</v>
      </c>
      <c r="AW2228">
        <v>0</v>
      </c>
      <c r="AX2228">
        <v>0</v>
      </c>
      <c r="AY2228">
        <v>120</v>
      </c>
      <c r="BA2228" t="str">
        <f t="shared" si="352"/>
        <v>0000000000000</v>
      </c>
      <c r="BC2228" t="str">
        <f t="shared" si="353"/>
        <v>9791137604131</v>
      </c>
      <c r="BE2228" t="str">
        <f t="shared" si="354"/>
        <v>로맨스 웹소설 &gt; 현대물</v>
      </c>
    </row>
    <row r="2229" spans="1:57" x14ac:dyDescent="0.3">
      <c r="A2229">
        <v>2313017163</v>
      </c>
      <c r="B2229">
        <v>2313017174</v>
      </c>
      <c r="C2229" t="str">
        <f>T("친절하기는 얼어 죽을 11화")</f>
        <v>친절하기는 얼어 죽을 11화</v>
      </c>
      <c r="D2229" t="str">
        <f>T("12")</f>
        <v>12</v>
      </c>
      <c r="E2229" t="str">
        <f t="shared" si="349"/>
        <v>솜목화</v>
      </c>
      <c r="H2229" t="str">
        <f t="shared" si="350"/>
        <v>블레슈(Blesshuu)</v>
      </c>
      <c r="I2229" t="str">
        <f t="shared" si="351"/>
        <v>친절하기는 얼어 죽을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2</v>
      </c>
      <c r="AI2229">
        <v>0</v>
      </c>
      <c r="AJ2229">
        <v>0</v>
      </c>
      <c r="AK2229">
        <v>200</v>
      </c>
      <c r="AL2229">
        <v>0</v>
      </c>
      <c r="AM2229">
        <v>0</v>
      </c>
      <c r="AN2229">
        <v>0</v>
      </c>
      <c r="AO2229">
        <v>0</v>
      </c>
      <c r="AP2229"/>
      <c r="AQ2229">
        <v>0</v>
      </c>
      <c r="AR2229">
        <v>0</v>
      </c>
      <c r="AT2229">
        <v>0</v>
      </c>
      <c r="AU2229">
        <v>0</v>
      </c>
      <c r="AW2229">
        <v>0</v>
      </c>
      <c r="AX2229">
        <v>0</v>
      </c>
      <c r="AY2229">
        <v>120</v>
      </c>
      <c r="BA2229" t="str">
        <f t="shared" si="352"/>
        <v>0000000000000</v>
      </c>
      <c r="BC2229" t="str">
        <f t="shared" si="353"/>
        <v>9791137604131</v>
      </c>
      <c r="BE2229" t="str">
        <f t="shared" si="354"/>
        <v>로맨스 웹소설 &gt; 현대물</v>
      </c>
    </row>
    <row r="2230" spans="1:57" x14ac:dyDescent="0.3">
      <c r="A2230">
        <v>2313017163</v>
      </c>
      <c r="B2230">
        <v>2313017175</v>
      </c>
      <c r="C2230" t="str">
        <f>T("친절하기는 얼어 죽을 12화")</f>
        <v>친절하기는 얼어 죽을 12화</v>
      </c>
      <c r="D2230" t="str">
        <f>T("13")</f>
        <v>13</v>
      </c>
      <c r="E2230" t="str">
        <f t="shared" si="349"/>
        <v>솜목화</v>
      </c>
      <c r="H2230" t="str">
        <f t="shared" si="350"/>
        <v>블레슈(Blesshuu)</v>
      </c>
      <c r="I2230" t="str">
        <f t="shared" si="351"/>
        <v>친절하기는 얼어 죽을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2</v>
      </c>
      <c r="AI2230">
        <v>0</v>
      </c>
      <c r="AJ2230">
        <v>0</v>
      </c>
      <c r="AK2230">
        <v>200</v>
      </c>
      <c r="AL2230">
        <v>0</v>
      </c>
      <c r="AM2230">
        <v>0</v>
      </c>
      <c r="AN2230">
        <v>0</v>
      </c>
      <c r="AO2230">
        <v>0</v>
      </c>
      <c r="AP2230"/>
      <c r="AQ2230">
        <v>0</v>
      </c>
      <c r="AR2230">
        <v>0</v>
      </c>
      <c r="AT2230">
        <v>0</v>
      </c>
      <c r="AU2230">
        <v>0</v>
      </c>
      <c r="AW2230">
        <v>0</v>
      </c>
      <c r="AX2230">
        <v>0</v>
      </c>
      <c r="AY2230">
        <v>120</v>
      </c>
      <c r="BA2230" t="str">
        <f t="shared" si="352"/>
        <v>0000000000000</v>
      </c>
      <c r="BC2230" t="str">
        <f t="shared" si="353"/>
        <v>9791137604131</v>
      </c>
      <c r="BE2230" t="str">
        <f t="shared" si="354"/>
        <v>로맨스 웹소설 &gt; 현대물</v>
      </c>
    </row>
    <row r="2231" spans="1:57" x14ac:dyDescent="0.3">
      <c r="A2231">
        <v>2313017163</v>
      </c>
      <c r="B2231">
        <v>2313017176</v>
      </c>
      <c r="C2231" t="str">
        <f>T("친절하기는 얼어 죽을 13화")</f>
        <v>친절하기는 얼어 죽을 13화</v>
      </c>
      <c r="D2231" t="str">
        <f>T("14")</f>
        <v>14</v>
      </c>
      <c r="E2231" t="str">
        <f t="shared" si="349"/>
        <v>솜목화</v>
      </c>
      <c r="H2231" t="str">
        <f t="shared" si="350"/>
        <v>블레슈(Blesshuu)</v>
      </c>
      <c r="I2231" t="str">
        <f t="shared" si="351"/>
        <v>친절하기는 얼어 죽을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2</v>
      </c>
      <c r="AI2231">
        <v>0</v>
      </c>
      <c r="AJ2231">
        <v>0</v>
      </c>
      <c r="AK2231">
        <v>200</v>
      </c>
      <c r="AL2231">
        <v>0</v>
      </c>
      <c r="AM2231">
        <v>0</v>
      </c>
      <c r="AN2231">
        <v>0</v>
      </c>
      <c r="AO2231">
        <v>0</v>
      </c>
      <c r="AP2231"/>
      <c r="AQ2231">
        <v>0</v>
      </c>
      <c r="AR2231">
        <v>0</v>
      </c>
      <c r="AT2231">
        <v>0</v>
      </c>
      <c r="AU2231">
        <v>0</v>
      </c>
      <c r="AW2231">
        <v>0</v>
      </c>
      <c r="AX2231">
        <v>0</v>
      </c>
      <c r="AY2231">
        <v>120</v>
      </c>
      <c r="BA2231" t="str">
        <f t="shared" si="352"/>
        <v>0000000000000</v>
      </c>
      <c r="BC2231" t="str">
        <f t="shared" si="353"/>
        <v>9791137604131</v>
      </c>
      <c r="BE2231" t="str">
        <f t="shared" si="354"/>
        <v>로맨스 웹소설 &gt; 현대물</v>
      </c>
    </row>
    <row r="2232" spans="1:57" x14ac:dyDescent="0.3">
      <c r="A2232">
        <v>2313017163</v>
      </c>
      <c r="B2232">
        <v>2313017214</v>
      </c>
      <c r="C2232" t="str">
        <f>T("친절하기는 얼어 죽을 51화")</f>
        <v>친절하기는 얼어 죽을 51화</v>
      </c>
      <c r="D2232" t="str">
        <f>T("52")</f>
        <v>52</v>
      </c>
      <c r="E2232" t="str">
        <f t="shared" si="349"/>
        <v>솜목화</v>
      </c>
      <c r="H2232" t="str">
        <f t="shared" si="350"/>
        <v>블레슈(Blesshuu)</v>
      </c>
      <c r="I2232" t="str">
        <f t="shared" si="351"/>
        <v>친절하기는 얼어 죽을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2</v>
      </c>
      <c r="AI2232">
        <v>0</v>
      </c>
      <c r="AJ2232">
        <v>0</v>
      </c>
      <c r="AK2232">
        <v>100</v>
      </c>
      <c r="AL2232">
        <v>0</v>
      </c>
      <c r="AM2232">
        <v>120</v>
      </c>
      <c r="AN2232">
        <v>-12</v>
      </c>
      <c r="AO2232">
        <v>0</v>
      </c>
      <c r="AP2232"/>
      <c r="AQ2232">
        <v>0</v>
      </c>
      <c r="AR2232">
        <v>0</v>
      </c>
      <c r="AS2232">
        <v>120</v>
      </c>
      <c r="AT2232">
        <v>-12</v>
      </c>
      <c r="AU2232">
        <v>0</v>
      </c>
      <c r="AW2232">
        <v>0</v>
      </c>
      <c r="AX2232">
        <v>0</v>
      </c>
      <c r="AY2232">
        <v>124.8</v>
      </c>
      <c r="BA2232" t="str">
        <f t="shared" si="352"/>
        <v>0000000000000</v>
      </c>
      <c r="BC2232" t="str">
        <f t="shared" si="353"/>
        <v>9791137604131</v>
      </c>
      <c r="BE2232" t="str">
        <f t="shared" si="354"/>
        <v>로맨스 웹소설 &gt; 현대물</v>
      </c>
    </row>
    <row r="2233" spans="1:57" x14ac:dyDescent="0.3">
      <c r="A2233">
        <v>2313017657</v>
      </c>
      <c r="B2233">
        <v>2313017682</v>
      </c>
      <c r="C2233" t="str">
        <f>T("회귀자의 슬기로운 복수생활 26화")</f>
        <v>회귀자의 슬기로운 복수생활 26화</v>
      </c>
      <c r="D2233" t="str">
        <f>T("26")</f>
        <v>26</v>
      </c>
      <c r="E2233" t="str">
        <f t="shared" ref="E2233:E2250" si="355">T("구공")</f>
        <v>구공</v>
      </c>
      <c r="H2233" t="str">
        <f t="shared" ref="H2233:H2291" si="356">T("스토리위즈")</f>
        <v>스토리위즈</v>
      </c>
      <c r="I2233" t="str">
        <f t="shared" ref="I2233:I2250" si="357">T("회귀자의 슬기로운 복수생활")</f>
        <v>회귀자의 슬기로운 복수생활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2</v>
      </c>
      <c r="AI2233">
        <v>0</v>
      </c>
      <c r="AJ2233">
        <v>0</v>
      </c>
      <c r="AK2233">
        <v>100</v>
      </c>
      <c r="AL2233">
        <v>0</v>
      </c>
      <c r="AM2233">
        <v>120</v>
      </c>
      <c r="AN2233">
        <v>-12</v>
      </c>
      <c r="AO2233">
        <v>0</v>
      </c>
      <c r="AP2233"/>
      <c r="AQ2233">
        <v>0</v>
      </c>
      <c r="AR2233">
        <v>0</v>
      </c>
      <c r="AS2233">
        <v>120</v>
      </c>
      <c r="AT2233">
        <v>-12</v>
      </c>
      <c r="AU2233">
        <v>0</v>
      </c>
      <c r="AW2233">
        <v>0</v>
      </c>
      <c r="AX2233">
        <v>0</v>
      </c>
      <c r="AY2233">
        <v>145.6</v>
      </c>
      <c r="BC2233" t="str">
        <f t="shared" ref="BC2233:BC2250" si="358">T("9791137601710")</f>
        <v>9791137601710</v>
      </c>
      <c r="BE2233" t="str">
        <f t="shared" ref="BE2233:BE2270" si="359">T("판타지 웹소설 &gt; 퓨전 판타지")</f>
        <v>판타지 웹소설 &gt; 퓨전 판타지</v>
      </c>
    </row>
    <row r="2234" spans="1:57" x14ac:dyDescent="0.3">
      <c r="A2234">
        <v>2313017657</v>
      </c>
      <c r="B2234">
        <v>2313017683</v>
      </c>
      <c r="C2234" t="str">
        <f>T("회귀자의 슬기로운 복수생활 27화")</f>
        <v>회귀자의 슬기로운 복수생활 27화</v>
      </c>
      <c r="D2234" t="str">
        <f>T("27")</f>
        <v>27</v>
      </c>
      <c r="E2234" t="str">
        <f t="shared" si="355"/>
        <v>구공</v>
      </c>
      <c r="H2234" t="str">
        <f t="shared" si="356"/>
        <v>스토리위즈</v>
      </c>
      <c r="I2234" t="str">
        <f t="shared" si="357"/>
        <v>회귀자의 슬기로운 복수생활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</v>
      </c>
      <c r="AI2234">
        <v>0</v>
      </c>
      <c r="AJ2234">
        <v>0</v>
      </c>
      <c r="AK2234">
        <v>100</v>
      </c>
      <c r="AL2234">
        <v>0</v>
      </c>
      <c r="AM2234">
        <v>120</v>
      </c>
      <c r="AN2234">
        <v>-12</v>
      </c>
      <c r="AO2234">
        <v>0</v>
      </c>
      <c r="AP2234"/>
      <c r="AQ2234">
        <v>0</v>
      </c>
      <c r="AR2234">
        <v>0</v>
      </c>
      <c r="AS2234">
        <v>120</v>
      </c>
      <c r="AT2234">
        <v>-12</v>
      </c>
      <c r="AU2234">
        <v>0</v>
      </c>
      <c r="AW2234">
        <v>0</v>
      </c>
      <c r="AX2234">
        <v>0</v>
      </c>
      <c r="AY2234">
        <v>145.6</v>
      </c>
      <c r="BC2234" t="str">
        <f t="shared" si="358"/>
        <v>9791137601710</v>
      </c>
      <c r="BE2234" t="str">
        <f t="shared" si="359"/>
        <v>판타지 웹소설 &gt; 퓨전 판타지</v>
      </c>
    </row>
    <row r="2235" spans="1:57" x14ac:dyDescent="0.3">
      <c r="A2235">
        <v>2313017657</v>
      </c>
      <c r="B2235">
        <v>2313017684</v>
      </c>
      <c r="C2235" t="str">
        <f>T("회귀자의 슬기로운 복수생활 28화")</f>
        <v>회귀자의 슬기로운 복수생활 28화</v>
      </c>
      <c r="D2235" t="str">
        <f>T("28")</f>
        <v>28</v>
      </c>
      <c r="E2235" t="str">
        <f t="shared" si="355"/>
        <v>구공</v>
      </c>
      <c r="H2235" t="str">
        <f t="shared" si="356"/>
        <v>스토리위즈</v>
      </c>
      <c r="I2235" t="str">
        <f t="shared" si="357"/>
        <v>회귀자의 슬기로운 복수생활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2</v>
      </c>
      <c r="AI2235">
        <v>0</v>
      </c>
      <c r="AJ2235">
        <v>0</v>
      </c>
      <c r="AK2235">
        <v>100</v>
      </c>
      <c r="AL2235">
        <v>0</v>
      </c>
      <c r="AM2235">
        <v>120</v>
      </c>
      <c r="AN2235">
        <v>-12</v>
      </c>
      <c r="AO2235">
        <v>0</v>
      </c>
      <c r="AP2235"/>
      <c r="AQ2235">
        <v>0</v>
      </c>
      <c r="AR2235">
        <v>0</v>
      </c>
      <c r="AS2235">
        <v>120</v>
      </c>
      <c r="AT2235">
        <v>-12</v>
      </c>
      <c r="AU2235">
        <v>0</v>
      </c>
      <c r="AW2235">
        <v>0</v>
      </c>
      <c r="AX2235">
        <v>0</v>
      </c>
      <c r="AY2235">
        <v>145.6</v>
      </c>
      <c r="BC2235" t="str">
        <f t="shared" si="358"/>
        <v>9791137601710</v>
      </c>
      <c r="BE2235" t="str">
        <f t="shared" si="359"/>
        <v>판타지 웹소설 &gt; 퓨전 판타지</v>
      </c>
    </row>
    <row r="2236" spans="1:57" x14ac:dyDescent="0.3">
      <c r="A2236">
        <v>2313017657</v>
      </c>
      <c r="B2236">
        <v>2313017685</v>
      </c>
      <c r="C2236" t="str">
        <f>T("회귀자의 슬기로운 복수생활 29화")</f>
        <v>회귀자의 슬기로운 복수생활 29화</v>
      </c>
      <c r="D2236" t="str">
        <f>T("29")</f>
        <v>29</v>
      </c>
      <c r="E2236" t="str">
        <f t="shared" si="355"/>
        <v>구공</v>
      </c>
      <c r="H2236" t="str">
        <f t="shared" si="356"/>
        <v>스토리위즈</v>
      </c>
      <c r="I2236" t="str">
        <f t="shared" si="357"/>
        <v>회귀자의 슬기로운 복수생활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2</v>
      </c>
      <c r="AI2236">
        <v>0</v>
      </c>
      <c r="AJ2236">
        <v>0</v>
      </c>
      <c r="AK2236">
        <v>100</v>
      </c>
      <c r="AL2236">
        <v>0</v>
      </c>
      <c r="AM2236">
        <v>120</v>
      </c>
      <c r="AN2236">
        <v>-12</v>
      </c>
      <c r="AO2236">
        <v>0</v>
      </c>
      <c r="AP2236"/>
      <c r="AQ2236">
        <v>0</v>
      </c>
      <c r="AR2236">
        <v>0</v>
      </c>
      <c r="AS2236">
        <v>120</v>
      </c>
      <c r="AT2236">
        <v>-12</v>
      </c>
      <c r="AU2236">
        <v>0</v>
      </c>
      <c r="AW2236">
        <v>0</v>
      </c>
      <c r="AX2236">
        <v>0</v>
      </c>
      <c r="AY2236">
        <v>145.6</v>
      </c>
      <c r="BC2236" t="str">
        <f t="shared" si="358"/>
        <v>9791137601710</v>
      </c>
      <c r="BE2236" t="str">
        <f t="shared" si="359"/>
        <v>판타지 웹소설 &gt; 퓨전 판타지</v>
      </c>
    </row>
    <row r="2237" spans="1:57" x14ac:dyDescent="0.3">
      <c r="A2237">
        <v>2313017657</v>
      </c>
      <c r="B2237">
        <v>2313017686</v>
      </c>
      <c r="C2237" t="str">
        <f>T("회귀자의 슬기로운 복수생활 30화")</f>
        <v>회귀자의 슬기로운 복수생활 30화</v>
      </c>
      <c r="D2237" t="str">
        <f>T("30")</f>
        <v>30</v>
      </c>
      <c r="E2237" t="str">
        <f t="shared" si="355"/>
        <v>구공</v>
      </c>
      <c r="H2237" t="str">
        <f t="shared" si="356"/>
        <v>스토리위즈</v>
      </c>
      <c r="I2237" t="str">
        <f t="shared" si="357"/>
        <v>회귀자의 슬기로운 복수생활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2</v>
      </c>
      <c r="AI2237">
        <v>0</v>
      </c>
      <c r="AJ2237">
        <v>0</v>
      </c>
      <c r="AK2237">
        <v>100</v>
      </c>
      <c r="AL2237">
        <v>0</v>
      </c>
      <c r="AM2237">
        <v>120</v>
      </c>
      <c r="AN2237">
        <v>-12</v>
      </c>
      <c r="AO2237">
        <v>0</v>
      </c>
      <c r="AP2237"/>
      <c r="AQ2237">
        <v>0</v>
      </c>
      <c r="AR2237">
        <v>0</v>
      </c>
      <c r="AS2237">
        <v>120</v>
      </c>
      <c r="AT2237">
        <v>-12</v>
      </c>
      <c r="AU2237">
        <v>0</v>
      </c>
      <c r="AW2237">
        <v>0</v>
      </c>
      <c r="AX2237">
        <v>0</v>
      </c>
      <c r="AY2237">
        <v>145.6</v>
      </c>
      <c r="BC2237" t="str">
        <f t="shared" si="358"/>
        <v>9791137601710</v>
      </c>
      <c r="BE2237" t="str">
        <f t="shared" si="359"/>
        <v>판타지 웹소설 &gt; 퓨전 판타지</v>
      </c>
    </row>
    <row r="2238" spans="1:57" x14ac:dyDescent="0.3">
      <c r="A2238">
        <v>2313017657</v>
      </c>
      <c r="B2238">
        <v>2313017687</v>
      </c>
      <c r="C2238" t="str">
        <f>T("회귀자의 슬기로운 복수생활 31화")</f>
        <v>회귀자의 슬기로운 복수생활 31화</v>
      </c>
      <c r="D2238" t="str">
        <f>T("31")</f>
        <v>31</v>
      </c>
      <c r="E2238" t="str">
        <f t="shared" si="355"/>
        <v>구공</v>
      </c>
      <c r="H2238" t="str">
        <f t="shared" si="356"/>
        <v>스토리위즈</v>
      </c>
      <c r="I2238" t="str">
        <f t="shared" si="357"/>
        <v>회귀자의 슬기로운 복수생활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2</v>
      </c>
      <c r="AI2238">
        <v>0</v>
      </c>
      <c r="AJ2238">
        <v>0</v>
      </c>
      <c r="AK2238">
        <v>100</v>
      </c>
      <c r="AL2238">
        <v>0</v>
      </c>
      <c r="AM2238">
        <v>120</v>
      </c>
      <c r="AN2238">
        <v>-12</v>
      </c>
      <c r="AO2238">
        <v>0</v>
      </c>
      <c r="AP2238"/>
      <c r="AQ2238">
        <v>0</v>
      </c>
      <c r="AR2238">
        <v>0</v>
      </c>
      <c r="AS2238">
        <v>120</v>
      </c>
      <c r="AT2238">
        <v>-12</v>
      </c>
      <c r="AU2238">
        <v>0</v>
      </c>
      <c r="AW2238">
        <v>0</v>
      </c>
      <c r="AX2238">
        <v>0</v>
      </c>
      <c r="AY2238">
        <v>145.6</v>
      </c>
      <c r="BC2238" t="str">
        <f t="shared" si="358"/>
        <v>9791137601710</v>
      </c>
      <c r="BE2238" t="str">
        <f t="shared" si="359"/>
        <v>판타지 웹소설 &gt; 퓨전 판타지</v>
      </c>
    </row>
    <row r="2239" spans="1:57" x14ac:dyDescent="0.3">
      <c r="A2239">
        <v>2313017657</v>
      </c>
      <c r="B2239">
        <v>2313017688</v>
      </c>
      <c r="C2239" t="str">
        <f>T("회귀자의 슬기로운 복수생활 32화")</f>
        <v>회귀자의 슬기로운 복수생활 32화</v>
      </c>
      <c r="D2239" t="str">
        <f>T("32")</f>
        <v>32</v>
      </c>
      <c r="E2239" t="str">
        <f t="shared" si="355"/>
        <v>구공</v>
      </c>
      <c r="H2239" t="str">
        <f t="shared" si="356"/>
        <v>스토리위즈</v>
      </c>
      <c r="I2239" t="str">
        <f t="shared" si="357"/>
        <v>회귀자의 슬기로운 복수생활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2</v>
      </c>
      <c r="AI2239">
        <v>0</v>
      </c>
      <c r="AJ2239">
        <v>0</v>
      </c>
      <c r="AK2239">
        <v>100</v>
      </c>
      <c r="AL2239">
        <v>0</v>
      </c>
      <c r="AM2239">
        <v>120</v>
      </c>
      <c r="AN2239">
        <v>-12</v>
      </c>
      <c r="AO2239">
        <v>0</v>
      </c>
      <c r="AP2239"/>
      <c r="AQ2239">
        <v>0</v>
      </c>
      <c r="AR2239">
        <v>0</v>
      </c>
      <c r="AS2239">
        <v>120</v>
      </c>
      <c r="AT2239">
        <v>-12</v>
      </c>
      <c r="AU2239">
        <v>0</v>
      </c>
      <c r="AW2239">
        <v>0</v>
      </c>
      <c r="AX2239">
        <v>0</v>
      </c>
      <c r="AY2239">
        <v>145.6</v>
      </c>
      <c r="BC2239" t="str">
        <f t="shared" si="358"/>
        <v>9791137601710</v>
      </c>
      <c r="BE2239" t="str">
        <f t="shared" si="359"/>
        <v>판타지 웹소설 &gt; 퓨전 판타지</v>
      </c>
    </row>
    <row r="2240" spans="1:57" x14ac:dyDescent="0.3">
      <c r="A2240">
        <v>2313017657</v>
      </c>
      <c r="B2240">
        <v>2313017689</v>
      </c>
      <c r="C2240" t="str">
        <f>T("회귀자의 슬기로운 복수생활 33화")</f>
        <v>회귀자의 슬기로운 복수생활 33화</v>
      </c>
      <c r="D2240" t="str">
        <f>T("33")</f>
        <v>33</v>
      </c>
      <c r="E2240" t="str">
        <f t="shared" si="355"/>
        <v>구공</v>
      </c>
      <c r="H2240" t="str">
        <f t="shared" si="356"/>
        <v>스토리위즈</v>
      </c>
      <c r="I2240" t="str">
        <f t="shared" si="357"/>
        <v>회귀자의 슬기로운 복수생활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2</v>
      </c>
      <c r="AI2240">
        <v>0</v>
      </c>
      <c r="AJ2240">
        <v>0</v>
      </c>
      <c r="AK2240">
        <v>100</v>
      </c>
      <c r="AL2240">
        <v>0</v>
      </c>
      <c r="AM2240">
        <v>120</v>
      </c>
      <c r="AN2240">
        <v>-12</v>
      </c>
      <c r="AO2240">
        <v>0</v>
      </c>
      <c r="AP2240"/>
      <c r="AQ2240">
        <v>0</v>
      </c>
      <c r="AR2240">
        <v>0</v>
      </c>
      <c r="AS2240">
        <v>120</v>
      </c>
      <c r="AT2240">
        <v>-12</v>
      </c>
      <c r="AU2240">
        <v>0</v>
      </c>
      <c r="AW2240">
        <v>0</v>
      </c>
      <c r="AX2240">
        <v>0</v>
      </c>
      <c r="AY2240">
        <v>145.6</v>
      </c>
      <c r="BC2240" t="str">
        <f t="shared" si="358"/>
        <v>9791137601710</v>
      </c>
      <c r="BE2240" t="str">
        <f t="shared" si="359"/>
        <v>판타지 웹소설 &gt; 퓨전 판타지</v>
      </c>
    </row>
    <row r="2241" spans="1:57" x14ac:dyDescent="0.3">
      <c r="A2241">
        <v>2313017657</v>
      </c>
      <c r="B2241">
        <v>2313017690</v>
      </c>
      <c r="C2241" t="str">
        <f>T("회귀자의 슬기로운 복수생활 34화")</f>
        <v>회귀자의 슬기로운 복수생활 34화</v>
      </c>
      <c r="D2241" t="str">
        <f>T("34")</f>
        <v>34</v>
      </c>
      <c r="E2241" t="str">
        <f t="shared" si="355"/>
        <v>구공</v>
      </c>
      <c r="H2241" t="str">
        <f t="shared" si="356"/>
        <v>스토리위즈</v>
      </c>
      <c r="I2241" t="str">
        <f t="shared" si="357"/>
        <v>회귀자의 슬기로운 복수생활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2</v>
      </c>
      <c r="AI2241">
        <v>0</v>
      </c>
      <c r="AJ2241">
        <v>0</v>
      </c>
      <c r="AK2241">
        <v>100</v>
      </c>
      <c r="AL2241">
        <v>0</v>
      </c>
      <c r="AM2241">
        <v>120</v>
      </c>
      <c r="AN2241">
        <v>-12</v>
      </c>
      <c r="AO2241">
        <v>0</v>
      </c>
      <c r="AP2241"/>
      <c r="AQ2241">
        <v>0</v>
      </c>
      <c r="AR2241">
        <v>0</v>
      </c>
      <c r="AS2241">
        <v>120</v>
      </c>
      <c r="AT2241">
        <v>-12</v>
      </c>
      <c r="AU2241">
        <v>0</v>
      </c>
      <c r="AW2241">
        <v>0</v>
      </c>
      <c r="AX2241">
        <v>0</v>
      </c>
      <c r="AY2241">
        <v>145.6</v>
      </c>
      <c r="BC2241" t="str">
        <f t="shared" si="358"/>
        <v>9791137601710</v>
      </c>
      <c r="BE2241" t="str">
        <f t="shared" si="359"/>
        <v>판타지 웹소설 &gt; 퓨전 판타지</v>
      </c>
    </row>
    <row r="2242" spans="1:57" x14ac:dyDescent="0.3">
      <c r="A2242">
        <v>2313017657</v>
      </c>
      <c r="B2242">
        <v>2313017691</v>
      </c>
      <c r="C2242" t="str">
        <f>T("회귀자의 슬기로운 복수생활 35화")</f>
        <v>회귀자의 슬기로운 복수생활 35화</v>
      </c>
      <c r="D2242" t="str">
        <f>T("35")</f>
        <v>35</v>
      </c>
      <c r="E2242" t="str">
        <f t="shared" si="355"/>
        <v>구공</v>
      </c>
      <c r="H2242" t="str">
        <f t="shared" si="356"/>
        <v>스토리위즈</v>
      </c>
      <c r="I2242" t="str">
        <f t="shared" si="357"/>
        <v>회귀자의 슬기로운 복수생활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2</v>
      </c>
      <c r="AI2242">
        <v>0</v>
      </c>
      <c r="AJ2242">
        <v>0</v>
      </c>
      <c r="AK2242">
        <v>100</v>
      </c>
      <c r="AL2242">
        <v>0</v>
      </c>
      <c r="AM2242">
        <v>120</v>
      </c>
      <c r="AN2242">
        <v>-12</v>
      </c>
      <c r="AO2242">
        <v>0</v>
      </c>
      <c r="AP2242"/>
      <c r="AQ2242">
        <v>0</v>
      </c>
      <c r="AR2242">
        <v>0</v>
      </c>
      <c r="AS2242">
        <v>120</v>
      </c>
      <c r="AT2242">
        <v>-12</v>
      </c>
      <c r="AU2242">
        <v>0</v>
      </c>
      <c r="AW2242">
        <v>0</v>
      </c>
      <c r="AX2242">
        <v>0</v>
      </c>
      <c r="AY2242">
        <v>145.6</v>
      </c>
      <c r="BC2242" t="str">
        <f t="shared" si="358"/>
        <v>9791137601710</v>
      </c>
      <c r="BE2242" t="str">
        <f t="shared" si="359"/>
        <v>판타지 웹소설 &gt; 퓨전 판타지</v>
      </c>
    </row>
    <row r="2243" spans="1:57" x14ac:dyDescent="0.3">
      <c r="A2243">
        <v>2313017657</v>
      </c>
      <c r="B2243">
        <v>2313017692</v>
      </c>
      <c r="C2243" t="str">
        <f>T("회귀자의 슬기로운 복수생활 36화")</f>
        <v>회귀자의 슬기로운 복수생활 36화</v>
      </c>
      <c r="D2243" t="str">
        <f>T("36")</f>
        <v>36</v>
      </c>
      <c r="E2243" t="str">
        <f t="shared" si="355"/>
        <v>구공</v>
      </c>
      <c r="H2243" t="str">
        <f t="shared" si="356"/>
        <v>스토리위즈</v>
      </c>
      <c r="I2243" t="str">
        <f t="shared" si="357"/>
        <v>회귀자의 슬기로운 복수생활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2</v>
      </c>
      <c r="AI2243">
        <v>0</v>
      </c>
      <c r="AJ2243">
        <v>0</v>
      </c>
      <c r="AK2243">
        <v>100</v>
      </c>
      <c r="AL2243">
        <v>0</v>
      </c>
      <c r="AM2243">
        <v>120</v>
      </c>
      <c r="AN2243">
        <v>-12</v>
      </c>
      <c r="AO2243">
        <v>0</v>
      </c>
      <c r="AP2243"/>
      <c r="AQ2243">
        <v>0</v>
      </c>
      <c r="AR2243">
        <v>0</v>
      </c>
      <c r="AS2243">
        <v>120</v>
      </c>
      <c r="AT2243">
        <v>-12</v>
      </c>
      <c r="AU2243">
        <v>0</v>
      </c>
      <c r="AW2243">
        <v>0</v>
      </c>
      <c r="AX2243">
        <v>0</v>
      </c>
      <c r="AY2243">
        <v>145.6</v>
      </c>
      <c r="BC2243" t="str">
        <f t="shared" si="358"/>
        <v>9791137601710</v>
      </c>
      <c r="BE2243" t="str">
        <f t="shared" si="359"/>
        <v>판타지 웹소설 &gt; 퓨전 판타지</v>
      </c>
    </row>
    <row r="2244" spans="1:57" x14ac:dyDescent="0.3">
      <c r="A2244">
        <v>2313017657</v>
      </c>
      <c r="B2244">
        <v>2313017693</v>
      </c>
      <c r="C2244" t="str">
        <f>T("회귀자의 슬기로운 복수생활 37화")</f>
        <v>회귀자의 슬기로운 복수생활 37화</v>
      </c>
      <c r="D2244" t="str">
        <f>T("37")</f>
        <v>37</v>
      </c>
      <c r="E2244" t="str">
        <f t="shared" si="355"/>
        <v>구공</v>
      </c>
      <c r="H2244" t="str">
        <f t="shared" si="356"/>
        <v>스토리위즈</v>
      </c>
      <c r="I2244" t="str">
        <f t="shared" si="357"/>
        <v>회귀자의 슬기로운 복수생활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2</v>
      </c>
      <c r="AI2244">
        <v>0</v>
      </c>
      <c r="AJ2244">
        <v>0</v>
      </c>
      <c r="AK2244">
        <v>100</v>
      </c>
      <c r="AL2244">
        <v>0</v>
      </c>
      <c r="AM2244">
        <v>120</v>
      </c>
      <c r="AN2244">
        <v>-12</v>
      </c>
      <c r="AO2244">
        <v>0</v>
      </c>
      <c r="AP2244"/>
      <c r="AQ2244">
        <v>0</v>
      </c>
      <c r="AR2244">
        <v>0</v>
      </c>
      <c r="AS2244">
        <v>120</v>
      </c>
      <c r="AT2244">
        <v>-12</v>
      </c>
      <c r="AU2244">
        <v>0</v>
      </c>
      <c r="AW2244">
        <v>0</v>
      </c>
      <c r="AX2244">
        <v>0</v>
      </c>
      <c r="AY2244">
        <v>145.6</v>
      </c>
      <c r="BC2244" t="str">
        <f t="shared" si="358"/>
        <v>9791137601710</v>
      </c>
      <c r="BE2244" t="str">
        <f t="shared" si="359"/>
        <v>판타지 웹소설 &gt; 퓨전 판타지</v>
      </c>
    </row>
    <row r="2245" spans="1:57" x14ac:dyDescent="0.3">
      <c r="A2245">
        <v>2313017657</v>
      </c>
      <c r="B2245">
        <v>2313017694</v>
      </c>
      <c r="C2245" t="str">
        <f>T("회귀자의 슬기로운 복수생활 38화")</f>
        <v>회귀자의 슬기로운 복수생활 38화</v>
      </c>
      <c r="D2245" t="str">
        <f>T("38")</f>
        <v>38</v>
      </c>
      <c r="E2245" t="str">
        <f t="shared" si="355"/>
        <v>구공</v>
      </c>
      <c r="H2245" t="str">
        <f t="shared" si="356"/>
        <v>스토리위즈</v>
      </c>
      <c r="I2245" t="str">
        <f t="shared" si="357"/>
        <v>회귀자의 슬기로운 복수생활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2</v>
      </c>
      <c r="AI2245">
        <v>0</v>
      </c>
      <c r="AJ2245">
        <v>0</v>
      </c>
      <c r="AK2245">
        <v>100</v>
      </c>
      <c r="AL2245">
        <v>0</v>
      </c>
      <c r="AM2245">
        <v>120</v>
      </c>
      <c r="AN2245">
        <v>-12</v>
      </c>
      <c r="AO2245">
        <v>0</v>
      </c>
      <c r="AP2245"/>
      <c r="AQ2245">
        <v>0</v>
      </c>
      <c r="AR2245">
        <v>0</v>
      </c>
      <c r="AS2245">
        <v>120</v>
      </c>
      <c r="AT2245">
        <v>-12</v>
      </c>
      <c r="AU2245">
        <v>0</v>
      </c>
      <c r="AW2245">
        <v>0</v>
      </c>
      <c r="AX2245">
        <v>0</v>
      </c>
      <c r="AY2245">
        <v>145.6</v>
      </c>
      <c r="BC2245" t="str">
        <f t="shared" si="358"/>
        <v>9791137601710</v>
      </c>
      <c r="BE2245" t="str">
        <f t="shared" si="359"/>
        <v>판타지 웹소설 &gt; 퓨전 판타지</v>
      </c>
    </row>
    <row r="2246" spans="1:57" x14ac:dyDescent="0.3">
      <c r="A2246">
        <v>2313017657</v>
      </c>
      <c r="B2246">
        <v>2313017695</v>
      </c>
      <c r="C2246" t="str">
        <f>T("회귀자의 슬기로운 복수생활 39화")</f>
        <v>회귀자의 슬기로운 복수생활 39화</v>
      </c>
      <c r="D2246" t="str">
        <f>T("39")</f>
        <v>39</v>
      </c>
      <c r="E2246" t="str">
        <f t="shared" si="355"/>
        <v>구공</v>
      </c>
      <c r="H2246" t="str">
        <f t="shared" si="356"/>
        <v>스토리위즈</v>
      </c>
      <c r="I2246" t="str">
        <f t="shared" si="357"/>
        <v>회귀자의 슬기로운 복수생활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2</v>
      </c>
      <c r="AI2246">
        <v>0</v>
      </c>
      <c r="AJ2246">
        <v>0</v>
      </c>
      <c r="AK2246">
        <v>100</v>
      </c>
      <c r="AL2246">
        <v>0</v>
      </c>
      <c r="AM2246">
        <v>120</v>
      </c>
      <c r="AN2246">
        <v>-12</v>
      </c>
      <c r="AO2246">
        <v>0</v>
      </c>
      <c r="AP2246"/>
      <c r="AQ2246">
        <v>0</v>
      </c>
      <c r="AR2246">
        <v>0</v>
      </c>
      <c r="AS2246">
        <v>120</v>
      </c>
      <c r="AT2246">
        <v>-12</v>
      </c>
      <c r="AU2246">
        <v>0</v>
      </c>
      <c r="AW2246">
        <v>0</v>
      </c>
      <c r="AX2246">
        <v>0</v>
      </c>
      <c r="AY2246">
        <v>145.6</v>
      </c>
      <c r="BC2246" t="str">
        <f t="shared" si="358"/>
        <v>9791137601710</v>
      </c>
      <c r="BE2246" t="str">
        <f t="shared" si="359"/>
        <v>판타지 웹소설 &gt; 퓨전 판타지</v>
      </c>
    </row>
    <row r="2247" spans="1:57" x14ac:dyDescent="0.3">
      <c r="A2247">
        <v>2313017657</v>
      </c>
      <c r="B2247">
        <v>2313017696</v>
      </c>
      <c r="C2247" t="str">
        <f>T("회귀자의 슬기로운 복수생활 40화")</f>
        <v>회귀자의 슬기로운 복수생활 40화</v>
      </c>
      <c r="D2247" t="str">
        <f>T("40")</f>
        <v>40</v>
      </c>
      <c r="E2247" t="str">
        <f t="shared" si="355"/>
        <v>구공</v>
      </c>
      <c r="H2247" t="str">
        <f t="shared" si="356"/>
        <v>스토리위즈</v>
      </c>
      <c r="I2247" t="str">
        <f t="shared" si="357"/>
        <v>회귀자의 슬기로운 복수생활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2</v>
      </c>
      <c r="AI2247">
        <v>0</v>
      </c>
      <c r="AJ2247">
        <v>0</v>
      </c>
      <c r="AK2247">
        <v>100</v>
      </c>
      <c r="AL2247">
        <v>0</v>
      </c>
      <c r="AM2247">
        <v>120</v>
      </c>
      <c r="AN2247">
        <v>-12</v>
      </c>
      <c r="AO2247">
        <v>0</v>
      </c>
      <c r="AP2247"/>
      <c r="AQ2247">
        <v>0</v>
      </c>
      <c r="AR2247">
        <v>0</v>
      </c>
      <c r="AS2247">
        <v>120</v>
      </c>
      <c r="AT2247">
        <v>-12</v>
      </c>
      <c r="AU2247">
        <v>0</v>
      </c>
      <c r="AW2247">
        <v>0</v>
      </c>
      <c r="AX2247">
        <v>0</v>
      </c>
      <c r="AY2247">
        <v>145.6</v>
      </c>
      <c r="BC2247" t="str">
        <f t="shared" si="358"/>
        <v>9791137601710</v>
      </c>
      <c r="BE2247" t="str">
        <f t="shared" si="359"/>
        <v>판타지 웹소설 &gt; 퓨전 판타지</v>
      </c>
    </row>
    <row r="2248" spans="1:57" x14ac:dyDescent="0.3">
      <c r="A2248">
        <v>2313017657</v>
      </c>
      <c r="B2248">
        <v>2313017697</v>
      </c>
      <c r="C2248" t="str">
        <f>T("회귀자의 슬기로운 복수생활 41화")</f>
        <v>회귀자의 슬기로운 복수생활 41화</v>
      </c>
      <c r="D2248" t="str">
        <f>T("41")</f>
        <v>41</v>
      </c>
      <c r="E2248" t="str">
        <f t="shared" si="355"/>
        <v>구공</v>
      </c>
      <c r="H2248" t="str">
        <f t="shared" si="356"/>
        <v>스토리위즈</v>
      </c>
      <c r="I2248" t="str">
        <f t="shared" si="357"/>
        <v>회귀자의 슬기로운 복수생활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2</v>
      </c>
      <c r="AI2248">
        <v>0</v>
      </c>
      <c r="AJ2248">
        <v>0</v>
      </c>
      <c r="AK2248">
        <v>100</v>
      </c>
      <c r="AL2248">
        <v>0</v>
      </c>
      <c r="AM2248">
        <v>120</v>
      </c>
      <c r="AN2248">
        <v>-12</v>
      </c>
      <c r="AO2248">
        <v>0</v>
      </c>
      <c r="AP2248"/>
      <c r="AQ2248">
        <v>0</v>
      </c>
      <c r="AR2248">
        <v>0</v>
      </c>
      <c r="AS2248">
        <v>120</v>
      </c>
      <c r="AT2248">
        <v>-12</v>
      </c>
      <c r="AU2248">
        <v>0</v>
      </c>
      <c r="AW2248">
        <v>0</v>
      </c>
      <c r="AX2248">
        <v>0</v>
      </c>
      <c r="AY2248">
        <v>145.6</v>
      </c>
      <c r="BC2248" t="str">
        <f t="shared" si="358"/>
        <v>9791137601710</v>
      </c>
      <c r="BE2248" t="str">
        <f t="shared" si="359"/>
        <v>판타지 웹소설 &gt; 퓨전 판타지</v>
      </c>
    </row>
    <row r="2249" spans="1:57" x14ac:dyDescent="0.3">
      <c r="A2249">
        <v>2313017657</v>
      </c>
      <c r="B2249">
        <v>2313017698</v>
      </c>
      <c r="C2249" t="str">
        <f>T("회귀자의 슬기로운 복수생활 42화")</f>
        <v>회귀자의 슬기로운 복수생활 42화</v>
      </c>
      <c r="D2249" t="str">
        <f>T("42")</f>
        <v>42</v>
      </c>
      <c r="E2249" t="str">
        <f t="shared" si="355"/>
        <v>구공</v>
      </c>
      <c r="H2249" t="str">
        <f t="shared" si="356"/>
        <v>스토리위즈</v>
      </c>
      <c r="I2249" t="str">
        <f t="shared" si="357"/>
        <v>회귀자의 슬기로운 복수생활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2</v>
      </c>
      <c r="AI2249">
        <v>0</v>
      </c>
      <c r="AJ2249">
        <v>0</v>
      </c>
      <c r="AK2249">
        <v>100</v>
      </c>
      <c r="AL2249">
        <v>0</v>
      </c>
      <c r="AM2249">
        <v>120</v>
      </c>
      <c r="AN2249">
        <v>-12</v>
      </c>
      <c r="AO2249">
        <v>0</v>
      </c>
      <c r="AP2249"/>
      <c r="AQ2249">
        <v>0</v>
      </c>
      <c r="AR2249">
        <v>0</v>
      </c>
      <c r="AS2249">
        <v>120</v>
      </c>
      <c r="AT2249">
        <v>-12</v>
      </c>
      <c r="AU2249">
        <v>0</v>
      </c>
      <c r="AW2249">
        <v>0</v>
      </c>
      <c r="AX2249">
        <v>0</v>
      </c>
      <c r="AY2249">
        <v>145.6</v>
      </c>
      <c r="BC2249" t="str">
        <f t="shared" si="358"/>
        <v>9791137601710</v>
      </c>
      <c r="BE2249" t="str">
        <f t="shared" si="359"/>
        <v>판타지 웹소설 &gt; 퓨전 판타지</v>
      </c>
    </row>
    <row r="2250" spans="1:57" x14ac:dyDescent="0.3">
      <c r="A2250">
        <v>2313017657</v>
      </c>
      <c r="B2250">
        <v>2313017699</v>
      </c>
      <c r="C2250" t="str">
        <f>T("회귀자의 슬기로운 복수생활 43화")</f>
        <v>회귀자의 슬기로운 복수생활 43화</v>
      </c>
      <c r="D2250" t="str">
        <f>T("43")</f>
        <v>43</v>
      </c>
      <c r="E2250" t="str">
        <f t="shared" si="355"/>
        <v>구공</v>
      </c>
      <c r="H2250" t="str">
        <f t="shared" si="356"/>
        <v>스토리위즈</v>
      </c>
      <c r="I2250" t="str">
        <f t="shared" si="357"/>
        <v>회귀자의 슬기로운 복수생활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2</v>
      </c>
      <c r="AI2250">
        <v>0</v>
      </c>
      <c r="AJ2250">
        <v>0</v>
      </c>
      <c r="AK2250">
        <v>100</v>
      </c>
      <c r="AL2250">
        <v>0</v>
      </c>
      <c r="AM2250">
        <v>120</v>
      </c>
      <c r="AN2250">
        <v>-12</v>
      </c>
      <c r="AO2250">
        <v>0</v>
      </c>
      <c r="AP2250"/>
      <c r="AQ2250">
        <v>0</v>
      </c>
      <c r="AR2250">
        <v>0</v>
      </c>
      <c r="AS2250">
        <v>120</v>
      </c>
      <c r="AT2250">
        <v>-12</v>
      </c>
      <c r="AU2250">
        <v>0</v>
      </c>
      <c r="AW2250">
        <v>0</v>
      </c>
      <c r="AX2250">
        <v>0</v>
      </c>
      <c r="AY2250">
        <v>145.6</v>
      </c>
      <c r="BC2250" t="str">
        <f t="shared" si="358"/>
        <v>9791137601710</v>
      </c>
      <c r="BE2250" t="str">
        <f t="shared" si="359"/>
        <v>판타지 웹소설 &gt; 퓨전 판타지</v>
      </c>
    </row>
    <row r="2251" spans="1:57" x14ac:dyDescent="0.3">
      <c r="A2251">
        <v>2313018100</v>
      </c>
      <c r="B2251">
        <v>2313018139</v>
      </c>
      <c r="C2251" t="str">
        <f>T("위대한 가문의 망나니가 되다 40화")</f>
        <v>위대한 가문의 망나니가 되다 40화</v>
      </c>
      <c r="D2251" t="str">
        <f>T("40")</f>
        <v>40</v>
      </c>
      <c r="E2251" t="str">
        <f t="shared" ref="E2251:E2270" si="360">T("바나바다")</f>
        <v>바나바다</v>
      </c>
      <c r="H2251" t="str">
        <f t="shared" si="356"/>
        <v>스토리위즈</v>
      </c>
      <c r="I2251" t="str">
        <f t="shared" ref="I2251:I2270" si="361">T("위대한 가문의 망나니가 되다")</f>
        <v>위대한 가문의 망나니가 되다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2</v>
      </c>
      <c r="AI2251">
        <v>0</v>
      </c>
      <c r="AJ2251">
        <v>0</v>
      </c>
      <c r="AK2251">
        <v>200</v>
      </c>
      <c r="AL2251">
        <v>0</v>
      </c>
      <c r="AM2251">
        <v>0</v>
      </c>
      <c r="AN2251">
        <v>0</v>
      </c>
      <c r="AO2251">
        <v>0</v>
      </c>
      <c r="AP2251"/>
      <c r="AQ2251">
        <v>0</v>
      </c>
      <c r="AR2251">
        <v>0</v>
      </c>
      <c r="AT2251">
        <v>0</v>
      </c>
      <c r="AU2251">
        <v>0</v>
      </c>
      <c r="AW2251">
        <v>0</v>
      </c>
      <c r="AX2251">
        <v>0</v>
      </c>
      <c r="AY2251">
        <v>140</v>
      </c>
      <c r="BC2251" t="str">
        <f t="shared" ref="BC2251:BC2270" si="362">T("9791137601901")</f>
        <v>9791137601901</v>
      </c>
      <c r="BE2251" t="str">
        <f t="shared" si="359"/>
        <v>판타지 웹소설 &gt; 퓨전 판타지</v>
      </c>
    </row>
    <row r="2252" spans="1:57" x14ac:dyDescent="0.3">
      <c r="A2252">
        <v>2313018100</v>
      </c>
      <c r="B2252">
        <v>2313018140</v>
      </c>
      <c r="C2252" t="str">
        <f>T("위대한 가문의 망나니가 되다 41화")</f>
        <v>위대한 가문의 망나니가 되다 41화</v>
      </c>
      <c r="D2252" t="str">
        <f>T("41")</f>
        <v>41</v>
      </c>
      <c r="E2252" t="str">
        <f t="shared" si="360"/>
        <v>바나바다</v>
      </c>
      <c r="H2252" t="str">
        <f t="shared" si="356"/>
        <v>스토리위즈</v>
      </c>
      <c r="I2252" t="str">
        <f t="shared" si="361"/>
        <v>위대한 가문의 망나니가 되다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2</v>
      </c>
      <c r="AI2252">
        <v>0</v>
      </c>
      <c r="AJ2252">
        <v>0</v>
      </c>
      <c r="AK2252">
        <v>200</v>
      </c>
      <c r="AL2252">
        <v>0</v>
      </c>
      <c r="AM2252">
        <v>0</v>
      </c>
      <c r="AN2252">
        <v>0</v>
      </c>
      <c r="AO2252">
        <v>0</v>
      </c>
      <c r="AP2252"/>
      <c r="AQ2252">
        <v>0</v>
      </c>
      <c r="AR2252">
        <v>0</v>
      </c>
      <c r="AT2252">
        <v>0</v>
      </c>
      <c r="AU2252">
        <v>0</v>
      </c>
      <c r="AW2252">
        <v>0</v>
      </c>
      <c r="AX2252">
        <v>0</v>
      </c>
      <c r="AY2252">
        <v>140</v>
      </c>
      <c r="BC2252" t="str">
        <f t="shared" si="362"/>
        <v>9791137601901</v>
      </c>
      <c r="BE2252" t="str">
        <f t="shared" si="359"/>
        <v>판타지 웹소설 &gt; 퓨전 판타지</v>
      </c>
    </row>
    <row r="2253" spans="1:57" x14ac:dyDescent="0.3">
      <c r="A2253">
        <v>2313018100</v>
      </c>
      <c r="B2253">
        <v>2313018141</v>
      </c>
      <c r="C2253" t="str">
        <f>T("위대한 가문의 망나니가 되다 42화")</f>
        <v>위대한 가문의 망나니가 되다 42화</v>
      </c>
      <c r="D2253" t="str">
        <f>T("42")</f>
        <v>42</v>
      </c>
      <c r="E2253" t="str">
        <f t="shared" si="360"/>
        <v>바나바다</v>
      </c>
      <c r="H2253" t="str">
        <f t="shared" si="356"/>
        <v>스토리위즈</v>
      </c>
      <c r="I2253" t="str">
        <f t="shared" si="361"/>
        <v>위대한 가문의 망나니가 되다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2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0</v>
      </c>
      <c r="AP2253"/>
      <c r="AQ2253">
        <v>0</v>
      </c>
      <c r="AR2253">
        <v>0</v>
      </c>
      <c r="AT2253">
        <v>0</v>
      </c>
      <c r="AU2253">
        <v>0</v>
      </c>
      <c r="AW2253">
        <v>0</v>
      </c>
      <c r="AX2253">
        <v>0</v>
      </c>
      <c r="AY2253">
        <v>140</v>
      </c>
      <c r="BC2253" t="str">
        <f t="shared" si="362"/>
        <v>9791137601901</v>
      </c>
      <c r="BE2253" t="str">
        <f t="shared" si="359"/>
        <v>판타지 웹소설 &gt; 퓨전 판타지</v>
      </c>
    </row>
    <row r="2254" spans="1:57" x14ac:dyDescent="0.3">
      <c r="A2254">
        <v>2313018100</v>
      </c>
      <c r="B2254">
        <v>2313018142</v>
      </c>
      <c r="C2254" t="str">
        <f>T("위대한 가문의 망나니가 되다 43화")</f>
        <v>위대한 가문의 망나니가 되다 43화</v>
      </c>
      <c r="D2254" t="str">
        <f>T("43")</f>
        <v>43</v>
      </c>
      <c r="E2254" t="str">
        <f t="shared" si="360"/>
        <v>바나바다</v>
      </c>
      <c r="H2254" t="str">
        <f t="shared" si="356"/>
        <v>스토리위즈</v>
      </c>
      <c r="I2254" t="str">
        <f t="shared" si="361"/>
        <v>위대한 가문의 망나니가 되다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2</v>
      </c>
      <c r="AI2254">
        <v>0</v>
      </c>
      <c r="AJ2254">
        <v>0</v>
      </c>
      <c r="AK2254">
        <v>200</v>
      </c>
      <c r="AL2254">
        <v>0</v>
      </c>
      <c r="AM2254">
        <v>0</v>
      </c>
      <c r="AN2254">
        <v>0</v>
      </c>
      <c r="AO2254">
        <v>0</v>
      </c>
      <c r="AP2254"/>
      <c r="AQ2254">
        <v>0</v>
      </c>
      <c r="AR2254">
        <v>0</v>
      </c>
      <c r="AT2254">
        <v>0</v>
      </c>
      <c r="AU2254">
        <v>0</v>
      </c>
      <c r="AW2254">
        <v>0</v>
      </c>
      <c r="AX2254">
        <v>0</v>
      </c>
      <c r="AY2254">
        <v>140</v>
      </c>
      <c r="BC2254" t="str">
        <f t="shared" si="362"/>
        <v>9791137601901</v>
      </c>
      <c r="BE2254" t="str">
        <f t="shared" si="359"/>
        <v>판타지 웹소설 &gt; 퓨전 판타지</v>
      </c>
    </row>
    <row r="2255" spans="1:57" x14ac:dyDescent="0.3">
      <c r="A2255">
        <v>2313018100</v>
      </c>
      <c r="B2255">
        <v>2313018143</v>
      </c>
      <c r="C2255" t="str">
        <f>T("위대한 가문의 망나니가 되다 44화")</f>
        <v>위대한 가문의 망나니가 되다 44화</v>
      </c>
      <c r="D2255" t="str">
        <f>T("44")</f>
        <v>44</v>
      </c>
      <c r="E2255" t="str">
        <f t="shared" si="360"/>
        <v>바나바다</v>
      </c>
      <c r="H2255" t="str">
        <f t="shared" si="356"/>
        <v>스토리위즈</v>
      </c>
      <c r="I2255" t="str">
        <f t="shared" si="361"/>
        <v>위대한 가문의 망나니가 되다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2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0</v>
      </c>
      <c r="AP2255"/>
      <c r="AQ2255">
        <v>0</v>
      </c>
      <c r="AR2255">
        <v>0</v>
      </c>
      <c r="AT2255">
        <v>0</v>
      </c>
      <c r="AU2255">
        <v>0</v>
      </c>
      <c r="AW2255">
        <v>0</v>
      </c>
      <c r="AX2255">
        <v>0</v>
      </c>
      <c r="AY2255">
        <v>140</v>
      </c>
      <c r="BC2255" t="str">
        <f t="shared" si="362"/>
        <v>9791137601901</v>
      </c>
      <c r="BE2255" t="str">
        <f t="shared" si="359"/>
        <v>판타지 웹소설 &gt; 퓨전 판타지</v>
      </c>
    </row>
    <row r="2256" spans="1:57" x14ac:dyDescent="0.3">
      <c r="A2256">
        <v>2313018100</v>
      </c>
      <c r="B2256">
        <v>2313018144</v>
      </c>
      <c r="C2256" t="str">
        <f>T("위대한 가문의 망나니가 되다 45화")</f>
        <v>위대한 가문의 망나니가 되다 45화</v>
      </c>
      <c r="D2256" t="str">
        <f>T("45")</f>
        <v>45</v>
      </c>
      <c r="E2256" t="str">
        <f t="shared" si="360"/>
        <v>바나바다</v>
      </c>
      <c r="H2256" t="str">
        <f t="shared" si="356"/>
        <v>스토리위즈</v>
      </c>
      <c r="I2256" t="str">
        <f t="shared" si="361"/>
        <v>위대한 가문의 망나니가 되다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2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0</v>
      </c>
      <c r="AP2256"/>
      <c r="AQ2256">
        <v>0</v>
      </c>
      <c r="AR2256">
        <v>0</v>
      </c>
      <c r="AT2256">
        <v>0</v>
      </c>
      <c r="AU2256">
        <v>0</v>
      </c>
      <c r="AW2256">
        <v>0</v>
      </c>
      <c r="AX2256">
        <v>0</v>
      </c>
      <c r="AY2256">
        <v>140</v>
      </c>
      <c r="BC2256" t="str">
        <f t="shared" si="362"/>
        <v>9791137601901</v>
      </c>
      <c r="BE2256" t="str">
        <f t="shared" si="359"/>
        <v>판타지 웹소설 &gt; 퓨전 판타지</v>
      </c>
    </row>
    <row r="2257" spans="1:57" x14ac:dyDescent="0.3">
      <c r="A2257">
        <v>2313018100</v>
      </c>
      <c r="B2257">
        <v>2313018145</v>
      </c>
      <c r="C2257" t="str">
        <f>T("위대한 가문의 망나니가 되다 46화")</f>
        <v>위대한 가문의 망나니가 되다 46화</v>
      </c>
      <c r="D2257" t="str">
        <f>T("46")</f>
        <v>46</v>
      </c>
      <c r="E2257" t="str">
        <f t="shared" si="360"/>
        <v>바나바다</v>
      </c>
      <c r="H2257" t="str">
        <f t="shared" si="356"/>
        <v>스토리위즈</v>
      </c>
      <c r="I2257" t="str">
        <f t="shared" si="361"/>
        <v>위대한 가문의 망나니가 되다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2</v>
      </c>
      <c r="AI2257">
        <v>0</v>
      </c>
      <c r="AJ2257">
        <v>0</v>
      </c>
      <c r="AK2257">
        <v>200</v>
      </c>
      <c r="AL2257">
        <v>0</v>
      </c>
      <c r="AM2257">
        <v>0</v>
      </c>
      <c r="AN2257">
        <v>0</v>
      </c>
      <c r="AO2257">
        <v>0</v>
      </c>
      <c r="AP2257"/>
      <c r="AQ2257">
        <v>0</v>
      </c>
      <c r="AR2257">
        <v>0</v>
      </c>
      <c r="AT2257">
        <v>0</v>
      </c>
      <c r="AU2257">
        <v>0</v>
      </c>
      <c r="AW2257">
        <v>0</v>
      </c>
      <c r="AX2257">
        <v>0</v>
      </c>
      <c r="AY2257">
        <v>140</v>
      </c>
      <c r="BC2257" t="str">
        <f t="shared" si="362"/>
        <v>9791137601901</v>
      </c>
      <c r="BE2257" t="str">
        <f t="shared" si="359"/>
        <v>판타지 웹소설 &gt; 퓨전 판타지</v>
      </c>
    </row>
    <row r="2258" spans="1:57" x14ac:dyDescent="0.3">
      <c r="A2258">
        <v>2313018100</v>
      </c>
      <c r="B2258">
        <v>2313018146</v>
      </c>
      <c r="C2258" t="str">
        <f>T("위대한 가문의 망나니가 되다 47화")</f>
        <v>위대한 가문의 망나니가 되다 47화</v>
      </c>
      <c r="D2258" t="str">
        <f>T("47")</f>
        <v>47</v>
      </c>
      <c r="E2258" t="str">
        <f t="shared" si="360"/>
        <v>바나바다</v>
      </c>
      <c r="H2258" t="str">
        <f t="shared" si="356"/>
        <v>스토리위즈</v>
      </c>
      <c r="I2258" t="str">
        <f t="shared" si="361"/>
        <v>위대한 가문의 망나니가 되다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2</v>
      </c>
      <c r="AI2258">
        <v>0</v>
      </c>
      <c r="AJ2258">
        <v>0</v>
      </c>
      <c r="AK2258">
        <v>200</v>
      </c>
      <c r="AL2258">
        <v>0</v>
      </c>
      <c r="AM2258">
        <v>0</v>
      </c>
      <c r="AN2258">
        <v>0</v>
      </c>
      <c r="AO2258">
        <v>0</v>
      </c>
      <c r="AP2258"/>
      <c r="AQ2258">
        <v>0</v>
      </c>
      <c r="AR2258">
        <v>0</v>
      </c>
      <c r="AT2258">
        <v>0</v>
      </c>
      <c r="AU2258">
        <v>0</v>
      </c>
      <c r="AW2258">
        <v>0</v>
      </c>
      <c r="AX2258">
        <v>0</v>
      </c>
      <c r="AY2258">
        <v>140</v>
      </c>
      <c r="BC2258" t="str">
        <f t="shared" si="362"/>
        <v>9791137601901</v>
      </c>
      <c r="BE2258" t="str">
        <f t="shared" si="359"/>
        <v>판타지 웹소설 &gt; 퓨전 판타지</v>
      </c>
    </row>
    <row r="2259" spans="1:57" x14ac:dyDescent="0.3">
      <c r="A2259">
        <v>2313018100</v>
      </c>
      <c r="B2259">
        <v>2313018147</v>
      </c>
      <c r="C2259" t="str">
        <f>T("위대한 가문의 망나니가 되다 48화")</f>
        <v>위대한 가문의 망나니가 되다 48화</v>
      </c>
      <c r="D2259" t="str">
        <f>T("48")</f>
        <v>48</v>
      </c>
      <c r="E2259" t="str">
        <f t="shared" si="360"/>
        <v>바나바다</v>
      </c>
      <c r="H2259" t="str">
        <f t="shared" si="356"/>
        <v>스토리위즈</v>
      </c>
      <c r="I2259" t="str">
        <f t="shared" si="361"/>
        <v>위대한 가문의 망나니가 되다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2</v>
      </c>
      <c r="AI2259">
        <v>0</v>
      </c>
      <c r="AJ2259">
        <v>0</v>
      </c>
      <c r="AK2259">
        <v>200</v>
      </c>
      <c r="AL2259">
        <v>0</v>
      </c>
      <c r="AM2259">
        <v>0</v>
      </c>
      <c r="AN2259">
        <v>0</v>
      </c>
      <c r="AO2259">
        <v>0</v>
      </c>
      <c r="AP2259"/>
      <c r="AQ2259">
        <v>0</v>
      </c>
      <c r="AR2259">
        <v>0</v>
      </c>
      <c r="AT2259">
        <v>0</v>
      </c>
      <c r="AU2259">
        <v>0</v>
      </c>
      <c r="AW2259">
        <v>0</v>
      </c>
      <c r="AX2259">
        <v>0</v>
      </c>
      <c r="AY2259">
        <v>140</v>
      </c>
      <c r="BC2259" t="str">
        <f t="shared" si="362"/>
        <v>9791137601901</v>
      </c>
      <c r="BE2259" t="str">
        <f t="shared" si="359"/>
        <v>판타지 웹소설 &gt; 퓨전 판타지</v>
      </c>
    </row>
    <row r="2260" spans="1:57" x14ac:dyDescent="0.3">
      <c r="A2260">
        <v>2313018100</v>
      </c>
      <c r="B2260">
        <v>2313018148</v>
      </c>
      <c r="C2260" t="str">
        <f>T("위대한 가문의 망나니가 되다 49화")</f>
        <v>위대한 가문의 망나니가 되다 49화</v>
      </c>
      <c r="D2260" t="str">
        <f>T("49")</f>
        <v>49</v>
      </c>
      <c r="E2260" t="str">
        <f t="shared" si="360"/>
        <v>바나바다</v>
      </c>
      <c r="H2260" t="str">
        <f t="shared" si="356"/>
        <v>스토리위즈</v>
      </c>
      <c r="I2260" t="str">
        <f t="shared" si="361"/>
        <v>위대한 가문의 망나니가 되다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2</v>
      </c>
      <c r="AI2260">
        <v>0</v>
      </c>
      <c r="AJ2260">
        <v>0</v>
      </c>
      <c r="AK2260">
        <v>200</v>
      </c>
      <c r="AL2260">
        <v>0</v>
      </c>
      <c r="AM2260">
        <v>0</v>
      </c>
      <c r="AN2260">
        <v>0</v>
      </c>
      <c r="AO2260">
        <v>0</v>
      </c>
      <c r="AP2260"/>
      <c r="AQ2260">
        <v>0</v>
      </c>
      <c r="AR2260">
        <v>0</v>
      </c>
      <c r="AT2260">
        <v>0</v>
      </c>
      <c r="AU2260">
        <v>0</v>
      </c>
      <c r="AW2260">
        <v>0</v>
      </c>
      <c r="AX2260">
        <v>0</v>
      </c>
      <c r="AY2260">
        <v>140</v>
      </c>
      <c r="BC2260" t="str">
        <f t="shared" si="362"/>
        <v>9791137601901</v>
      </c>
      <c r="BE2260" t="str">
        <f t="shared" si="359"/>
        <v>판타지 웹소설 &gt; 퓨전 판타지</v>
      </c>
    </row>
    <row r="2261" spans="1:57" x14ac:dyDescent="0.3">
      <c r="A2261">
        <v>2313018100</v>
      </c>
      <c r="B2261">
        <v>2313018149</v>
      </c>
      <c r="C2261" t="str">
        <f>T("위대한 가문의 망나니가 되다 50화")</f>
        <v>위대한 가문의 망나니가 되다 50화</v>
      </c>
      <c r="D2261" t="str">
        <f>T("50")</f>
        <v>50</v>
      </c>
      <c r="E2261" t="str">
        <f t="shared" si="360"/>
        <v>바나바다</v>
      </c>
      <c r="H2261" t="str">
        <f t="shared" si="356"/>
        <v>스토리위즈</v>
      </c>
      <c r="I2261" t="str">
        <f t="shared" si="361"/>
        <v>위대한 가문의 망나니가 되다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2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0</v>
      </c>
      <c r="AP2261"/>
      <c r="AQ2261">
        <v>0</v>
      </c>
      <c r="AR2261">
        <v>0</v>
      </c>
      <c r="AT2261">
        <v>0</v>
      </c>
      <c r="AU2261">
        <v>0</v>
      </c>
      <c r="AW2261">
        <v>0</v>
      </c>
      <c r="AX2261">
        <v>0</v>
      </c>
      <c r="AY2261">
        <v>140</v>
      </c>
      <c r="BC2261" t="str">
        <f t="shared" si="362"/>
        <v>9791137601901</v>
      </c>
      <c r="BE2261" t="str">
        <f t="shared" si="359"/>
        <v>판타지 웹소설 &gt; 퓨전 판타지</v>
      </c>
    </row>
    <row r="2262" spans="1:57" x14ac:dyDescent="0.3">
      <c r="A2262">
        <v>2313018100</v>
      </c>
      <c r="B2262">
        <v>2313018150</v>
      </c>
      <c r="C2262" t="str">
        <f>T("위대한 가문의 망나니가 되다 51화")</f>
        <v>위대한 가문의 망나니가 되다 51화</v>
      </c>
      <c r="D2262" t="str">
        <f>T("51")</f>
        <v>51</v>
      </c>
      <c r="E2262" t="str">
        <f t="shared" si="360"/>
        <v>바나바다</v>
      </c>
      <c r="H2262" t="str">
        <f t="shared" si="356"/>
        <v>스토리위즈</v>
      </c>
      <c r="I2262" t="str">
        <f t="shared" si="361"/>
        <v>위대한 가문의 망나니가 되다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2</v>
      </c>
      <c r="AI2262">
        <v>0</v>
      </c>
      <c r="AJ2262">
        <v>0</v>
      </c>
      <c r="AK2262">
        <v>200</v>
      </c>
      <c r="AL2262">
        <v>0</v>
      </c>
      <c r="AM2262">
        <v>0</v>
      </c>
      <c r="AN2262">
        <v>0</v>
      </c>
      <c r="AO2262">
        <v>0</v>
      </c>
      <c r="AP2262"/>
      <c r="AQ2262">
        <v>0</v>
      </c>
      <c r="AR2262">
        <v>0</v>
      </c>
      <c r="AT2262">
        <v>0</v>
      </c>
      <c r="AU2262">
        <v>0</v>
      </c>
      <c r="AW2262">
        <v>0</v>
      </c>
      <c r="AX2262">
        <v>0</v>
      </c>
      <c r="AY2262">
        <v>140</v>
      </c>
      <c r="BC2262" t="str">
        <f t="shared" si="362"/>
        <v>9791137601901</v>
      </c>
      <c r="BE2262" t="str">
        <f t="shared" si="359"/>
        <v>판타지 웹소설 &gt; 퓨전 판타지</v>
      </c>
    </row>
    <row r="2263" spans="1:57" x14ac:dyDescent="0.3">
      <c r="A2263">
        <v>2313018100</v>
      </c>
      <c r="B2263">
        <v>2313018151</v>
      </c>
      <c r="C2263" t="str">
        <f>T("위대한 가문의 망나니가 되다 52화")</f>
        <v>위대한 가문의 망나니가 되다 52화</v>
      </c>
      <c r="D2263" t="str">
        <f>T("52")</f>
        <v>52</v>
      </c>
      <c r="E2263" t="str">
        <f t="shared" si="360"/>
        <v>바나바다</v>
      </c>
      <c r="H2263" t="str">
        <f t="shared" si="356"/>
        <v>스토리위즈</v>
      </c>
      <c r="I2263" t="str">
        <f t="shared" si="361"/>
        <v>위대한 가문의 망나니가 되다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2</v>
      </c>
      <c r="AI2263">
        <v>0</v>
      </c>
      <c r="AJ2263">
        <v>0</v>
      </c>
      <c r="AK2263">
        <v>200</v>
      </c>
      <c r="AL2263">
        <v>0</v>
      </c>
      <c r="AM2263">
        <v>0</v>
      </c>
      <c r="AN2263">
        <v>0</v>
      </c>
      <c r="AO2263">
        <v>0</v>
      </c>
      <c r="AP2263"/>
      <c r="AQ2263">
        <v>0</v>
      </c>
      <c r="AR2263">
        <v>0</v>
      </c>
      <c r="AT2263">
        <v>0</v>
      </c>
      <c r="AU2263">
        <v>0</v>
      </c>
      <c r="AW2263">
        <v>0</v>
      </c>
      <c r="AX2263">
        <v>0</v>
      </c>
      <c r="AY2263">
        <v>140</v>
      </c>
      <c r="BC2263" t="str">
        <f t="shared" si="362"/>
        <v>9791137601901</v>
      </c>
      <c r="BE2263" t="str">
        <f t="shared" si="359"/>
        <v>판타지 웹소설 &gt; 퓨전 판타지</v>
      </c>
    </row>
    <row r="2264" spans="1:57" x14ac:dyDescent="0.3">
      <c r="A2264">
        <v>2313018100</v>
      </c>
      <c r="B2264">
        <v>2313018152</v>
      </c>
      <c r="C2264" t="str">
        <f>T("위대한 가문의 망나니가 되다 53화")</f>
        <v>위대한 가문의 망나니가 되다 53화</v>
      </c>
      <c r="D2264" t="str">
        <f>T("53")</f>
        <v>53</v>
      </c>
      <c r="E2264" t="str">
        <f t="shared" si="360"/>
        <v>바나바다</v>
      </c>
      <c r="H2264" t="str">
        <f t="shared" si="356"/>
        <v>스토리위즈</v>
      </c>
      <c r="I2264" t="str">
        <f t="shared" si="361"/>
        <v>위대한 가문의 망나니가 되다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2</v>
      </c>
      <c r="AI2264">
        <v>0</v>
      </c>
      <c r="AJ2264">
        <v>0</v>
      </c>
      <c r="AK2264">
        <v>200</v>
      </c>
      <c r="AL2264">
        <v>0</v>
      </c>
      <c r="AM2264">
        <v>0</v>
      </c>
      <c r="AN2264">
        <v>0</v>
      </c>
      <c r="AO2264">
        <v>0</v>
      </c>
      <c r="AP2264"/>
      <c r="AQ2264">
        <v>0</v>
      </c>
      <c r="AR2264">
        <v>0</v>
      </c>
      <c r="AT2264">
        <v>0</v>
      </c>
      <c r="AU2264">
        <v>0</v>
      </c>
      <c r="AW2264">
        <v>0</v>
      </c>
      <c r="AX2264">
        <v>0</v>
      </c>
      <c r="AY2264">
        <v>140</v>
      </c>
      <c r="BC2264" t="str">
        <f t="shared" si="362"/>
        <v>9791137601901</v>
      </c>
      <c r="BE2264" t="str">
        <f t="shared" si="359"/>
        <v>판타지 웹소설 &gt; 퓨전 판타지</v>
      </c>
    </row>
    <row r="2265" spans="1:57" x14ac:dyDescent="0.3">
      <c r="A2265">
        <v>2313018100</v>
      </c>
      <c r="B2265">
        <v>2313018153</v>
      </c>
      <c r="C2265" t="str">
        <f>T("위대한 가문의 망나니가 되다 54화")</f>
        <v>위대한 가문의 망나니가 되다 54화</v>
      </c>
      <c r="D2265" t="str">
        <f>T("54")</f>
        <v>54</v>
      </c>
      <c r="E2265" t="str">
        <f t="shared" si="360"/>
        <v>바나바다</v>
      </c>
      <c r="H2265" t="str">
        <f t="shared" si="356"/>
        <v>스토리위즈</v>
      </c>
      <c r="I2265" t="str">
        <f t="shared" si="361"/>
        <v>위대한 가문의 망나니가 되다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2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0</v>
      </c>
      <c r="AP2265"/>
      <c r="AQ2265">
        <v>0</v>
      </c>
      <c r="AR2265">
        <v>0</v>
      </c>
      <c r="AT2265">
        <v>0</v>
      </c>
      <c r="AU2265">
        <v>0</v>
      </c>
      <c r="AW2265">
        <v>0</v>
      </c>
      <c r="AX2265">
        <v>0</v>
      </c>
      <c r="AY2265">
        <v>140</v>
      </c>
      <c r="BC2265" t="str">
        <f t="shared" si="362"/>
        <v>9791137601901</v>
      </c>
      <c r="BE2265" t="str">
        <f t="shared" si="359"/>
        <v>판타지 웹소설 &gt; 퓨전 판타지</v>
      </c>
    </row>
    <row r="2266" spans="1:57" x14ac:dyDescent="0.3">
      <c r="A2266">
        <v>2313018100</v>
      </c>
      <c r="B2266">
        <v>2313018154</v>
      </c>
      <c r="C2266" t="str">
        <f>T("위대한 가문의 망나니가 되다 55화")</f>
        <v>위대한 가문의 망나니가 되다 55화</v>
      </c>
      <c r="D2266" t="str">
        <f>T("55")</f>
        <v>55</v>
      </c>
      <c r="E2266" t="str">
        <f t="shared" si="360"/>
        <v>바나바다</v>
      </c>
      <c r="H2266" t="str">
        <f t="shared" si="356"/>
        <v>스토리위즈</v>
      </c>
      <c r="I2266" t="str">
        <f t="shared" si="361"/>
        <v>위대한 가문의 망나니가 되다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2</v>
      </c>
      <c r="AI2266">
        <v>0</v>
      </c>
      <c r="AJ2266">
        <v>0</v>
      </c>
      <c r="AK2266">
        <v>200</v>
      </c>
      <c r="AL2266">
        <v>0</v>
      </c>
      <c r="AM2266">
        <v>0</v>
      </c>
      <c r="AN2266">
        <v>0</v>
      </c>
      <c r="AO2266">
        <v>0</v>
      </c>
      <c r="AP2266"/>
      <c r="AQ2266">
        <v>0</v>
      </c>
      <c r="AR2266">
        <v>0</v>
      </c>
      <c r="AT2266">
        <v>0</v>
      </c>
      <c r="AU2266">
        <v>0</v>
      </c>
      <c r="AW2266">
        <v>0</v>
      </c>
      <c r="AX2266">
        <v>0</v>
      </c>
      <c r="AY2266">
        <v>140</v>
      </c>
      <c r="BC2266" t="str">
        <f t="shared" si="362"/>
        <v>9791137601901</v>
      </c>
      <c r="BE2266" t="str">
        <f t="shared" si="359"/>
        <v>판타지 웹소설 &gt; 퓨전 판타지</v>
      </c>
    </row>
    <row r="2267" spans="1:57" x14ac:dyDescent="0.3">
      <c r="A2267">
        <v>2313018100</v>
      </c>
      <c r="B2267">
        <v>2313018155</v>
      </c>
      <c r="C2267" t="str">
        <f>T("위대한 가문의 망나니가 되다 56화")</f>
        <v>위대한 가문의 망나니가 되다 56화</v>
      </c>
      <c r="D2267" t="str">
        <f>T("56")</f>
        <v>56</v>
      </c>
      <c r="E2267" t="str">
        <f t="shared" si="360"/>
        <v>바나바다</v>
      </c>
      <c r="H2267" t="str">
        <f t="shared" si="356"/>
        <v>스토리위즈</v>
      </c>
      <c r="I2267" t="str">
        <f t="shared" si="361"/>
        <v>위대한 가문의 망나니가 되다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</v>
      </c>
      <c r="AI2267">
        <v>0</v>
      </c>
      <c r="AJ2267">
        <v>0</v>
      </c>
      <c r="AK2267">
        <v>200</v>
      </c>
      <c r="AL2267">
        <v>0</v>
      </c>
      <c r="AM2267">
        <v>0</v>
      </c>
      <c r="AN2267">
        <v>0</v>
      </c>
      <c r="AO2267">
        <v>0</v>
      </c>
      <c r="AP2267"/>
      <c r="AQ2267">
        <v>0</v>
      </c>
      <c r="AR2267">
        <v>0</v>
      </c>
      <c r="AT2267">
        <v>0</v>
      </c>
      <c r="AU2267">
        <v>0</v>
      </c>
      <c r="AW2267">
        <v>0</v>
      </c>
      <c r="AX2267">
        <v>0</v>
      </c>
      <c r="AY2267">
        <v>140</v>
      </c>
      <c r="BC2267" t="str">
        <f t="shared" si="362"/>
        <v>9791137601901</v>
      </c>
      <c r="BE2267" t="str">
        <f t="shared" si="359"/>
        <v>판타지 웹소설 &gt; 퓨전 판타지</v>
      </c>
    </row>
    <row r="2268" spans="1:57" x14ac:dyDescent="0.3">
      <c r="A2268">
        <v>2313018100</v>
      </c>
      <c r="B2268">
        <v>2313018156</v>
      </c>
      <c r="C2268" t="str">
        <f>T("위대한 가문의 망나니가 되다 57화")</f>
        <v>위대한 가문의 망나니가 되다 57화</v>
      </c>
      <c r="D2268" t="str">
        <f>T("57")</f>
        <v>57</v>
      </c>
      <c r="E2268" t="str">
        <f t="shared" si="360"/>
        <v>바나바다</v>
      </c>
      <c r="H2268" t="str">
        <f t="shared" si="356"/>
        <v>스토리위즈</v>
      </c>
      <c r="I2268" t="str">
        <f t="shared" si="361"/>
        <v>위대한 가문의 망나니가 되다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200</v>
      </c>
      <c r="AL2268">
        <v>0</v>
      </c>
      <c r="AM2268">
        <v>0</v>
      </c>
      <c r="AN2268">
        <v>0</v>
      </c>
      <c r="AO2268">
        <v>0</v>
      </c>
      <c r="AP2268"/>
      <c r="AQ2268">
        <v>0</v>
      </c>
      <c r="AR2268">
        <v>0</v>
      </c>
      <c r="AT2268">
        <v>0</v>
      </c>
      <c r="AU2268">
        <v>0</v>
      </c>
      <c r="AW2268">
        <v>0</v>
      </c>
      <c r="AX2268">
        <v>0</v>
      </c>
      <c r="AY2268">
        <v>140</v>
      </c>
      <c r="BC2268" t="str">
        <f t="shared" si="362"/>
        <v>9791137601901</v>
      </c>
      <c r="BE2268" t="str">
        <f t="shared" si="359"/>
        <v>판타지 웹소설 &gt; 퓨전 판타지</v>
      </c>
    </row>
    <row r="2269" spans="1:57" x14ac:dyDescent="0.3">
      <c r="A2269">
        <v>2313018100</v>
      </c>
      <c r="B2269">
        <v>2313018157</v>
      </c>
      <c r="C2269" t="str">
        <f>T("위대한 가문의 망나니가 되다 58화")</f>
        <v>위대한 가문의 망나니가 되다 58화</v>
      </c>
      <c r="D2269" t="str">
        <f>T("58")</f>
        <v>58</v>
      </c>
      <c r="E2269" t="str">
        <f t="shared" si="360"/>
        <v>바나바다</v>
      </c>
      <c r="H2269" t="str">
        <f t="shared" si="356"/>
        <v>스토리위즈</v>
      </c>
      <c r="I2269" t="str">
        <f t="shared" si="361"/>
        <v>위대한 가문의 망나니가 되다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200</v>
      </c>
      <c r="AL2269">
        <v>0</v>
      </c>
      <c r="AM2269">
        <v>0</v>
      </c>
      <c r="AN2269">
        <v>0</v>
      </c>
      <c r="AO2269">
        <v>0</v>
      </c>
      <c r="AP2269"/>
      <c r="AQ2269">
        <v>0</v>
      </c>
      <c r="AR2269">
        <v>0</v>
      </c>
      <c r="AT2269">
        <v>0</v>
      </c>
      <c r="AU2269">
        <v>0</v>
      </c>
      <c r="AW2269">
        <v>0</v>
      </c>
      <c r="AX2269">
        <v>0</v>
      </c>
      <c r="AY2269">
        <v>140</v>
      </c>
      <c r="BC2269" t="str">
        <f t="shared" si="362"/>
        <v>9791137601901</v>
      </c>
      <c r="BE2269" t="str">
        <f t="shared" si="359"/>
        <v>판타지 웹소설 &gt; 퓨전 판타지</v>
      </c>
    </row>
    <row r="2270" spans="1:57" x14ac:dyDescent="0.3">
      <c r="A2270">
        <v>2313018100</v>
      </c>
      <c r="B2270">
        <v>2313018158</v>
      </c>
      <c r="C2270" t="str">
        <f>T("위대한 가문의 망나니가 되다 59화")</f>
        <v>위대한 가문의 망나니가 되다 59화</v>
      </c>
      <c r="D2270" t="str">
        <f>T("59")</f>
        <v>59</v>
      </c>
      <c r="E2270" t="str">
        <f t="shared" si="360"/>
        <v>바나바다</v>
      </c>
      <c r="H2270" t="str">
        <f t="shared" si="356"/>
        <v>스토리위즈</v>
      </c>
      <c r="I2270" t="str">
        <f t="shared" si="361"/>
        <v>위대한 가문의 망나니가 되다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200</v>
      </c>
      <c r="AL2270">
        <v>0</v>
      </c>
      <c r="AM2270">
        <v>0</v>
      </c>
      <c r="AN2270">
        <v>0</v>
      </c>
      <c r="AO2270">
        <v>0</v>
      </c>
      <c r="AP2270"/>
      <c r="AQ2270">
        <v>0</v>
      </c>
      <c r="AR2270">
        <v>0</v>
      </c>
      <c r="AT2270">
        <v>0</v>
      </c>
      <c r="AU2270">
        <v>0</v>
      </c>
      <c r="AW2270">
        <v>0</v>
      </c>
      <c r="AX2270">
        <v>0</v>
      </c>
      <c r="AY2270">
        <v>140</v>
      </c>
      <c r="BC2270" t="str">
        <f t="shared" si="362"/>
        <v>9791137601901</v>
      </c>
      <c r="BE2270" t="str">
        <f t="shared" si="359"/>
        <v>판타지 웹소설 &gt; 퓨전 판타지</v>
      </c>
    </row>
    <row r="2271" spans="1:57" x14ac:dyDescent="0.3">
      <c r="A2271">
        <v>2313018365</v>
      </c>
      <c r="B2271">
        <v>2313018390</v>
      </c>
      <c r="C2271" t="str">
        <f>T("나 혼자 스킬융합 26화")</f>
        <v>나 혼자 스킬융합 26화</v>
      </c>
      <c r="D2271" t="str">
        <f>T("26")</f>
        <v>26</v>
      </c>
      <c r="E2271" t="str">
        <f t="shared" ref="E2271:E2288" si="363">T("붕어빵")</f>
        <v>붕어빵</v>
      </c>
      <c r="H2271" t="str">
        <f t="shared" si="356"/>
        <v>스토리위즈</v>
      </c>
      <c r="I2271" t="str">
        <f t="shared" ref="I2271:I2288" si="364">T("나 혼자 스킬융합")</f>
        <v>나 혼자 스킬융합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200</v>
      </c>
      <c r="AH2271">
        <v>2</v>
      </c>
      <c r="AI2271">
        <v>0</v>
      </c>
      <c r="AJ2271">
        <v>0</v>
      </c>
      <c r="AK2271">
        <v>200</v>
      </c>
      <c r="AL2271">
        <v>0</v>
      </c>
      <c r="AM2271">
        <v>0</v>
      </c>
      <c r="AN2271">
        <v>0</v>
      </c>
      <c r="AO2271">
        <v>0</v>
      </c>
      <c r="AP2271"/>
      <c r="AQ2271">
        <v>0</v>
      </c>
      <c r="AR2271">
        <v>0</v>
      </c>
      <c r="AT2271">
        <v>0</v>
      </c>
      <c r="AU2271">
        <v>0</v>
      </c>
      <c r="AW2271">
        <v>0</v>
      </c>
      <c r="AX2271">
        <v>0</v>
      </c>
      <c r="AY2271">
        <v>140</v>
      </c>
      <c r="BC2271" t="str">
        <f t="shared" ref="BC2271:BC2288" si="365">T("9791137602069")</f>
        <v>9791137602069</v>
      </c>
      <c r="BE2271" t="str">
        <f t="shared" ref="BE2271:BE2291" si="366">T("판타지 웹소설 &gt; 현대 판타지")</f>
        <v>판타지 웹소설 &gt; 현대 판타지</v>
      </c>
    </row>
    <row r="2272" spans="1:57" x14ac:dyDescent="0.3">
      <c r="A2272">
        <v>2313018365</v>
      </c>
      <c r="B2272">
        <v>2313018391</v>
      </c>
      <c r="C2272" t="str">
        <f>T("나 혼자 스킬융합 27화")</f>
        <v>나 혼자 스킬융합 27화</v>
      </c>
      <c r="D2272" t="str">
        <f>T("27")</f>
        <v>27</v>
      </c>
      <c r="E2272" t="str">
        <f t="shared" si="363"/>
        <v>붕어빵</v>
      </c>
      <c r="H2272" t="str">
        <f t="shared" si="356"/>
        <v>스토리위즈</v>
      </c>
      <c r="I2272" t="str">
        <f t="shared" si="364"/>
        <v>나 혼자 스킬융합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2</v>
      </c>
      <c r="AI2272">
        <v>0</v>
      </c>
      <c r="AJ2272">
        <v>0</v>
      </c>
      <c r="AK2272">
        <v>200</v>
      </c>
      <c r="AL2272">
        <v>0</v>
      </c>
      <c r="AM2272">
        <v>0</v>
      </c>
      <c r="AN2272">
        <v>0</v>
      </c>
      <c r="AO2272">
        <v>0</v>
      </c>
      <c r="AP2272"/>
      <c r="AQ2272">
        <v>0</v>
      </c>
      <c r="AR2272">
        <v>0</v>
      </c>
      <c r="AT2272">
        <v>0</v>
      </c>
      <c r="AU2272">
        <v>0</v>
      </c>
      <c r="AW2272">
        <v>0</v>
      </c>
      <c r="AX2272">
        <v>0</v>
      </c>
      <c r="AY2272">
        <v>140</v>
      </c>
      <c r="BC2272" t="str">
        <f t="shared" si="365"/>
        <v>9791137602069</v>
      </c>
      <c r="BE2272" t="str">
        <f t="shared" si="366"/>
        <v>판타지 웹소설 &gt; 현대 판타지</v>
      </c>
    </row>
    <row r="2273" spans="1:57" x14ac:dyDescent="0.3">
      <c r="A2273">
        <v>2313018365</v>
      </c>
      <c r="B2273">
        <v>2313018392</v>
      </c>
      <c r="C2273" t="str">
        <f>T("나 혼자 스킬융합 28화")</f>
        <v>나 혼자 스킬융합 28화</v>
      </c>
      <c r="D2273" t="str">
        <f>T("28")</f>
        <v>28</v>
      </c>
      <c r="E2273" t="str">
        <f t="shared" si="363"/>
        <v>붕어빵</v>
      </c>
      <c r="H2273" t="str">
        <f t="shared" si="356"/>
        <v>스토리위즈</v>
      </c>
      <c r="I2273" t="str">
        <f t="shared" si="364"/>
        <v>나 혼자 스킬융합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200</v>
      </c>
      <c r="AH2273">
        <v>2</v>
      </c>
      <c r="AI2273">
        <v>0</v>
      </c>
      <c r="AJ2273">
        <v>0</v>
      </c>
      <c r="AK2273">
        <v>200</v>
      </c>
      <c r="AL2273">
        <v>0</v>
      </c>
      <c r="AM2273">
        <v>0</v>
      </c>
      <c r="AN2273">
        <v>0</v>
      </c>
      <c r="AO2273">
        <v>0</v>
      </c>
      <c r="AP2273"/>
      <c r="AQ2273">
        <v>0</v>
      </c>
      <c r="AR2273">
        <v>0</v>
      </c>
      <c r="AT2273">
        <v>0</v>
      </c>
      <c r="AU2273">
        <v>0</v>
      </c>
      <c r="AW2273">
        <v>0</v>
      </c>
      <c r="AX2273">
        <v>0</v>
      </c>
      <c r="AY2273">
        <v>140</v>
      </c>
      <c r="BC2273" t="str">
        <f t="shared" si="365"/>
        <v>9791137602069</v>
      </c>
      <c r="BE2273" t="str">
        <f t="shared" si="366"/>
        <v>판타지 웹소설 &gt; 현대 판타지</v>
      </c>
    </row>
    <row r="2274" spans="1:57" x14ac:dyDescent="0.3">
      <c r="A2274">
        <v>2313018365</v>
      </c>
      <c r="B2274">
        <v>2313018393</v>
      </c>
      <c r="C2274" t="str">
        <f>T("나 혼자 스킬융합 29화")</f>
        <v>나 혼자 스킬융합 29화</v>
      </c>
      <c r="D2274" t="str">
        <f>T("29")</f>
        <v>29</v>
      </c>
      <c r="E2274" t="str">
        <f t="shared" si="363"/>
        <v>붕어빵</v>
      </c>
      <c r="H2274" t="str">
        <f t="shared" si="356"/>
        <v>스토리위즈</v>
      </c>
      <c r="I2274" t="str">
        <f t="shared" si="364"/>
        <v>나 혼자 스킬융합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200</v>
      </c>
      <c r="AH2274">
        <v>2</v>
      </c>
      <c r="AI2274">
        <v>0</v>
      </c>
      <c r="AJ2274">
        <v>0</v>
      </c>
      <c r="AK2274">
        <v>200</v>
      </c>
      <c r="AL2274">
        <v>0</v>
      </c>
      <c r="AM2274">
        <v>0</v>
      </c>
      <c r="AN2274">
        <v>0</v>
      </c>
      <c r="AO2274">
        <v>0</v>
      </c>
      <c r="AP2274"/>
      <c r="AQ2274">
        <v>0</v>
      </c>
      <c r="AR2274">
        <v>0</v>
      </c>
      <c r="AT2274">
        <v>0</v>
      </c>
      <c r="AU2274">
        <v>0</v>
      </c>
      <c r="AW2274">
        <v>0</v>
      </c>
      <c r="AX2274">
        <v>0</v>
      </c>
      <c r="AY2274">
        <v>140</v>
      </c>
      <c r="BC2274" t="str">
        <f t="shared" si="365"/>
        <v>9791137602069</v>
      </c>
      <c r="BE2274" t="str">
        <f t="shared" si="366"/>
        <v>판타지 웹소설 &gt; 현대 판타지</v>
      </c>
    </row>
    <row r="2275" spans="1:57" x14ac:dyDescent="0.3">
      <c r="A2275">
        <v>2313018365</v>
      </c>
      <c r="B2275">
        <v>2313018394</v>
      </c>
      <c r="C2275" t="str">
        <f>T("나 혼자 스킬융합 30화")</f>
        <v>나 혼자 스킬융합 30화</v>
      </c>
      <c r="D2275" t="str">
        <f>T("30")</f>
        <v>30</v>
      </c>
      <c r="E2275" t="str">
        <f t="shared" si="363"/>
        <v>붕어빵</v>
      </c>
      <c r="H2275" t="str">
        <f t="shared" si="356"/>
        <v>스토리위즈</v>
      </c>
      <c r="I2275" t="str">
        <f t="shared" si="364"/>
        <v>나 혼자 스킬융합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200</v>
      </c>
      <c r="AH2275">
        <v>2</v>
      </c>
      <c r="AI2275">
        <v>0</v>
      </c>
      <c r="AJ2275">
        <v>0</v>
      </c>
      <c r="AK2275">
        <v>200</v>
      </c>
      <c r="AL2275">
        <v>0</v>
      </c>
      <c r="AM2275">
        <v>0</v>
      </c>
      <c r="AN2275">
        <v>0</v>
      </c>
      <c r="AO2275">
        <v>0</v>
      </c>
      <c r="AP2275"/>
      <c r="AQ2275">
        <v>0</v>
      </c>
      <c r="AR2275">
        <v>0</v>
      </c>
      <c r="AT2275">
        <v>0</v>
      </c>
      <c r="AU2275">
        <v>0</v>
      </c>
      <c r="AW2275">
        <v>0</v>
      </c>
      <c r="AX2275">
        <v>0</v>
      </c>
      <c r="AY2275">
        <v>140</v>
      </c>
      <c r="BC2275" t="str">
        <f t="shared" si="365"/>
        <v>9791137602069</v>
      </c>
      <c r="BE2275" t="str">
        <f t="shared" si="366"/>
        <v>판타지 웹소설 &gt; 현대 판타지</v>
      </c>
    </row>
    <row r="2276" spans="1:57" x14ac:dyDescent="0.3">
      <c r="A2276">
        <v>2313018365</v>
      </c>
      <c r="B2276">
        <v>2313018395</v>
      </c>
      <c r="C2276" t="str">
        <f>T("나 혼자 스킬융합 31화")</f>
        <v>나 혼자 스킬융합 31화</v>
      </c>
      <c r="D2276" t="str">
        <f>T("31")</f>
        <v>31</v>
      </c>
      <c r="E2276" t="str">
        <f t="shared" si="363"/>
        <v>붕어빵</v>
      </c>
      <c r="H2276" t="str">
        <f t="shared" si="356"/>
        <v>스토리위즈</v>
      </c>
      <c r="I2276" t="str">
        <f t="shared" si="364"/>
        <v>나 혼자 스킬융합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200</v>
      </c>
      <c r="AH2276">
        <v>2</v>
      </c>
      <c r="AI2276">
        <v>0</v>
      </c>
      <c r="AJ2276">
        <v>0</v>
      </c>
      <c r="AK2276">
        <v>200</v>
      </c>
      <c r="AL2276">
        <v>0</v>
      </c>
      <c r="AM2276">
        <v>0</v>
      </c>
      <c r="AN2276">
        <v>0</v>
      </c>
      <c r="AO2276">
        <v>0</v>
      </c>
      <c r="AP2276"/>
      <c r="AQ2276">
        <v>0</v>
      </c>
      <c r="AR2276">
        <v>0</v>
      </c>
      <c r="AT2276">
        <v>0</v>
      </c>
      <c r="AU2276">
        <v>0</v>
      </c>
      <c r="AW2276">
        <v>0</v>
      </c>
      <c r="AX2276">
        <v>0</v>
      </c>
      <c r="AY2276">
        <v>140</v>
      </c>
      <c r="BC2276" t="str">
        <f t="shared" si="365"/>
        <v>9791137602069</v>
      </c>
      <c r="BE2276" t="str">
        <f t="shared" si="366"/>
        <v>판타지 웹소설 &gt; 현대 판타지</v>
      </c>
    </row>
    <row r="2277" spans="1:57" x14ac:dyDescent="0.3">
      <c r="A2277">
        <v>2313018365</v>
      </c>
      <c r="B2277">
        <v>2313018396</v>
      </c>
      <c r="C2277" t="str">
        <f>T("나 혼자 스킬융합 32화")</f>
        <v>나 혼자 스킬융합 32화</v>
      </c>
      <c r="D2277" t="str">
        <f>T("32")</f>
        <v>32</v>
      </c>
      <c r="E2277" t="str">
        <f t="shared" si="363"/>
        <v>붕어빵</v>
      </c>
      <c r="H2277" t="str">
        <f t="shared" si="356"/>
        <v>스토리위즈</v>
      </c>
      <c r="I2277" t="str">
        <f t="shared" si="364"/>
        <v>나 혼자 스킬융합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200</v>
      </c>
      <c r="AH2277">
        <v>2</v>
      </c>
      <c r="AI2277">
        <v>0</v>
      </c>
      <c r="AJ2277">
        <v>0</v>
      </c>
      <c r="AK2277">
        <v>200</v>
      </c>
      <c r="AL2277">
        <v>0</v>
      </c>
      <c r="AM2277">
        <v>0</v>
      </c>
      <c r="AN2277">
        <v>0</v>
      </c>
      <c r="AO2277">
        <v>0</v>
      </c>
      <c r="AP2277"/>
      <c r="AQ2277">
        <v>0</v>
      </c>
      <c r="AR2277">
        <v>0</v>
      </c>
      <c r="AT2277">
        <v>0</v>
      </c>
      <c r="AU2277">
        <v>0</v>
      </c>
      <c r="AW2277">
        <v>0</v>
      </c>
      <c r="AX2277">
        <v>0</v>
      </c>
      <c r="AY2277">
        <v>140</v>
      </c>
      <c r="BC2277" t="str">
        <f t="shared" si="365"/>
        <v>9791137602069</v>
      </c>
      <c r="BE2277" t="str">
        <f t="shared" si="366"/>
        <v>판타지 웹소설 &gt; 현대 판타지</v>
      </c>
    </row>
    <row r="2278" spans="1:57" x14ac:dyDescent="0.3">
      <c r="A2278">
        <v>2313018365</v>
      </c>
      <c r="B2278">
        <v>2313018397</v>
      </c>
      <c r="C2278" t="str">
        <f>T("나 혼자 스킬융합 33화")</f>
        <v>나 혼자 스킬융합 33화</v>
      </c>
      <c r="D2278" t="str">
        <f>T("33")</f>
        <v>33</v>
      </c>
      <c r="E2278" t="str">
        <f t="shared" si="363"/>
        <v>붕어빵</v>
      </c>
      <c r="H2278" t="str">
        <f t="shared" si="356"/>
        <v>스토리위즈</v>
      </c>
      <c r="I2278" t="str">
        <f t="shared" si="364"/>
        <v>나 혼자 스킬융합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</v>
      </c>
      <c r="AI2278">
        <v>0</v>
      </c>
      <c r="AJ2278">
        <v>0</v>
      </c>
      <c r="AK2278">
        <v>200</v>
      </c>
      <c r="AL2278">
        <v>0</v>
      </c>
      <c r="AM2278">
        <v>0</v>
      </c>
      <c r="AN2278">
        <v>0</v>
      </c>
      <c r="AO2278">
        <v>0</v>
      </c>
      <c r="AP2278"/>
      <c r="AQ2278">
        <v>0</v>
      </c>
      <c r="AR2278">
        <v>0</v>
      </c>
      <c r="AT2278">
        <v>0</v>
      </c>
      <c r="AU2278">
        <v>0</v>
      </c>
      <c r="AW2278">
        <v>0</v>
      </c>
      <c r="AX2278">
        <v>0</v>
      </c>
      <c r="AY2278">
        <v>140</v>
      </c>
      <c r="BC2278" t="str">
        <f t="shared" si="365"/>
        <v>9791137602069</v>
      </c>
      <c r="BE2278" t="str">
        <f t="shared" si="366"/>
        <v>판타지 웹소설 &gt; 현대 판타지</v>
      </c>
    </row>
    <row r="2279" spans="1:57" x14ac:dyDescent="0.3">
      <c r="A2279">
        <v>2313018365</v>
      </c>
      <c r="B2279">
        <v>2313018398</v>
      </c>
      <c r="C2279" t="str">
        <f>T("나 혼자 스킬융합 34화")</f>
        <v>나 혼자 스킬융합 34화</v>
      </c>
      <c r="D2279" t="str">
        <f>T("34")</f>
        <v>34</v>
      </c>
      <c r="E2279" t="str">
        <f t="shared" si="363"/>
        <v>붕어빵</v>
      </c>
      <c r="H2279" t="str">
        <f t="shared" si="356"/>
        <v>스토리위즈</v>
      </c>
      <c r="I2279" t="str">
        <f t="shared" si="364"/>
        <v>나 혼자 스킬융합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200</v>
      </c>
      <c r="AH2279">
        <v>2</v>
      </c>
      <c r="AI2279">
        <v>0</v>
      </c>
      <c r="AJ2279">
        <v>0</v>
      </c>
      <c r="AK2279">
        <v>200</v>
      </c>
      <c r="AL2279">
        <v>0</v>
      </c>
      <c r="AM2279">
        <v>0</v>
      </c>
      <c r="AN2279">
        <v>0</v>
      </c>
      <c r="AO2279">
        <v>0</v>
      </c>
      <c r="AP2279"/>
      <c r="AQ2279">
        <v>0</v>
      </c>
      <c r="AR2279">
        <v>0</v>
      </c>
      <c r="AT2279">
        <v>0</v>
      </c>
      <c r="AU2279">
        <v>0</v>
      </c>
      <c r="AW2279">
        <v>0</v>
      </c>
      <c r="AX2279">
        <v>0</v>
      </c>
      <c r="AY2279">
        <v>140</v>
      </c>
      <c r="BC2279" t="str">
        <f t="shared" si="365"/>
        <v>9791137602069</v>
      </c>
      <c r="BE2279" t="str">
        <f t="shared" si="366"/>
        <v>판타지 웹소설 &gt; 현대 판타지</v>
      </c>
    </row>
    <row r="2280" spans="1:57" x14ac:dyDescent="0.3">
      <c r="A2280">
        <v>2313018365</v>
      </c>
      <c r="B2280">
        <v>2313018399</v>
      </c>
      <c r="C2280" t="str">
        <f>T("나 혼자 스킬융합 35화")</f>
        <v>나 혼자 스킬융합 35화</v>
      </c>
      <c r="D2280" t="str">
        <f>T("35")</f>
        <v>35</v>
      </c>
      <c r="E2280" t="str">
        <f t="shared" si="363"/>
        <v>붕어빵</v>
      </c>
      <c r="H2280" t="str">
        <f t="shared" si="356"/>
        <v>스토리위즈</v>
      </c>
      <c r="I2280" t="str">
        <f t="shared" si="364"/>
        <v>나 혼자 스킬융합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200</v>
      </c>
      <c r="AH2280">
        <v>2</v>
      </c>
      <c r="AI2280">
        <v>0</v>
      </c>
      <c r="AJ2280">
        <v>0</v>
      </c>
      <c r="AK2280">
        <v>200</v>
      </c>
      <c r="AL2280">
        <v>0</v>
      </c>
      <c r="AM2280">
        <v>0</v>
      </c>
      <c r="AN2280">
        <v>0</v>
      </c>
      <c r="AO2280">
        <v>0</v>
      </c>
      <c r="AP2280"/>
      <c r="AQ2280">
        <v>0</v>
      </c>
      <c r="AR2280">
        <v>0</v>
      </c>
      <c r="AT2280">
        <v>0</v>
      </c>
      <c r="AU2280">
        <v>0</v>
      </c>
      <c r="AW2280">
        <v>0</v>
      </c>
      <c r="AX2280">
        <v>0</v>
      </c>
      <c r="AY2280">
        <v>140</v>
      </c>
      <c r="BC2280" t="str">
        <f t="shared" si="365"/>
        <v>9791137602069</v>
      </c>
      <c r="BE2280" t="str">
        <f t="shared" si="366"/>
        <v>판타지 웹소설 &gt; 현대 판타지</v>
      </c>
    </row>
    <row r="2281" spans="1:57" x14ac:dyDescent="0.3">
      <c r="A2281">
        <v>2313018365</v>
      </c>
      <c r="B2281">
        <v>2313018400</v>
      </c>
      <c r="C2281" t="str">
        <f>T("나 혼자 스킬융합 36화")</f>
        <v>나 혼자 스킬융합 36화</v>
      </c>
      <c r="D2281" t="str">
        <f>T("36")</f>
        <v>36</v>
      </c>
      <c r="E2281" t="str">
        <f t="shared" si="363"/>
        <v>붕어빵</v>
      </c>
      <c r="H2281" t="str">
        <f t="shared" si="356"/>
        <v>스토리위즈</v>
      </c>
      <c r="I2281" t="str">
        <f t="shared" si="364"/>
        <v>나 혼자 스킬융합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200</v>
      </c>
      <c r="AH2281">
        <v>2</v>
      </c>
      <c r="AI2281">
        <v>0</v>
      </c>
      <c r="AJ2281">
        <v>0</v>
      </c>
      <c r="AK2281">
        <v>200</v>
      </c>
      <c r="AL2281">
        <v>0</v>
      </c>
      <c r="AM2281">
        <v>0</v>
      </c>
      <c r="AN2281">
        <v>0</v>
      </c>
      <c r="AO2281">
        <v>0</v>
      </c>
      <c r="AP2281"/>
      <c r="AQ2281">
        <v>0</v>
      </c>
      <c r="AR2281">
        <v>0</v>
      </c>
      <c r="AT2281">
        <v>0</v>
      </c>
      <c r="AU2281">
        <v>0</v>
      </c>
      <c r="AW2281">
        <v>0</v>
      </c>
      <c r="AX2281">
        <v>0</v>
      </c>
      <c r="AY2281">
        <v>140</v>
      </c>
      <c r="BC2281" t="str">
        <f t="shared" si="365"/>
        <v>9791137602069</v>
      </c>
      <c r="BE2281" t="str">
        <f t="shared" si="366"/>
        <v>판타지 웹소설 &gt; 현대 판타지</v>
      </c>
    </row>
    <row r="2282" spans="1:57" x14ac:dyDescent="0.3">
      <c r="A2282">
        <v>2313018365</v>
      </c>
      <c r="B2282">
        <v>2313018401</v>
      </c>
      <c r="C2282" t="str">
        <f>T("나 혼자 스킬융합 37화")</f>
        <v>나 혼자 스킬융합 37화</v>
      </c>
      <c r="D2282" t="str">
        <f>T("37")</f>
        <v>37</v>
      </c>
      <c r="E2282" t="str">
        <f t="shared" si="363"/>
        <v>붕어빵</v>
      </c>
      <c r="H2282" t="str">
        <f t="shared" si="356"/>
        <v>스토리위즈</v>
      </c>
      <c r="I2282" t="str">
        <f t="shared" si="364"/>
        <v>나 혼자 스킬융합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200</v>
      </c>
      <c r="AH2282">
        <v>2</v>
      </c>
      <c r="AI2282">
        <v>0</v>
      </c>
      <c r="AJ2282">
        <v>0</v>
      </c>
      <c r="AK2282">
        <v>200</v>
      </c>
      <c r="AL2282">
        <v>0</v>
      </c>
      <c r="AM2282">
        <v>0</v>
      </c>
      <c r="AN2282">
        <v>0</v>
      </c>
      <c r="AO2282">
        <v>0</v>
      </c>
      <c r="AP2282"/>
      <c r="AQ2282">
        <v>0</v>
      </c>
      <c r="AR2282">
        <v>0</v>
      </c>
      <c r="AT2282">
        <v>0</v>
      </c>
      <c r="AU2282">
        <v>0</v>
      </c>
      <c r="AW2282">
        <v>0</v>
      </c>
      <c r="AX2282">
        <v>0</v>
      </c>
      <c r="AY2282">
        <v>140</v>
      </c>
      <c r="BC2282" t="str">
        <f t="shared" si="365"/>
        <v>9791137602069</v>
      </c>
      <c r="BE2282" t="str">
        <f t="shared" si="366"/>
        <v>판타지 웹소설 &gt; 현대 판타지</v>
      </c>
    </row>
    <row r="2283" spans="1:57" x14ac:dyDescent="0.3">
      <c r="A2283">
        <v>2313018365</v>
      </c>
      <c r="B2283">
        <v>2313018402</v>
      </c>
      <c r="C2283" t="str">
        <f>T("나 혼자 스킬융합 38화")</f>
        <v>나 혼자 스킬융합 38화</v>
      </c>
      <c r="D2283" t="str">
        <f>T("38")</f>
        <v>38</v>
      </c>
      <c r="E2283" t="str">
        <f t="shared" si="363"/>
        <v>붕어빵</v>
      </c>
      <c r="H2283" t="str">
        <f t="shared" si="356"/>
        <v>스토리위즈</v>
      </c>
      <c r="I2283" t="str">
        <f t="shared" si="364"/>
        <v>나 혼자 스킬융합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200</v>
      </c>
      <c r="AH2283">
        <v>2</v>
      </c>
      <c r="AI2283">
        <v>0</v>
      </c>
      <c r="AJ2283">
        <v>0</v>
      </c>
      <c r="AK2283">
        <v>200</v>
      </c>
      <c r="AL2283">
        <v>0</v>
      </c>
      <c r="AM2283">
        <v>0</v>
      </c>
      <c r="AN2283">
        <v>0</v>
      </c>
      <c r="AO2283">
        <v>0</v>
      </c>
      <c r="AP2283"/>
      <c r="AQ2283">
        <v>0</v>
      </c>
      <c r="AR2283">
        <v>0</v>
      </c>
      <c r="AT2283">
        <v>0</v>
      </c>
      <c r="AU2283">
        <v>0</v>
      </c>
      <c r="AW2283">
        <v>0</v>
      </c>
      <c r="AX2283">
        <v>0</v>
      </c>
      <c r="AY2283">
        <v>140</v>
      </c>
      <c r="BC2283" t="str">
        <f t="shared" si="365"/>
        <v>9791137602069</v>
      </c>
      <c r="BE2283" t="str">
        <f t="shared" si="366"/>
        <v>판타지 웹소설 &gt; 현대 판타지</v>
      </c>
    </row>
    <row r="2284" spans="1:57" x14ac:dyDescent="0.3">
      <c r="A2284">
        <v>2313018365</v>
      </c>
      <c r="B2284">
        <v>2313018403</v>
      </c>
      <c r="C2284" t="str">
        <f>T("나 혼자 스킬융합 39화")</f>
        <v>나 혼자 스킬융합 39화</v>
      </c>
      <c r="D2284" t="str">
        <f>T("39")</f>
        <v>39</v>
      </c>
      <c r="E2284" t="str">
        <f t="shared" si="363"/>
        <v>붕어빵</v>
      </c>
      <c r="H2284" t="str">
        <f t="shared" si="356"/>
        <v>스토리위즈</v>
      </c>
      <c r="I2284" t="str">
        <f t="shared" si="364"/>
        <v>나 혼자 스킬융합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200</v>
      </c>
      <c r="AH2284">
        <v>2</v>
      </c>
      <c r="AI2284">
        <v>0</v>
      </c>
      <c r="AJ2284">
        <v>0</v>
      </c>
      <c r="AK2284">
        <v>200</v>
      </c>
      <c r="AL2284">
        <v>0</v>
      </c>
      <c r="AM2284">
        <v>0</v>
      </c>
      <c r="AN2284">
        <v>0</v>
      </c>
      <c r="AO2284">
        <v>0</v>
      </c>
      <c r="AP2284"/>
      <c r="AQ2284">
        <v>0</v>
      </c>
      <c r="AR2284">
        <v>0</v>
      </c>
      <c r="AT2284">
        <v>0</v>
      </c>
      <c r="AU2284">
        <v>0</v>
      </c>
      <c r="AW2284">
        <v>0</v>
      </c>
      <c r="AX2284">
        <v>0</v>
      </c>
      <c r="AY2284">
        <v>140</v>
      </c>
      <c r="BC2284" t="str">
        <f t="shared" si="365"/>
        <v>9791137602069</v>
      </c>
      <c r="BE2284" t="str">
        <f t="shared" si="366"/>
        <v>판타지 웹소설 &gt; 현대 판타지</v>
      </c>
    </row>
    <row r="2285" spans="1:57" x14ac:dyDescent="0.3">
      <c r="A2285">
        <v>2313018365</v>
      </c>
      <c r="B2285">
        <v>2313018404</v>
      </c>
      <c r="C2285" t="str">
        <f>T("나 혼자 스킬융합 40화")</f>
        <v>나 혼자 스킬융합 40화</v>
      </c>
      <c r="D2285" t="str">
        <f>T("40")</f>
        <v>40</v>
      </c>
      <c r="E2285" t="str">
        <f t="shared" si="363"/>
        <v>붕어빵</v>
      </c>
      <c r="H2285" t="str">
        <f t="shared" si="356"/>
        <v>스토리위즈</v>
      </c>
      <c r="I2285" t="str">
        <f t="shared" si="364"/>
        <v>나 혼자 스킬융합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</v>
      </c>
      <c r="AH2285">
        <v>2</v>
      </c>
      <c r="AI2285">
        <v>0</v>
      </c>
      <c r="AJ2285">
        <v>0</v>
      </c>
      <c r="AK2285">
        <v>200</v>
      </c>
      <c r="AL2285">
        <v>0</v>
      </c>
      <c r="AM2285">
        <v>0</v>
      </c>
      <c r="AN2285">
        <v>0</v>
      </c>
      <c r="AO2285">
        <v>0</v>
      </c>
      <c r="AP2285"/>
      <c r="AQ2285">
        <v>0</v>
      </c>
      <c r="AR2285">
        <v>0</v>
      </c>
      <c r="AT2285">
        <v>0</v>
      </c>
      <c r="AU2285">
        <v>0</v>
      </c>
      <c r="AW2285">
        <v>0</v>
      </c>
      <c r="AX2285">
        <v>0</v>
      </c>
      <c r="AY2285">
        <v>140</v>
      </c>
      <c r="BC2285" t="str">
        <f t="shared" si="365"/>
        <v>9791137602069</v>
      </c>
      <c r="BE2285" t="str">
        <f t="shared" si="366"/>
        <v>판타지 웹소설 &gt; 현대 판타지</v>
      </c>
    </row>
    <row r="2286" spans="1:57" x14ac:dyDescent="0.3">
      <c r="A2286">
        <v>2313018365</v>
      </c>
      <c r="B2286">
        <v>2313018405</v>
      </c>
      <c r="C2286" t="str">
        <f>T("나 혼자 스킬융합 41화")</f>
        <v>나 혼자 스킬융합 41화</v>
      </c>
      <c r="D2286" t="str">
        <f>T("41")</f>
        <v>41</v>
      </c>
      <c r="E2286" t="str">
        <f t="shared" si="363"/>
        <v>붕어빵</v>
      </c>
      <c r="H2286" t="str">
        <f t="shared" si="356"/>
        <v>스토리위즈</v>
      </c>
      <c r="I2286" t="str">
        <f t="shared" si="364"/>
        <v>나 혼자 스킬융합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200</v>
      </c>
      <c r="AH2286">
        <v>2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0</v>
      </c>
      <c r="AP2286"/>
      <c r="AQ2286">
        <v>0</v>
      </c>
      <c r="AR2286">
        <v>0</v>
      </c>
      <c r="AT2286">
        <v>0</v>
      </c>
      <c r="AU2286">
        <v>0</v>
      </c>
      <c r="AW2286">
        <v>0</v>
      </c>
      <c r="AX2286">
        <v>0</v>
      </c>
      <c r="AY2286">
        <v>140</v>
      </c>
      <c r="BC2286" t="str">
        <f t="shared" si="365"/>
        <v>9791137602069</v>
      </c>
      <c r="BE2286" t="str">
        <f t="shared" si="366"/>
        <v>판타지 웹소설 &gt; 현대 판타지</v>
      </c>
    </row>
    <row r="2287" spans="1:57" x14ac:dyDescent="0.3">
      <c r="A2287">
        <v>2313018365</v>
      </c>
      <c r="B2287">
        <v>2313018406</v>
      </c>
      <c r="C2287" t="str">
        <f>T("나 혼자 스킬융합 42화")</f>
        <v>나 혼자 스킬융합 42화</v>
      </c>
      <c r="D2287" t="str">
        <f>T("42")</f>
        <v>42</v>
      </c>
      <c r="E2287" t="str">
        <f t="shared" si="363"/>
        <v>붕어빵</v>
      </c>
      <c r="H2287" t="str">
        <f t="shared" si="356"/>
        <v>스토리위즈</v>
      </c>
      <c r="I2287" t="str">
        <f t="shared" si="364"/>
        <v>나 혼자 스킬융합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200</v>
      </c>
      <c r="AH2287">
        <v>2</v>
      </c>
      <c r="AI2287">
        <v>0</v>
      </c>
      <c r="AJ2287">
        <v>0</v>
      </c>
      <c r="AK2287">
        <v>200</v>
      </c>
      <c r="AL2287">
        <v>0</v>
      </c>
      <c r="AM2287">
        <v>0</v>
      </c>
      <c r="AN2287">
        <v>0</v>
      </c>
      <c r="AO2287">
        <v>0</v>
      </c>
      <c r="AP2287"/>
      <c r="AQ2287">
        <v>0</v>
      </c>
      <c r="AR2287">
        <v>0</v>
      </c>
      <c r="AT2287">
        <v>0</v>
      </c>
      <c r="AU2287">
        <v>0</v>
      </c>
      <c r="AW2287">
        <v>0</v>
      </c>
      <c r="AX2287">
        <v>0</v>
      </c>
      <c r="AY2287">
        <v>140</v>
      </c>
      <c r="BC2287" t="str">
        <f t="shared" si="365"/>
        <v>9791137602069</v>
      </c>
      <c r="BE2287" t="str">
        <f t="shared" si="366"/>
        <v>판타지 웹소설 &gt; 현대 판타지</v>
      </c>
    </row>
    <row r="2288" spans="1:57" x14ac:dyDescent="0.3">
      <c r="A2288">
        <v>2313018365</v>
      </c>
      <c r="B2288">
        <v>2313018407</v>
      </c>
      <c r="C2288" t="str">
        <f>T("나 혼자 스킬융합 43화")</f>
        <v>나 혼자 스킬융합 43화</v>
      </c>
      <c r="D2288" t="str">
        <f>T("43")</f>
        <v>43</v>
      </c>
      <c r="E2288" t="str">
        <f t="shared" si="363"/>
        <v>붕어빵</v>
      </c>
      <c r="H2288" t="str">
        <f t="shared" si="356"/>
        <v>스토리위즈</v>
      </c>
      <c r="I2288" t="str">
        <f t="shared" si="364"/>
        <v>나 혼자 스킬융합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200</v>
      </c>
      <c r="AH2288">
        <v>2</v>
      </c>
      <c r="AI2288">
        <v>0</v>
      </c>
      <c r="AJ2288">
        <v>0</v>
      </c>
      <c r="AK2288">
        <v>200</v>
      </c>
      <c r="AL2288">
        <v>0</v>
      </c>
      <c r="AM2288">
        <v>0</v>
      </c>
      <c r="AN2288">
        <v>0</v>
      </c>
      <c r="AO2288">
        <v>0</v>
      </c>
      <c r="AP2288"/>
      <c r="AQ2288">
        <v>0</v>
      </c>
      <c r="AR2288">
        <v>0</v>
      </c>
      <c r="AT2288">
        <v>0</v>
      </c>
      <c r="AU2288">
        <v>0</v>
      </c>
      <c r="AW2288">
        <v>0</v>
      </c>
      <c r="AX2288">
        <v>0</v>
      </c>
      <c r="AY2288">
        <v>140</v>
      </c>
      <c r="BC2288" t="str">
        <f t="shared" si="365"/>
        <v>9791137602069</v>
      </c>
      <c r="BE2288" t="str">
        <f t="shared" si="366"/>
        <v>판타지 웹소설 &gt; 현대 판타지</v>
      </c>
    </row>
    <row r="2289" spans="1:57" x14ac:dyDescent="0.3">
      <c r="A2289">
        <v>2313019331</v>
      </c>
      <c r="B2289">
        <v>2313019528</v>
      </c>
      <c r="C2289" t="str">
        <f>T("상태창빨로 천재 재벌 198화")</f>
        <v>상태창빨로 천재 재벌 198화</v>
      </c>
      <c r="D2289" t="str">
        <f>T("198")</f>
        <v>198</v>
      </c>
      <c r="E2289" t="str">
        <f>T("리얼탄산")</f>
        <v>리얼탄산</v>
      </c>
      <c r="H2289" t="str">
        <f t="shared" si="356"/>
        <v>스토리위즈</v>
      </c>
      <c r="I2289" t="str">
        <f>T("상태창빨로 천재 재벌")</f>
        <v>상태창빨로 천재 재벌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200</v>
      </c>
      <c r="AH2289">
        <v>2</v>
      </c>
      <c r="AI2289">
        <v>0</v>
      </c>
      <c r="AJ2289">
        <v>0</v>
      </c>
      <c r="AK2289">
        <v>200</v>
      </c>
      <c r="AL2289">
        <v>0</v>
      </c>
      <c r="AM2289">
        <v>0</v>
      </c>
      <c r="AN2289">
        <v>0</v>
      </c>
      <c r="AO2289">
        <v>0</v>
      </c>
      <c r="AP2289"/>
      <c r="AQ2289">
        <v>0</v>
      </c>
      <c r="AR2289">
        <v>0</v>
      </c>
      <c r="AT2289">
        <v>0</v>
      </c>
      <c r="AU2289">
        <v>0</v>
      </c>
      <c r="AW2289">
        <v>0</v>
      </c>
      <c r="AX2289">
        <v>0</v>
      </c>
      <c r="AY2289">
        <v>140</v>
      </c>
      <c r="BC2289" t="str">
        <f>T("9791137601741")</f>
        <v>9791137601741</v>
      </c>
      <c r="BE2289" t="str">
        <f t="shared" si="366"/>
        <v>판타지 웹소설 &gt; 현대 판타지</v>
      </c>
    </row>
    <row r="2290" spans="1:57" x14ac:dyDescent="0.3">
      <c r="A2290">
        <v>2313019331</v>
      </c>
      <c r="B2290">
        <v>2313019529</v>
      </c>
      <c r="C2290" t="str">
        <f>T("상태창빨로 천재 재벌 199화")</f>
        <v>상태창빨로 천재 재벌 199화</v>
      </c>
      <c r="D2290" t="str">
        <f>T("199")</f>
        <v>199</v>
      </c>
      <c r="E2290" t="str">
        <f>T("리얼탄산")</f>
        <v>리얼탄산</v>
      </c>
      <c r="H2290" t="str">
        <f t="shared" si="356"/>
        <v>스토리위즈</v>
      </c>
      <c r="I2290" t="str">
        <f>T("상태창빨로 천재 재벌")</f>
        <v>상태창빨로 천재 재벌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200</v>
      </c>
      <c r="AH2290">
        <v>2</v>
      </c>
      <c r="AI2290">
        <v>0</v>
      </c>
      <c r="AJ2290">
        <v>0</v>
      </c>
      <c r="AK2290">
        <v>200</v>
      </c>
      <c r="AL2290">
        <v>0</v>
      </c>
      <c r="AM2290">
        <v>0</v>
      </c>
      <c r="AN2290">
        <v>0</v>
      </c>
      <c r="AO2290">
        <v>0</v>
      </c>
      <c r="AP2290"/>
      <c r="AQ2290">
        <v>0</v>
      </c>
      <c r="AR2290">
        <v>0</v>
      </c>
      <c r="AT2290">
        <v>0</v>
      </c>
      <c r="AU2290">
        <v>0</v>
      </c>
      <c r="AW2290">
        <v>0</v>
      </c>
      <c r="AX2290">
        <v>0</v>
      </c>
      <c r="AY2290">
        <v>140</v>
      </c>
      <c r="BC2290" t="str">
        <f>T("9791137601741")</f>
        <v>9791137601741</v>
      </c>
      <c r="BE2290" t="str">
        <f t="shared" si="366"/>
        <v>판타지 웹소설 &gt; 현대 판타지</v>
      </c>
    </row>
    <row r="2291" spans="1:57" x14ac:dyDescent="0.3">
      <c r="A2291">
        <v>2313019631</v>
      </c>
      <c r="B2291">
        <v>2313019661</v>
      </c>
      <c r="C2291" t="str">
        <f>T("망생부터 시작하는 천재작가의 회귀 31화")</f>
        <v>망생부터 시작하는 천재작가의 회귀 31화</v>
      </c>
      <c r="D2291" t="str">
        <f>T("31")</f>
        <v>31</v>
      </c>
      <c r="E2291" t="str">
        <f>T("알랙스")</f>
        <v>알랙스</v>
      </c>
      <c r="H2291" t="str">
        <f t="shared" si="356"/>
        <v>스토리위즈</v>
      </c>
      <c r="I2291" t="str">
        <f>T("망생부터 시작하는 천재작가의 회귀")</f>
        <v>망생부터 시작하는 천재작가의 회귀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200</v>
      </c>
      <c r="AH2291">
        <v>2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0</v>
      </c>
      <c r="AP2291"/>
      <c r="AQ2291">
        <v>0</v>
      </c>
      <c r="AR2291">
        <v>0</v>
      </c>
      <c r="AT2291">
        <v>0</v>
      </c>
      <c r="AU2291">
        <v>0</v>
      </c>
      <c r="AW2291">
        <v>0</v>
      </c>
      <c r="AX2291">
        <v>0</v>
      </c>
      <c r="AY2291">
        <v>140</v>
      </c>
      <c r="BC2291" t="str">
        <f>T("9791137603097")</f>
        <v>9791137603097</v>
      </c>
      <c r="BE2291" t="str">
        <f t="shared" si="366"/>
        <v>판타지 웹소설 &gt; 현대 판타지</v>
      </c>
    </row>
    <row r="2292" spans="1:57" x14ac:dyDescent="0.3">
      <c r="A2292">
        <v>2313019814</v>
      </c>
      <c r="B2292">
        <v>2313019842</v>
      </c>
      <c r="C2292" t="str">
        <f>T("친구 졸업 16화")</f>
        <v>친구 졸업 16화</v>
      </c>
      <c r="D2292" t="str">
        <f>T("16")</f>
        <v>16</v>
      </c>
      <c r="E2292" t="str">
        <f>T("세상")</f>
        <v>세상</v>
      </c>
      <c r="H2292" t="str">
        <f>T("앰퍼샌드B")</f>
        <v>앰퍼샌드B</v>
      </c>
      <c r="I2292" t="str">
        <f>T("친구 졸업")</f>
        <v>친구 졸업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200</v>
      </c>
      <c r="AH2292">
        <v>2</v>
      </c>
      <c r="AI2292">
        <v>0</v>
      </c>
      <c r="AJ2292">
        <v>0</v>
      </c>
      <c r="AK2292">
        <v>100</v>
      </c>
      <c r="AL2292">
        <v>0</v>
      </c>
      <c r="AM2292">
        <v>120</v>
      </c>
      <c r="AN2292">
        <v>-12</v>
      </c>
      <c r="AO2292">
        <v>0</v>
      </c>
      <c r="AP2292"/>
      <c r="AQ2292">
        <v>0</v>
      </c>
      <c r="AR2292">
        <v>0</v>
      </c>
      <c r="AS2292">
        <v>120</v>
      </c>
      <c r="AT2292">
        <v>-12</v>
      </c>
      <c r="AU2292">
        <v>0</v>
      </c>
      <c r="AW2292">
        <v>0</v>
      </c>
      <c r="AX2292">
        <v>0</v>
      </c>
      <c r="AY2292">
        <v>145.6</v>
      </c>
      <c r="BC2292" t="str">
        <f>T("9791137606975")</f>
        <v>9791137606975</v>
      </c>
      <c r="BE2292" t="str">
        <f>T("BL 웹소설 &gt; 현대물")</f>
        <v>BL 웹소설 &gt; 현대물</v>
      </c>
    </row>
    <row r="2293" spans="1:57" x14ac:dyDescent="0.3">
      <c r="A2293">
        <v>2313019814</v>
      </c>
      <c r="B2293">
        <v>2313019846</v>
      </c>
      <c r="C2293" t="str">
        <f>T("친구 졸업 20화")</f>
        <v>친구 졸업 20화</v>
      </c>
      <c r="D2293" t="str">
        <f>T("20")</f>
        <v>20</v>
      </c>
      <c r="E2293" t="str">
        <f>T("세상")</f>
        <v>세상</v>
      </c>
      <c r="H2293" t="str">
        <f>T("앰퍼샌드B")</f>
        <v>앰퍼샌드B</v>
      </c>
      <c r="I2293" t="str">
        <f>T("친구 졸업")</f>
        <v>친구 졸업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200</v>
      </c>
      <c r="AH2293">
        <v>2</v>
      </c>
      <c r="AI2293">
        <v>0</v>
      </c>
      <c r="AJ2293">
        <v>0</v>
      </c>
      <c r="AK2293">
        <v>100</v>
      </c>
      <c r="AL2293">
        <v>0</v>
      </c>
      <c r="AM2293">
        <v>120</v>
      </c>
      <c r="AN2293">
        <v>-12</v>
      </c>
      <c r="AO2293">
        <v>0</v>
      </c>
      <c r="AP2293"/>
      <c r="AQ2293">
        <v>0</v>
      </c>
      <c r="AR2293">
        <v>0</v>
      </c>
      <c r="AS2293">
        <v>120</v>
      </c>
      <c r="AT2293">
        <v>-12</v>
      </c>
      <c r="AU2293">
        <v>0</v>
      </c>
      <c r="AW2293">
        <v>0</v>
      </c>
      <c r="AX2293">
        <v>0</v>
      </c>
      <c r="AY2293">
        <v>145.6</v>
      </c>
      <c r="BC2293" t="str">
        <f>T("9791137606975")</f>
        <v>9791137606975</v>
      </c>
      <c r="BE2293" t="str">
        <f>T("BL 웹소설 &gt; 현대물")</f>
        <v>BL 웹소설 &gt; 현대물</v>
      </c>
    </row>
    <row r="2294" spans="1:57" x14ac:dyDescent="0.3">
      <c r="A2294">
        <v>2313019814</v>
      </c>
      <c r="B2294">
        <v>2313019847</v>
      </c>
      <c r="C2294" t="str">
        <f>T("친구 졸업 21화")</f>
        <v>친구 졸업 21화</v>
      </c>
      <c r="D2294" t="str">
        <f>T("21")</f>
        <v>21</v>
      </c>
      <c r="E2294" t="str">
        <f>T("세상")</f>
        <v>세상</v>
      </c>
      <c r="H2294" t="str">
        <f>T("앰퍼샌드B")</f>
        <v>앰퍼샌드B</v>
      </c>
      <c r="I2294" t="str">
        <f>T("친구 졸업")</f>
        <v>친구 졸업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200</v>
      </c>
      <c r="AH2294">
        <v>2</v>
      </c>
      <c r="AI2294">
        <v>0</v>
      </c>
      <c r="AJ2294">
        <v>0</v>
      </c>
      <c r="AK2294">
        <v>100</v>
      </c>
      <c r="AL2294">
        <v>0</v>
      </c>
      <c r="AM2294">
        <v>120</v>
      </c>
      <c r="AN2294">
        <v>-12</v>
      </c>
      <c r="AO2294">
        <v>0</v>
      </c>
      <c r="AP2294"/>
      <c r="AQ2294">
        <v>0</v>
      </c>
      <c r="AR2294">
        <v>0</v>
      </c>
      <c r="AS2294">
        <v>120</v>
      </c>
      <c r="AT2294">
        <v>-12</v>
      </c>
      <c r="AU2294">
        <v>0</v>
      </c>
      <c r="AW2294">
        <v>0</v>
      </c>
      <c r="AX2294">
        <v>0</v>
      </c>
      <c r="AY2294">
        <v>145.6</v>
      </c>
      <c r="BC2294" t="str">
        <f>T("9791137606975")</f>
        <v>9791137606975</v>
      </c>
      <c r="BE2294" t="str">
        <f>T("BL 웹소설 &gt; 현대물")</f>
        <v>BL 웹소설 &gt; 현대물</v>
      </c>
    </row>
    <row r="2295" spans="1:57" x14ac:dyDescent="0.3">
      <c r="A2295">
        <v>2313019814</v>
      </c>
      <c r="B2295">
        <v>2313020076</v>
      </c>
      <c r="C2295" t="str">
        <f>T("친구 졸업 89화")</f>
        <v>친구 졸업 89화</v>
      </c>
      <c r="D2295" t="str">
        <f>T("89")</f>
        <v>89</v>
      </c>
      <c r="E2295" t="str">
        <f>T("세상")</f>
        <v>세상</v>
      </c>
      <c r="H2295" t="str">
        <f>T("앰퍼샌드B")</f>
        <v>앰퍼샌드B</v>
      </c>
      <c r="I2295" t="str">
        <f>T("친구 졸업")</f>
        <v>친구 졸업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200</v>
      </c>
      <c r="AH2295">
        <v>2</v>
      </c>
      <c r="AI2295">
        <v>0</v>
      </c>
      <c r="AJ2295">
        <v>0</v>
      </c>
      <c r="AK2295">
        <v>200</v>
      </c>
      <c r="AL2295">
        <v>0</v>
      </c>
      <c r="AM2295">
        <v>0</v>
      </c>
      <c r="AN2295">
        <v>0</v>
      </c>
      <c r="AO2295">
        <v>0</v>
      </c>
      <c r="AP2295"/>
      <c r="AQ2295">
        <v>0</v>
      </c>
      <c r="AR2295">
        <v>0</v>
      </c>
      <c r="AT2295">
        <v>0</v>
      </c>
      <c r="AU2295">
        <v>0</v>
      </c>
      <c r="AW2295">
        <v>0</v>
      </c>
      <c r="AX2295">
        <v>0</v>
      </c>
      <c r="AY2295">
        <v>140</v>
      </c>
      <c r="BC2295" t="str">
        <f>T("9791137606975")</f>
        <v>9791137606975</v>
      </c>
      <c r="BE2295" t="str">
        <f>T("BL 웹소설 &gt; 현대물")</f>
        <v>BL 웹소설 &gt; 현대물</v>
      </c>
    </row>
    <row r="2296" spans="1:57" x14ac:dyDescent="0.3">
      <c r="A2296">
        <v>2313020594</v>
      </c>
      <c r="B2296">
        <v>2313020644</v>
      </c>
      <c r="C2296" t="str">
        <f>T("아카데미 속 궁술천재 51화")</f>
        <v>아카데미 속 궁술천재 51화</v>
      </c>
      <c r="D2296" t="str">
        <f>T("51")</f>
        <v>51</v>
      </c>
      <c r="E2296" t="str">
        <f t="shared" ref="E2296:E2347" si="367">T("깡펀치")</f>
        <v>깡펀치</v>
      </c>
      <c r="H2296" t="str">
        <f t="shared" ref="H2296:H2359" si="368">T("스토리위즈")</f>
        <v>스토리위즈</v>
      </c>
      <c r="I2296" t="str">
        <f t="shared" ref="I2296:I2347" si="369">T("아카데미 속 궁술천재")</f>
        <v>아카데미 속 궁술천재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200</v>
      </c>
      <c r="AH2296">
        <v>2</v>
      </c>
      <c r="AI2296">
        <v>0</v>
      </c>
      <c r="AJ2296">
        <v>0</v>
      </c>
      <c r="AK2296">
        <v>100</v>
      </c>
      <c r="AL2296">
        <v>0</v>
      </c>
      <c r="AM2296">
        <v>120</v>
      </c>
      <c r="AN2296">
        <v>-36</v>
      </c>
      <c r="AO2296">
        <v>0</v>
      </c>
      <c r="AP2296">
        <v>120</v>
      </c>
      <c r="AQ2296">
        <v>-36</v>
      </c>
      <c r="AR2296">
        <v>0</v>
      </c>
      <c r="AT2296">
        <v>0</v>
      </c>
      <c r="AU2296">
        <v>0</v>
      </c>
      <c r="AW2296">
        <v>0</v>
      </c>
      <c r="AX2296">
        <v>0</v>
      </c>
      <c r="AY2296">
        <v>128.80000000000001</v>
      </c>
      <c r="BC2296" t="str">
        <f t="shared" ref="BC2296:BC2347" si="370">T("9791137602915")</f>
        <v>9791137602915</v>
      </c>
      <c r="BE2296" t="str">
        <f t="shared" ref="BE2296:BE2354" si="371">T("판타지 웹소설 &gt; 퓨전 판타지")</f>
        <v>판타지 웹소설 &gt; 퓨전 판타지</v>
      </c>
    </row>
    <row r="2297" spans="1:57" x14ac:dyDescent="0.3">
      <c r="A2297">
        <v>2313020594</v>
      </c>
      <c r="B2297">
        <v>2313020698</v>
      </c>
      <c r="C2297" t="str">
        <f>T("아카데미 속 궁술천재 105화")</f>
        <v>아카데미 속 궁술천재 105화</v>
      </c>
      <c r="D2297" t="str">
        <f>T("105")</f>
        <v>105</v>
      </c>
      <c r="E2297" t="str">
        <f t="shared" si="367"/>
        <v>깡펀치</v>
      </c>
      <c r="H2297" t="str">
        <f t="shared" si="368"/>
        <v>스토리위즈</v>
      </c>
      <c r="I2297" t="str">
        <f t="shared" si="369"/>
        <v>아카데미 속 궁술천재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200</v>
      </c>
      <c r="AH2297">
        <v>2</v>
      </c>
      <c r="AI2297">
        <v>0</v>
      </c>
      <c r="AJ2297">
        <v>0</v>
      </c>
      <c r="AK2297">
        <v>200</v>
      </c>
      <c r="AL2297">
        <v>0</v>
      </c>
      <c r="AM2297">
        <v>0</v>
      </c>
      <c r="AN2297">
        <v>0</v>
      </c>
      <c r="AO2297">
        <v>0</v>
      </c>
      <c r="AP2297"/>
      <c r="AQ2297">
        <v>0</v>
      </c>
      <c r="AR2297">
        <v>0</v>
      </c>
      <c r="AT2297">
        <v>0</v>
      </c>
      <c r="AU2297">
        <v>0</v>
      </c>
      <c r="AW2297">
        <v>0</v>
      </c>
      <c r="AX2297">
        <v>0</v>
      </c>
      <c r="AY2297">
        <v>140</v>
      </c>
      <c r="BC2297" t="str">
        <f t="shared" si="370"/>
        <v>9791137602915</v>
      </c>
      <c r="BE2297" t="str">
        <f t="shared" si="371"/>
        <v>판타지 웹소설 &gt; 퓨전 판타지</v>
      </c>
    </row>
    <row r="2298" spans="1:57" x14ac:dyDescent="0.3">
      <c r="A2298">
        <v>2313020594</v>
      </c>
      <c r="B2298">
        <v>2313020699</v>
      </c>
      <c r="C2298" t="str">
        <f>T("아카데미 속 궁술천재 106화")</f>
        <v>아카데미 속 궁술천재 106화</v>
      </c>
      <c r="D2298" t="str">
        <f>T("106")</f>
        <v>106</v>
      </c>
      <c r="E2298" t="str">
        <f t="shared" si="367"/>
        <v>깡펀치</v>
      </c>
      <c r="H2298" t="str">
        <f t="shared" si="368"/>
        <v>스토리위즈</v>
      </c>
      <c r="I2298" t="str">
        <f t="shared" si="369"/>
        <v>아카데미 속 궁술천재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200</v>
      </c>
      <c r="AH2298">
        <v>2</v>
      </c>
      <c r="AI2298">
        <v>0</v>
      </c>
      <c r="AJ2298">
        <v>0</v>
      </c>
      <c r="AK2298">
        <v>200</v>
      </c>
      <c r="AL2298">
        <v>0</v>
      </c>
      <c r="AM2298">
        <v>0</v>
      </c>
      <c r="AN2298">
        <v>0</v>
      </c>
      <c r="AO2298">
        <v>0</v>
      </c>
      <c r="AP2298"/>
      <c r="AQ2298">
        <v>0</v>
      </c>
      <c r="AR2298">
        <v>0</v>
      </c>
      <c r="AT2298">
        <v>0</v>
      </c>
      <c r="AU2298">
        <v>0</v>
      </c>
      <c r="AW2298">
        <v>0</v>
      </c>
      <c r="AX2298">
        <v>0</v>
      </c>
      <c r="AY2298">
        <v>140</v>
      </c>
      <c r="BC2298" t="str">
        <f t="shared" si="370"/>
        <v>9791137602915</v>
      </c>
      <c r="BE2298" t="str">
        <f t="shared" si="371"/>
        <v>판타지 웹소설 &gt; 퓨전 판타지</v>
      </c>
    </row>
    <row r="2299" spans="1:57" x14ac:dyDescent="0.3">
      <c r="A2299">
        <v>2313020594</v>
      </c>
      <c r="B2299">
        <v>2313020700</v>
      </c>
      <c r="C2299" t="str">
        <f>T("아카데미 속 궁술천재 107화")</f>
        <v>아카데미 속 궁술천재 107화</v>
      </c>
      <c r="D2299" t="str">
        <f>T("107")</f>
        <v>107</v>
      </c>
      <c r="E2299" t="str">
        <f t="shared" si="367"/>
        <v>깡펀치</v>
      </c>
      <c r="H2299" t="str">
        <f t="shared" si="368"/>
        <v>스토리위즈</v>
      </c>
      <c r="I2299" t="str">
        <f t="shared" si="369"/>
        <v>아카데미 속 궁술천재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/>
      <c r="AQ2299">
        <v>0</v>
      </c>
      <c r="AR2299">
        <v>0</v>
      </c>
      <c r="AT2299">
        <v>0</v>
      </c>
      <c r="AU2299">
        <v>0</v>
      </c>
      <c r="AW2299">
        <v>0</v>
      </c>
      <c r="AX2299">
        <v>0</v>
      </c>
      <c r="AY2299">
        <v>140</v>
      </c>
      <c r="BC2299" t="str">
        <f t="shared" si="370"/>
        <v>9791137602915</v>
      </c>
      <c r="BE2299" t="str">
        <f t="shared" si="371"/>
        <v>판타지 웹소설 &gt; 퓨전 판타지</v>
      </c>
    </row>
    <row r="2300" spans="1:57" x14ac:dyDescent="0.3">
      <c r="A2300">
        <v>2313020594</v>
      </c>
      <c r="B2300">
        <v>2313020701</v>
      </c>
      <c r="C2300" t="str">
        <f>T("아카데미 속 궁술천재 108화")</f>
        <v>아카데미 속 궁술천재 108화</v>
      </c>
      <c r="D2300" t="str">
        <f>T("108")</f>
        <v>108</v>
      </c>
      <c r="E2300" t="str">
        <f t="shared" si="367"/>
        <v>깡펀치</v>
      </c>
      <c r="H2300" t="str">
        <f t="shared" si="368"/>
        <v>스토리위즈</v>
      </c>
      <c r="I2300" t="str">
        <f t="shared" si="369"/>
        <v>아카데미 속 궁술천재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/>
      <c r="AQ2300">
        <v>0</v>
      </c>
      <c r="AR2300">
        <v>0</v>
      </c>
      <c r="AT2300">
        <v>0</v>
      </c>
      <c r="AU2300">
        <v>0</v>
      </c>
      <c r="AW2300">
        <v>0</v>
      </c>
      <c r="AX2300">
        <v>0</v>
      </c>
      <c r="AY2300">
        <v>140</v>
      </c>
      <c r="BC2300" t="str">
        <f t="shared" si="370"/>
        <v>9791137602915</v>
      </c>
      <c r="BE2300" t="str">
        <f t="shared" si="371"/>
        <v>판타지 웹소설 &gt; 퓨전 판타지</v>
      </c>
    </row>
    <row r="2301" spans="1:57" x14ac:dyDescent="0.3">
      <c r="A2301">
        <v>2313020594</v>
      </c>
      <c r="B2301">
        <v>2313020702</v>
      </c>
      <c r="C2301" t="str">
        <f>T("아카데미 속 궁술천재 109화")</f>
        <v>아카데미 속 궁술천재 109화</v>
      </c>
      <c r="D2301" t="str">
        <f>T("109")</f>
        <v>109</v>
      </c>
      <c r="E2301" t="str">
        <f t="shared" si="367"/>
        <v>깡펀치</v>
      </c>
      <c r="H2301" t="str">
        <f t="shared" si="368"/>
        <v>스토리위즈</v>
      </c>
      <c r="I2301" t="str">
        <f t="shared" si="369"/>
        <v>아카데미 속 궁술천재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200</v>
      </c>
      <c r="AH2301">
        <v>2</v>
      </c>
      <c r="AI2301">
        <v>0</v>
      </c>
      <c r="AJ2301">
        <v>0</v>
      </c>
      <c r="AK2301">
        <v>200</v>
      </c>
      <c r="AL2301">
        <v>0</v>
      </c>
      <c r="AM2301">
        <v>0</v>
      </c>
      <c r="AN2301">
        <v>0</v>
      </c>
      <c r="AO2301">
        <v>0</v>
      </c>
      <c r="AP2301"/>
      <c r="AQ2301">
        <v>0</v>
      </c>
      <c r="AR2301">
        <v>0</v>
      </c>
      <c r="AT2301">
        <v>0</v>
      </c>
      <c r="AU2301">
        <v>0</v>
      </c>
      <c r="AW2301">
        <v>0</v>
      </c>
      <c r="AX2301">
        <v>0</v>
      </c>
      <c r="AY2301">
        <v>140</v>
      </c>
      <c r="BC2301" t="str">
        <f t="shared" si="370"/>
        <v>9791137602915</v>
      </c>
      <c r="BE2301" t="str">
        <f t="shared" si="371"/>
        <v>판타지 웹소설 &gt; 퓨전 판타지</v>
      </c>
    </row>
    <row r="2302" spans="1:57" x14ac:dyDescent="0.3">
      <c r="A2302">
        <v>2313020594</v>
      </c>
      <c r="B2302">
        <v>2313020703</v>
      </c>
      <c r="C2302" t="str">
        <f>T("아카데미 속 궁술천재 110화")</f>
        <v>아카데미 속 궁술천재 110화</v>
      </c>
      <c r="D2302" t="str">
        <f>T("110")</f>
        <v>110</v>
      </c>
      <c r="E2302" t="str">
        <f t="shared" si="367"/>
        <v>깡펀치</v>
      </c>
      <c r="H2302" t="str">
        <f t="shared" si="368"/>
        <v>스토리위즈</v>
      </c>
      <c r="I2302" t="str">
        <f t="shared" si="369"/>
        <v>아카데미 속 궁술천재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200</v>
      </c>
      <c r="AH2302">
        <v>2</v>
      </c>
      <c r="AI2302">
        <v>0</v>
      </c>
      <c r="AJ2302">
        <v>0</v>
      </c>
      <c r="AK2302">
        <v>200</v>
      </c>
      <c r="AL2302">
        <v>0</v>
      </c>
      <c r="AM2302">
        <v>0</v>
      </c>
      <c r="AN2302">
        <v>0</v>
      </c>
      <c r="AO2302">
        <v>0</v>
      </c>
      <c r="AP2302"/>
      <c r="AQ2302">
        <v>0</v>
      </c>
      <c r="AR2302">
        <v>0</v>
      </c>
      <c r="AT2302">
        <v>0</v>
      </c>
      <c r="AU2302">
        <v>0</v>
      </c>
      <c r="AW2302">
        <v>0</v>
      </c>
      <c r="AX2302">
        <v>0</v>
      </c>
      <c r="AY2302">
        <v>140</v>
      </c>
      <c r="BC2302" t="str">
        <f t="shared" si="370"/>
        <v>9791137602915</v>
      </c>
      <c r="BE2302" t="str">
        <f t="shared" si="371"/>
        <v>판타지 웹소설 &gt; 퓨전 판타지</v>
      </c>
    </row>
    <row r="2303" spans="1:57" x14ac:dyDescent="0.3">
      <c r="A2303">
        <v>2313020594</v>
      </c>
      <c r="B2303">
        <v>2313020704</v>
      </c>
      <c r="C2303" t="str">
        <f>T("아카데미 속 궁술천재 111화")</f>
        <v>아카데미 속 궁술천재 111화</v>
      </c>
      <c r="D2303" t="str">
        <f>T("111")</f>
        <v>111</v>
      </c>
      <c r="E2303" t="str">
        <f t="shared" si="367"/>
        <v>깡펀치</v>
      </c>
      <c r="H2303" t="str">
        <f t="shared" si="368"/>
        <v>스토리위즈</v>
      </c>
      <c r="I2303" t="str">
        <f t="shared" si="369"/>
        <v>아카데미 속 궁술천재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200</v>
      </c>
      <c r="AH2303">
        <v>2</v>
      </c>
      <c r="AI2303">
        <v>0</v>
      </c>
      <c r="AJ2303">
        <v>0</v>
      </c>
      <c r="AK2303">
        <v>200</v>
      </c>
      <c r="AL2303">
        <v>0</v>
      </c>
      <c r="AM2303">
        <v>0</v>
      </c>
      <c r="AN2303">
        <v>0</v>
      </c>
      <c r="AO2303">
        <v>0</v>
      </c>
      <c r="AP2303"/>
      <c r="AQ2303">
        <v>0</v>
      </c>
      <c r="AR2303">
        <v>0</v>
      </c>
      <c r="AT2303">
        <v>0</v>
      </c>
      <c r="AU2303">
        <v>0</v>
      </c>
      <c r="AW2303">
        <v>0</v>
      </c>
      <c r="AX2303">
        <v>0</v>
      </c>
      <c r="AY2303">
        <v>140</v>
      </c>
      <c r="BC2303" t="str">
        <f t="shared" si="370"/>
        <v>9791137602915</v>
      </c>
      <c r="BE2303" t="str">
        <f t="shared" si="371"/>
        <v>판타지 웹소설 &gt; 퓨전 판타지</v>
      </c>
    </row>
    <row r="2304" spans="1:57" x14ac:dyDescent="0.3">
      <c r="A2304">
        <v>2313020594</v>
      </c>
      <c r="B2304">
        <v>2313020705</v>
      </c>
      <c r="C2304" t="str">
        <f>T("아카데미 속 궁술천재 112화")</f>
        <v>아카데미 속 궁술천재 112화</v>
      </c>
      <c r="D2304" t="str">
        <f>T("112")</f>
        <v>112</v>
      </c>
      <c r="E2304" t="str">
        <f t="shared" si="367"/>
        <v>깡펀치</v>
      </c>
      <c r="H2304" t="str">
        <f t="shared" si="368"/>
        <v>스토리위즈</v>
      </c>
      <c r="I2304" t="str">
        <f t="shared" si="369"/>
        <v>아카데미 속 궁술천재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200</v>
      </c>
      <c r="AH2304">
        <v>2</v>
      </c>
      <c r="AI2304">
        <v>0</v>
      </c>
      <c r="AJ2304">
        <v>0</v>
      </c>
      <c r="AK2304">
        <v>200</v>
      </c>
      <c r="AL2304">
        <v>0</v>
      </c>
      <c r="AM2304">
        <v>0</v>
      </c>
      <c r="AN2304">
        <v>0</v>
      </c>
      <c r="AO2304">
        <v>0</v>
      </c>
      <c r="AP2304"/>
      <c r="AQ2304">
        <v>0</v>
      </c>
      <c r="AR2304">
        <v>0</v>
      </c>
      <c r="AT2304">
        <v>0</v>
      </c>
      <c r="AU2304">
        <v>0</v>
      </c>
      <c r="AW2304">
        <v>0</v>
      </c>
      <c r="AX2304">
        <v>0</v>
      </c>
      <c r="AY2304">
        <v>140</v>
      </c>
      <c r="BC2304" t="str">
        <f t="shared" si="370"/>
        <v>9791137602915</v>
      </c>
      <c r="BE2304" t="str">
        <f t="shared" si="371"/>
        <v>판타지 웹소설 &gt; 퓨전 판타지</v>
      </c>
    </row>
    <row r="2305" spans="1:57" x14ac:dyDescent="0.3">
      <c r="A2305">
        <v>2313020594</v>
      </c>
      <c r="B2305">
        <v>2313020706</v>
      </c>
      <c r="C2305" t="str">
        <f>T("아카데미 속 궁술천재 113화")</f>
        <v>아카데미 속 궁술천재 113화</v>
      </c>
      <c r="D2305" t="str">
        <f>T("113")</f>
        <v>113</v>
      </c>
      <c r="E2305" t="str">
        <f t="shared" si="367"/>
        <v>깡펀치</v>
      </c>
      <c r="H2305" t="str">
        <f t="shared" si="368"/>
        <v>스토리위즈</v>
      </c>
      <c r="I2305" t="str">
        <f t="shared" si="369"/>
        <v>아카데미 속 궁술천재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200</v>
      </c>
      <c r="AH2305">
        <v>2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0</v>
      </c>
      <c r="AP2305"/>
      <c r="AQ2305">
        <v>0</v>
      </c>
      <c r="AR2305">
        <v>0</v>
      </c>
      <c r="AT2305">
        <v>0</v>
      </c>
      <c r="AU2305">
        <v>0</v>
      </c>
      <c r="AW2305">
        <v>0</v>
      </c>
      <c r="AX2305">
        <v>0</v>
      </c>
      <c r="AY2305">
        <v>140</v>
      </c>
      <c r="BC2305" t="str">
        <f t="shared" si="370"/>
        <v>9791137602915</v>
      </c>
      <c r="BE2305" t="str">
        <f t="shared" si="371"/>
        <v>판타지 웹소설 &gt; 퓨전 판타지</v>
      </c>
    </row>
    <row r="2306" spans="1:57" x14ac:dyDescent="0.3">
      <c r="A2306">
        <v>2313020594</v>
      </c>
      <c r="B2306">
        <v>2313020707</v>
      </c>
      <c r="C2306" t="str">
        <f>T("아카데미 속 궁술천재 114화")</f>
        <v>아카데미 속 궁술천재 114화</v>
      </c>
      <c r="D2306" t="str">
        <f>T("114")</f>
        <v>114</v>
      </c>
      <c r="E2306" t="str">
        <f t="shared" si="367"/>
        <v>깡펀치</v>
      </c>
      <c r="H2306" t="str">
        <f t="shared" si="368"/>
        <v>스토리위즈</v>
      </c>
      <c r="I2306" t="str">
        <f t="shared" si="369"/>
        <v>아카데미 속 궁술천재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200</v>
      </c>
      <c r="AH2306">
        <v>2</v>
      </c>
      <c r="AI2306">
        <v>0</v>
      </c>
      <c r="AJ2306">
        <v>0</v>
      </c>
      <c r="AK2306">
        <v>200</v>
      </c>
      <c r="AL2306">
        <v>0</v>
      </c>
      <c r="AM2306">
        <v>0</v>
      </c>
      <c r="AN2306">
        <v>0</v>
      </c>
      <c r="AO2306">
        <v>0</v>
      </c>
      <c r="AP2306"/>
      <c r="AQ2306">
        <v>0</v>
      </c>
      <c r="AR2306">
        <v>0</v>
      </c>
      <c r="AT2306">
        <v>0</v>
      </c>
      <c r="AU2306">
        <v>0</v>
      </c>
      <c r="AW2306">
        <v>0</v>
      </c>
      <c r="AX2306">
        <v>0</v>
      </c>
      <c r="AY2306">
        <v>140</v>
      </c>
      <c r="BC2306" t="str">
        <f t="shared" si="370"/>
        <v>9791137602915</v>
      </c>
      <c r="BE2306" t="str">
        <f t="shared" si="371"/>
        <v>판타지 웹소설 &gt; 퓨전 판타지</v>
      </c>
    </row>
    <row r="2307" spans="1:57" x14ac:dyDescent="0.3">
      <c r="A2307">
        <v>2313020594</v>
      </c>
      <c r="B2307">
        <v>2313020708</v>
      </c>
      <c r="C2307" t="str">
        <f>T("아카데미 속 궁술천재 115화")</f>
        <v>아카데미 속 궁술천재 115화</v>
      </c>
      <c r="D2307" t="str">
        <f>T("115")</f>
        <v>115</v>
      </c>
      <c r="E2307" t="str">
        <f t="shared" si="367"/>
        <v>깡펀치</v>
      </c>
      <c r="H2307" t="str">
        <f t="shared" si="368"/>
        <v>스토리위즈</v>
      </c>
      <c r="I2307" t="str">
        <f t="shared" si="369"/>
        <v>아카데미 속 궁술천재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200</v>
      </c>
      <c r="AH2307">
        <v>2</v>
      </c>
      <c r="AI2307">
        <v>0</v>
      </c>
      <c r="AJ2307">
        <v>0</v>
      </c>
      <c r="AK2307">
        <v>200</v>
      </c>
      <c r="AL2307">
        <v>0</v>
      </c>
      <c r="AM2307">
        <v>0</v>
      </c>
      <c r="AN2307">
        <v>0</v>
      </c>
      <c r="AO2307">
        <v>0</v>
      </c>
      <c r="AP2307"/>
      <c r="AQ2307">
        <v>0</v>
      </c>
      <c r="AR2307">
        <v>0</v>
      </c>
      <c r="AT2307">
        <v>0</v>
      </c>
      <c r="AU2307">
        <v>0</v>
      </c>
      <c r="AW2307">
        <v>0</v>
      </c>
      <c r="AX2307">
        <v>0</v>
      </c>
      <c r="AY2307">
        <v>140</v>
      </c>
      <c r="BC2307" t="str">
        <f t="shared" si="370"/>
        <v>9791137602915</v>
      </c>
      <c r="BE2307" t="str">
        <f t="shared" si="371"/>
        <v>판타지 웹소설 &gt; 퓨전 판타지</v>
      </c>
    </row>
    <row r="2308" spans="1:57" x14ac:dyDescent="0.3">
      <c r="A2308">
        <v>2313020594</v>
      </c>
      <c r="B2308">
        <v>2313020709</v>
      </c>
      <c r="C2308" t="str">
        <f>T("아카데미 속 궁술천재 116화")</f>
        <v>아카데미 속 궁술천재 116화</v>
      </c>
      <c r="D2308" t="str">
        <f>T("116")</f>
        <v>116</v>
      </c>
      <c r="E2308" t="str">
        <f t="shared" si="367"/>
        <v>깡펀치</v>
      </c>
      <c r="H2308" t="str">
        <f t="shared" si="368"/>
        <v>스토리위즈</v>
      </c>
      <c r="I2308" t="str">
        <f t="shared" si="369"/>
        <v>아카데미 속 궁술천재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200</v>
      </c>
      <c r="AH2308">
        <v>2</v>
      </c>
      <c r="AI2308">
        <v>0</v>
      </c>
      <c r="AJ2308">
        <v>0</v>
      </c>
      <c r="AK2308">
        <v>200</v>
      </c>
      <c r="AL2308">
        <v>0</v>
      </c>
      <c r="AM2308">
        <v>0</v>
      </c>
      <c r="AN2308">
        <v>0</v>
      </c>
      <c r="AO2308">
        <v>0</v>
      </c>
      <c r="AP2308"/>
      <c r="AQ2308">
        <v>0</v>
      </c>
      <c r="AR2308">
        <v>0</v>
      </c>
      <c r="AT2308">
        <v>0</v>
      </c>
      <c r="AU2308">
        <v>0</v>
      </c>
      <c r="AW2308">
        <v>0</v>
      </c>
      <c r="AX2308">
        <v>0</v>
      </c>
      <c r="AY2308">
        <v>140</v>
      </c>
      <c r="BC2308" t="str">
        <f t="shared" si="370"/>
        <v>9791137602915</v>
      </c>
      <c r="BE2308" t="str">
        <f t="shared" si="371"/>
        <v>판타지 웹소설 &gt; 퓨전 판타지</v>
      </c>
    </row>
    <row r="2309" spans="1:57" x14ac:dyDescent="0.3">
      <c r="A2309">
        <v>2313020594</v>
      </c>
      <c r="B2309">
        <v>2313020710</v>
      </c>
      <c r="C2309" t="str">
        <f>T("아카데미 속 궁술천재 117화")</f>
        <v>아카데미 속 궁술천재 117화</v>
      </c>
      <c r="D2309" t="str">
        <f>T("117")</f>
        <v>117</v>
      </c>
      <c r="E2309" t="str">
        <f t="shared" si="367"/>
        <v>깡펀치</v>
      </c>
      <c r="H2309" t="str">
        <f t="shared" si="368"/>
        <v>스토리위즈</v>
      </c>
      <c r="I2309" t="str">
        <f t="shared" si="369"/>
        <v>아카데미 속 궁술천재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200</v>
      </c>
      <c r="AL2309">
        <v>0</v>
      </c>
      <c r="AM2309">
        <v>0</v>
      </c>
      <c r="AN2309">
        <v>0</v>
      </c>
      <c r="AO2309">
        <v>0</v>
      </c>
      <c r="AP2309"/>
      <c r="AQ2309">
        <v>0</v>
      </c>
      <c r="AR2309">
        <v>0</v>
      </c>
      <c r="AT2309">
        <v>0</v>
      </c>
      <c r="AU2309">
        <v>0</v>
      </c>
      <c r="AW2309">
        <v>0</v>
      </c>
      <c r="AX2309">
        <v>0</v>
      </c>
      <c r="AY2309">
        <v>140</v>
      </c>
      <c r="BC2309" t="str">
        <f t="shared" si="370"/>
        <v>9791137602915</v>
      </c>
      <c r="BE2309" t="str">
        <f t="shared" si="371"/>
        <v>판타지 웹소설 &gt; 퓨전 판타지</v>
      </c>
    </row>
    <row r="2310" spans="1:57" x14ac:dyDescent="0.3">
      <c r="A2310">
        <v>2313020594</v>
      </c>
      <c r="B2310">
        <v>2313020711</v>
      </c>
      <c r="C2310" t="str">
        <f>T("아카데미 속 궁술천재 118화")</f>
        <v>아카데미 속 궁술천재 118화</v>
      </c>
      <c r="D2310" t="str">
        <f>T("118")</f>
        <v>118</v>
      </c>
      <c r="E2310" t="str">
        <f t="shared" si="367"/>
        <v>깡펀치</v>
      </c>
      <c r="H2310" t="str">
        <f t="shared" si="368"/>
        <v>스토리위즈</v>
      </c>
      <c r="I2310" t="str">
        <f t="shared" si="369"/>
        <v>아카데미 속 궁술천재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200</v>
      </c>
      <c r="AH2310">
        <v>2</v>
      </c>
      <c r="AI2310">
        <v>0</v>
      </c>
      <c r="AJ2310">
        <v>0</v>
      </c>
      <c r="AK2310">
        <v>200</v>
      </c>
      <c r="AL2310">
        <v>0</v>
      </c>
      <c r="AM2310">
        <v>0</v>
      </c>
      <c r="AN2310">
        <v>0</v>
      </c>
      <c r="AO2310">
        <v>0</v>
      </c>
      <c r="AP2310"/>
      <c r="AQ2310">
        <v>0</v>
      </c>
      <c r="AR2310">
        <v>0</v>
      </c>
      <c r="AT2310">
        <v>0</v>
      </c>
      <c r="AU2310">
        <v>0</v>
      </c>
      <c r="AW2310">
        <v>0</v>
      </c>
      <c r="AX2310">
        <v>0</v>
      </c>
      <c r="AY2310">
        <v>140</v>
      </c>
      <c r="BC2310" t="str">
        <f t="shared" si="370"/>
        <v>9791137602915</v>
      </c>
      <c r="BE2310" t="str">
        <f t="shared" si="371"/>
        <v>판타지 웹소설 &gt; 퓨전 판타지</v>
      </c>
    </row>
    <row r="2311" spans="1:57" x14ac:dyDescent="0.3">
      <c r="A2311">
        <v>2313020594</v>
      </c>
      <c r="B2311">
        <v>2313020712</v>
      </c>
      <c r="C2311" t="str">
        <f>T("아카데미 속 궁술천재 119화")</f>
        <v>아카데미 속 궁술천재 119화</v>
      </c>
      <c r="D2311" t="str">
        <f>T("119")</f>
        <v>119</v>
      </c>
      <c r="E2311" t="str">
        <f t="shared" si="367"/>
        <v>깡펀치</v>
      </c>
      <c r="H2311" t="str">
        <f t="shared" si="368"/>
        <v>스토리위즈</v>
      </c>
      <c r="I2311" t="str">
        <f t="shared" si="369"/>
        <v>아카데미 속 궁술천재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200</v>
      </c>
      <c r="AH2311">
        <v>2</v>
      </c>
      <c r="AI2311">
        <v>0</v>
      </c>
      <c r="AJ2311">
        <v>0</v>
      </c>
      <c r="AK2311">
        <v>200</v>
      </c>
      <c r="AL2311">
        <v>0</v>
      </c>
      <c r="AM2311">
        <v>0</v>
      </c>
      <c r="AN2311">
        <v>0</v>
      </c>
      <c r="AO2311">
        <v>0</v>
      </c>
      <c r="AP2311"/>
      <c r="AQ2311">
        <v>0</v>
      </c>
      <c r="AR2311">
        <v>0</v>
      </c>
      <c r="AT2311">
        <v>0</v>
      </c>
      <c r="AU2311">
        <v>0</v>
      </c>
      <c r="AW2311">
        <v>0</v>
      </c>
      <c r="AX2311">
        <v>0</v>
      </c>
      <c r="AY2311">
        <v>140</v>
      </c>
      <c r="BC2311" t="str">
        <f t="shared" si="370"/>
        <v>9791137602915</v>
      </c>
      <c r="BE2311" t="str">
        <f t="shared" si="371"/>
        <v>판타지 웹소설 &gt; 퓨전 판타지</v>
      </c>
    </row>
    <row r="2312" spans="1:57" x14ac:dyDescent="0.3">
      <c r="A2312">
        <v>2313020594</v>
      </c>
      <c r="B2312">
        <v>2313020713</v>
      </c>
      <c r="C2312" t="str">
        <f>T("아카데미 속 궁술천재 120화")</f>
        <v>아카데미 속 궁술천재 120화</v>
      </c>
      <c r="D2312" t="str">
        <f>T("120")</f>
        <v>120</v>
      </c>
      <c r="E2312" t="str">
        <f t="shared" si="367"/>
        <v>깡펀치</v>
      </c>
      <c r="H2312" t="str">
        <f t="shared" si="368"/>
        <v>스토리위즈</v>
      </c>
      <c r="I2312" t="str">
        <f t="shared" si="369"/>
        <v>아카데미 속 궁술천재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200</v>
      </c>
      <c r="AH2312">
        <v>2</v>
      </c>
      <c r="AI2312">
        <v>0</v>
      </c>
      <c r="AJ2312">
        <v>0</v>
      </c>
      <c r="AK2312">
        <v>200</v>
      </c>
      <c r="AL2312">
        <v>0</v>
      </c>
      <c r="AM2312">
        <v>0</v>
      </c>
      <c r="AN2312">
        <v>0</v>
      </c>
      <c r="AO2312">
        <v>0</v>
      </c>
      <c r="AP2312"/>
      <c r="AQ2312">
        <v>0</v>
      </c>
      <c r="AR2312">
        <v>0</v>
      </c>
      <c r="AT2312">
        <v>0</v>
      </c>
      <c r="AU2312">
        <v>0</v>
      </c>
      <c r="AW2312">
        <v>0</v>
      </c>
      <c r="AX2312">
        <v>0</v>
      </c>
      <c r="AY2312">
        <v>140</v>
      </c>
      <c r="BC2312" t="str">
        <f t="shared" si="370"/>
        <v>9791137602915</v>
      </c>
      <c r="BE2312" t="str">
        <f t="shared" si="371"/>
        <v>판타지 웹소설 &gt; 퓨전 판타지</v>
      </c>
    </row>
    <row r="2313" spans="1:57" x14ac:dyDescent="0.3">
      <c r="A2313">
        <v>2313020594</v>
      </c>
      <c r="B2313">
        <v>2313020740</v>
      </c>
      <c r="C2313" t="str">
        <f>T("아카데미 속 궁술천재 147화")</f>
        <v>아카데미 속 궁술천재 147화</v>
      </c>
      <c r="D2313" t="str">
        <f>T("147")</f>
        <v>147</v>
      </c>
      <c r="E2313" t="str">
        <f t="shared" si="367"/>
        <v>깡펀치</v>
      </c>
      <c r="H2313" t="str">
        <f t="shared" si="368"/>
        <v>스토리위즈</v>
      </c>
      <c r="I2313" t="str">
        <f t="shared" si="369"/>
        <v>아카데미 속 궁술천재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200</v>
      </c>
      <c r="AH2313">
        <v>2</v>
      </c>
      <c r="AI2313">
        <v>0</v>
      </c>
      <c r="AJ2313">
        <v>0</v>
      </c>
      <c r="AK2313">
        <v>200</v>
      </c>
      <c r="AL2313">
        <v>0</v>
      </c>
      <c r="AM2313">
        <v>0</v>
      </c>
      <c r="AN2313">
        <v>0</v>
      </c>
      <c r="AO2313">
        <v>0</v>
      </c>
      <c r="AP2313"/>
      <c r="AQ2313">
        <v>0</v>
      </c>
      <c r="AR2313">
        <v>0</v>
      </c>
      <c r="AT2313">
        <v>0</v>
      </c>
      <c r="AU2313">
        <v>0</v>
      </c>
      <c r="AW2313">
        <v>0</v>
      </c>
      <c r="AX2313">
        <v>0</v>
      </c>
      <c r="AY2313">
        <v>140</v>
      </c>
      <c r="BC2313" t="str">
        <f t="shared" si="370"/>
        <v>9791137602915</v>
      </c>
      <c r="BE2313" t="str">
        <f t="shared" si="371"/>
        <v>판타지 웹소설 &gt; 퓨전 판타지</v>
      </c>
    </row>
    <row r="2314" spans="1:57" x14ac:dyDescent="0.3">
      <c r="A2314">
        <v>2313020594</v>
      </c>
      <c r="B2314">
        <v>2313020741</v>
      </c>
      <c r="C2314" t="str">
        <f>T("아카데미 속 궁술천재 148화")</f>
        <v>아카데미 속 궁술천재 148화</v>
      </c>
      <c r="D2314" t="str">
        <f>T("148")</f>
        <v>148</v>
      </c>
      <c r="E2314" t="str">
        <f t="shared" si="367"/>
        <v>깡펀치</v>
      </c>
      <c r="H2314" t="str">
        <f t="shared" si="368"/>
        <v>스토리위즈</v>
      </c>
      <c r="I2314" t="str">
        <f t="shared" si="369"/>
        <v>아카데미 속 궁술천재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200</v>
      </c>
      <c r="AH2314">
        <v>2</v>
      </c>
      <c r="AI2314">
        <v>0</v>
      </c>
      <c r="AJ2314">
        <v>0</v>
      </c>
      <c r="AK2314">
        <v>200</v>
      </c>
      <c r="AL2314">
        <v>0</v>
      </c>
      <c r="AM2314">
        <v>0</v>
      </c>
      <c r="AN2314">
        <v>0</v>
      </c>
      <c r="AO2314">
        <v>0</v>
      </c>
      <c r="AP2314"/>
      <c r="AQ2314">
        <v>0</v>
      </c>
      <c r="AR2314">
        <v>0</v>
      </c>
      <c r="AT2314">
        <v>0</v>
      </c>
      <c r="AU2314">
        <v>0</v>
      </c>
      <c r="AW2314">
        <v>0</v>
      </c>
      <c r="AX2314">
        <v>0</v>
      </c>
      <c r="AY2314">
        <v>140</v>
      </c>
      <c r="BC2314" t="str">
        <f t="shared" si="370"/>
        <v>9791137602915</v>
      </c>
      <c r="BE2314" t="str">
        <f t="shared" si="371"/>
        <v>판타지 웹소설 &gt; 퓨전 판타지</v>
      </c>
    </row>
    <row r="2315" spans="1:57" x14ac:dyDescent="0.3">
      <c r="A2315">
        <v>2313020594</v>
      </c>
      <c r="B2315">
        <v>2313020742</v>
      </c>
      <c r="C2315" t="str">
        <f>T("아카데미 속 궁술천재 149화")</f>
        <v>아카데미 속 궁술천재 149화</v>
      </c>
      <c r="D2315" t="str">
        <f>T("149")</f>
        <v>149</v>
      </c>
      <c r="E2315" t="str">
        <f t="shared" si="367"/>
        <v>깡펀치</v>
      </c>
      <c r="H2315" t="str">
        <f t="shared" si="368"/>
        <v>스토리위즈</v>
      </c>
      <c r="I2315" t="str">
        <f t="shared" si="369"/>
        <v>아카데미 속 궁술천재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200</v>
      </c>
      <c r="AH2315">
        <v>2</v>
      </c>
      <c r="AI2315">
        <v>0</v>
      </c>
      <c r="AJ2315">
        <v>0</v>
      </c>
      <c r="AK2315">
        <v>200</v>
      </c>
      <c r="AL2315">
        <v>0</v>
      </c>
      <c r="AM2315">
        <v>0</v>
      </c>
      <c r="AN2315">
        <v>0</v>
      </c>
      <c r="AO2315">
        <v>0</v>
      </c>
      <c r="AP2315"/>
      <c r="AQ2315">
        <v>0</v>
      </c>
      <c r="AR2315">
        <v>0</v>
      </c>
      <c r="AT2315">
        <v>0</v>
      </c>
      <c r="AU2315">
        <v>0</v>
      </c>
      <c r="AW2315">
        <v>0</v>
      </c>
      <c r="AX2315">
        <v>0</v>
      </c>
      <c r="AY2315">
        <v>140</v>
      </c>
      <c r="BC2315" t="str">
        <f t="shared" si="370"/>
        <v>9791137602915</v>
      </c>
      <c r="BE2315" t="str">
        <f t="shared" si="371"/>
        <v>판타지 웹소설 &gt; 퓨전 판타지</v>
      </c>
    </row>
    <row r="2316" spans="1:57" x14ac:dyDescent="0.3">
      <c r="A2316">
        <v>2313020594</v>
      </c>
      <c r="B2316">
        <v>2313020743</v>
      </c>
      <c r="C2316" t="str">
        <f>T("아카데미 속 궁술천재 150화")</f>
        <v>아카데미 속 궁술천재 150화</v>
      </c>
      <c r="D2316" t="str">
        <f>T("150")</f>
        <v>150</v>
      </c>
      <c r="E2316" t="str">
        <f t="shared" si="367"/>
        <v>깡펀치</v>
      </c>
      <c r="H2316" t="str">
        <f t="shared" si="368"/>
        <v>스토리위즈</v>
      </c>
      <c r="I2316" t="str">
        <f t="shared" si="369"/>
        <v>아카데미 속 궁술천재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200</v>
      </c>
      <c r="AH2316">
        <v>2</v>
      </c>
      <c r="AI2316">
        <v>0</v>
      </c>
      <c r="AJ2316">
        <v>0</v>
      </c>
      <c r="AK2316">
        <v>200</v>
      </c>
      <c r="AL2316">
        <v>0</v>
      </c>
      <c r="AM2316">
        <v>0</v>
      </c>
      <c r="AN2316">
        <v>0</v>
      </c>
      <c r="AO2316">
        <v>0</v>
      </c>
      <c r="AP2316"/>
      <c r="AQ2316">
        <v>0</v>
      </c>
      <c r="AR2316">
        <v>0</v>
      </c>
      <c r="AT2316">
        <v>0</v>
      </c>
      <c r="AU2316">
        <v>0</v>
      </c>
      <c r="AW2316">
        <v>0</v>
      </c>
      <c r="AX2316">
        <v>0</v>
      </c>
      <c r="AY2316">
        <v>140</v>
      </c>
      <c r="BC2316" t="str">
        <f t="shared" si="370"/>
        <v>9791137602915</v>
      </c>
      <c r="BE2316" t="str">
        <f t="shared" si="371"/>
        <v>판타지 웹소설 &gt; 퓨전 판타지</v>
      </c>
    </row>
    <row r="2317" spans="1:57" x14ac:dyDescent="0.3">
      <c r="A2317">
        <v>2313020594</v>
      </c>
      <c r="B2317">
        <v>2313020744</v>
      </c>
      <c r="C2317" t="str">
        <f>T("아카데미 속 궁술천재 151화")</f>
        <v>아카데미 속 궁술천재 151화</v>
      </c>
      <c r="D2317" t="str">
        <f>T("151")</f>
        <v>151</v>
      </c>
      <c r="E2317" t="str">
        <f t="shared" si="367"/>
        <v>깡펀치</v>
      </c>
      <c r="H2317" t="str">
        <f t="shared" si="368"/>
        <v>스토리위즈</v>
      </c>
      <c r="I2317" t="str">
        <f t="shared" si="369"/>
        <v>아카데미 속 궁술천재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200</v>
      </c>
      <c r="AH2317">
        <v>2</v>
      </c>
      <c r="AI2317">
        <v>0</v>
      </c>
      <c r="AJ2317">
        <v>0</v>
      </c>
      <c r="AK2317">
        <v>200</v>
      </c>
      <c r="AL2317">
        <v>0</v>
      </c>
      <c r="AM2317">
        <v>0</v>
      </c>
      <c r="AN2317">
        <v>0</v>
      </c>
      <c r="AO2317">
        <v>0</v>
      </c>
      <c r="AP2317"/>
      <c r="AQ2317">
        <v>0</v>
      </c>
      <c r="AR2317">
        <v>0</v>
      </c>
      <c r="AT2317">
        <v>0</v>
      </c>
      <c r="AU2317">
        <v>0</v>
      </c>
      <c r="AW2317">
        <v>0</v>
      </c>
      <c r="AX2317">
        <v>0</v>
      </c>
      <c r="AY2317">
        <v>140</v>
      </c>
      <c r="BC2317" t="str">
        <f t="shared" si="370"/>
        <v>9791137602915</v>
      </c>
      <c r="BE2317" t="str">
        <f t="shared" si="371"/>
        <v>판타지 웹소설 &gt; 퓨전 판타지</v>
      </c>
    </row>
    <row r="2318" spans="1:57" x14ac:dyDescent="0.3">
      <c r="A2318">
        <v>2313020594</v>
      </c>
      <c r="B2318">
        <v>2313020745</v>
      </c>
      <c r="C2318" t="str">
        <f>T("아카데미 속 궁술천재 152화")</f>
        <v>아카데미 속 궁술천재 152화</v>
      </c>
      <c r="D2318" t="str">
        <f>T("152")</f>
        <v>152</v>
      </c>
      <c r="E2318" t="str">
        <f t="shared" si="367"/>
        <v>깡펀치</v>
      </c>
      <c r="H2318" t="str">
        <f t="shared" si="368"/>
        <v>스토리위즈</v>
      </c>
      <c r="I2318" t="str">
        <f t="shared" si="369"/>
        <v>아카데미 속 궁술천재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200</v>
      </c>
      <c r="AH2318">
        <v>2</v>
      </c>
      <c r="AI2318">
        <v>0</v>
      </c>
      <c r="AJ2318">
        <v>0</v>
      </c>
      <c r="AK2318">
        <v>200</v>
      </c>
      <c r="AL2318">
        <v>0</v>
      </c>
      <c r="AM2318">
        <v>0</v>
      </c>
      <c r="AN2318">
        <v>0</v>
      </c>
      <c r="AO2318">
        <v>0</v>
      </c>
      <c r="AP2318"/>
      <c r="AQ2318">
        <v>0</v>
      </c>
      <c r="AR2318">
        <v>0</v>
      </c>
      <c r="AT2318">
        <v>0</v>
      </c>
      <c r="AU2318">
        <v>0</v>
      </c>
      <c r="AW2318">
        <v>0</v>
      </c>
      <c r="AX2318">
        <v>0</v>
      </c>
      <c r="AY2318">
        <v>140</v>
      </c>
      <c r="BC2318" t="str">
        <f t="shared" si="370"/>
        <v>9791137602915</v>
      </c>
      <c r="BE2318" t="str">
        <f t="shared" si="371"/>
        <v>판타지 웹소설 &gt; 퓨전 판타지</v>
      </c>
    </row>
    <row r="2319" spans="1:57" x14ac:dyDescent="0.3">
      <c r="A2319">
        <v>2313020594</v>
      </c>
      <c r="B2319">
        <v>2313020746</v>
      </c>
      <c r="C2319" t="str">
        <f>T("아카데미 속 궁술천재 153화")</f>
        <v>아카데미 속 궁술천재 153화</v>
      </c>
      <c r="D2319" t="str">
        <f>T("153")</f>
        <v>153</v>
      </c>
      <c r="E2319" t="str">
        <f t="shared" si="367"/>
        <v>깡펀치</v>
      </c>
      <c r="H2319" t="str">
        <f t="shared" si="368"/>
        <v>스토리위즈</v>
      </c>
      <c r="I2319" t="str">
        <f t="shared" si="369"/>
        <v>아카데미 속 궁술천재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200</v>
      </c>
      <c r="AH2319">
        <v>2</v>
      </c>
      <c r="AI2319">
        <v>0</v>
      </c>
      <c r="AJ2319">
        <v>0</v>
      </c>
      <c r="AK2319">
        <v>200</v>
      </c>
      <c r="AL2319">
        <v>0</v>
      </c>
      <c r="AM2319">
        <v>0</v>
      </c>
      <c r="AN2319">
        <v>0</v>
      </c>
      <c r="AO2319">
        <v>0</v>
      </c>
      <c r="AP2319"/>
      <c r="AQ2319">
        <v>0</v>
      </c>
      <c r="AR2319">
        <v>0</v>
      </c>
      <c r="AT2319">
        <v>0</v>
      </c>
      <c r="AU2319">
        <v>0</v>
      </c>
      <c r="AW2319">
        <v>0</v>
      </c>
      <c r="AX2319">
        <v>0</v>
      </c>
      <c r="AY2319">
        <v>140</v>
      </c>
      <c r="BC2319" t="str">
        <f t="shared" si="370"/>
        <v>9791137602915</v>
      </c>
      <c r="BE2319" t="str">
        <f t="shared" si="371"/>
        <v>판타지 웹소설 &gt; 퓨전 판타지</v>
      </c>
    </row>
    <row r="2320" spans="1:57" x14ac:dyDescent="0.3">
      <c r="A2320">
        <v>2313020594</v>
      </c>
      <c r="B2320">
        <v>2313020747</v>
      </c>
      <c r="C2320" t="str">
        <f>T("아카데미 속 궁술천재 154화")</f>
        <v>아카데미 속 궁술천재 154화</v>
      </c>
      <c r="D2320" t="str">
        <f>T("154")</f>
        <v>154</v>
      </c>
      <c r="E2320" t="str">
        <f t="shared" si="367"/>
        <v>깡펀치</v>
      </c>
      <c r="H2320" t="str">
        <f t="shared" si="368"/>
        <v>스토리위즈</v>
      </c>
      <c r="I2320" t="str">
        <f t="shared" si="369"/>
        <v>아카데미 속 궁술천재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200</v>
      </c>
      <c r="AH2320">
        <v>2</v>
      </c>
      <c r="AI2320">
        <v>0</v>
      </c>
      <c r="AJ2320">
        <v>0</v>
      </c>
      <c r="AK2320">
        <v>200</v>
      </c>
      <c r="AL2320">
        <v>0</v>
      </c>
      <c r="AM2320">
        <v>0</v>
      </c>
      <c r="AN2320">
        <v>0</v>
      </c>
      <c r="AO2320">
        <v>0</v>
      </c>
      <c r="AP2320"/>
      <c r="AQ2320">
        <v>0</v>
      </c>
      <c r="AR2320">
        <v>0</v>
      </c>
      <c r="AT2320">
        <v>0</v>
      </c>
      <c r="AU2320">
        <v>0</v>
      </c>
      <c r="AW2320">
        <v>0</v>
      </c>
      <c r="AX2320">
        <v>0</v>
      </c>
      <c r="AY2320">
        <v>140</v>
      </c>
      <c r="BC2320" t="str">
        <f t="shared" si="370"/>
        <v>9791137602915</v>
      </c>
      <c r="BE2320" t="str">
        <f t="shared" si="371"/>
        <v>판타지 웹소설 &gt; 퓨전 판타지</v>
      </c>
    </row>
    <row r="2321" spans="1:57" x14ac:dyDescent="0.3">
      <c r="A2321">
        <v>2313020594</v>
      </c>
      <c r="B2321">
        <v>2313020748</v>
      </c>
      <c r="C2321" t="str">
        <f>T("아카데미 속 궁술천재 155화")</f>
        <v>아카데미 속 궁술천재 155화</v>
      </c>
      <c r="D2321" t="str">
        <f>T("155")</f>
        <v>155</v>
      </c>
      <c r="E2321" t="str">
        <f t="shared" si="367"/>
        <v>깡펀치</v>
      </c>
      <c r="H2321" t="str">
        <f t="shared" si="368"/>
        <v>스토리위즈</v>
      </c>
      <c r="I2321" t="str">
        <f t="shared" si="369"/>
        <v>아카데미 속 궁술천재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200</v>
      </c>
      <c r="AH2321">
        <v>2</v>
      </c>
      <c r="AI2321">
        <v>0</v>
      </c>
      <c r="AJ2321">
        <v>0</v>
      </c>
      <c r="AK2321">
        <v>200</v>
      </c>
      <c r="AL2321">
        <v>0</v>
      </c>
      <c r="AM2321">
        <v>0</v>
      </c>
      <c r="AN2321">
        <v>0</v>
      </c>
      <c r="AO2321">
        <v>0</v>
      </c>
      <c r="AP2321"/>
      <c r="AQ2321">
        <v>0</v>
      </c>
      <c r="AR2321">
        <v>0</v>
      </c>
      <c r="AT2321">
        <v>0</v>
      </c>
      <c r="AU2321">
        <v>0</v>
      </c>
      <c r="AW2321">
        <v>0</v>
      </c>
      <c r="AX2321">
        <v>0</v>
      </c>
      <c r="AY2321">
        <v>140</v>
      </c>
      <c r="BC2321" t="str">
        <f t="shared" si="370"/>
        <v>9791137602915</v>
      </c>
      <c r="BE2321" t="str">
        <f t="shared" si="371"/>
        <v>판타지 웹소설 &gt; 퓨전 판타지</v>
      </c>
    </row>
    <row r="2322" spans="1:57" x14ac:dyDescent="0.3">
      <c r="A2322">
        <v>2313020594</v>
      </c>
      <c r="B2322">
        <v>2313020749</v>
      </c>
      <c r="C2322" t="str">
        <f>T("아카데미 속 궁술천재 156화")</f>
        <v>아카데미 속 궁술천재 156화</v>
      </c>
      <c r="D2322" t="str">
        <f>T("156")</f>
        <v>156</v>
      </c>
      <c r="E2322" t="str">
        <f t="shared" si="367"/>
        <v>깡펀치</v>
      </c>
      <c r="H2322" t="str">
        <f t="shared" si="368"/>
        <v>스토리위즈</v>
      </c>
      <c r="I2322" t="str">
        <f t="shared" si="369"/>
        <v>아카데미 속 궁술천재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200</v>
      </c>
      <c r="AH2322">
        <v>2</v>
      </c>
      <c r="AI2322">
        <v>0</v>
      </c>
      <c r="AJ2322">
        <v>0</v>
      </c>
      <c r="AK2322">
        <v>200</v>
      </c>
      <c r="AL2322">
        <v>0</v>
      </c>
      <c r="AM2322">
        <v>0</v>
      </c>
      <c r="AN2322">
        <v>0</v>
      </c>
      <c r="AO2322">
        <v>0</v>
      </c>
      <c r="AP2322"/>
      <c r="AQ2322">
        <v>0</v>
      </c>
      <c r="AR2322">
        <v>0</v>
      </c>
      <c r="AT2322">
        <v>0</v>
      </c>
      <c r="AU2322">
        <v>0</v>
      </c>
      <c r="AW2322">
        <v>0</v>
      </c>
      <c r="AX2322">
        <v>0</v>
      </c>
      <c r="AY2322">
        <v>140</v>
      </c>
      <c r="BC2322" t="str">
        <f t="shared" si="370"/>
        <v>9791137602915</v>
      </c>
      <c r="BE2322" t="str">
        <f t="shared" si="371"/>
        <v>판타지 웹소설 &gt; 퓨전 판타지</v>
      </c>
    </row>
    <row r="2323" spans="1:57" x14ac:dyDescent="0.3">
      <c r="A2323">
        <v>2313020594</v>
      </c>
      <c r="B2323">
        <v>2313020750</v>
      </c>
      <c r="C2323" t="str">
        <f>T("아카데미 속 궁술천재 157화")</f>
        <v>아카데미 속 궁술천재 157화</v>
      </c>
      <c r="D2323" t="str">
        <f>T("157")</f>
        <v>157</v>
      </c>
      <c r="E2323" t="str">
        <f t="shared" si="367"/>
        <v>깡펀치</v>
      </c>
      <c r="H2323" t="str">
        <f t="shared" si="368"/>
        <v>스토리위즈</v>
      </c>
      <c r="I2323" t="str">
        <f t="shared" si="369"/>
        <v>아카데미 속 궁술천재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</v>
      </c>
      <c r="AH2323">
        <v>2</v>
      </c>
      <c r="AI2323">
        <v>0</v>
      </c>
      <c r="AJ2323">
        <v>0</v>
      </c>
      <c r="AK2323">
        <v>200</v>
      </c>
      <c r="AL2323">
        <v>0</v>
      </c>
      <c r="AM2323">
        <v>0</v>
      </c>
      <c r="AN2323">
        <v>0</v>
      </c>
      <c r="AO2323">
        <v>0</v>
      </c>
      <c r="AP2323"/>
      <c r="AQ2323">
        <v>0</v>
      </c>
      <c r="AR2323">
        <v>0</v>
      </c>
      <c r="AT2323">
        <v>0</v>
      </c>
      <c r="AU2323">
        <v>0</v>
      </c>
      <c r="AW2323">
        <v>0</v>
      </c>
      <c r="AX2323">
        <v>0</v>
      </c>
      <c r="AY2323">
        <v>140</v>
      </c>
      <c r="BC2323" t="str">
        <f t="shared" si="370"/>
        <v>9791137602915</v>
      </c>
      <c r="BE2323" t="str">
        <f t="shared" si="371"/>
        <v>판타지 웹소설 &gt; 퓨전 판타지</v>
      </c>
    </row>
    <row r="2324" spans="1:57" x14ac:dyDescent="0.3">
      <c r="A2324">
        <v>2313020594</v>
      </c>
      <c r="B2324">
        <v>2313020756</v>
      </c>
      <c r="C2324" t="str">
        <f>T("아카데미 속 궁술천재 163화")</f>
        <v>아카데미 속 궁술천재 163화</v>
      </c>
      <c r="D2324" t="str">
        <f>T("163")</f>
        <v>163</v>
      </c>
      <c r="E2324" t="str">
        <f t="shared" si="367"/>
        <v>깡펀치</v>
      </c>
      <c r="H2324" t="str">
        <f t="shared" si="368"/>
        <v>스토리위즈</v>
      </c>
      <c r="I2324" t="str">
        <f t="shared" si="369"/>
        <v>아카데미 속 궁술천재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200</v>
      </c>
      <c r="AH2324">
        <v>2</v>
      </c>
      <c r="AI2324">
        <v>0</v>
      </c>
      <c r="AJ2324">
        <v>0</v>
      </c>
      <c r="AK2324">
        <v>200</v>
      </c>
      <c r="AL2324">
        <v>0</v>
      </c>
      <c r="AM2324">
        <v>0</v>
      </c>
      <c r="AN2324">
        <v>0</v>
      </c>
      <c r="AO2324">
        <v>0</v>
      </c>
      <c r="AP2324"/>
      <c r="AQ2324">
        <v>0</v>
      </c>
      <c r="AR2324">
        <v>0</v>
      </c>
      <c r="AT2324">
        <v>0</v>
      </c>
      <c r="AU2324">
        <v>0</v>
      </c>
      <c r="AW2324">
        <v>0</v>
      </c>
      <c r="AX2324">
        <v>0</v>
      </c>
      <c r="AY2324">
        <v>140</v>
      </c>
      <c r="BC2324" t="str">
        <f t="shared" si="370"/>
        <v>9791137602915</v>
      </c>
      <c r="BE2324" t="str">
        <f t="shared" si="371"/>
        <v>판타지 웹소설 &gt; 퓨전 판타지</v>
      </c>
    </row>
    <row r="2325" spans="1:57" x14ac:dyDescent="0.3">
      <c r="A2325">
        <v>2313020594</v>
      </c>
      <c r="B2325">
        <v>2313020758</v>
      </c>
      <c r="C2325" t="str">
        <f>T("아카데미 속 궁술천재 165화")</f>
        <v>아카데미 속 궁술천재 165화</v>
      </c>
      <c r="D2325" t="str">
        <f>T("165")</f>
        <v>165</v>
      </c>
      <c r="E2325" t="str">
        <f t="shared" si="367"/>
        <v>깡펀치</v>
      </c>
      <c r="H2325" t="str">
        <f t="shared" si="368"/>
        <v>스토리위즈</v>
      </c>
      <c r="I2325" t="str">
        <f t="shared" si="369"/>
        <v>아카데미 속 궁술천재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200</v>
      </c>
      <c r="AH2325">
        <v>2</v>
      </c>
      <c r="AI2325">
        <v>0</v>
      </c>
      <c r="AJ2325">
        <v>0</v>
      </c>
      <c r="AK2325">
        <v>200</v>
      </c>
      <c r="AL2325">
        <v>0</v>
      </c>
      <c r="AM2325">
        <v>0</v>
      </c>
      <c r="AN2325">
        <v>0</v>
      </c>
      <c r="AO2325">
        <v>0</v>
      </c>
      <c r="AP2325"/>
      <c r="AQ2325">
        <v>0</v>
      </c>
      <c r="AR2325">
        <v>0</v>
      </c>
      <c r="AT2325">
        <v>0</v>
      </c>
      <c r="AU2325">
        <v>0</v>
      </c>
      <c r="AW2325">
        <v>0</v>
      </c>
      <c r="AX2325">
        <v>0</v>
      </c>
      <c r="AY2325">
        <v>140</v>
      </c>
      <c r="BC2325" t="str">
        <f t="shared" si="370"/>
        <v>9791137602915</v>
      </c>
      <c r="BE2325" t="str">
        <f t="shared" si="371"/>
        <v>판타지 웹소설 &gt; 퓨전 판타지</v>
      </c>
    </row>
    <row r="2326" spans="1:57" x14ac:dyDescent="0.3">
      <c r="A2326">
        <v>2313020594</v>
      </c>
      <c r="B2326">
        <v>2313020759</v>
      </c>
      <c r="C2326" t="str">
        <f>T("아카데미 속 궁술천재 166화")</f>
        <v>아카데미 속 궁술천재 166화</v>
      </c>
      <c r="D2326" t="str">
        <f>T("166")</f>
        <v>166</v>
      </c>
      <c r="E2326" t="str">
        <f t="shared" si="367"/>
        <v>깡펀치</v>
      </c>
      <c r="H2326" t="str">
        <f t="shared" si="368"/>
        <v>스토리위즈</v>
      </c>
      <c r="I2326" t="str">
        <f t="shared" si="369"/>
        <v>아카데미 속 궁술천재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200</v>
      </c>
      <c r="AH2326">
        <v>2</v>
      </c>
      <c r="AI2326">
        <v>0</v>
      </c>
      <c r="AJ2326">
        <v>0</v>
      </c>
      <c r="AK2326">
        <v>200</v>
      </c>
      <c r="AL2326">
        <v>0</v>
      </c>
      <c r="AM2326">
        <v>0</v>
      </c>
      <c r="AN2326">
        <v>0</v>
      </c>
      <c r="AO2326">
        <v>0</v>
      </c>
      <c r="AP2326"/>
      <c r="AQ2326">
        <v>0</v>
      </c>
      <c r="AR2326">
        <v>0</v>
      </c>
      <c r="AT2326">
        <v>0</v>
      </c>
      <c r="AU2326">
        <v>0</v>
      </c>
      <c r="AW2326">
        <v>0</v>
      </c>
      <c r="AX2326">
        <v>0</v>
      </c>
      <c r="AY2326">
        <v>140</v>
      </c>
      <c r="BC2326" t="str">
        <f t="shared" si="370"/>
        <v>9791137602915</v>
      </c>
      <c r="BE2326" t="str">
        <f t="shared" si="371"/>
        <v>판타지 웹소설 &gt; 퓨전 판타지</v>
      </c>
    </row>
    <row r="2327" spans="1:57" x14ac:dyDescent="0.3">
      <c r="A2327">
        <v>2313020594</v>
      </c>
      <c r="B2327">
        <v>2313020760</v>
      </c>
      <c r="C2327" t="str">
        <f>T("아카데미 속 궁술천재 167화")</f>
        <v>아카데미 속 궁술천재 167화</v>
      </c>
      <c r="D2327" t="str">
        <f>T("167")</f>
        <v>167</v>
      </c>
      <c r="E2327" t="str">
        <f t="shared" si="367"/>
        <v>깡펀치</v>
      </c>
      <c r="H2327" t="str">
        <f t="shared" si="368"/>
        <v>스토리위즈</v>
      </c>
      <c r="I2327" t="str">
        <f t="shared" si="369"/>
        <v>아카데미 속 궁술천재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200</v>
      </c>
      <c r="AH2327">
        <v>2</v>
      </c>
      <c r="AI2327">
        <v>0</v>
      </c>
      <c r="AJ2327">
        <v>0</v>
      </c>
      <c r="AK2327">
        <v>200</v>
      </c>
      <c r="AL2327">
        <v>0</v>
      </c>
      <c r="AM2327">
        <v>0</v>
      </c>
      <c r="AN2327">
        <v>0</v>
      </c>
      <c r="AO2327">
        <v>0</v>
      </c>
      <c r="AP2327"/>
      <c r="AQ2327">
        <v>0</v>
      </c>
      <c r="AR2327">
        <v>0</v>
      </c>
      <c r="AT2327">
        <v>0</v>
      </c>
      <c r="AU2327">
        <v>0</v>
      </c>
      <c r="AW2327">
        <v>0</v>
      </c>
      <c r="AX2327">
        <v>0</v>
      </c>
      <c r="AY2327">
        <v>140</v>
      </c>
      <c r="BC2327" t="str">
        <f t="shared" si="370"/>
        <v>9791137602915</v>
      </c>
      <c r="BE2327" t="str">
        <f t="shared" si="371"/>
        <v>판타지 웹소설 &gt; 퓨전 판타지</v>
      </c>
    </row>
    <row r="2328" spans="1:57" x14ac:dyDescent="0.3">
      <c r="A2328">
        <v>2313020594</v>
      </c>
      <c r="B2328">
        <v>2313020761</v>
      </c>
      <c r="C2328" t="str">
        <f>T("아카데미 속 궁술천재 168화")</f>
        <v>아카데미 속 궁술천재 168화</v>
      </c>
      <c r="D2328" t="str">
        <f>T("168")</f>
        <v>168</v>
      </c>
      <c r="E2328" t="str">
        <f t="shared" si="367"/>
        <v>깡펀치</v>
      </c>
      <c r="H2328" t="str">
        <f t="shared" si="368"/>
        <v>스토리위즈</v>
      </c>
      <c r="I2328" t="str">
        <f t="shared" si="369"/>
        <v>아카데미 속 궁술천재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200</v>
      </c>
      <c r="AH2328">
        <v>2</v>
      </c>
      <c r="AI2328">
        <v>0</v>
      </c>
      <c r="AJ2328">
        <v>0</v>
      </c>
      <c r="AK2328">
        <v>200</v>
      </c>
      <c r="AL2328">
        <v>0</v>
      </c>
      <c r="AM2328">
        <v>0</v>
      </c>
      <c r="AN2328">
        <v>0</v>
      </c>
      <c r="AO2328">
        <v>0</v>
      </c>
      <c r="AP2328"/>
      <c r="AQ2328">
        <v>0</v>
      </c>
      <c r="AR2328">
        <v>0</v>
      </c>
      <c r="AT2328">
        <v>0</v>
      </c>
      <c r="AU2328">
        <v>0</v>
      </c>
      <c r="AW2328">
        <v>0</v>
      </c>
      <c r="AX2328">
        <v>0</v>
      </c>
      <c r="AY2328">
        <v>140</v>
      </c>
      <c r="BC2328" t="str">
        <f t="shared" si="370"/>
        <v>9791137602915</v>
      </c>
      <c r="BE2328" t="str">
        <f t="shared" si="371"/>
        <v>판타지 웹소설 &gt; 퓨전 판타지</v>
      </c>
    </row>
    <row r="2329" spans="1:57" x14ac:dyDescent="0.3">
      <c r="A2329">
        <v>2313020594</v>
      </c>
      <c r="B2329">
        <v>2313020762</v>
      </c>
      <c r="C2329" t="str">
        <f>T("아카데미 속 궁술천재 169화")</f>
        <v>아카데미 속 궁술천재 169화</v>
      </c>
      <c r="D2329" t="str">
        <f>T("169")</f>
        <v>169</v>
      </c>
      <c r="E2329" t="str">
        <f t="shared" si="367"/>
        <v>깡펀치</v>
      </c>
      <c r="H2329" t="str">
        <f t="shared" si="368"/>
        <v>스토리위즈</v>
      </c>
      <c r="I2329" t="str">
        <f t="shared" si="369"/>
        <v>아카데미 속 궁술천재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200</v>
      </c>
      <c r="AH2329">
        <v>2</v>
      </c>
      <c r="AI2329">
        <v>0</v>
      </c>
      <c r="AJ2329">
        <v>0</v>
      </c>
      <c r="AK2329">
        <v>200</v>
      </c>
      <c r="AL2329">
        <v>0</v>
      </c>
      <c r="AM2329">
        <v>0</v>
      </c>
      <c r="AN2329">
        <v>0</v>
      </c>
      <c r="AO2329">
        <v>0</v>
      </c>
      <c r="AP2329"/>
      <c r="AQ2329">
        <v>0</v>
      </c>
      <c r="AR2329">
        <v>0</v>
      </c>
      <c r="AT2329">
        <v>0</v>
      </c>
      <c r="AU2329">
        <v>0</v>
      </c>
      <c r="AW2329">
        <v>0</v>
      </c>
      <c r="AX2329">
        <v>0</v>
      </c>
      <c r="AY2329">
        <v>140</v>
      </c>
      <c r="BC2329" t="str">
        <f t="shared" si="370"/>
        <v>9791137602915</v>
      </c>
      <c r="BE2329" t="str">
        <f t="shared" si="371"/>
        <v>판타지 웹소설 &gt; 퓨전 판타지</v>
      </c>
    </row>
    <row r="2330" spans="1:57" x14ac:dyDescent="0.3">
      <c r="A2330">
        <v>2313020594</v>
      </c>
      <c r="B2330">
        <v>2313020763</v>
      </c>
      <c r="C2330" t="str">
        <f>T("아카데미 속 궁술천재 170화")</f>
        <v>아카데미 속 궁술천재 170화</v>
      </c>
      <c r="D2330" t="str">
        <f>T("170")</f>
        <v>170</v>
      </c>
      <c r="E2330" t="str">
        <f t="shared" si="367"/>
        <v>깡펀치</v>
      </c>
      <c r="H2330" t="str">
        <f t="shared" si="368"/>
        <v>스토리위즈</v>
      </c>
      <c r="I2330" t="str">
        <f t="shared" si="369"/>
        <v>아카데미 속 궁술천재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200</v>
      </c>
      <c r="AH2330">
        <v>2</v>
      </c>
      <c r="AI2330">
        <v>0</v>
      </c>
      <c r="AJ2330">
        <v>0</v>
      </c>
      <c r="AK2330">
        <v>200</v>
      </c>
      <c r="AL2330">
        <v>0</v>
      </c>
      <c r="AM2330">
        <v>0</v>
      </c>
      <c r="AN2330">
        <v>0</v>
      </c>
      <c r="AO2330">
        <v>0</v>
      </c>
      <c r="AP2330"/>
      <c r="AQ2330">
        <v>0</v>
      </c>
      <c r="AR2330">
        <v>0</v>
      </c>
      <c r="AT2330">
        <v>0</v>
      </c>
      <c r="AU2330">
        <v>0</v>
      </c>
      <c r="AW2330">
        <v>0</v>
      </c>
      <c r="AX2330">
        <v>0</v>
      </c>
      <c r="AY2330">
        <v>140</v>
      </c>
      <c r="BC2330" t="str">
        <f t="shared" si="370"/>
        <v>9791137602915</v>
      </c>
      <c r="BE2330" t="str">
        <f t="shared" si="371"/>
        <v>판타지 웹소설 &gt; 퓨전 판타지</v>
      </c>
    </row>
    <row r="2331" spans="1:57" x14ac:dyDescent="0.3">
      <c r="A2331">
        <v>2313020594</v>
      </c>
      <c r="B2331">
        <v>2313020764</v>
      </c>
      <c r="C2331" t="str">
        <f>T("아카데미 속 궁술천재 171화")</f>
        <v>아카데미 속 궁술천재 171화</v>
      </c>
      <c r="D2331" t="str">
        <f>T("171")</f>
        <v>171</v>
      </c>
      <c r="E2331" t="str">
        <f t="shared" si="367"/>
        <v>깡펀치</v>
      </c>
      <c r="H2331" t="str">
        <f t="shared" si="368"/>
        <v>스토리위즈</v>
      </c>
      <c r="I2331" t="str">
        <f t="shared" si="369"/>
        <v>아카데미 속 궁술천재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200</v>
      </c>
      <c r="AH2331">
        <v>2</v>
      </c>
      <c r="AI2331">
        <v>0</v>
      </c>
      <c r="AJ2331">
        <v>0</v>
      </c>
      <c r="AK2331">
        <v>200</v>
      </c>
      <c r="AL2331">
        <v>0</v>
      </c>
      <c r="AM2331">
        <v>0</v>
      </c>
      <c r="AN2331">
        <v>0</v>
      </c>
      <c r="AO2331">
        <v>0</v>
      </c>
      <c r="AP2331"/>
      <c r="AQ2331">
        <v>0</v>
      </c>
      <c r="AR2331">
        <v>0</v>
      </c>
      <c r="AT2331">
        <v>0</v>
      </c>
      <c r="AU2331">
        <v>0</v>
      </c>
      <c r="AW2331">
        <v>0</v>
      </c>
      <c r="AX2331">
        <v>0</v>
      </c>
      <c r="AY2331">
        <v>140</v>
      </c>
      <c r="BC2331" t="str">
        <f t="shared" si="370"/>
        <v>9791137602915</v>
      </c>
      <c r="BE2331" t="str">
        <f t="shared" si="371"/>
        <v>판타지 웹소설 &gt; 퓨전 판타지</v>
      </c>
    </row>
    <row r="2332" spans="1:57" x14ac:dyDescent="0.3">
      <c r="A2332">
        <v>2313020594</v>
      </c>
      <c r="B2332">
        <v>2313020765</v>
      </c>
      <c r="C2332" t="str">
        <f>T("아카데미 속 궁술천재 172화")</f>
        <v>아카데미 속 궁술천재 172화</v>
      </c>
      <c r="D2332" t="str">
        <f>T("172")</f>
        <v>172</v>
      </c>
      <c r="E2332" t="str">
        <f t="shared" si="367"/>
        <v>깡펀치</v>
      </c>
      <c r="H2332" t="str">
        <f t="shared" si="368"/>
        <v>스토리위즈</v>
      </c>
      <c r="I2332" t="str">
        <f t="shared" si="369"/>
        <v>아카데미 속 궁술천재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200</v>
      </c>
      <c r="AH2332">
        <v>2</v>
      </c>
      <c r="AI2332">
        <v>0</v>
      </c>
      <c r="AJ2332">
        <v>0</v>
      </c>
      <c r="AK2332">
        <v>200</v>
      </c>
      <c r="AL2332">
        <v>0</v>
      </c>
      <c r="AM2332">
        <v>0</v>
      </c>
      <c r="AN2332">
        <v>0</v>
      </c>
      <c r="AO2332">
        <v>0</v>
      </c>
      <c r="AP2332"/>
      <c r="AQ2332">
        <v>0</v>
      </c>
      <c r="AR2332">
        <v>0</v>
      </c>
      <c r="AT2332">
        <v>0</v>
      </c>
      <c r="AU2332">
        <v>0</v>
      </c>
      <c r="AW2332">
        <v>0</v>
      </c>
      <c r="AX2332">
        <v>0</v>
      </c>
      <c r="AY2332">
        <v>140</v>
      </c>
      <c r="BC2332" t="str">
        <f t="shared" si="370"/>
        <v>9791137602915</v>
      </c>
      <c r="BE2332" t="str">
        <f t="shared" si="371"/>
        <v>판타지 웹소설 &gt; 퓨전 판타지</v>
      </c>
    </row>
    <row r="2333" spans="1:57" x14ac:dyDescent="0.3">
      <c r="A2333">
        <v>2313020594</v>
      </c>
      <c r="B2333">
        <v>2313020766</v>
      </c>
      <c r="C2333" t="str">
        <f>T("아카데미 속 궁술천재 173화")</f>
        <v>아카데미 속 궁술천재 173화</v>
      </c>
      <c r="D2333" t="str">
        <f>T("173")</f>
        <v>173</v>
      </c>
      <c r="E2333" t="str">
        <f t="shared" si="367"/>
        <v>깡펀치</v>
      </c>
      <c r="H2333" t="str">
        <f t="shared" si="368"/>
        <v>스토리위즈</v>
      </c>
      <c r="I2333" t="str">
        <f t="shared" si="369"/>
        <v>아카데미 속 궁술천재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200</v>
      </c>
      <c r="AH2333">
        <v>2</v>
      </c>
      <c r="AI2333">
        <v>0</v>
      </c>
      <c r="AJ2333">
        <v>0</v>
      </c>
      <c r="AK2333">
        <v>200</v>
      </c>
      <c r="AL2333">
        <v>0</v>
      </c>
      <c r="AM2333">
        <v>0</v>
      </c>
      <c r="AN2333">
        <v>0</v>
      </c>
      <c r="AO2333">
        <v>0</v>
      </c>
      <c r="AP2333"/>
      <c r="AQ2333">
        <v>0</v>
      </c>
      <c r="AR2333">
        <v>0</v>
      </c>
      <c r="AT2333">
        <v>0</v>
      </c>
      <c r="AU2333">
        <v>0</v>
      </c>
      <c r="AW2333">
        <v>0</v>
      </c>
      <c r="AX2333">
        <v>0</v>
      </c>
      <c r="AY2333">
        <v>140</v>
      </c>
      <c r="BC2333" t="str">
        <f t="shared" si="370"/>
        <v>9791137602915</v>
      </c>
      <c r="BE2333" t="str">
        <f t="shared" si="371"/>
        <v>판타지 웹소설 &gt; 퓨전 판타지</v>
      </c>
    </row>
    <row r="2334" spans="1:57" x14ac:dyDescent="0.3">
      <c r="A2334">
        <v>2313020594</v>
      </c>
      <c r="B2334">
        <v>2313020767</v>
      </c>
      <c r="C2334" t="str">
        <f>T("아카데미 속 궁술천재 174화")</f>
        <v>아카데미 속 궁술천재 174화</v>
      </c>
      <c r="D2334" t="str">
        <f>T("174")</f>
        <v>174</v>
      </c>
      <c r="E2334" t="str">
        <f t="shared" si="367"/>
        <v>깡펀치</v>
      </c>
      <c r="H2334" t="str">
        <f t="shared" si="368"/>
        <v>스토리위즈</v>
      </c>
      <c r="I2334" t="str">
        <f t="shared" si="369"/>
        <v>아카데미 속 궁술천재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200</v>
      </c>
      <c r="AH2334">
        <v>2</v>
      </c>
      <c r="AI2334">
        <v>0</v>
      </c>
      <c r="AJ2334">
        <v>0</v>
      </c>
      <c r="AK2334">
        <v>200</v>
      </c>
      <c r="AL2334">
        <v>0</v>
      </c>
      <c r="AM2334">
        <v>0</v>
      </c>
      <c r="AN2334">
        <v>0</v>
      </c>
      <c r="AO2334">
        <v>0</v>
      </c>
      <c r="AP2334"/>
      <c r="AQ2334">
        <v>0</v>
      </c>
      <c r="AR2334">
        <v>0</v>
      </c>
      <c r="AT2334">
        <v>0</v>
      </c>
      <c r="AU2334">
        <v>0</v>
      </c>
      <c r="AW2334">
        <v>0</v>
      </c>
      <c r="AX2334">
        <v>0</v>
      </c>
      <c r="AY2334">
        <v>140</v>
      </c>
      <c r="BC2334" t="str">
        <f t="shared" si="370"/>
        <v>9791137602915</v>
      </c>
      <c r="BE2334" t="str">
        <f t="shared" si="371"/>
        <v>판타지 웹소설 &gt; 퓨전 판타지</v>
      </c>
    </row>
    <row r="2335" spans="1:57" x14ac:dyDescent="0.3">
      <c r="A2335">
        <v>2313020594</v>
      </c>
      <c r="B2335">
        <v>2313020768</v>
      </c>
      <c r="C2335" t="str">
        <f>T("아카데미 속 궁술천재 175화")</f>
        <v>아카데미 속 궁술천재 175화</v>
      </c>
      <c r="D2335" t="str">
        <f>T("175")</f>
        <v>175</v>
      </c>
      <c r="E2335" t="str">
        <f t="shared" si="367"/>
        <v>깡펀치</v>
      </c>
      <c r="H2335" t="str">
        <f t="shared" si="368"/>
        <v>스토리위즈</v>
      </c>
      <c r="I2335" t="str">
        <f t="shared" si="369"/>
        <v>아카데미 속 궁술천재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200</v>
      </c>
      <c r="AH2335">
        <v>2</v>
      </c>
      <c r="AI2335">
        <v>0</v>
      </c>
      <c r="AJ2335">
        <v>0</v>
      </c>
      <c r="AK2335">
        <v>200</v>
      </c>
      <c r="AL2335">
        <v>0</v>
      </c>
      <c r="AM2335">
        <v>0</v>
      </c>
      <c r="AN2335">
        <v>0</v>
      </c>
      <c r="AO2335">
        <v>0</v>
      </c>
      <c r="AP2335"/>
      <c r="AQ2335">
        <v>0</v>
      </c>
      <c r="AR2335">
        <v>0</v>
      </c>
      <c r="AT2335">
        <v>0</v>
      </c>
      <c r="AU2335">
        <v>0</v>
      </c>
      <c r="AW2335">
        <v>0</v>
      </c>
      <c r="AX2335">
        <v>0</v>
      </c>
      <c r="AY2335">
        <v>140</v>
      </c>
      <c r="BC2335" t="str">
        <f t="shared" si="370"/>
        <v>9791137602915</v>
      </c>
      <c r="BE2335" t="str">
        <f t="shared" si="371"/>
        <v>판타지 웹소설 &gt; 퓨전 판타지</v>
      </c>
    </row>
    <row r="2336" spans="1:57" x14ac:dyDescent="0.3">
      <c r="A2336">
        <v>2313020594</v>
      </c>
      <c r="B2336">
        <v>2313020769</v>
      </c>
      <c r="C2336" t="str">
        <f>T("아카데미 속 궁술천재 176화")</f>
        <v>아카데미 속 궁술천재 176화</v>
      </c>
      <c r="D2336" t="str">
        <f>T("176")</f>
        <v>176</v>
      </c>
      <c r="E2336" t="str">
        <f t="shared" si="367"/>
        <v>깡펀치</v>
      </c>
      <c r="H2336" t="str">
        <f t="shared" si="368"/>
        <v>스토리위즈</v>
      </c>
      <c r="I2336" t="str">
        <f t="shared" si="369"/>
        <v>아카데미 속 궁술천재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200</v>
      </c>
      <c r="AH2336">
        <v>2</v>
      </c>
      <c r="AI2336">
        <v>0</v>
      </c>
      <c r="AJ2336">
        <v>0</v>
      </c>
      <c r="AK2336">
        <v>200</v>
      </c>
      <c r="AL2336">
        <v>0</v>
      </c>
      <c r="AM2336">
        <v>0</v>
      </c>
      <c r="AN2336">
        <v>0</v>
      </c>
      <c r="AO2336">
        <v>0</v>
      </c>
      <c r="AP2336"/>
      <c r="AQ2336">
        <v>0</v>
      </c>
      <c r="AR2336">
        <v>0</v>
      </c>
      <c r="AT2336">
        <v>0</v>
      </c>
      <c r="AU2336">
        <v>0</v>
      </c>
      <c r="AW2336">
        <v>0</v>
      </c>
      <c r="AX2336">
        <v>0</v>
      </c>
      <c r="AY2336">
        <v>140</v>
      </c>
      <c r="BC2336" t="str">
        <f t="shared" si="370"/>
        <v>9791137602915</v>
      </c>
      <c r="BE2336" t="str">
        <f t="shared" si="371"/>
        <v>판타지 웹소설 &gt; 퓨전 판타지</v>
      </c>
    </row>
    <row r="2337" spans="1:57" x14ac:dyDescent="0.3">
      <c r="A2337">
        <v>2313020594</v>
      </c>
      <c r="B2337">
        <v>2313020770</v>
      </c>
      <c r="C2337" t="str">
        <f>T("아카데미 속 궁술천재 177화")</f>
        <v>아카데미 속 궁술천재 177화</v>
      </c>
      <c r="D2337" t="str">
        <f>T("177")</f>
        <v>177</v>
      </c>
      <c r="E2337" t="str">
        <f t="shared" si="367"/>
        <v>깡펀치</v>
      </c>
      <c r="H2337" t="str">
        <f t="shared" si="368"/>
        <v>스토리위즈</v>
      </c>
      <c r="I2337" t="str">
        <f t="shared" si="369"/>
        <v>아카데미 속 궁술천재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200</v>
      </c>
      <c r="AH2337">
        <v>2</v>
      </c>
      <c r="AI2337">
        <v>0</v>
      </c>
      <c r="AJ2337">
        <v>0</v>
      </c>
      <c r="AK2337">
        <v>200</v>
      </c>
      <c r="AL2337">
        <v>0</v>
      </c>
      <c r="AM2337">
        <v>0</v>
      </c>
      <c r="AN2337">
        <v>0</v>
      </c>
      <c r="AO2337">
        <v>0</v>
      </c>
      <c r="AP2337"/>
      <c r="AQ2337">
        <v>0</v>
      </c>
      <c r="AR2337">
        <v>0</v>
      </c>
      <c r="AT2337">
        <v>0</v>
      </c>
      <c r="AU2337">
        <v>0</v>
      </c>
      <c r="AW2337">
        <v>0</v>
      </c>
      <c r="AX2337">
        <v>0</v>
      </c>
      <c r="AY2337">
        <v>140</v>
      </c>
      <c r="BC2337" t="str">
        <f t="shared" si="370"/>
        <v>9791137602915</v>
      </c>
      <c r="BE2337" t="str">
        <f t="shared" si="371"/>
        <v>판타지 웹소설 &gt; 퓨전 판타지</v>
      </c>
    </row>
    <row r="2338" spans="1:57" x14ac:dyDescent="0.3">
      <c r="A2338">
        <v>2313020594</v>
      </c>
      <c r="B2338">
        <v>2313020771</v>
      </c>
      <c r="C2338" t="str">
        <f>T("아카데미 속 궁술천재 178화")</f>
        <v>아카데미 속 궁술천재 178화</v>
      </c>
      <c r="D2338" t="str">
        <f>T("178")</f>
        <v>178</v>
      </c>
      <c r="E2338" t="str">
        <f t="shared" si="367"/>
        <v>깡펀치</v>
      </c>
      <c r="H2338" t="str">
        <f t="shared" si="368"/>
        <v>스토리위즈</v>
      </c>
      <c r="I2338" t="str">
        <f t="shared" si="369"/>
        <v>아카데미 속 궁술천재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200</v>
      </c>
      <c r="AH2338">
        <v>2</v>
      </c>
      <c r="AI2338">
        <v>0</v>
      </c>
      <c r="AJ2338">
        <v>0</v>
      </c>
      <c r="AK2338">
        <v>200</v>
      </c>
      <c r="AL2338">
        <v>0</v>
      </c>
      <c r="AM2338">
        <v>0</v>
      </c>
      <c r="AN2338">
        <v>0</v>
      </c>
      <c r="AO2338">
        <v>0</v>
      </c>
      <c r="AP2338"/>
      <c r="AQ2338">
        <v>0</v>
      </c>
      <c r="AR2338">
        <v>0</v>
      </c>
      <c r="AT2338">
        <v>0</v>
      </c>
      <c r="AU2338">
        <v>0</v>
      </c>
      <c r="AW2338">
        <v>0</v>
      </c>
      <c r="AX2338">
        <v>0</v>
      </c>
      <c r="AY2338">
        <v>140</v>
      </c>
      <c r="BC2338" t="str">
        <f t="shared" si="370"/>
        <v>9791137602915</v>
      </c>
      <c r="BE2338" t="str">
        <f t="shared" si="371"/>
        <v>판타지 웹소설 &gt; 퓨전 판타지</v>
      </c>
    </row>
    <row r="2339" spans="1:57" x14ac:dyDescent="0.3">
      <c r="A2339">
        <v>2313020594</v>
      </c>
      <c r="B2339">
        <v>2313020772</v>
      </c>
      <c r="C2339" t="str">
        <f>T("아카데미 속 궁술천재 179화")</f>
        <v>아카데미 속 궁술천재 179화</v>
      </c>
      <c r="D2339" t="str">
        <f>T("179")</f>
        <v>179</v>
      </c>
      <c r="E2339" t="str">
        <f t="shared" si="367"/>
        <v>깡펀치</v>
      </c>
      <c r="H2339" t="str">
        <f t="shared" si="368"/>
        <v>스토리위즈</v>
      </c>
      <c r="I2339" t="str">
        <f t="shared" si="369"/>
        <v>아카데미 속 궁술천재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200</v>
      </c>
      <c r="AH2339">
        <v>2</v>
      </c>
      <c r="AI2339">
        <v>0</v>
      </c>
      <c r="AJ2339">
        <v>0</v>
      </c>
      <c r="AK2339">
        <v>200</v>
      </c>
      <c r="AL2339">
        <v>0</v>
      </c>
      <c r="AM2339">
        <v>0</v>
      </c>
      <c r="AN2339">
        <v>0</v>
      </c>
      <c r="AO2339">
        <v>0</v>
      </c>
      <c r="AP2339"/>
      <c r="AQ2339">
        <v>0</v>
      </c>
      <c r="AR2339">
        <v>0</v>
      </c>
      <c r="AT2339">
        <v>0</v>
      </c>
      <c r="AU2339">
        <v>0</v>
      </c>
      <c r="AW2339">
        <v>0</v>
      </c>
      <c r="AX2339">
        <v>0</v>
      </c>
      <c r="AY2339">
        <v>140</v>
      </c>
      <c r="BC2339" t="str">
        <f t="shared" si="370"/>
        <v>9791137602915</v>
      </c>
      <c r="BE2339" t="str">
        <f t="shared" si="371"/>
        <v>판타지 웹소설 &gt; 퓨전 판타지</v>
      </c>
    </row>
    <row r="2340" spans="1:57" x14ac:dyDescent="0.3">
      <c r="A2340">
        <v>2313020594</v>
      </c>
      <c r="B2340">
        <v>2313020775</v>
      </c>
      <c r="C2340" t="str">
        <f>T("아카데미 속 궁술천재 182화")</f>
        <v>아카데미 속 궁술천재 182화</v>
      </c>
      <c r="D2340" t="str">
        <f>T("182")</f>
        <v>182</v>
      </c>
      <c r="E2340" t="str">
        <f t="shared" si="367"/>
        <v>깡펀치</v>
      </c>
      <c r="H2340" t="str">
        <f t="shared" si="368"/>
        <v>스토리위즈</v>
      </c>
      <c r="I2340" t="str">
        <f t="shared" si="369"/>
        <v>아카데미 속 궁술천재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200</v>
      </c>
      <c r="AH2340">
        <v>2</v>
      </c>
      <c r="AI2340">
        <v>0</v>
      </c>
      <c r="AJ2340">
        <v>0</v>
      </c>
      <c r="AK2340">
        <v>100</v>
      </c>
      <c r="AL2340">
        <v>0</v>
      </c>
      <c r="AM2340">
        <v>120</v>
      </c>
      <c r="AN2340">
        <v>-36</v>
      </c>
      <c r="AO2340">
        <v>0</v>
      </c>
      <c r="AP2340"/>
      <c r="AQ2340">
        <v>0</v>
      </c>
      <c r="AR2340">
        <v>0</v>
      </c>
      <c r="AS2340">
        <v>120</v>
      </c>
      <c r="AT2340">
        <v>-36</v>
      </c>
      <c r="AU2340">
        <v>0</v>
      </c>
      <c r="AW2340">
        <v>0</v>
      </c>
      <c r="AX2340">
        <v>0</v>
      </c>
      <c r="AY2340">
        <v>128.80000000000001</v>
      </c>
      <c r="BC2340" t="str">
        <f t="shared" si="370"/>
        <v>9791137602915</v>
      </c>
      <c r="BE2340" t="str">
        <f t="shared" si="371"/>
        <v>판타지 웹소설 &gt; 퓨전 판타지</v>
      </c>
    </row>
    <row r="2341" spans="1:57" x14ac:dyDescent="0.3">
      <c r="A2341">
        <v>2313020594</v>
      </c>
      <c r="B2341">
        <v>2313020776</v>
      </c>
      <c r="C2341" t="str">
        <f>T("아카데미 속 궁술천재 183화")</f>
        <v>아카데미 속 궁술천재 183화</v>
      </c>
      <c r="D2341" t="str">
        <f>T("183")</f>
        <v>183</v>
      </c>
      <c r="E2341" t="str">
        <f t="shared" si="367"/>
        <v>깡펀치</v>
      </c>
      <c r="H2341" t="str">
        <f t="shared" si="368"/>
        <v>스토리위즈</v>
      </c>
      <c r="I2341" t="str">
        <f t="shared" si="369"/>
        <v>아카데미 속 궁술천재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200</v>
      </c>
      <c r="AH2341">
        <v>2</v>
      </c>
      <c r="AI2341">
        <v>0</v>
      </c>
      <c r="AJ2341">
        <v>0</v>
      </c>
      <c r="AK2341">
        <v>100</v>
      </c>
      <c r="AL2341">
        <v>0</v>
      </c>
      <c r="AM2341">
        <v>120</v>
      </c>
      <c r="AN2341">
        <v>-36</v>
      </c>
      <c r="AO2341">
        <v>0</v>
      </c>
      <c r="AP2341"/>
      <c r="AQ2341">
        <v>0</v>
      </c>
      <c r="AR2341">
        <v>0</v>
      </c>
      <c r="AS2341">
        <v>120</v>
      </c>
      <c r="AT2341">
        <v>-36</v>
      </c>
      <c r="AU2341">
        <v>0</v>
      </c>
      <c r="AW2341">
        <v>0</v>
      </c>
      <c r="AX2341">
        <v>0</v>
      </c>
      <c r="AY2341">
        <v>128.80000000000001</v>
      </c>
      <c r="BC2341" t="str">
        <f t="shared" si="370"/>
        <v>9791137602915</v>
      </c>
      <c r="BE2341" t="str">
        <f t="shared" si="371"/>
        <v>판타지 웹소설 &gt; 퓨전 판타지</v>
      </c>
    </row>
    <row r="2342" spans="1:57" x14ac:dyDescent="0.3">
      <c r="A2342">
        <v>2313020594</v>
      </c>
      <c r="B2342">
        <v>2313020777</v>
      </c>
      <c r="C2342" t="str">
        <f>T("아카데미 속 궁술천재 184화")</f>
        <v>아카데미 속 궁술천재 184화</v>
      </c>
      <c r="D2342" t="str">
        <f>T("184")</f>
        <v>184</v>
      </c>
      <c r="E2342" t="str">
        <f t="shared" si="367"/>
        <v>깡펀치</v>
      </c>
      <c r="H2342" t="str">
        <f t="shared" si="368"/>
        <v>스토리위즈</v>
      </c>
      <c r="I2342" t="str">
        <f t="shared" si="369"/>
        <v>아카데미 속 궁술천재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200</v>
      </c>
      <c r="AH2342">
        <v>2</v>
      </c>
      <c r="AI2342">
        <v>0</v>
      </c>
      <c r="AJ2342">
        <v>0</v>
      </c>
      <c r="AK2342">
        <v>100</v>
      </c>
      <c r="AL2342">
        <v>0</v>
      </c>
      <c r="AM2342">
        <v>120</v>
      </c>
      <c r="AN2342">
        <v>-36</v>
      </c>
      <c r="AO2342">
        <v>0</v>
      </c>
      <c r="AP2342"/>
      <c r="AQ2342">
        <v>0</v>
      </c>
      <c r="AR2342">
        <v>0</v>
      </c>
      <c r="AS2342">
        <v>120</v>
      </c>
      <c r="AT2342">
        <v>-36</v>
      </c>
      <c r="AU2342">
        <v>0</v>
      </c>
      <c r="AW2342">
        <v>0</v>
      </c>
      <c r="AX2342">
        <v>0</v>
      </c>
      <c r="AY2342">
        <v>128.80000000000001</v>
      </c>
      <c r="BC2342" t="str">
        <f t="shared" si="370"/>
        <v>9791137602915</v>
      </c>
      <c r="BE2342" t="str">
        <f t="shared" si="371"/>
        <v>판타지 웹소설 &gt; 퓨전 판타지</v>
      </c>
    </row>
    <row r="2343" spans="1:57" x14ac:dyDescent="0.3">
      <c r="A2343">
        <v>2313020594</v>
      </c>
      <c r="B2343">
        <v>2313020778</v>
      </c>
      <c r="C2343" t="str">
        <f>T("아카데미 속 궁술천재 185화")</f>
        <v>아카데미 속 궁술천재 185화</v>
      </c>
      <c r="D2343" t="str">
        <f>T("185")</f>
        <v>185</v>
      </c>
      <c r="E2343" t="str">
        <f t="shared" si="367"/>
        <v>깡펀치</v>
      </c>
      <c r="H2343" t="str">
        <f t="shared" si="368"/>
        <v>스토리위즈</v>
      </c>
      <c r="I2343" t="str">
        <f t="shared" si="369"/>
        <v>아카데미 속 궁술천재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200</v>
      </c>
      <c r="AH2343">
        <v>2</v>
      </c>
      <c r="AI2343">
        <v>0</v>
      </c>
      <c r="AJ2343">
        <v>0</v>
      </c>
      <c r="AK2343">
        <v>100</v>
      </c>
      <c r="AL2343">
        <v>0</v>
      </c>
      <c r="AM2343">
        <v>120</v>
      </c>
      <c r="AN2343">
        <v>-36</v>
      </c>
      <c r="AO2343">
        <v>0</v>
      </c>
      <c r="AP2343"/>
      <c r="AQ2343">
        <v>0</v>
      </c>
      <c r="AR2343">
        <v>0</v>
      </c>
      <c r="AS2343">
        <v>120</v>
      </c>
      <c r="AT2343">
        <v>-36</v>
      </c>
      <c r="AU2343">
        <v>0</v>
      </c>
      <c r="AW2343">
        <v>0</v>
      </c>
      <c r="AX2343">
        <v>0</v>
      </c>
      <c r="AY2343">
        <v>128.80000000000001</v>
      </c>
      <c r="BC2343" t="str">
        <f t="shared" si="370"/>
        <v>9791137602915</v>
      </c>
      <c r="BE2343" t="str">
        <f t="shared" si="371"/>
        <v>판타지 웹소설 &gt; 퓨전 판타지</v>
      </c>
    </row>
    <row r="2344" spans="1:57" x14ac:dyDescent="0.3">
      <c r="A2344">
        <v>2313020594</v>
      </c>
      <c r="B2344">
        <v>2313020779</v>
      </c>
      <c r="C2344" t="str">
        <f>T("아카데미 속 궁술천재 186화")</f>
        <v>아카데미 속 궁술천재 186화</v>
      </c>
      <c r="D2344" t="str">
        <f>T("186")</f>
        <v>186</v>
      </c>
      <c r="E2344" t="str">
        <f t="shared" si="367"/>
        <v>깡펀치</v>
      </c>
      <c r="H2344" t="str">
        <f t="shared" si="368"/>
        <v>스토리위즈</v>
      </c>
      <c r="I2344" t="str">
        <f t="shared" si="369"/>
        <v>아카데미 속 궁술천재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100</v>
      </c>
      <c r="AL2344">
        <v>0</v>
      </c>
      <c r="AM2344">
        <v>120</v>
      </c>
      <c r="AN2344">
        <v>-36</v>
      </c>
      <c r="AO2344">
        <v>0</v>
      </c>
      <c r="AP2344"/>
      <c r="AQ2344">
        <v>0</v>
      </c>
      <c r="AR2344">
        <v>0</v>
      </c>
      <c r="AS2344">
        <v>120</v>
      </c>
      <c r="AT2344">
        <v>-36</v>
      </c>
      <c r="AU2344">
        <v>0</v>
      </c>
      <c r="AW2344">
        <v>0</v>
      </c>
      <c r="AX2344">
        <v>0</v>
      </c>
      <c r="AY2344">
        <v>128.80000000000001</v>
      </c>
      <c r="BC2344" t="str">
        <f t="shared" si="370"/>
        <v>9791137602915</v>
      </c>
      <c r="BE2344" t="str">
        <f t="shared" si="371"/>
        <v>판타지 웹소설 &gt; 퓨전 판타지</v>
      </c>
    </row>
    <row r="2345" spans="1:57" x14ac:dyDescent="0.3">
      <c r="A2345">
        <v>2313020594</v>
      </c>
      <c r="B2345">
        <v>2313020780</v>
      </c>
      <c r="C2345" t="str">
        <f>T("아카데미 속 궁술천재 187화 (완결)")</f>
        <v>아카데미 속 궁술천재 187화 (완결)</v>
      </c>
      <c r="D2345" t="str">
        <f>T("187")</f>
        <v>187</v>
      </c>
      <c r="E2345" t="str">
        <f t="shared" si="367"/>
        <v>깡펀치</v>
      </c>
      <c r="H2345" t="str">
        <f t="shared" si="368"/>
        <v>스토리위즈</v>
      </c>
      <c r="I2345" t="str">
        <f t="shared" si="369"/>
        <v>아카데미 속 궁술천재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100</v>
      </c>
      <c r="AL2345">
        <v>0</v>
      </c>
      <c r="AM2345">
        <v>120</v>
      </c>
      <c r="AN2345">
        <v>-36</v>
      </c>
      <c r="AO2345">
        <v>0</v>
      </c>
      <c r="AP2345"/>
      <c r="AQ2345">
        <v>0</v>
      </c>
      <c r="AR2345">
        <v>0</v>
      </c>
      <c r="AS2345">
        <v>120</v>
      </c>
      <c r="AT2345">
        <v>-36</v>
      </c>
      <c r="AU2345">
        <v>0</v>
      </c>
      <c r="AW2345">
        <v>0</v>
      </c>
      <c r="AX2345">
        <v>0</v>
      </c>
      <c r="AY2345">
        <v>128.80000000000001</v>
      </c>
      <c r="BC2345" t="str">
        <f t="shared" si="370"/>
        <v>9791137602915</v>
      </c>
      <c r="BE2345" t="str">
        <f t="shared" si="371"/>
        <v>판타지 웹소설 &gt; 퓨전 판타지</v>
      </c>
    </row>
    <row r="2346" spans="1:57" x14ac:dyDescent="0.3">
      <c r="A2346">
        <v>2313020594</v>
      </c>
      <c r="B2346">
        <v>2313020781</v>
      </c>
      <c r="C2346" t="str">
        <f>T("아카데미 속 궁술천재 188화 (외전 1화)")</f>
        <v>아카데미 속 궁술천재 188화 (외전 1화)</v>
      </c>
      <c r="D2346" t="str">
        <f>T("188")</f>
        <v>188</v>
      </c>
      <c r="E2346" t="str">
        <f t="shared" si="367"/>
        <v>깡펀치</v>
      </c>
      <c r="H2346" t="str">
        <f t="shared" si="368"/>
        <v>스토리위즈</v>
      </c>
      <c r="I2346" t="str">
        <f t="shared" si="369"/>
        <v>아카데미 속 궁술천재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100</v>
      </c>
      <c r="AL2346">
        <v>0</v>
      </c>
      <c r="AM2346">
        <v>120</v>
      </c>
      <c r="AN2346">
        <v>-36</v>
      </c>
      <c r="AO2346">
        <v>0</v>
      </c>
      <c r="AP2346"/>
      <c r="AQ2346">
        <v>0</v>
      </c>
      <c r="AR2346">
        <v>0</v>
      </c>
      <c r="AS2346">
        <v>120</v>
      </c>
      <c r="AT2346">
        <v>-36</v>
      </c>
      <c r="AU2346">
        <v>0</v>
      </c>
      <c r="AW2346">
        <v>0</v>
      </c>
      <c r="AX2346">
        <v>0</v>
      </c>
      <c r="AY2346">
        <v>128.80000000000001</v>
      </c>
      <c r="BC2346" t="str">
        <f t="shared" si="370"/>
        <v>9791137602915</v>
      </c>
      <c r="BE2346" t="str">
        <f t="shared" si="371"/>
        <v>판타지 웹소설 &gt; 퓨전 판타지</v>
      </c>
    </row>
    <row r="2347" spans="1:57" x14ac:dyDescent="0.3">
      <c r="A2347">
        <v>2313020594</v>
      </c>
      <c r="B2347">
        <v>2313020782</v>
      </c>
      <c r="C2347" t="str">
        <f>T("아카데미 속 궁술천재 189화 (외전 2화)")</f>
        <v>아카데미 속 궁술천재 189화 (외전 2화)</v>
      </c>
      <c r="D2347" t="str">
        <f>T("189")</f>
        <v>189</v>
      </c>
      <c r="E2347" t="str">
        <f t="shared" si="367"/>
        <v>깡펀치</v>
      </c>
      <c r="H2347" t="str">
        <f t="shared" si="368"/>
        <v>스토리위즈</v>
      </c>
      <c r="I2347" t="str">
        <f t="shared" si="369"/>
        <v>아카데미 속 궁술천재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100</v>
      </c>
      <c r="AL2347">
        <v>0</v>
      </c>
      <c r="AM2347">
        <v>120</v>
      </c>
      <c r="AN2347">
        <v>-36</v>
      </c>
      <c r="AO2347">
        <v>0</v>
      </c>
      <c r="AP2347"/>
      <c r="AQ2347">
        <v>0</v>
      </c>
      <c r="AR2347">
        <v>0</v>
      </c>
      <c r="AS2347">
        <v>120</v>
      </c>
      <c r="AT2347">
        <v>-36</v>
      </c>
      <c r="AU2347">
        <v>0</v>
      </c>
      <c r="AW2347">
        <v>0</v>
      </c>
      <c r="AX2347">
        <v>0</v>
      </c>
      <c r="AY2347">
        <v>128.80000000000001</v>
      </c>
      <c r="BC2347" t="str">
        <f t="shared" si="370"/>
        <v>9791137602915</v>
      </c>
      <c r="BE2347" t="str">
        <f t="shared" si="371"/>
        <v>판타지 웹소설 &gt; 퓨전 판타지</v>
      </c>
    </row>
    <row r="2348" spans="1:57" x14ac:dyDescent="0.3">
      <c r="A2348">
        <v>2313020884</v>
      </c>
      <c r="B2348">
        <v>2313020930</v>
      </c>
      <c r="C2348" t="str">
        <f>T("회귀한 헌터가 너무 강함 47화")</f>
        <v>회귀한 헌터가 너무 강함 47화</v>
      </c>
      <c r="D2348" t="str">
        <f>T("47")</f>
        <v>47</v>
      </c>
      <c r="E2348" t="str">
        <f t="shared" ref="E2348:E2354" si="372">T("왕십리글쟁이")</f>
        <v>왕십리글쟁이</v>
      </c>
      <c r="H2348" t="str">
        <f t="shared" si="368"/>
        <v>스토리위즈</v>
      </c>
      <c r="I2348" t="str">
        <f t="shared" ref="I2348:I2354" si="373">T("회귀한 헌터가 너무 강함")</f>
        <v>회귀한 헌터가 너무 강함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200</v>
      </c>
      <c r="AL2348">
        <v>0</v>
      </c>
      <c r="AM2348">
        <v>0</v>
      </c>
      <c r="AN2348">
        <v>0</v>
      </c>
      <c r="AO2348">
        <v>0</v>
      </c>
      <c r="AP2348"/>
      <c r="AQ2348">
        <v>0</v>
      </c>
      <c r="AR2348">
        <v>0</v>
      </c>
      <c r="AT2348">
        <v>0</v>
      </c>
      <c r="AU2348">
        <v>0</v>
      </c>
      <c r="AW2348">
        <v>0</v>
      </c>
      <c r="AX2348">
        <v>0</v>
      </c>
      <c r="AY2348">
        <v>140</v>
      </c>
      <c r="BC2348" t="str">
        <f t="shared" ref="BC2348:BC2354" si="374">T("9791197332272")</f>
        <v>9791197332272</v>
      </c>
      <c r="BE2348" t="str">
        <f t="shared" si="371"/>
        <v>판타지 웹소설 &gt; 퓨전 판타지</v>
      </c>
    </row>
    <row r="2349" spans="1:57" x14ac:dyDescent="0.3">
      <c r="A2349">
        <v>2313020884</v>
      </c>
      <c r="B2349">
        <v>2313020931</v>
      </c>
      <c r="C2349" t="str">
        <f>T("회귀한 헌터가 너무 강함 48화")</f>
        <v>회귀한 헌터가 너무 강함 48화</v>
      </c>
      <c r="D2349" t="str">
        <f>T("48")</f>
        <v>48</v>
      </c>
      <c r="E2349" t="str">
        <f t="shared" si="372"/>
        <v>왕십리글쟁이</v>
      </c>
      <c r="H2349" t="str">
        <f t="shared" si="368"/>
        <v>스토리위즈</v>
      </c>
      <c r="I2349" t="str">
        <f t="shared" si="373"/>
        <v>회귀한 헌터가 너무 강함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200</v>
      </c>
      <c r="AL2349">
        <v>0</v>
      </c>
      <c r="AM2349">
        <v>0</v>
      </c>
      <c r="AN2349">
        <v>0</v>
      </c>
      <c r="AO2349">
        <v>0</v>
      </c>
      <c r="AP2349"/>
      <c r="AQ2349">
        <v>0</v>
      </c>
      <c r="AR2349">
        <v>0</v>
      </c>
      <c r="AT2349">
        <v>0</v>
      </c>
      <c r="AU2349">
        <v>0</v>
      </c>
      <c r="AW2349">
        <v>0</v>
      </c>
      <c r="AX2349">
        <v>0</v>
      </c>
      <c r="AY2349">
        <v>140</v>
      </c>
      <c r="BC2349" t="str">
        <f t="shared" si="374"/>
        <v>9791197332272</v>
      </c>
      <c r="BE2349" t="str">
        <f t="shared" si="371"/>
        <v>판타지 웹소설 &gt; 퓨전 판타지</v>
      </c>
    </row>
    <row r="2350" spans="1:57" x14ac:dyDescent="0.3">
      <c r="A2350">
        <v>2313020884</v>
      </c>
      <c r="B2350">
        <v>2313020932</v>
      </c>
      <c r="C2350" t="str">
        <f>T("회귀한 헌터가 너무 강함 49화")</f>
        <v>회귀한 헌터가 너무 강함 49화</v>
      </c>
      <c r="D2350" t="str">
        <f>T("49")</f>
        <v>49</v>
      </c>
      <c r="E2350" t="str">
        <f t="shared" si="372"/>
        <v>왕십리글쟁이</v>
      </c>
      <c r="H2350" t="str">
        <f t="shared" si="368"/>
        <v>스토리위즈</v>
      </c>
      <c r="I2350" t="str">
        <f t="shared" si="373"/>
        <v>회귀한 헌터가 너무 강함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200</v>
      </c>
      <c r="AL2350">
        <v>0</v>
      </c>
      <c r="AM2350">
        <v>0</v>
      </c>
      <c r="AN2350">
        <v>0</v>
      </c>
      <c r="AO2350">
        <v>0</v>
      </c>
      <c r="AP2350"/>
      <c r="AQ2350">
        <v>0</v>
      </c>
      <c r="AR2350">
        <v>0</v>
      </c>
      <c r="AT2350">
        <v>0</v>
      </c>
      <c r="AU2350">
        <v>0</v>
      </c>
      <c r="AW2350">
        <v>0</v>
      </c>
      <c r="AX2350">
        <v>0</v>
      </c>
      <c r="AY2350">
        <v>140</v>
      </c>
      <c r="BC2350" t="str">
        <f t="shared" si="374"/>
        <v>9791197332272</v>
      </c>
      <c r="BE2350" t="str">
        <f t="shared" si="371"/>
        <v>판타지 웹소설 &gt; 퓨전 판타지</v>
      </c>
    </row>
    <row r="2351" spans="1:57" x14ac:dyDescent="0.3">
      <c r="A2351">
        <v>2313020884</v>
      </c>
      <c r="B2351">
        <v>2313020933</v>
      </c>
      <c r="C2351" t="str">
        <f>T("회귀한 헌터가 너무 강함 50화")</f>
        <v>회귀한 헌터가 너무 강함 50화</v>
      </c>
      <c r="D2351" t="str">
        <f>T("50")</f>
        <v>50</v>
      </c>
      <c r="E2351" t="str">
        <f t="shared" si="372"/>
        <v>왕십리글쟁이</v>
      </c>
      <c r="H2351" t="str">
        <f t="shared" si="368"/>
        <v>스토리위즈</v>
      </c>
      <c r="I2351" t="str">
        <f t="shared" si="373"/>
        <v>회귀한 헌터가 너무 강함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200</v>
      </c>
      <c r="AL2351">
        <v>0</v>
      </c>
      <c r="AM2351">
        <v>0</v>
      </c>
      <c r="AN2351">
        <v>0</v>
      </c>
      <c r="AO2351">
        <v>0</v>
      </c>
      <c r="AP2351"/>
      <c r="AQ2351">
        <v>0</v>
      </c>
      <c r="AR2351">
        <v>0</v>
      </c>
      <c r="AT2351">
        <v>0</v>
      </c>
      <c r="AU2351">
        <v>0</v>
      </c>
      <c r="AW2351">
        <v>0</v>
      </c>
      <c r="AX2351">
        <v>0</v>
      </c>
      <c r="AY2351">
        <v>140</v>
      </c>
      <c r="BC2351" t="str">
        <f t="shared" si="374"/>
        <v>9791197332272</v>
      </c>
      <c r="BE2351" t="str">
        <f t="shared" si="371"/>
        <v>판타지 웹소설 &gt; 퓨전 판타지</v>
      </c>
    </row>
    <row r="2352" spans="1:57" x14ac:dyDescent="0.3">
      <c r="A2352">
        <v>2313020884</v>
      </c>
      <c r="B2352">
        <v>2313020934</v>
      </c>
      <c r="C2352" t="str">
        <f>T("회귀한 헌터가 너무 강함 51화")</f>
        <v>회귀한 헌터가 너무 강함 51화</v>
      </c>
      <c r="D2352" t="str">
        <f>T("51")</f>
        <v>51</v>
      </c>
      <c r="E2352" t="str">
        <f t="shared" si="372"/>
        <v>왕십리글쟁이</v>
      </c>
      <c r="H2352" t="str">
        <f t="shared" si="368"/>
        <v>스토리위즈</v>
      </c>
      <c r="I2352" t="str">
        <f t="shared" si="373"/>
        <v>회귀한 헌터가 너무 강함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200</v>
      </c>
      <c r="AL2352">
        <v>0</v>
      </c>
      <c r="AM2352">
        <v>0</v>
      </c>
      <c r="AN2352">
        <v>0</v>
      </c>
      <c r="AO2352">
        <v>0</v>
      </c>
      <c r="AP2352"/>
      <c r="AQ2352">
        <v>0</v>
      </c>
      <c r="AR2352">
        <v>0</v>
      </c>
      <c r="AT2352">
        <v>0</v>
      </c>
      <c r="AU2352">
        <v>0</v>
      </c>
      <c r="AW2352">
        <v>0</v>
      </c>
      <c r="AX2352">
        <v>0</v>
      </c>
      <c r="AY2352">
        <v>140</v>
      </c>
      <c r="BC2352" t="str">
        <f t="shared" si="374"/>
        <v>9791197332272</v>
      </c>
      <c r="BE2352" t="str">
        <f t="shared" si="371"/>
        <v>판타지 웹소설 &gt; 퓨전 판타지</v>
      </c>
    </row>
    <row r="2353" spans="1:57" x14ac:dyDescent="0.3">
      <c r="A2353">
        <v>2313020884</v>
      </c>
      <c r="B2353">
        <v>2313020935</v>
      </c>
      <c r="C2353" t="str">
        <f>T("회귀한 헌터가 너무 강함 52화")</f>
        <v>회귀한 헌터가 너무 강함 52화</v>
      </c>
      <c r="D2353" t="str">
        <f>T("52")</f>
        <v>52</v>
      </c>
      <c r="E2353" t="str">
        <f t="shared" si="372"/>
        <v>왕십리글쟁이</v>
      </c>
      <c r="H2353" t="str">
        <f t="shared" si="368"/>
        <v>스토리위즈</v>
      </c>
      <c r="I2353" t="str">
        <f t="shared" si="373"/>
        <v>회귀한 헌터가 너무 강함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200</v>
      </c>
      <c r="AL2353">
        <v>0</v>
      </c>
      <c r="AM2353">
        <v>0</v>
      </c>
      <c r="AN2353">
        <v>0</v>
      </c>
      <c r="AO2353">
        <v>0</v>
      </c>
      <c r="AP2353"/>
      <c r="AQ2353">
        <v>0</v>
      </c>
      <c r="AR2353">
        <v>0</v>
      </c>
      <c r="AT2353">
        <v>0</v>
      </c>
      <c r="AU2353">
        <v>0</v>
      </c>
      <c r="AW2353">
        <v>0</v>
      </c>
      <c r="AX2353">
        <v>0</v>
      </c>
      <c r="AY2353">
        <v>140</v>
      </c>
      <c r="BC2353" t="str">
        <f t="shared" si="374"/>
        <v>9791197332272</v>
      </c>
      <c r="BE2353" t="str">
        <f t="shared" si="371"/>
        <v>판타지 웹소설 &gt; 퓨전 판타지</v>
      </c>
    </row>
    <row r="2354" spans="1:57" x14ac:dyDescent="0.3">
      <c r="A2354">
        <v>2313020884</v>
      </c>
      <c r="B2354">
        <v>2313020936</v>
      </c>
      <c r="C2354" t="str">
        <f>T("회귀한 헌터가 너무 강함 53화")</f>
        <v>회귀한 헌터가 너무 강함 53화</v>
      </c>
      <c r="D2354" t="str">
        <f>T("53")</f>
        <v>53</v>
      </c>
      <c r="E2354" t="str">
        <f t="shared" si="372"/>
        <v>왕십리글쟁이</v>
      </c>
      <c r="H2354" t="str">
        <f t="shared" si="368"/>
        <v>스토리위즈</v>
      </c>
      <c r="I2354" t="str">
        <f t="shared" si="373"/>
        <v>회귀한 헌터가 너무 강함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200</v>
      </c>
      <c r="AL2354">
        <v>0</v>
      </c>
      <c r="AM2354">
        <v>0</v>
      </c>
      <c r="AN2354">
        <v>0</v>
      </c>
      <c r="AO2354">
        <v>0</v>
      </c>
      <c r="AP2354"/>
      <c r="AQ2354">
        <v>0</v>
      </c>
      <c r="AR2354">
        <v>0</v>
      </c>
      <c r="AT2354">
        <v>0</v>
      </c>
      <c r="AU2354">
        <v>0</v>
      </c>
      <c r="AW2354">
        <v>0</v>
      </c>
      <c r="AX2354">
        <v>0</v>
      </c>
      <c r="AY2354">
        <v>140</v>
      </c>
      <c r="BC2354" t="str">
        <f t="shared" si="374"/>
        <v>9791197332272</v>
      </c>
      <c r="BE2354" t="str">
        <f t="shared" si="371"/>
        <v>판타지 웹소설 &gt; 퓨전 판타지</v>
      </c>
    </row>
    <row r="2355" spans="1:57" x14ac:dyDescent="0.3">
      <c r="A2355">
        <v>2313000185</v>
      </c>
      <c r="B2355">
        <v>2313000327</v>
      </c>
      <c r="C2355" t="str">
        <f>T("형사의 게임 143화")</f>
        <v>형사의 게임 143화</v>
      </c>
      <c r="D2355" t="str">
        <f>T("143")</f>
        <v>143</v>
      </c>
      <c r="E2355" t="str">
        <f t="shared" ref="E2355:E2377" si="375">T("무장")</f>
        <v>무장</v>
      </c>
      <c r="H2355" t="str">
        <f t="shared" si="368"/>
        <v>스토리위즈</v>
      </c>
      <c r="I2355" t="str">
        <f t="shared" ref="I2355:I2377" si="376">T("형사의 게임")</f>
        <v>형사의 게임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120</v>
      </c>
      <c r="AN2355">
        <v>-36</v>
      </c>
      <c r="AO2355">
        <v>0</v>
      </c>
      <c r="AP2355"/>
      <c r="AQ2355">
        <v>0</v>
      </c>
      <c r="AR2355">
        <v>0</v>
      </c>
      <c r="AS2355">
        <v>120</v>
      </c>
      <c r="AT2355">
        <v>-36</v>
      </c>
      <c r="AU2355">
        <v>0</v>
      </c>
      <c r="AW2355">
        <v>0</v>
      </c>
      <c r="AX2355">
        <v>0</v>
      </c>
      <c r="AY2355">
        <v>58.8</v>
      </c>
      <c r="BC2355" t="str">
        <f t="shared" ref="BC2355:BC2377" si="377">T("9791195863006")</f>
        <v>9791195863006</v>
      </c>
      <c r="BE2355" t="str">
        <f t="shared" ref="BE2355:BE2377" si="378">T("판타지 웹소설 &gt; 현대 판타지")</f>
        <v>판타지 웹소설 &gt; 현대 판타지</v>
      </c>
    </row>
    <row r="2356" spans="1:57" x14ac:dyDescent="0.3">
      <c r="A2356">
        <v>2313000185</v>
      </c>
      <c r="B2356">
        <v>2313000328</v>
      </c>
      <c r="C2356" t="str">
        <f>T("형사의 게임 144화")</f>
        <v>형사의 게임 144화</v>
      </c>
      <c r="D2356" t="str">
        <f>T("144")</f>
        <v>144</v>
      </c>
      <c r="E2356" t="str">
        <f t="shared" si="375"/>
        <v>무장</v>
      </c>
      <c r="H2356" t="str">
        <f t="shared" si="368"/>
        <v>스토리위즈</v>
      </c>
      <c r="I2356" t="str">
        <f t="shared" si="376"/>
        <v>형사의 게임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120</v>
      </c>
      <c r="AN2356">
        <v>-36</v>
      </c>
      <c r="AO2356">
        <v>0</v>
      </c>
      <c r="AP2356"/>
      <c r="AQ2356">
        <v>0</v>
      </c>
      <c r="AR2356">
        <v>0</v>
      </c>
      <c r="AS2356">
        <v>120</v>
      </c>
      <c r="AT2356">
        <v>-36</v>
      </c>
      <c r="AU2356">
        <v>0</v>
      </c>
      <c r="AW2356">
        <v>0</v>
      </c>
      <c r="AX2356">
        <v>0</v>
      </c>
      <c r="AY2356">
        <v>58.8</v>
      </c>
      <c r="BC2356" t="str">
        <f t="shared" si="377"/>
        <v>9791195863006</v>
      </c>
      <c r="BE2356" t="str">
        <f t="shared" si="378"/>
        <v>판타지 웹소설 &gt; 현대 판타지</v>
      </c>
    </row>
    <row r="2357" spans="1:57" x14ac:dyDescent="0.3">
      <c r="A2357">
        <v>2313000185</v>
      </c>
      <c r="B2357">
        <v>2313000329</v>
      </c>
      <c r="C2357" t="str">
        <f>T("형사의 게임 145화")</f>
        <v>형사의 게임 145화</v>
      </c>
      <c r="D2357" t="str">
        <f>T("145")</f>
        <v>145</v>
      </c>
      <c r="E2357" t="str">
        <f t="shared" si="375"/>
        <v>무장</v>
      </c>
      <c r="H2357" t="str">
        <f t="shared" si="368"/>
        <v>스토리위즈</v>
      </c>
      <c r="I2357" t="str">
        <f t="shared" si="376"/>
        <v>형사의 게임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120</v>
      </c>
      <c r="AN2357">
        <v>-36</v>
      </c>
      <c r="AO2357">
        <v>0</v>
      </c>
      <c r="AP2357"/>
      <c r="AQ2357">
        <v>0</v>
      </c>
      <c r="AR2357">
        <v>0</v>
      </c>
      <c r="AS2357">
        <v>120</v>
      </c>
      <c r="AT2357">
        <v>-36</v>
      </c>
      <c r="AU2357">
        <v>0</v>
      </c>
      <c r="AW2357">
        <v>0</v>
      </c>
      <c r="AX2357">
        <v>0</v>
      </c>
      <c r="AY2357">
        <v>58.8</v>
      </c>
      <c r="BC2357" t="str">
        <f t="shared" si="377"/>
        <v>9791195863006</v>
      </c>
      <c r="BE2357" t="str">
        <f t="shared" si="378"/>
        <v>판타지 웹소설 &gt; 현대 판타지</v>
      </c>
    </row>
    <row r="2358" spans="1:57" x14ac:dyDescent="0.3">
      <c r="A2358">
        <v>2313000185</v>
      </c>
      <c r="B2358">
        <v>2313000330</v>
      </c>
      <c r="C2358" t="str">
        <f>T("형사의 게임 146화")</f>
        <v>형사의 게임 146화</v>
      </c>
      <c r="D2358" t="str">
        <f>T("146")</f>
        <v>146</v>
      </c>
      <c r="E2358" t="str">
        <f t="shared" si="375"/>
        <v>무장</v>
      </c>
      <c r="H2358" t="str">
        <f t="shared" si="368"/>
        <v>스토리위즈</v>
      </c>
      <c r="I2358" t="str">
        <f t="shared" si="376"/>
        <v>형사의 게임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0</v>
      </c>
      <c r="AL2358">
        <v>0</v>
      </c>
      <c r="AM2358">
        <v>120</v>
      </c>
      <c r="AN2358">
        <v>-36</v>
      </c>
      <c r="AO2358">
        <v>0</v>
      </c>
      <c r="AP2358"/>
      <c r="AQ2358">
        <v>0</v>
      </c>
      <c r="AR2358">
        <v>0</v>
      </c>
      <c r="AS2358">
        <v>120</v>
      </c>
      <c r="AT2358">
        <v>-36</v>
      </c>
      <c r="AU2358">
        <v>0</v>
      </c>
      <c r="AW2358">
        <v>0</v>
      </c>
      <c r="AX2358">
        <v>0</v>
      </c>
      <c r="AY2358">
        <v>58.8</v>
      </c>
      <c r="BC2358" t="str">
        <f t="shared" si="377"/>
        <v>9791195863006</v>
      </c>
      <c r="BE2358" t="str">
        <f t="shared" si="378"/>
        <v>판타지 웹소설 &gt; 현대 판타지</v>
      </c>
    </row>
    <row r="2359" spans="1:57" x14ac:dyDescent="0.3">
      <c r="A2359">
        <v>2313000185</v>
      </c>
      <c r="B2359">
        <v>2313000331</v>
      </c>
      <c r="C2359" t="str">
        <f>T("형사의 게임 147화")</f>
        <v>형사의 게임 147화</v>
      </c>
      <c r="D2359" t="str">
        <f>T("147")</f>
        <v>147</v>
      </c>
      <c r="E2359" t="str">
        <f t="shared" si="375"/>
        <v>무장</v>
      </c>
      <c r="H2359" t="str">
        <f t="shared" si="368"/>
        <v>스토리위즈</v>
      </c>
      <c r="I2359" t="str">
        <f t="shared" si="376"/>
        <v>형사의 게임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120</v>
      </c>
      <c r="AN2359">
        <v>-36</v>
      </c>
      <c r="AO2359">
        <v>0</v>
      </c>
      <c r="AP2359"/>
      <c r="AQ2359">
        <v>0</v>
      </c>
      <c r="AR2359">
        <v>0</v>
      </c>
      <c r="AS2359">
        <v>120</v>
      </c>
      <c r="AT2359">
        <v>-36</v>
      </c>
      <c r="AU2359">
        <v>0</v>
      </c>
      <c r="AW2359">
        <v>0</v>
      </c>
      <c r="AX2359">
        <v>0</v>
      </c>
      <c r="AY2359">
        <v>58.8</v>
      </c>
      <c r="BC2359" t="str">
        <f t="shared" si="377"/>
        <v>9791195863006</v>
      </c>
      <c r="BE2359" t="str">
        <f t="shared" si="378"/>
        <v>판타지 웹소설 &gt; 현대 판타지</v>
      </c>
    </row>
    <row r="2360" spans="1:57" x14ac:dyDescent="0.3">
      <c r="A2360">
        <v>2313000185</v>
      </c>
      <c r="B2360">
        <v>2313000332</v>
      </c>
      <c r="C2360" t="str">
        <f>T("형사의 게임 148화")</f>
        <v>형사의 게임 148화</v>
      </c>
      <c r="D2360" t="str">
        <f>T("148")</f>
        <v>148</v>
      </c>
      <c r="E2360" t="str">
        <f t="shared" si="375"/>
        <v>무장</v>
      </c>
      <c r="H2360" t="str">
        <f t="shared" ref="H2360:H2423" si="379">T("스토리위즈")</f>
        <v>스토리위즈</v>
      </c>
      <c r="I2360" t="str">
        <f t="shared" si="376"/>
        <v>형사의 게임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120</v>
      </c>
      <c r="AN2360">
        <v>-36</v>
      </c>
      <c r="AO2360">
        <v>0</v>
      </c>
      <c r="AP2360"/>
      <c r="AQ2360">
        <v>0</v>
      </c>
      <c r="AR2360">
        <v>0</v>
      </c>
      <c r="AS2360">
        <v>120</v>
      </c>
      <c r="AT2360">
        <v>-36</v>
      </c>
      <c r="AU2360">
        <v>0</v>
      </c>
      <c r="AW2360">
        <v>0</v>
      </c>
      <c r="AX2360">
        <v>0</v>
      </c>
      <c r="AY2360">
        <v>58.8</v>
      </c>
      <c r="BC2360" t="str">
        <f t="shared" si="377"/>
        <v>9791195863006</v>
      </c>
      <c r="BE2360" t="str">
        <f t="shared" si="378"/>
        <v>판타지 웹소설 &gt; 현대 판타지</v>
      </c>
    </row>
    <row r="2361" spans="1:57" x14ac:dyDescent="0.3">
      <c r="A2361">
        <v>2313000185</v>
      </c>
      <c r="B2361">
        <v>2313000333</v>
      </c>
      <c r="C2361" t="str">
        <f>T("형사의 게임 149화")</f>
        <v>형사의 게임 149화</v>
      </c>
      <c r="D2361" t="str">
        <f>T("149")</f>
        <v>149</v>
      </c>
      <c r="E2361" t="str">
        <f t="shared" si="375"/>
        <v>무장</v>
      </c>
      <c r="H2361" t="str">
        <f t="shared" si="379"/>
        <v>스토리위즈</v>
      </c>
      <c r="I2361" t="str">
        <f t="shared" si="376"/>
        <v>형사의 게임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120</v>
      </c>
      <c r="AN2361">
        <v>-36</v>
      </c>
      <c r="AO2361">
        <v>0</v>
      </c>
      <c r="AP2361"/>
      <c r="AQ2361">
        <v>0</v>
      </c>
      <c r="AR2361">
        <v>0</v>
      </c>
      <c r="AS2361">
        <v>120</v>
      </c>
      <c r="AT2361">
        <v>-36</v>
      </c>
      <c r="AU2361">
        <v>0</v>
      </c>
      <c r="AW2361">
        <v>0</v>
      </c>
      <c r="AX2361">
        <v>0</v>
      </c>
      <c r="AY2361">
        <v>58.8</v>
      </c>
      <c r="BC2361" t="str">
        <f t="shared" si="377"/>
        <v>9791195863006</v>
      </c>
      <c r="BE2361" t="str">
        <f t="shared" si="378"/>
        <v>판타지 웹소설 &gt; 현대 판타지</v>
      </c>
    </row>
    <row r="2362" spans="1:57" x14ac:dyDescent="0.3">
      <c r="A2362">
        <v>2313000185</v>
      </c>
      <c r="B2362">
        <v>2313000334</v>
      </c>
      <c r="C2362" t="str">
        <f>T("형사의 게임 150화")</f>
        <v>형사의 게임 150화</v>
      </c>
      <c r="D2362" t="str">
        <f>T("150")</f>
        <v>150</v>
      </c>
      <c r="E2362" t="str">
        <f t="shared" si="375"/>
        <v>무장</v>
      </c>
      <c r="H2362" t="str">
        <f t="shared" si="379"/>
        <v>스토리위즈</v>
      </c>
      <c r="I2362" t="str">
        <f t="shared" si="376"/>
        <v>형사의 게임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0</v>
      </c>
      <c r="AL2362">
        <v>0</v>
      </c>
      <c r="AM2362">
        <v>120</v>
      </c>
      <c r="AN2362">
        <v>-36</v>
      </c>
      <c r="AO2362">
        <v>0</v>
      </c>
      <c r="AP2362"/>
      <c r="AQ2362">
        <v>0</v>
      </c>
      <c r="AR2362">
        <v>0</v>
      </c>
      <c r="AS2362">
        <v>120</v>
      </c>
      <c r="AT2362">
        <v>-36</v>
      </c>
      <c r="AU2362">
        <v>0</v>
      </c>
      <c r="AW2362">
        <v>0</v>
      </c>
      <c r="AX2362">
        <v>0</v>
      </c>
      <c r="AY2362">
        <v>58.8</v>
      </c>
      <c r="BC2362" t="str">
        <f t="shared" si="377"/>
        <v>9791195863006</v>
      </c>
      <c r="BE2362" t="str">
        <f t="shared" si="378"/>
        <v>판타지 웹소설 &gt; 현대 판타지</v>
      </c>
    </row>
    <row r="2363" spans="1:57" x14ac:dyDescent="0.3">
      <c r="A2363">
        <v>2313000185</v>
      </c>
      <c r="B2363">
        <v>2313000335</v>
      </c>
      <c r="C2363" t="str">
        <f>T("형사의 게임 151화")</f>
        <v>형사의 게임 151화</v>
      </c>
      <c r="D2363" t="str">
        <f>T("151")</f>
        <v>151</v>
      </c>
      <c r="E2363" t="str">
        <f t="shared" si="375"/>
        <v>무장</v>
      </c>
      <c r="H2363" t="str">
        <f t="shared" si="379"/>
        <v>스토리위즈</v>
      </c>
      <c r="I2363" t="str">
        <f t="shared" si="376"/>
        <v>형사의 게임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120</v>
      </c>
      <c r="AN2363">
        <v>-36</v>
      </c>
      <c r="AO2363">
        <v>0</v>
      </c>
      <c r="AP2363"/>
      <c r="AQ2363">
        <v>0</v>
      </c>
      <c r="AR2363">
        <v>0</v>
      </c>
      <c r="AS2363">
        <v>120</v>
      </c>
      <c r="AT2363">
        <v>-36</v>
      </c>
      <c r="AU2363">
        <v>0</v>
      </c>
      <c r="AW2363">
        <v>0</v>
      </c>
      <c r="AX2363">
        <v>0</v>
      </c>
      <c r="AY2363">
        <v>58.8</v>
      </c>
      <c r="BC2363" t="str">
        <f t="shared" si="377"/>
        <v>9791195863006</v>
      </c>
      <c r="BE2363" t="str">
        <f t="shared" si="378"/>
        <v>판타지 웹소설 &gt; 현대 판타지</v>
      </c>
    </row>
    <row r="2364" spans="1:57" x14ac:dyDescent="0.3">
      <c r="A2364">
        <v>2313000185</v>
      </c>
      <c r="B2364">
        <v>2313000336</v>
      </c>
      <c r="C2364" t="str">
        <f>T("형사의 게임 152화")</f>
        <v>형사의 게임 152화</v>
      </c>
      <c r="D2364" t="str">
        <f>T("152")</f>
        <v>152</v>
      </c>
      <c r="E2364" t="str">
        <f t="shared" si="375"/>
        <v>무장</v>
      </c>
      <c r="H2364" t="str">
        <f t="shared" si="379"/>
        <v>스토리위즈</v>
      </c>
      <c r="I2364" t="str">
        <f t="shared" si="376"/>
        <v>형사의 게임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120</v>
      </c>
      <c r="AN2364">
        <v>-36</v>
      </c>
      <c r="AO2364">
        <v>0</v>
      </c>
      <c r="AP2364"/>
      <c r="AQ2364">
        <v>0</v>
      </c>
      <c r="AR2364">
        <v>0</v>
      </c>
      <c r="AS2364">
        <v>120</v>
      </c>
      <c r="AT2364">
        <v>-36</v>
      </c>
      <c r="AU2364">
        <v>0</v>
      </c>
      <c r="AW2364">
        <v>0</v>
      </c>
      <c r="AX2364">
        <v>0</v>
      </c>
      <c r="AY2364">
        <v>58.8</v>
      </c>
      <c r="BC2364" t="str">
        <f t="shared" si="377"/>
        <v>9791195863006</v>
      </c>
      <c r="BE2364" t="str">
        <f t="shared" si="378"/>
        <v>판타지 웹소설 &gt; 현대 판타지</v>
      </c>
    </row>
    <row r="2365" spans="1:57" x14ac:dyDescent="0.3">
      <c r="A2365">
        <v>2313000185</v>
      </c>
      <c r="B2365">
        <v>2313000337</v>
      </c>
      <c r="C2365" t="str">
        <f>T("형사의 게임 153화")</f>
        <v>형사의 게임 153화</v>
      </c>
      <c r="D2365" t="str">
        <f>T("153")</f>
        <v>153</v>
      </c>
      <c r="E2365" t="str">
        <f t="shared" si="375"/>
        <v>무장</v>
      </c>
      <c r="H2365" t="str">
        <f t="shared" si="379"/>
        <v>스토리위즈</v>
      </c>
      <c r="I2365" t="str">
        <f t="shared" si="376"/>
        <v>형사의 게임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120</v>
      </c>
      <c r="AN2365">
        <v>-36</v>
      </c>
      <c r="AO2365">
        <v>0</v>
      </c>
      <c r="AP2365"/>
      <c r="AQ2365">
        <v>0</v>
      </c>
      <c r="AR2365">
        <v>0</v>
      </c>
      <c r="AS2365">
        <v>120</v>
      </c>
      <c r="AT2365">
        <v>-36</v>
      </c>
      <c r="AU2365">
        <v>0</v>
      </c>
      <c r="AW2365">
        <v>0</v>
      </c>
      <c r="AX2365">
        <v>0</v>
      </c>
      <c r="AY2365">
        <v>58.8</v>
      </c>
      <c r="BC2365" t="str">
        <f t="shared" si="377"/>
        <v>9791195863006</v>
      </c>
      <c r="BE2365" t="str">
        <f t="shared" si="378"/>
        <v>판타지 웹소설 &gt; 현대 판타지</v>
      </c>
    </row>
    <row r="2366" spans="1:57" x14ac:dyDescent="0.3">
      <c r="A2366">
        <v>2313000185</v>
      </c>
      <c r="B2366">
        <v>2313000338</v>
      </c>
      <c r="C2366" t="str">
        <f>T("형사의 게임 154화")</f>
        <v>형사의 게임 154화</v>
      </c>
      <c r="D2366" t="str">
        <f>T("154")</f>
        <v>154</v>
      </c>
      <c r="E2366" t="str">
        <f t="shared" si="375"/>
        <v>무장</v>
      </c>
      <c r="H2366" t="str">
        <f t="shared" si="379"/>
        <v>스토리위즈</v>
      </c>
      <c r="I2366" t="str">
        <f t="shared" si="376"/>
        <v>형사의 게임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0</v>
      </c>
      <c r="AL2366">
        <v>0</v>
      </c>
      <c r="AM2366">
        <v>120</v>
      </c>
      <c r="AN2366">
        <v>-36</v>
      </c>
      <c r="AO2366">
        <v>0</v>
      </c>
      <c r="AP2366"/>
      <c r="AQ2366">
        <v>0</v>
      </c>
      <c r="AR2366">
        <v>0</v>
      </c>
      <c r="AS2366">
        <v>120</v>
      </c>
      <c r="AT2366">
        <v>-36</v>
      </c>
      <c r="AU2366">
        <v>0</v>
      </c>
      <c r="AW2366">
        <v>0</v>
      </c>
      <c r="AX2366">
        <v>0</v>
      </c>
      <c r="AY2366">
        <v>58.8</v>
      </c>
      <c r="BC2366" t="str">
        <f t="shared" si="377"/>
        <v>9791195863006</v>
      </c>
      <c r="BE2366" t="str">
        <f t="shared" si="378"/>
        <v>판타지 웹소설 &gt; 현대 판타지</v>
      </c>
    </row>
    <row r="2367" spans="1:57" x14ac:dyDescent="0.3">
      <c r="A2367">
        <v>2313000185</v>
      </c>
      <c r="B2367">
        <v>2313000339</v>
      </c>
      <c r="C2367" t="str">
        <f>T("형사의 게임 155화")</f>
        <v>형사의 게임 155화</v>
      </c>
      <c r="D2367" t="str">
        <f>T("155")</f>
        <v>155</v>
      </c>
      <c r="E2367" t="str">
        <f t="shared" si="375"/>
        <v>무장</v>
      </c>
      <c r="H2367" t="str">
        <f t="shared" si="379"/>
        <v>스토리위즈</v>
      </c>
      <c r="I2367" t="str">
        <f t="shared" si="376"/>
        <v>형사의 게임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0</v>
      </c>
      <c r="AL2367">
        <v>0</v>
      </c>
      <c r="AM2367">
        <v>120</v>
      </c>
      <c r="AN2367">
        <v>-36</v>
      </c>
      <c r="AO2367">
        <v>0</v>
      </c>
      <c r="AP2367"/>
      <c r="AQ2367">
        <v>0</v>
      </c>
      <c r="AR2367">
        <v>0</v>
      </c>
      <c r="AS2367">
        <v>120</v>
      </c>
      <c r="AT2367">
        <v>-36</v>
      </c>
      <c r="AU2367">
        <v>0</v>
      </c>
      <c r="AW2367">
        <v>0</v>
      </c>
      <c r="AX2367">
        <v>0</v>
      </c>
      <c r="AY2367">
        <v>58.8</v>
      </c>
      <c r="BC2367" t="str">
        <f t="shared" si="377"/>
        <v>9791195863006</v>
      </c>
      <c r="BE2367" t="str">
        <f t="shared" si="378"/>
        <v>판타지 웹소설 &gt; 현대 판타지</v>
      </c>
    </row>
    <row r="2368" spans="1:57" x14ac:dyDescent="0.3">
      <c r="A2368">
        <v>2313000185</v>
      </c>
      <c r="B2368">
        <v>2313000340</v>
      </c>
      <c r="C2368" t="str">
        <f>T("형사의 게임 156화")</f>
        <v>형사의 게임 156화</v>
      </c>
      <c r="D2368" t="str">
        <f>T("156")</f>
        <v>156</v>
      </c>
      <c r="E2368" t="str">
        <f t="shared" si="375"/>
        <v>무장</v>
      </c>
      <c r="H2368" t="str">
        <f t="shared" si="379"/>
        <v>스토리위즈</v>
      </c>
      <c r="I2368" t="str">
        <f t="shared" si="376"/>
        <v>형사의 게임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120</v>
      </c>
      <c r="AN2368">
        <v>-36</v>
      </c>
      <c r="AO2368">
        <v>0</v>
      </c>
      <c r="AP2368"/>
      <c r="AQ2368">
        <v>0</v>
      </c>
      <c r="AR2368">
        <v>0</v>
      </c>
      <c r="AS2368">
        <v>120</v>
      </c>
      <c r="AT2368">
        <v>-36</v>
      </c>
      <c r="AU2368">
        <v>0</v>
      </c>
      <c r="AW2368">
        <v>0</v>
      </c>
      <c r="AX2368">
        <v>0</v>
      </c>
      <c r="AY2368">
        <v>58.8</v>
      </c>
      <c r="BC2368" t="str">
        <f t="shared" si="377"/>
        <v>9791195863006</v>
      </c>
      <c r="BE2368" t="str">
        <f t="shared" si="378"/>
        <v>판타지 웹소설 &gt; 현대 판타지</v>
      </c>
    </row>
    <row r="2369" spans="1:57" x14ac:dyDescent="0.3">
      <c r="A2369">
        <v>2313000185</v>
      </c>
      <c r="B2369">
        <v>2313000341</v>
      </c>
      <c r="C2369" t="str">
        <f>T("형사의 게임 157화")</f>
        <v>형사의 게임 157화</v>
      </c>
      <c r="D2369" t="str">
        <f>T("157")</f>
        <v>157</v>
      </c>
      <c r="E2369" t="str">
        <f t="shared" si="375"/>
        <v>무장</v>
      </c>
      <c r="H2369" t="str">
        <f t="shared" si="379"/>
        <v>스토리위즈</v>
      </c>
      <c r="I2369" t="str">
        <f t="shared" si="376"/>
        <v>형사의 게임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120</v>
      </c>
      <c r="AN2369">
        <v>-36</v>
      </c>
      <c r="AO2369">
        <v>0</v>
      </c>
      <c r="AP2369"/>
      <c r="AQ2369">
        <v>0</v>
      </c>
      <c r="AR2369">
        <v>0</v>
      </c>
      <c r="AS2369">
        <v>120</v>
      </c>
      <c r="AT2369">
        <v>-36</v>
      </c>
      <c r="AU2369">
        <v>0</v>
      </c>
      <c r="AW2369">
        <v>0</v>
      </c>
      <c r="AX2369">
        <v>0</v>
      </c>
      <c r="AY2369">
        <v>58.8</v>
      </c>
      <c r="BC2369" t="str">
        <f t="shared" si="377"/>
        <v>9791195863006</v>
      </c>
      <c r="BE2369" t="str">
        <f t="shared" si="378"/>
        <v>판타지 웹소설 &gt; 현대 판타지</v>
      </c>
    </row>
    <row r="2370" spans="1:57" x14ac:dyDescent="0.3">
      <c r="A2370">
        <v>2313000185</v>
      </c>
      <c r="B2370">
        <v>2313000342</v>
      </c>
      <c r="C2370" t="str">
        <f>T("형사의 게임 158화")</f>
        <v>형사의 게임 158화</v>
      </c>
      <c r="D2370" t="str">
        <f>T("158")</f>
        <v>158</v>
      </c>
      <c r="E2370" t="str">
        <f t="shared" si="375"/>
        <v>무장</v>
      </c>
      <c r="H2370" t="str">
        <f t="shared" si="379"/>
        <v>스토리위즈</v>
      </c>
      <c r="I2370" t="str">
        <f t="shared" si="376"/>
        <v>형사의 게임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120</v>
      </c>
      <c r="AN2370">
        <v>-36</v>
      </c>
      <c r="AO2370">
        <v>0</v>
      </c>
      <c r="AP2370"/>
      <c r="AQ2370">
        <v>0</v>
      </c>
      <c r="AR2370">
        <v>0</v>
      </c>
      <c r="AS2370">
        <v>120</v>
      </c>
      <c r="AT2370">
        <v>-36</v>
      </c>
      <c r="AU2370">
        <v>0</v>
      </c>
      <c r="AW2370">
        <v>0</v>
      </c>
      <c r="AX2370">
        <v>0</v>
      </c>
      <c r="AY2370">
        <v>58.8</v>
      </c>
      <c r="BC2370" t="str">
        <f t="shared" si="377"/>
        <v>9791195863006</v>
      </c>
      <c r="BE2370" t="str">
        <f t="shared" si="378"/>
        <v>판타지 웹소설 &gt; 현대 판타지</v>
      </c>
    </row>
    <row r="2371" spans="1:57" x14ac:dyDescent="0.3">
      <c r="A2371">
        <v>2313000185</v>
      </c>
      <c r="B2371">
        <v>2313000343</v>
      </c>
      <c r="C2371" t="str">
        <f>T("형사의 게임 159화")</f>
        <v>형사의 게임 159화</v>
      </c>
      <c r="D2371" t="str">
        <f>T("159")</f>
        <v>159</v>
      </c>
      <c r="E2371" t="str">
        <f t="shared" si="375"/>
        <v>무장</v>
      </c>
      <c r="H2371" t="str">
        <f t="shared" si="379"/>
        <v>스토리위즈</v>
      </c>
      <c r="I2371" t="str">
        <f t="shared" si="376"/>
        <v>형사의 게임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120</v>
      </c>
      <c r="AN2371">
        <v>-36</v>
      </c>
      <c r="AO2371">
        <v>0</v>
      </c>
      <c r="AP2371"/>
      <c r="AQ2371">
        <v>0</v>
      </c>
      <c r="AR2371">
        <v>0</v>
      </c>
      <c r="AS2371">
        <v>120</v>
      </c>
      <c r="AT2371">
        <v>-36</v>
      </c>
      <c r="AU2371">
        <v>0</v>
      </c>
      <c r="AW2371">
        <v>0</v>
      </c>
      <c r="AX2371">
        <v>0</v>
      </c>
      <c r="AY2371">
        <v>58.8</v>
      </c>
      <c r="BC2371" t="str">
        <f t="shared" si="377"/>
        <v>9791195863006</v>
      </c>
      <c r="BE2371" t="str">
        <f t="shared" si="378"/>
        <v>판타지 웹소설 &gt; 현대 판타지</v>
      </c>
    </row>
    <row r="2372" spans="1:57" x14ac:dyDescent="0.3">
      <c r="A2372">
        <v>2313000185</v>
      </c>
      <c r="B2372">
        <v>2313000344</v>
      </c>
      <c r="C2372" t="str">
        <f>T("형사의 게임 160화")</f>
        <v>형사의 게임 160화</v>
      </c>
      <c r="D2372" t="str">
        <f>T("160")</f>
        <v>160</v>
      </c>
      <c r="E2372" t="str">
        <f t="shared" si="375"/>
        <v>무장</v>
      </c>
      <c r="H2372" t="str">
        <f t="shared" si="379"/>
        <v>스토리위즈</v>
      </c>
      <c r="I2372" t="str">
        <f t="shared" si="376"/>
        <v>형사의 게임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120</v>
      </c>
      <c r="AN2372">
        <v>-36</v>
      </c>
      <c r="AO2372">
        <v>0</v>
      </c>
      <c r="AP2372"/>
      <c r="AQ2372">
        <v>0</v>
      </c>
      <c r="AR2372">
        <v>0</v>
      </c>
      <c r="AS2372">
        <v>120</v>
      </c>
      <c r="AT2372">
        <v>-36</v>
      </c>
      <c r="AU2372">
        <v>0</v>
      </c>
      <c r="AW2372">
        <v>0</v>
      </c>
      <c r="AX2372">
        <v>0</v>
      </c>
      <c r="AY2372">
        <v>58.8</v>
      </c>
      <c r="BC2372" t="str">
        <f t="shared" si="377"/>
        <v>9791195863006</v>
      </c>
      <c r="BE2372" t="str">
        <f t="shared" si="378"/>
        <v>판타지 웹소설 &gt; 현대 판타지</v>
      </c>
    </row>
    <row r="2373" spans="1:57" x14ac:dyDescent="0.3">
      <c r="A2373">
        <v>2313000185</v>
      </c>
      <c r="B2373">
        <v>2313000345</v>
      </c>
      <c r="C2373" t="str">
        <f>T("형사의 게임 161화")</f>
        <v>형사의 게임 161화</v>
      </c>
      <c r="D2373" t="str">
        <f>T("161")</f>
        <v>161</v>
      </c>
      <c r="E2373" t="str">
        <f t="shared" si="375"/>
        <v>무장</v>
      </c>
      <c r="H2373" t="str">
        <f t="shared" si="379"/>
        <v>스토리위즈</v>
      </c>
      <c r="I2373" t="str">
        <f t="shared" si="376"/>
        <v>형사의 게임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120</v>
      </c>
      <c r="AN2373">
        <v>-36</v>
      </c>
      <c r="AO2373">
        <v>0</v>
      </c>
      <c r="AP2373"/>
      <c r="AQ2373">
        <v>0</v>
      </c>
      <c r="AR2373">
        <v>0</v>
      </c>
      <c r="AS2373">
        <v>120</v>
      </c>
      <c r="AT2373">
        <v>-36</v>
      </c>
      <c r="AU2373">
        <v>0</v>
      </c>
      <c r="AW2373">
        <v>0</v>
      </c>
      <c r="AX2373">
        <v>0</v>
      </c>
      <c r="AY2373">
        <v>58.8</v>
      </c>
      <c r="BC2373" t="str">
        <f t="shared" si="377"/>
        <v>9791195863006</v>
      </c>
      <c r="BE2373" t="str">
        <f t="shared" si="378"/>
        <v>판타지 웹소설 &gt; 현대 판타지</v>
      </c>
    </row>
    <row r="2374" spans="1:57" x14ac:dyDescent="0.3">
      <c r="A2374">
        <v>2313000185</v>
      </c>
      <c r="B2374">
        <v>2313000346</v>
      </c>
      <c r="C2374" t="str">
        <f>T("형사의 게임 162화")</f>
        <v>형사의 게임 162화</v>
      </c>
      <c r="D2374" t="str">
        <f>T("162")</f>
        <v>162</v>
      </c>
      <c r="E2374" t="str">
        <f t="shared" si="375"/>
        <v>무장</v>
      </c>
      <c r="H2374" t="str">
        <f t="shared" si="379"/>
        <v>스토리위즈</v>
      </c>
      <c r="I2374" t="str">
        <f t="shared" si="376"/>
        <v>형사의 게임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0</v>
      </c>
      <c r="AL2374">
        <v>0</v>
      </c>
      <c r="AM2374">
        <v>120</v>
      </c>
      <c r="AN2374">
        <v>-36</v>
      </c>
      <c r="AO2374">
        <v>0</v>
      </c>
      <c r="AP2374"/>
      <c r="AQ2374">
        <v>0</v>
      </c>
      <c r="AR2374">
        <v>0</v>
      </c>
      <c r="AS2374">
        <v>120</v>
      </c>
      <c r="AT2374">
        <v>-36</v>
      </c>
      <c r="AU2374">
        <v>0</v>
      </c>
      <c r="AW2374">
        <v>0</v>
      </c>
      <c r="AX2374">
        <v>0</v>
      </c>
      <c r="AY2374">
        <v>58.8</v>
      </c>
      <c r="BC2374" t="str">
        <f t="shared" si="377"/>
        <v>9791195863006</v>
      </c>
      <c r="BE2374" t="str">
        <f t="shared" si="378"/>
        <v>판타지 웹소설 &gt; 현대 판타지</v>
      </c>
    </row>
    <row r="2375" spans="1:57" x14ac:dyDescent="0.3">
      <c r="A2375">
        <v>2313000185</v>
      </c>
      <c r="B2375">
        <v>2313000347</v>
      </c>
      <c r="C2375" t="str">
        <f>T("형사의 게임 163화")</f>
        <v>형사의 게임 163화</v>
      </c>
      <c r="D2375" t="str">
        <f>T("163")</f>
        <v>163</v>
      </c>
      <c r="E2375" t="str">
        <f t="shared" si="375"/>
        <v>무장</v>
      </c>
      <c r="H2375" t="str">
        <f t="shared" si="379"/>
        <v>스토리위즈</v>
      </c>
      <c r="I2375" t="str">
        <f t="shared" si="376"/>
        <v>형사의 게임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120</v>
      </c>
      <c r="AN2375">
        <v>-36</v>
      </c>
      <c r="AO2375">
        <v>0</v>
      </c>
      <c r="AP2375"/>
      <c r="AQ2375">
        <v>0</v>
      </c>
      <c r="AR2375">
        <v>0</v>
      </c>
      <c r="AS2375">
        <v>120</v>
      </c>
      <c r="AT2375">
        <v>-36</v>
      </c>
      <c r="AU2375">
        <v>0</v>
      </c>
      <c r="AW2375">
        <v>0</v>
      </c>
      <c r="AX2375">
        <v>0</v>
      </c>
      <c r="AY2375">
        <v>58.8</v>
      </c>
      <c r="BC2375" t="str">
        <f t="shared" si="377"/>
        <v>9791195863006</v>
      </c>
      <c r="BE2375" t="str">
        <f t="shared" si="378"/>
        <v>판타지 웹소설 &gt; 현대 판타지</v>
      </c>
    </row>
    <row r="2376" spans="1:57" x14ac:dyDescent="0.3">
      <c r="A2376">
        <v>2313000185</v>
      </c>
      <c r="B2376">
        <v>2313000348</v>
      </c>
      <c r="C2376" t="str">
        <f>T("형사의 게임 164화")</f>
        <v>형사의 게임 164화</v>
      </c>
      <c r="D2376" t="str">
        <f>T("164")</f>
        <v>164</v>
      </c>
      <c r="E2376" t="str">
        <f t="shared" si="375"/>
        <v>무장</v>
      </c>
      <c r="H2376" t="str">
        <f t="shared" si="379"/>
        <v>스토리위즈</v>
      </c>
      <c r="I2376" t="str">
        <f t="shared" si="376"/>
        <v>형사의 게임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120</v>
      </c>
      <c r="AN2376">
        <v>-36</v>
      </c>
      <c r="AO2376">
        <v>0</v>
      </c>
      <c r="AP2376"/>
      <c r="AQ2376">
        <v>0</v>
      </c>
      <c r="AR2376">
        <v>0</v>
      </c>
      <c r="AS2376">
        <v>120</v>
      </c>
      <c r="AT2376">
        <v>-36</v>
      </c>
      <c r="AU2376">
        <v>0</v>
      </c>
      <c r="AW2376">
        <v>0</v>
      </c>
      <c r="AX2376">
        <v>0</v>
      </c>
      <c r="AY2376">
        <v>58.8</v>
      </c>
      <c r="BC2376" t="str">
        <f t="shared" si="377"/>
        <v>9791195863006</v>
      </c>
      <c r="BE2376" t="str">
        <f t="shared" si="378"/>
        <v>판타지 웹소설 &gt; 현대 판타지</v>
      </c>
    </row>
    <row r="2377" spans="1:57" x14ac:dyDescent="0.3">
      <c r="A2377">
        <v>2313000185</v>
      </c>
      <c r="B2377">
        <v>2313000349</v>
      </c>
      <c r="C2377" t="str">
        <f>T("형사의 게임 165화")</f>
        <v>형사의 게임 165화</v>
      </c>
      <c r="D2377" t="str">
        <f>T("165")</f>
        <v>165</v>
      </c>
      <c r="E2377" t="str">
        <f t="shared" si="375"/>
        <v>무장</v>
      </c>
      <c r="H2377" t="str">
        <f t="shared" si="379"/>
        <v>스토리위즈</v>
      </c>
      <c r="I2377" t="str">
        <f t="shared" si="376"/>
        <v>형사의 게임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120</v>
      </c>
      <c r="AN2377">
        <v>-36</v>
      </c>
      <c r="AO2377">
        <v>0</v>
      </c>
      <c r="AP2377"/>
      <c r="AQ2377">
        <v>0</v>
      </c>
      <c r="AR2377">
        <v>0</v>
      </c>
      <c r="AS2377">
        <v>120</v>
      </c>
      <c r="AT2377">
        <v>-36</v>
      </c>
      <c r="AU2377">
        <v>0</v>
      </c>
      <c r="AW2377">
        <v>0</v>
      </c>
      <c r="AX2377">
        <v>0</v>
      </c>
      <c r="AY2377">
        <v>58.8</v>
      </c>
      <c r="BC2377" t="str">
        <f t="shared" si="377"/>
        <v>9791195863006</v>
      </c>
      <c r="BE2377" t="str">
        <f t="shared" si="378"/>
        <v>판타지 웹소설 &gt; 현대 판타지</v>
      </c>
    </row>
    <row r="2378" spans="1:57" x14ac:dyDescent="0.3">
      <c r="A2378">
        <v>2313000685</v>
      </c>
      <c r="B2378">
        <v>2313000711</v>
      </c>
      <c r="C2378" t="str">
        <f>T("라지에르의 서 28화")</f>
        <v>라지에르의 서 28화</v>
      </c>
      <c r="D2378" t="str">
        <f>T("27")</f>
        <v>27</v>
      </c>
      <c r="E2378" t="str">
        <f t="shared" ref="E2378:E2441" si="380">T("공든탑")</f>
        <v>공든탑</v>
      </c>
      <c r="H2378" t="str">
        <f t="shared" si="379"/>
        <v>스토리위즈</v>
      </c>
      <c r="I2378" t="str">
        <f t="shared" ref="I2378:I2441" si="381">T("라지에르의 서")</f>
        <v>라지에르의 서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/>
      <c r="AQ2378">
        <v>0</v>
      </c>
      <c r="AR2378">
        <v>0</v>
      </c>
      <c r="AT2378">
        <v>0</v>
      </c>
      <c r="AU2378">
        <v>0</v>
      </c>
      <c r="AW2378">
        <v>0</v>
      </c>
      <c r="AX2378">
        <v>0</v>
      </c>
      <c r="AY2378">
        <v>70</v>
      </c>
      <c r="BC2378" t="str">
        <f t="shared" ref="BC2378:BC2441" si="382">T("9791159285783")</f>
        <v>9791159285783</v>
      </c>
      <c r="BE2378" t="str">
        <f t="shared" ref="BE2378:BE2441" si="383">T("판타지 웹소설 &gt; 퓨전 판타지")</f>
        <v>판타지 웹소설 &gt; 퓨전 판타지</v>
      </c>
    </row>
    <row r="2379" spans="1:57" x14ac:dyDescent="0.3">
      <c r="A2379">
        <v>2313000685</v>
      </c>
      <c r="B2379">
        <v>2313000712</v>
      </c>
      <c r="C2379" t="str">
        <f>T("라지에르의 서 29화")</f>
        <v>라지에르의 서 29화</v>
      </c>
      <c r="D2379" t="str">
        <f>T("28")</f>
        <v>28</v>
      </c>
      <c r="E2379" t="str">
        <f t="shared" si="380"/>
        <v>공든탑</v>
      </c>
      <c r="H2379" t="str">
        <f t="shared" si="379"/>
        <v>스토리위즈</v>
      </c>
      <c r="I2379" t="str">
        <f t="shared" si="381"/>
        <v>라지에르의 서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/>
      <c r="AQ2379">
        <v>0</v>
      </c>
      <c r="AR2379">
        <v>0</v>
      </c>
      <c r="AT2379">
        <v>0</v>
      </c>
      <c r="AU2379">
        <v>0</v>
      </c>
      <c r="AW2379">
        <v>0</v>
      </c>
      <c r="AX2379">
        <v>0</v>
      </c>
      <c r="AY2379">
        <v>70</v>
      </c>
      <c r="BC2379" t="str">
        <f t="shared" si="382"/>
        <v>9791159285783</v>
      </c>
      <c r="BE2379" t="str">
        <f t="shared" si="383"/>
        <v>판타지 웹소설 &gt; 퓨전 판타지</v>
      </c>
    </row>
    <row r="2380" spans="1:57" x14ac:dyDescent="0.3">
      <c r="A2380">
        <v>2313000685</v>
      </c>
      <c r="B2380">
        <v>2313000713</v>
      </c>
      <c r="C2380" t="str">
        <f>T("라지에르의 서 30화")</f>
        <v>라지에르의 서 30화</v>
      </c>
      <c r="D2380" t="str">
        <f>T("29")</f>
        <v>29</v>
      </c>
      <c r="E2380" t="str">
        <f t="shared" si="380"/>
        <v>공든탑</v>
      </c>
      <c r="H2380" t="str">
        <f t="shared" si="379"/>
        <v>스토리위즈</v>
      </c>
      <c r="I2380" t="str">
        <f t="shared" si="381"/>
        <v>라지에르의 서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/>
      <c r="AQ2380">
        <v>0</v>
      </c>
      <c r="AR2380">
        <v>0</v>
      </c>
      <c r="AT2380">
        <v>0</v>
      </c>
      <c r="AU2380">
        <v>0</v>
      </c>
      <c r="AW2380">
        <v>0</v>
      </c>
      <c r="AX2380">
        <v>0</v>
      </c>
      <c r="AY2380">
        <v>70</v>
      </c>
      <c r="BC2380" t="str">
        <f t="shared" si="382"/>
        <v>9791159285783</v>
      </c>
      <c r="BE2380" t="str">
        <f t="shared" si="383"/>
        <v>판타지 웹소설 &gt; 퓨전 판타지</v>
      </c>
    </row>
    <row r="2381" spans="1:57" x14ac:dyDescent="0.3">
      <c r="A2381">
        <v>2313000685</v>
      </c>
      <c r="B2381">
        <v>2313000714</v>
      </c>
      <c r="C2381" t="str">
        <f>T("라지에르의 서 31화")</f>
        <v>라지에르의 서 31화</v>
      </c>
      <c r="D2381" t="str">
        <f>T("30")</f>
        <v>30</v>
      </c>
      <c r="E2381" t="str">
        <f t="shared" si="380"/>
        <v>공든탑</v>
      </c>
      <c r="H2381" t="str">
        <f t="shared" si="379"/>
        <v>스토리위즈</v>
      </c>
      <c r="I2381" t="str">
        <f t="shared" si="381"/>
        <v>라지에르의 서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/>
      <c r="AQ2381">
        <v>0</v>
      </c>
      <c r="AR2381">
        <v>0</v>
      </c>
      <c r="AT2381">
        <v>0</v>
      </c>
      <c r="AU2381">
        <v>0</v>
      </c>
      <c r="AW2381">
        <v>0</v>
      </c>
      <c r="AX2381">
        <v>0</v>
      </c>
      <c r="AY2381">
        <v>70</v>
      </c>
      <c r="BC2381" t="str">
        <f t="shared" si="382"/>
        <v>9791159285783</v>
      </c>
      <c r="BE2381" t="str">
        <f t="shared" si="383"/>
        <v>판타지 웹소설 &gt; 퓨전 판타지</v>
      </c>
    </row>
    <row r="2382" spans="1:57" x14ac:dyDescent="0.3">
      <c r="A2382">
        <v>2313000685</v>
      </c>
      <c r="B2382">
        <v>2313000715</v>
      </c>
      <c r="C2382" t="str">
        <f>T("라지에르의 서 32화")</f>
        <v>라지에르의 서 32화</v>
      </c>
      <c r="D2382" t="str">
        <f>T("31")</f>
        <v>31</v>
      </c>
      <c r="E2382" t="str">
        <f t="shared" si="380"/>
        <v>공든탑</v>
      </c>
      <c r="H2382" t="str">
        <f t="shared" si="379"/>
        <v>스토리위즈</v>
      </c>
      <c r="I2382" t="str">
        <f t="shared" si="381"/>
        <v>라지에르의 서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/>
      <c r="AQ2382">
        <v>0</v>
      </c>
      <c r="AR2382">
        <v>0</v>
      </c>
      <c r="AT2382">
        <v>0</v>
      </c>
      <c r="AU2382">
        <v>0</v>
      </c>
      <c r="AW2382">
        <v>0</v>
      </c>
      <c r="AX2382">
        <v>0</v>
      </c>
      <c r="AY2382">
        <v>70</v>
      </c>
      <c r="BC2382" t="str">
        <f t="shared" si="382"/>
        <v>9791159285783</v>
      </c>
      <c r="BE2382" t="str">
        <f t="shared" si="383"/>
        <v>판타지 웹소설 &gt; 퓨전 판타지</v>
      </c>
    </row>
    <row r="2383" spans="1:57" x14ac:dyDescent="0.3">
      <c r="A2383">
        <v>2313000685</v>
      </c>
      <c r="B2383">
        <v>2313000716</v>
      </c>
      <c r="C2383" t="str">
        <f>T("라지에르의 서 33화")</f>
        <v>라지에르의 서 33화</v>
      </c>
      <c r="D2383" t="str">
        <f>T("32")</f>
        <v>32</v>
      </c>
      <c r="E2383" t="str">
        <f t="shared" si="380"/>
        <v>공든탑</v>
      </c>
      <c r="H2383" t="str">
        <f t="shared" si="379"/>
        <v>스토리위즈</v>
      </c>
      <c r="I2383" t="str">
        <f t="shared" si="381"/>
        <v>라지에르의 서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/>
      <c r="AQ2383">
        <v>0</v>
      </c>
      <c r="AR2383">
        <v>0</v>
      </c>
      <c r="AT2383">
        <v>0</v>
      </c>
      <c r="AU2383">
        <v>0</v>
      </c>
      <c r="AW2383">
        <v>0</v>
      </c>
      <c r="AX2383">
        <v>0</v>
      </c>
      <c r="AY2383">
        <v>70</v>
      </c>
      <c r="BC2383" t="str">
        <f t="shared" si="382"/>
        <v>9791159285783</v>
      </c>
      <c r="BE2383" t="str">
        <f t="shared" si="383"/>
        <v>판타지 웹소설 &gt; 퓨전 판타지</v>
      </c>
    </row>
    <row r="2384" spans="1:57" x14ac:dyDescent="0.3">
      <c r="A2384">
        <v>2313000685</v>
      </c>
      <c r="B2384">
        <v>2313000717</v>
      </c>
      <c r="C2384" t="str">
        <f>T("라지에르의 서 34화")</f>
        <v>라지에르의 서 34화</v>
      </c>
      <c r="D2384" t="str">
        <f>T("33")</f>
        <v>33</v>
      </c>
      <c r="E2384" t="str">
        <f t="shared" si="380"/>
        <v>공든탑</v>
      </c>
      <c r="H2384" t="str">
        <f t="shared" si="379"/>
        <v>스토리위즈</v>
      </c>
      <c r="I2384" t="str">
        <f t="shared" si="381"/>
        <v>라지에르의 서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/>
      <c r="AQ2384">
        <v>0</v>
      </c>
      <c r="AR2384">
        <v>0</v>
      </c>
      <c r="AT2384">
        <v>0</v>
      </c>
      <c r="AU2384">
        <v>0</v>
      </c>
      <c r="AW2384">
        <v>0</v>
      </c>
      <c r="AX2384">
        <v>0</v>
      </c>
      <c r="AY2384">
        <v>70</v>
      </c>
      <c r="BC2384" t="str">
        <f t="shared" si="382"/>
        <v>9791159285783</v>
      </c>
      <c r="BE2384" t="str">
        <f t="shared" si="383"/>
        <v>판타지 웹소설 &gt; 퓨전 판타지</v>
      </c>
    </row>
    <row r="2385" spans="1:57" x14ac:dyDescent="0.3">
      <c r="A2385">
        <v>2313000685</v>
      </c>
      <c r="B2385">
        <v>2313000718</v>
      </c>
      <c r="C2385" t="str">
        <f>T("라지에르의 서 35화")</f>
        <v>라지에르의 서 35화</v>
      </c>
      <c r="D2385" t="str">
        <f>T("34")</f>
        <v>34</v>
      </c>
      <c r="E2385" t="str">
        <f t="shared" si="380"/>
        <v>공든탑</v>
      </c>
      <c r="H2385" t="str">
        <f t="shared" si="379"/>
        <v>스토리위즈</v>
      </c>
      <c r="I2385" t="str">
        <f t="shared" si="381"/>
        <v>라지에르의 서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/>
      <c r="AQ2385">
        <v>0</v>
      </c>
      <c r="AR2385">
        <v>0</v>
      </c>
      <c r="AT2385">
        <v>0</v>
      </c>
      <c r="AU2385">
        <v>0</v>
      </c>
      <c r="AW2385">
        <v>0</v>
      </c>
      <c r="AX2385">
        <v>0</v>
      </c>
      <c r="AY2385">
        <v>70</v>
      </c>
      <c r="BC2385" t="str">
        <f t="shared" si="382"/>
        <v>9791159285783</v>
      </c>
      <c r="BE2385" t="str">
        <f t="shared" si="383"/>
        <v>판타지 웹소설 &gt; 퓨전 판타지</v>
      </c>
    </row>
    <row r="2386" spans="1:57" x14ac:dyDescent="0.3">
      <c r="A2386">
        <v>2313000685</v>
      </c>
      <c r="B2386">
        <v>2313000719</v>
      </c>
      <c r="C2386" t="str">
        <f>T("라지에르의 서 36화")</f>
        <v>라지에르의 서 36화</v>
      </c>
      <c r="D2386" t="str">
        <f>T("35")</f>
        <v>35</v>
      </c>
      <c r="E2386" t="str">
        <f t="shared" si="380"/>
        <v>공든탑</v>
      </c>
      <c r="H2386" t="str">
        <f t="shared" si="379"/>
        <v>스토리위즈</v>
      </c>
      <c r="I2386" t="str">
        <f t="shared" si="381"/>
        <v>라지에르의 서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/>
      <c r="AQ2386">
        <v>0</v>
      </c>
      <c r="AR2386">
        <v>0</v>
      </c>
      <c r="AT2386">
        <v>0</v>
      </c>
      <c r="AU2386">
        <v>0</v>
      </c>
      <c r="AW2386">
        <v>0</v>
      </c>
      <c r="AX2386">
        <v>0</v>
      </c>
      <c r="AY2386">
        <v>70</v>
      </c>
      <c r="BC2386" t="str">
        <f t="shared" si="382"/>
        <v>9791159285783</v>
      </c>
      <c r="BE2386" t="str">
        <f t="shared" si="383"/>
        <v>판타지 웹소설 &gt; 퓨전 판타지</v>
      </c>
    </row>
    <row r="2387" spans="1:57" x14ac:dyDescent="0.3">
      <c r="A2387">
        <v>2313000685</v>
      </c>
      <c r="B2387">
        <v>2313000720</v>
      </c>
      <c r="C2387" t="str">
        <f>T("라지에르의 서 37화")</f>
        <v>라지에르의 서 37화</v>
      </c>
      <c r="D2387" t="str">
        <f>T("36")</f>
        <v>36</v>
      </c>
      <c r="E2387" t="str">
        <f t="shared" si="380"/>
        <v>공든탑</v>
      </c>
      <c r="H2387" t="str">
        <f t="shared" si="379"/>
        <v>스토리위즈</v>
      </c>
      <c r="I2387" t="str">
        <f t="shared" si="381"/>
        <v>라지에르의 서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/>
      <c r="AQ2387">
        <v>0</v>
      </c>
      <c r="AR2387">
        <v>0</v>
      </c>
      <c r="AT2387">
        <v>0</v>
      </c>
      <c r="AU2387">
        <v>0</v>
      </c>
      <c r="AW2387">
        <v>0</v>
      </c>
      <c r="AX2387">
        <v>0</v>
      </c>
      <c r="AY2387">
        <v>70</v>
      </c>
      <c r="BC2387" t="str">
        <f t="shared" si="382"/>
        <v>9791159285783</v>
      </c>
      <c r="BE2387" t="str">
        <f t="shared" si="383"/>
        <v>판타지 웹소설 &gt; 퓨전 판타지</v>
      </c>
    </row>
    <row r="2388" spans="1:57" x14ac:dyDescent="0.3">
      <c r="A2388">
        <v>2313000685</v>
      </c>
      <c r="B2388">
        <v>2313000721</v>
      </c>
      <c r="C2388" t="str">
        <f>T("라지에르의 서 38화")</f>
        <v>라지에르의 서 38화</v>
      </c>
      <c r="D2388" t="str">
        <f>T("37")</f>
        <v>37</v>
      </c>
      <c r="E2388" t="str">
        <f t="shared" si="380"/>
        <v>공든탑</v>
      </c>
      <c r="H2388" t="str">
        <f t="shared" si="379"/>
        <v>스토리위즈</v>
      </c>
      <c r="I2388" t="str">
        <f t="shared" si="381"/>
        <v>라지에르의 서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/>
      <c r="AQ2388">
        <v>0</v>
      </c>
      <c r="AR2388">
        <v>0</v>
      </c>
      <c r="AT2388">
        <v>0</v>
      </c>
      <c r="AU2388">
        <v>0</v>
      </c>
      <c r="AW2388">
        <v>0</v>
      </c>
      <c r="AX2388">
        <v>0</v>
      </c>
      <c r="AY2388">
        <v>70</v>
      </c>
      <c r="BC2388" t="str">
        <f t="shared" si="382"/>
        <v>9791159285783</v>
      </c>
      <c r="BE2388" t="str">
        <f t="shared" si="383"/>
        <v>판타지 웹소설 &gt; 퓨전 판타지</v>
      </c>
    </row>
    <row r="2389" spans="1:57" x14ac:dyDescent="0.3">
      <c r="A2389">
        <v>2313000685</v>
      </c>
      <c r="B2389">
        <v>2313000722</v>
      </c>
      <c r="C2389" t="str">
        <f>T("라지에르의 서 39화")</f>
        <v>라지에르의 서 39화</v>
      </c>
      <c r="D2389" t="str">
        <f>T("38")</f>
        <v>38</v>
      </c>
      <c r="E2389" t="str">
        <f t="shared" si="380"/>
        <v>공든탑</v>
      </c>
      <c r="H2389" t="str">
        <f t="shared" si="379"/>
        <v>스토리위즈</v>
      </c>
      <c r="I2389" t="str">
        <f t="shared" si="381"/>
        <v>라지에르의 서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/>
      <c r="AQ2389">
        <v>0</v>
      </c>
      <c r="AR2389">
        <v>0</v>
      </c>
      <c r="AT2389">
        <v>0</v>
      </c>
      <c r="AU2389">
        <v>0</v>
      </c>
      <c r="AW2389">
        <v>0</v>
      </c>
      <c r="AX2389">
        <v>0</v>
      </c>
      <c r="AY2389">
        <v>70</v>
      </c>
      <c r="BC2389" t="str">
        <f t="shared" si="382"/>
        <v>9791159285783</v>
      </c>
      <c r="BE2389" t="str">
        <f t="shared" si="383"/>
        <v>판타지 웹소설 &gt; 퓨전 판타지</v>
      </c>
    </row>
    <row r="2390" spans="1:57" x14ac:dyDescent="0.3">
      <c r="A2390">
        <v>2313000685</v>
      </c>
      <c r="B2390">
        <v>2313000723</v>
      </c>
      <c r="C2390" t="str">
        <f>T("라지에르의 서 40화")</f>
        <v>라지에르의 서 40화</v>
      </c>
      <c r="D2390" t="str">
        <f>T("39")</f>
        <v>39</v>
      </c>
      <c r="E2390" t="str">
        <f t="shared" si="380"/>
        <v>공든탑</v>
      </c>
      <c r="H2390" t="str">
        <f t="shared" si="379"/>
        <v>스토리위즈</v>
      </c>
      <c r="I2390" t="str">
        <f t="shared" si="381"/>
        <v>라지에르의 서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/>
      <c r="AQ2390">
        <v>0</v>
      </c>
      <c r="AR2390">
        <v>0</v>
      </c>
      <c r="AT2390">
        <v>0</v>
      </c>
      <c r="AU2390">
        <v>0</v>
      </c>
      <c r="AW2390">
        <v>0</v>
      </c>
      <c r="AX2390">
        <v>0</v>
      </c>
      <c r="AY2390">
        <v>70</v>
      </c>
      <c r="BC2390" t="str">
        <f t="shared" si="382"/>
        <v>9791159285783</v>
      </c>
      <c r="BE2390" t="str">
        <f t="shared" si="383"/>
        <v>판타지 웹소설 &gt; 퓨전 판타지</v>
      </c>
    </row>
    <row r="2391" spans="1:57" x14ac:dyDescent="0.3">
      <c r="A2391">
        <v>2313000685</v>
      </c>
      <c r="B2391">
        <v>2313000724</v>
      </c>
      <c r="C2391" t="str">
        <f>T("라지에르의 서 41화")</f>
        <v>라지에르의 서 41화</v>
      </c>
      <c r="D2391" t="str">
        <f>T("40")</f>
        <v>40</v>
      </c>
      <c r="E2391" t="str">
        <f t="shared" si="380"/>
        <v>공든탑</v>
      </c>
      <c r="H2391" t="str">
        <f t="shared" si="379"/>
        <v>스토리위즈</v>
      </c>
      <c r="I2391" t="str">
        <f t="shared" si="381"/>
        <v>라지에르의 서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/>
      <c r="AQ2391">
        <v>0</v>
      </c>
      <c r="AR2391">
        <v>0</v>
      </c>
      <c r="AT2391">
        <v>0</v>
      </c>
      <c r="AU2391">
        <v>0</v>
      </c>
      <c r="AW2391">
        <v>0</v>
      </c>
      <c r="AX2391">
        <v>0</v>
      </c>
      <c r="AY2391">
        <v>70</v>
      </c>
      <c r="BC2391" t="str">
        <f t="shared" si="382"/>
        <v>9791159285783</v>
      </c>
      <c r="BE2391" t="str">
        <f t="shared" si="383"/>
        <v>판타지 웹소설 &gt; 퓨전 판타지</v>
      </c>
    </row>
    <row r="2392" spans="1:57" x14ac:dyDescent="0.3">
      <c r="A2392">
        <v>2313000685</v>
      </c>
      <c r="B2392">
        <v>2313000725</v>
      </c>
      <c r="C2392" t="str">
        <f>T("라지에르의 서 42화")</f>
        <v>라지에르의 서 42화</v>
      </c>
      <c r="D2392" t="str">
        <f>T("41")</f>
        <v>41</v>
      </c>
      <c r="E2392" t="str">
        <f t="shared" si="380"/>
        <v>공든탑</v>
      </c>
      <c r="H2392" t="str">
        <f t="shared" si="379"/>
        <v>스토리위즈</v>
      </c>
      <c r="I2392" t="str">
        <f t="shared" si="381"/>
        <v>라지에르의 서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/>
      <c r="AQ2392">
        <v>0</v>
      </c>
      <c r="AR2392">
        <v>0</v>
      </c>
      <c r="AT2392">
        <v>0</v>
      </c>
      <c r="AU2392">
        <v>0</v>
      </c>
      <c r="AW2392">
        <v>0</v>
      </c>
      <c r="AX2392">
        <v>0</v>
      </c>
      <c r="AY2392">
        <v>70</v>
      </c>
      <c r="BC2392" t="str">
        <f t="shared" si="382"/>
        <v>9791159285783</v>
      </c>
      <c r="BE2392" t="str">
        <f t="shared" si="383"/>
        <v>판타지 웹소설 &gt; 퓨전 판타지</v>
      </c>
    </row>
    <row r="2393" spans="1:57" x14ac:dyDescent="0.3">
      <c r="A2393">
        <v>2313000685</v>
      </c>
      <c r="B2393">
        <v>2313000726</v>
      </c>
      <c r="C2393" t="str">
        <f>T("라지에르의 서 43화")</f>
        <v>라지에르의 서 43화</v>
      </c>
      <c r="D2393" t="str">
        <f>T("42")</f>
        <v>42</v>
      </c>
      <c r="E2393" t="str">
        <f t="shared" si="380"/>
        <v>공든탑</v>
      </c>
      <c r="H2393" t="str">
        <f t="shared" si="379"/>
        <v>스토리위즈</v>
      </c>
      <c r="I2393" t="str">
        <f t="shared" si="381"/>
        <v>라지에르의 서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/>
      <c r="AQ2393">
        <v>0</v>
      </c>
      <c r="AR2393">
        <v>0</v>
      </c>
      <c r="AT2393">
        <v>0</v>
      </c>
      <c r="AU2393">
        <v>0</v>
      </c>
      <c r="AW2393">
        <v>0</v>
      </c>
      <c r="AX2393">
        <v>0</v>
      </c>
      <c r="AY2393">
        <v>70</v>
      </c>
      <c r="BC2393" t="str">
        <f t="shared" si="382"/>
        <v>9791159285783</v>
      </c>
      <c r="BE2393" t="str">
        <f t="shared" si="383"/>
        <v>판타지 웹소설 &gt; 퓨전 판타지</v>
      </c>
    </row>
    <row r="2394" spans="1:57" x14ac:dyDescent="0.3">
      <c r="A2394">
        <v>2313000685</v>
      </c>
      <c r="B2394">
        <v>2313000727</v>
      </c>
      <c r="C2394" t="str">
        <f>T("라지에르의 서 44화")</f>
        <v>라지에르의 서 44화</v>
      </c>
      <c r="D2394" t="str">
        <f>T("43")</f>
        <v>43</v>
      </c>
      <c r="E2394" t="str">
        <f t="shared" si="380"/>
        <v>공든탑</v>
      </c>
      <c r="H2394" t="str">
        <f t="shared" si="379"/>
        <v>스토리위즈</v>
      </c>
      <c r="I2394" t="str">
        <f t="shared" si="381"/>
        <v>라지에르의 서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/>
      <c r="AQ2394">
        <v>0</v>
      </c>
      <c r="AR2394">
        <v>0</v>
      </c>
      <c r="AT2394">
        <v>0</v>
      </c>
      <c r="AU2394">
        <v>0</v>
      </c>
      <c r="AW2394">
        <v>0</v>
      </c>
      <c r="AX2394">
        <v>0</v>
      </c>
      <c r="AY2394">
        <v>70</v>
      </c>
      <c r="BC2394" t="str">
        <f t="shared" si="382"/>
        <v>9791159285783</v>
      </c>
      <c r="BE2394" t="str">
        <f t="shared" si="383"/>
        <v>판타지 웹소설 &gt; 퓨전 판타지</v>
      </c>
    </row>
    <row r="2395" spans="1:57" x14ac:dyDescent="0.3">
      <c r="A2395">
        <v>2313000685</v>
      </c>
      <c r="B2395">
        <v>2313000728</v>
      </c>
      <c r="C2395" t="str">
        <f>T("라지에르의 서 45화")</f>
        <v>라지에르의 서 45화</v>
      </c>
      <c r="D2395" t="str">
        <f>T("44")</f>
        <v>44</v>
      </c>
      <c r="E2395" t="str">
        <f t="shared" si="380"/>
        <v>공든탑</v>
      </c>
      <c r="H2395" t="str">
        <f t="shared" si="379"/>
        <v>스토리위즈</v>
      </c>
      <c r="I2395" t="str">
        <f t="shared" si="381"/>
        <v>라지에르의 서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/>
      <c r="AQ2395">
        <v>0</v>
      </c>
      <c r="AR2395">
        <v>0</v>
      </c>
      <c r="AT2395">
        <v>0</v>
      </c>
      <c r="AU2395">
        <v>0</v>
      </c>
      <c r="AW2395">
        <v>0</v>
      </c>
      <c r="AX2395">
        <v>0</v>
      </c>
      <c r="AY2395">
        <v>70</v>
      </c>
      <c r="BC2395" t="str">
        <f t="shared" si="382"/>
        <v>9791159285783</v>
      </c>
      <c r="BE2395" t="str">
        <f t="shared" si="383"/>
        <v>판타지 웹소설 &gt; 퓨전 판타지</v>
      </c>
    </row>
    <row r="2396" spans="1:57" x14ac:dyDescent="0.3">
      <c r="A2396">
        <v>2313000685</v>
      </c>
      <c r="B2396">
        <v>2313000729</v>
      </c>
      <c r="C2396" t="str">
        <f>T("라지에르의 서 46화")</f>
        <v>라지에르의 서 46화</v>
      </c>
      <c r="D2396" t="str">
        <f>T("45")</f>
        <v>45</v>
      </c>
      <c r="E2396" t="str">
        <f t="shared" si="380"/>
        <v>공든탑</v>
      </c>
      <c r="H2396" t="str">
        <f t="shared" si="379"/>
        <v>스토리위즈</v>
      </c>
      <c r="I2396" t="str">
        <f t="shared" si="381"/>
        <v>라지에르의 서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/>
      <c r="AQ2396">
        <v>0</v>
      </c>
      <c r="AR2396">
        <v>0</v>
      </c>
      <c r="AT2396">
        <v>0</v>
      </c>
      <c r="AU2396">
        <v>0</v>
      </c>
      <c r="AW2396">
        <v>0</v>
      </c>
      <c r="AX2396">
        <v>0</v>
      </c>
      <c r="AY2396">
        <v>70</v>
      </c>
      <c r="BC2396" t="str">
        <f t="shared" si="382"/>
        <v>9791159285783</v>
      </c>
      <c r="BE2396" t="str">
        <f t="shared" si="383"/>
        <v>판타지 웹소설 &gt; 퓨전 판타지</v>
      </c>
    </row>
    <row r="2397" spans="1:57" x14ac:dyDescent="0.3">
      <c r="A2397">
        <v>2313000685</v>
      </c>
      <c r="B2397">
        <v>2313000730</v>
      </c>
      <c r="C2397" t="str">
        <f>T("라지에르의 서 47화")</f>
        <v>라지에르의 서 47화</v>
      </c>
      <c r="D2397" t="str">
        <f>T("46")</f>
        <v>46</v>
      </c>
      <c r="E2397" t="str">
        <f t="shared" si="380"/>
        <v>공든탑</v>
      </c>
      <c r="H2397" t="str">
        <f t="shared" si="379"/>
        <v>스토리위즈</v>
      </c>
      <c r="I2397" t="str">
        <f t="shared" si="381"/>
        <v>라지에르의 서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/>
      <c r="AQ2397">
        <v>0</v>
      </c>
      <c r="AR2397">
        <v>0</v>
      </c>
      <c r="AT2397">
        <v>0</v>
      </c>
      <c r="AU2397">
        <v>0</v>
      </c>
      <c r="AW2397">
        <v>0</v>
      </c>
      <c r="AX2397">
        <v>0</v>
      </c>
      <c r="AY2397">
        <v>70</v>
      </c>
      <c r="BC2397" t="str">
        <f t="shared" si="382"/>
        <v>9791159285783</v>
      </c>
      <c r="BE2397" t="str">
        <f t="shared" si="383"/>
        <v>판타지 웹소설 &gt; 퓨전 판타지</v>
      </c>
    </row>
    <row r="2398" spans="1:57" x14ac:dyDescent="0.3">
      <c r="A2398">
        <v>2313000685</v>
      </c>
      <c r="B2398">
        <v>2313000731</v>
      </c>
      <c r="C2398" t="str">
        <f>T("라지에르의 서 48화")</f>
        <v>라지에르의 서 48화</v>
      </c>
      <c r="D2398" t="str">
        <f>T("47")</f>
        <v>47</v>
      </c>
      <c r="E2398" t="str">
        <f t="shared" si="380"/>
        <v>공든탑</v>
      </c>
      <c r="H2398" t="str">
        <f t="shared" si="379"/>
        <v>스토리위즈</v>
      </c>
      <c r="I2398" t="str">
        <f t="shared" si="381"/>
        <v>라지에르의 서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/>
      <c r="AQ2398">
        <v>0</v>
      </c>
      <c r="AR2398">
        <v>0</v>
      </c>
      <c r="AT2398">
        <v>0</v>
      </c>
      <c r="AU2398">
        <v>0</v>
      </c>
      <c r="AW2398">
        <v>0</v>
      </c>
      <c r="AX2398">
        <v>0</v>
      </c>
      <c r="AY2398">
        <v>70</v>
      </c>
      <c r="BC2398" t="str">
        <f t="shared" si="382"/>
        <v>9791159285783</v>
      </c>
      <c r="BE2398" t="str">
        <f t="shared" si="383"/>
        <v>판타지 웹소설 &gt; 퓨전 판타지</v>
      </c>
    </row>
    <row r="2399" spans="1:57" x14ac:dyDescent="0.3">
      <c r="A2399">
        <v>2313000685</v>
      </c>
      <c r="B2399">
        <v>2313000732</v>
      </c>
      <c r="C2399" t="str">
        <f>T("라지에르의 서 49화")</f>
        <v>라지에르의 서 49화</v>
      </c>
      <c r="D2399" t="str">
        <f>T("48")</f>
        <v>48</v>
      </c>
      <c r="E2399" t="str">
        <f t="shared" si="380"/>
        <v>공든탑</v>
      </c>
      <c r="H2399" t="str">
        <f t="shared" si="379"/>
        <v>스토리위즈</v>
      </c>
      <c r="I2399" t="str">
        <f t="shared" si="381"/>
        <v>라지에르의 서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/>
      <c r="AQ2399">
        <v>0</v>
      </c>
      <c r="AR2399">
        <v>0</v>
      </c>
      <c r="AT2399">
        <v>0</v>
      </c>
      <c r="AU2399">
        <v>0</v>
      </c>
      <c r="AW2399">
        <v>0</v>
      </c>
      <c r="AX2399">
        <v>0</v>
      </c>
      <c r="AY2399">
        <v>70</v>
      </c>
      <c r="BC2399" t="str">
        <f t="shared" si="382"/>
        <v>9791159285783</v>
      </c>
      <c r="BE2399" t="str">
        <f t="shared" si="383"/>
        <v>판타지 웹소설 &gt; 퓨전 판타지</v>
      </c>
    </row>
    <row r="2400" spans="1:57" x14ac:dyDescent="0.3">
      <c r="A2400">
        <v>2313000685</v>
      </c>
      <c r="B2400">
        <v>2313000733</v>
      </c>
      <c r="C2400" t="str">
        <f>T("라지에르의 서 50화")</f>
        <v>라지에르의 서 50화</v>
      </c>
      <c r="D2400" t="str">
        <f>T("49")</f>
        <v>49</v>
      </c>
      <c r="E2400" t="str">
        <f t="shared" si="380"/>
        <v>공든탑</v>
      </c>
      <c r="H2400" t="str">
        <f t="shared" si="379"/>
        <v>스토리위즈</v>
      </c>
      <c r="I2400" t="str">
        <f t="shared" si="381"/>
        <v>라지에르의 서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/>
      <c r="AQ2400">
        <v>0</v>
      </c>
      <c r="AR2400">
        <v>0</v>
      </c>
      <c r="AT2400">
        <v>0</v>
      </c>
      <c r="AU2400">
        <v>0</v>
      </c>
      <c r="AW2400">
        <v>0</v>
      </c>
      <c r="AX2400">
        <v>0</v>
      </c>
      <c r="AY2400">
        <v>70</v>
      </c>
      <c r="BC2400" t="str">
        <f t="shared" si="382"/>
        <v>9791159285783</v>
      </c>
      <c r="BE2400" t="str">
        <f t="shared" si="383"/>
        <v>판타지 웹소설 &gt; 퓨전 판타지</v>
      </c>
    </row>
    <row r="2401" spans="1:57" x14ac:dyDescent="0.3">
      <c r="A2401">
        <v>2313000685</v>
      </c>
      <c r="B2401">
        <v>2313000735</v>
      </c>
      <c r="C2401" t="str">
        <f>T("라지에르의 서 52화")</f>
        <v>라지에르의 서 52화</v>
      </c>
      <c r="D2401" t="str">
        <f>T("51")</f>
        <v>51</v>
      </c>
      <c r="E2401" t="str">
        <f t="shared" si="380"/>
        <v>공든탑</v>
      </c>
      <c r="H2401" t="str">
        <f t="shared" si="379"/>
        <v>스토리위즈</v>
      </c>
      <c r="I2401" t="str">
        <f t="shared" si="381"/>
        <v>라지에르의 서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/>
      <c r="AQ2401">
        <v>0</v>
      </c>
      <c r="AR2401">
        <v>0</v>
      </c>
      <c r="AT2401">
        <v>0</v>
      </c>
      <c r="AU2401">
        <v>0</v>
      </c>
      <c r="AW2401">
        <v>0</v>
      </c>
      <c r="AX2401">
        <v>0</v>
      </c>
      <c r="AY2401">
        <v>70</v>
      </c>
      <c r="BC2401" t="str">
        <f t="shared" si="382"/>
        <v>9791159285783</v>
      </c>
      <c r="BE2401" t="str">
        <f t="shared" si="383"/>
        <v>판타지 웹소설 &gt; 퓨전 판타지</v>
      </c>
    </row>
    <row r="2402" spans="1:57" x14ac:dyDescent="0.3">
      <c r="A2402">
        <v>2313000685</v>
      </c>
      <c r="B2402">
        <v>2313000736</v>
      </c>
      <c r="C2402" t="str">
        <f>T("라지에르의 서 53화")</f>
        <v>라지에르의 서 53화</v>
      </c>
      <c r="D2402" t="str">
        <f>T("52")</f>
        <v>52</v>
      </c>
      <c r="E2402" t="str">
        <f t="shared" si="380"/>
        <v>공든탑</v>
      </c>
      <c r="H2402" t="str">
        <f t="shared" si="379"/>
        <v>스토리위즈</v>
      </c>
      <c r="I2402" t="str">
        <f t="shared" si="381"/>
        <v>라지에르의 서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/>
      <c r="AQ2402">
        <v>0</v>
      </c>
      <c r="AR2402">
        <v>0</v>
      </c>
      <c r="AT2402">
        <v>0</v>
      </c>
      <c r="AU2402">
        <v>0</v>
      </c>
      <c r="AW2402">
        <v>0</v>
      </c>
      <c r="AX2402">
        <v>0</v>
      </c>
      <c r="AY2402">
        <v>70</v>
      </c>
      <c r="BC2402" t="str">
        <f t="shared" si="382"/>
        <v>9791159285783</v>
      </c>
      <c r="BE2402" t="str">
        <f t="shared" si="383"/>
        <v>판타지 웹소설 &gt; 퓨전 판타지</v>
      </c>
    </row>
    <row r="2403" spans="1:57" x14ac:dyDescent="0.3">
      <c r="A2403">
        <v>2313000685</v>
      </c>
      <c r="B2403">
        <v>2313000737</v>
      </c>
      <c r="C2403" t="str">
        <f>T("라지에르의 서 54화")</f>
        <v>라지에르의 서 54화</v>
      </c>
      <c r="D2403" t="str">
        <f>T("53")</f>
        <v>53</v>
      </c>
      <c r="E2403" t="str">
        <f t="shared" si="380"/>
        <v>공든탑</v>
      </c>
      <c r="H2403" t="str">
        <f t="shared" si="379"/>
        <v>스토리위즈</v>
      </c>
      <c r="I2403" t="str">
        <f t="shared" si="381"/>
        <v>라지에르의 서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/>
      <c r="AQ2403">
        <v>0</v>
      </c>
      <c r="AR2403">
        <v>0</v>
      </c>
      <c r="AT2403">
        <v>0</v>
      </c>
      <c r="AU2403">
        <v>0</v>
      </c>
      <c r="AW2403">
        <v>0</v>
      </c>
      <c r="AX2403">
        <v>0</v>
      </c>
      <c r="AY2403">
        <v>70</v>
      </c>
      <c r="BC2403" t="str">
        <f t="shared" si="382"/>
        <v>9791159285783</v>
      </c>
      <c r="BE2403" t="str">
        <f t="shared" si="383"/>
        <v>판타지 웹소설 &gt; 퓨전 판타지</v>
      </c>
    </row>
    <row r="2404" spans="1:57" x14ac:dyDescent="0.3">
      <c r="A2404">
        <v>2313000685</v>
      </c>
      <c r="B2404">
        <v>2313000738</v>
      </c>
      <c r="C2404" t="str">
        <f>T("라지에르의 서 55화")</f>
        <v>라지에르의 서 55화</v>
      </c>
      <c r="D2404" t="str">
        <f>T("54")</f>
        <v>54</v>
      </c>
      <c r="E2404" t="str">
        <f t="shared" si="380"/>
        <v>공든탑</v>
      </c>
      <c r="H2404" t="str">
        <f t="shared" si="379"/>
        <v>스토리위즈</v>
      </c>
      <c r="I2404" t="str">
        <f t="shared" si="381"/>
        <v>라지에르의 서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/>
      <c r="AQ2404">
        <v>0</v>
      </c>
      <c r="AR2404">
        <v>0</v>
      </c>
      <c r="AT2404">
        <v>0</v>
      </c>
      <c r="AU2404">
        <v>0</v>
      </c>
      <c r="AW2404">
        <v>0</v>
      </c>
      <c r="AX2404">
        <v>0</v>
      </c>
      <c r="AY2404">
        <v>70</v>
      </c>
      <c r="BC2404" t="str">
        <f t="shared" si="382"/>
        <v>9791159285783</v>
      </c>
      <c r="BE2404" t="str">
        <f t="shared" si="383"/>
        <v>판타지 웹소설 &gt; 퓨전 판타지</v>
      </c>
    </row>
    <row r="2405" spans="1:57" x14ac:dyDescent="0.3">
      <c r="A2405">
        <v>2313000685</v>
      </c>
      <c r="B2405">
        <v>2313000739</v>
      </c>
      <c r="C2405" t="str">
        <f>T("라지에르의 서 56화")</f>
        <v>라지에르의 서 56화</v>
      </c>
      <c r="D2405" t="str">
        <f>T("55")</f>
        <v>55</v>
      </c>
      <c r="E2405" t="str">
        <f t="shared" si="380"/>
        <v>공든탑</v>
      </c>
      <c r="H2405" t="str">
        <f t="shared" si="379"/>
        <v>스토리위즈</v>
      </c>
      <c r="I2405" t="str">
        <f t="shared" si="381"/>
        <v>라지에르의 서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/>
      <c r="AQ2405">
        <v>0</v>
      </c>
      <c r="AR2405">
        <v>0</v>
      </c>
      <c r="AT2405">
        <v>0</v>
      </c>
      <c r="AU2405">
        <v>0</v>
      </c>
      <c r="AW2405">
        <v>0</v>
      </c>
      <c r="AX2405">
        <v>0</v>
      </c>
      <c r="AY2405">
        <v>70</v>
      </c>
      <c r="BC2405" t="str">
        <f t="shared" si="382"/>
        <v>9791159285783</v>
      </c>
      <c r="BE2405" t="str">
        <f t="shared" si="383"/>
        <v>판타지 웹소설 &gt; 퓨전 판타지</v>
      </c>
    </row>
    <row r="2406" spans="1:57" x14ac:dyDescent="0.3">
      <c r="A2406">
        <v>2313000685</v>
      </c>
      <c r="B2406">
        <v>2313000740</v>
      </c>
      <c r="C2406" t="str">
        <f>T("라지에르의 서 57화")</f>
        <v>라지에르의 서 57화</v>
      </c>
      <c r="D2406" t="str">
        <f>T("56")</f>
        <v>56</v>
      </c>
      <c r="E2406" t="str">
        <f t="shared" si="380"/>
        <v>공든탑</v>
      </c>
      <c r="H2406" t="str">
        <f t="shared" si="379"/>
        <v>스토리위즈</v>
      </c>
      <c r="I2406" t="str">
        <f t="shared" si="381"/>
        <v>라지에르의 서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/>
      <c r="AQ2406">
        <v>0</v>
      </c>
      <c r="AR2406">
        <v>0</v>
      </c>
      <c r="AT2406">
        <v>0</v>
      </c>
      <c r="AU2406">
        <v>0</v>
      </c>
      <c r="AW2406">
        <v>0</v>
      </c>
      <c r="AX2406">
        <v>0</v>
      </c>
      <c r="AY2406">
        <v>70</v>
      </c>
      <c r="BC2406" t="str">
        <f t="shared" si="382"/>
        <v>9791159285783</v>
      </c>
      <c r="BE2406" t="str">
        <f t="shared" si="383"/>
        <v>판타지 웹소설 &gt; 퓨전 판타지</v>
      </c>
    </row>
    <row r="2407" spans="1:57" x14ac:dyDescent="0.3">
      <c r="A2407">
        <v>2313000685</v>
      </c>
      <c r="B2407">
        <v>2313000741</v>
      </c>
      <c r="C2407" t="str">
        <f>T("라지에르의 서 58화")</f>
        <v>라지에르의 서 58화</v>
      </c>
      <c r="D2407" t="str">
        <f>T("57")</f>
        <v>57</v>
      </c>
      <c r="E2407" t="str">
        <f t="shared" si="380"/>
        <v>공든탑</v>
      </c>
      <c r="H2407" t="str">
        <f t="shared" si="379"/>
        <v>스토리위즈</v>
      </c>
      <c r="I2407" t="str">
        <f t="shared" si="381"/>
        <v>라지에르의 서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/>
      <c r="AQ2407">
        <v>0</v>
      </c>
      <c r="AR2407">
        <v>0</v>
      </c>
      <c r="AT2407">
        <v>0</v>
      </c>
      <c r="AU2407">
        <v>0</v>
      </c>
      <c r="AW2407">
        <v>0</v>
      </c>
      <c r="AX2407">
        <v>0</v>
      </c>
      <c r="AY2407">
        <v>70</v>
      </c>
      <c r="BC2407" t="str">
        <f t="shared" si="382"/>
        <v>9791159285783</v>
      </c>
      <c r="BE2407" t="str">
        <f t="shared" si="383"/>
        <v>판타지 웹소설 &gt; 퓨전 판타지</v>
      </c>
    </row>
    <row r="2408" spans="1:57" x14ac:dyDescent="0.3">
      <c r="A2408">
        <v>2313000685</v>
      </c>
      <c r="B2408">
        <v>2313000742</v>
      </c>
      <c r="C2408" t="str">
        <f>T("라지에르의 서 59화")</f>
        <v>라지에르의 서 59화</v>
      </c>
      <c r="D2408" t="str">
        <f>T("58")</f>
        <v>58</v>
      </c>
      <c r="E2408" t="str">
        <f t="shared" si="380"/>
        <v>공든탑</v>
      </c>
      <c r="H2408" t="str">
        <f t="shared" si="379"/>
        <v>스토리위즈</v>
      </c>
      <c r="I2408" t="str">
        <f t="shared" si="381"/>
        <v>라지에르의 서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/>
      <c r="AQ2408">
        <v>0</v>
      </c>
      <c r="AR2408">
        <v>0</v>
      </c>
      <c r="AT2408">
        <v>0</v>
      </c>
      <c r="AU2408">
        <v>0</v>
      </c>
      <c r="AW2408">
        <v>0</v>
      </c>
      <c r="AX2408">
        <v>0</v>
      </c>
      <c r="AY2408">
        <v>70</v>
      </c>
      <c r="BC2408" t="str">
        <f t="shared" si="382"/>
        <v>9791159285783</v>
      </c>
      <c r="BE2408" t="str">
        <f t="shared" si="383"/>
        <v>판타지 웹소설 &gt; 퓨전 판타지</v>
      </c>
    </row>
    <row r="2409" spans="1:57" x14ac:dyDescent="0.3">
      <c r="A2409">
        <v>2313000685</v>
      </c>
      <c r="B2409">
        <v>2313000743</v>
      </c>
      <c r="C2409" t="str">
        <f>T("라지에르의 서 60화")</f>
        <v>라지에르의 서 60화</v>
      </c>
      <c r="D2409" t="str">
        <f>T("59")</f>
        <v>59</v>
      </c>
      <c r="E2409" t="str">
        <f t="shared" si="380"/>
        <v>공든탑</v>
      </c>
      <c r="H2409" t="str">
        <f t="shared" si="379"/>
        <v>스토리위즈</v>
      </c>
      <c r="I2409" t="str">
        <f t="shared" si="381"/>
        <v>라지에르의 서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/>
      <c r="AQ2409">
        <v>0</v>
      </c>
      <c r="AR2409">
        <v>0</v>
      </c>
      <c r="AT2409">
        <v>0</v>
      </c>
      <c r="AU2409">
        <v>0</v>
      </c>
      <c r="AW2409">
        <v>0</v>
      </c>
      <c r="AX2409">
        <v>0</v>
      </c>
      <c r="AY2409">
        <v>70</v>
      </c>
      <c r="BC2409" t="str">
        <f t="shared" si="382"/>
        <v>9791159285783</v>
      </c>
      <c r="BE2409" t="str">
        <f t="shared" si="383"/>
        <v>판타지 웹소설 &gt; 퓨전 판타지</v>
      </c>
    </row>
    <row r="2410" spans="1:57" x14ac:dyDescent="0.3">
      <c r="A2410">
        <v>2313000685</v>
      </c>
      <c r="B2410">
        <v>2313000744</v>
      </c>
      <c r="C2410" t="str">
        <f>T("라지에르의 서 61화")</f>
        <v>라지에르의 서 61화</v>
      </c>
      <c r="D2410" t="str">
        <f>T("60")</f>
        <v>60</v>
      </c>
      <c r="E2410" t="str">
        <f t="shared" si="380"/>
        <v>공든탑</v>
      </c>
      <c r="H2410" t="str">
        <f t="shared" si="379"/>
        <v>스토리위즈</v>
      </c>
      <c r="I2410" t="str">
        <f t="shared" si="381"/>
        <v>라지에르의 서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/>
      <c r="AQ2410">
        <v>0</v>
      </c>
      <c r="AR2410">
        <v>0</v>
      </c>
      <c r="AT2410">
        <v>0</v>
      </c>
      <c r="AU2410">
        <v>0</v>
      </c>
      <c r="AW2410">
        <v>0</v>
      </c>
      <c r="AX2410">
        <v>0</v>
      </c>
      <c r="AY2410">
        <v>70</v>
      </c>
      <c r="BC2410" t="str">
        <f t="shared" si="382"/>
        <v>9791159285783</v>
      </c>
      <c r="BE2410" t="str">
        <f t="shared" si="383"/>
        <v>판타지 웹소설 &gt; 퓨전 판타지</v>
      </c>
    </row>
    <row r="2411" spans="1:57" x14ac:dyDescent="0.3">
      <c r="A2411">
        <v>2313000685</v>
      </c>
      <c r="B2411">
        <v>2313000745</v>
      </c>
      <c r="C2411" t="str">
        <f>T("라지에르의 서 62화")</f>
        <v>라지에르의 서 62화</v>
      </c>
      <c r="D2411" t="str">
        <f>T("61")</f>
        <v>61</v>
      </c>
      <c r="E2411" t="str">
        <f t="shared" si="380"/>
        <v>공든탑</v>
      </c>
      <c r="H2411" t="str">
        <f t="shared" si="379"/>
        <v>스토리위즈</v>
      </c>
      <c r="I2411" t="str">
        <f t="shared" si="381"/>
        <v>라지에르의 서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/>
      <c r="AQ2411">
        <v>0</v>
      </c>
      <c r="AR2411">
        <v>0</v>
      </c>
      <c r="AT2411">
        <v>0</v>
      </c>
      <c r="AU2411">
        <v>0</v>
      </c>
      <c r="AW2411">
        <v>0</v>
      </c>
      <c r="AX2411">
        <v>0</v>
      </c>
      <c r="AY2411">
        <v>70</v>
      </c>
      <c r="BC2411" t="str">
        <f t="shared" si="382"/>
        <v>9791159285783</v>
      </c>
      <c r="BE2411" t="str">
        <f t="shared" si="383"/>
        <v>판타지 웹소설 &gt; 퓨전 판타지</v>
      </c>
    </row>
    <row r="2412" spans="1:57" x14ac:dyDescent="0.3">
      <c r="A2412">
        <v>2313000685</v>
      </c>
      <c r="B2412">
        <v>2313000746</v>
      </c>
      <c r="C2412" t="str">
        <f>T("라지에르의 서 63화")</f>
        <v>라지에르의 서 63화</v>
      </c>
      <c r="D2412" t="str">
        <f>T("62")</f>
        <v>62</v>
      </c>
      <c r="E2412" t="str">
        <f t="shared" si="380"/>
        <v>공든탑</v>
      </c>
      <c r="H2412" t="str">
        <f t="shared" si="379"/>
        <v>스토리위즈</v>
      </c>
      <c r="I2412" t="str">
        <f t="shared" si="381"/>
        <v>라지에르의 서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/>
      <c r="AQ2412">
        <v>0</v>
      </c>
      <c r="AR2412">
        <v>0</v>
      </c>
      <c r="AT2412">
        <v>0</v>
      </c>
      <c r="AU2412">
        <v>0</v>
      </c>
      <c r="AW2412">
        <v>0</v>
      </c>
      <c r="AX2412">
        <v>0</v>
      </c>
      <c r="AY2412">
        <v>70</v>
      </c>
      <c r="BC2412" t="str">
        <f t="shared" si="382"/>
        <v>9791159285783</v>
      </c>
      <c r="BE2412" t="str">
        <f t="shared" si="383"/>
        <v>판타지 웹소설 &gt; 퓨전 판타지</v>
      </c>
    </row>
    <row r="2413" spans="1:57" x14ac:dyDescent="0.3">
      <c r="A2413">
        <v>2313000685</v>
      </c>
      <c r="B2413">
        <v>2313000747</v>
      </c>
      <c r="C2413" t="str">
        <f>T("라지에르의 서 64화")</f>
        <v>라지에르의 서 64화</v>
      </c>
      <c r="D2413" t="str">
        <f>T("63")</f>
        <v>63</v>
      </c>
      <c r="E2413" t="str">
        <f t="shared" si="380"/>
        <v>공든탑</v>
      </c>
      <c r="H2413" t="str">
        <f t="shared" si="379"/>
        <v>스토리위즈</v>
      </c>
      <c r="I2413" t="str">
        <f t="shared" si="381"/>
        <v>라지에르의 서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/>
      <c r="AQ2413">
        <v>0</v>
      </c>
      <c r="AR2413">
        <v>0</v>
      </c>
      <c r="AT2413">
        <v>0</v>
      </c>
      <c r="AU2413">
        <v>0</v>
      </c>
      <c r="AW2413">
        <v>0</v>
      </c>
      <c r="AX2413">
        <v>0</v>
      </c>
      <c r="AY2413">
        <v>70</v>
      </c>
      <c r="BC2413" t="str">
        <f t="shared" si="382"/>
        <v>9791159285783</v>
      </c>
      <c r="BE2413" t="str">
        <f t="shared" si="383"/>
        <v>판타지 웹소설 &gt; 퓨전 판타지</v>
      </c>
    </row>
    <row r="2414" spans="1:57" x14ac:dyDescent="0.3">
      <c r="A2414">
        <v>2313000685</v>
      </c>
      <c r="B2414">
        <v>2313000748</v>
      </c>
      <c r="C2414" t="str">
        <f>T("라지에르의 서 65화")</f>
        <v>라지에르의 서 65화</v>
      </c>
      <c r="D2414" t="str">
        <f>T("64")</f>
        <v>64</v>
      </c>
      <c r="E2414" t="str">
        <f t="shared" si="380"/>
        <v>공든탑</v>
      </c>
      <c r="H2414" t="str">
        <f t="shared" si="379"/>
        <v>스토리위즈</v>
      </c>
      <c r="I2414" t="str">
        <f t="shared" si="381"/>
        <v>라지에르의 서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P2414"/>
      <c r="AQ2414">
        <v>0</v>
      </c>
      <c r="AR2414">
        <v>0</v>
      </c>
      <c r="AT2414">
        <v>0</v>
      </c>
      <c r="AU2414">
        <v>0</v>
      </c>
      <c r="AW2414">
        <v>0</v>
      </c>
      <c r="AX2414">
        <v>0</v>
      </c>
      <c r="AY2414">
        <v>70</v>
      </c>
      <c r="BC2414" t="str">
        <f t="shared" si="382"/>
        <v>9791159285783</v>
      </c>
      <c r="BE2414" t="str">
        <f t="shared" si="383"/>
        <v>판타지 웹소설 &gt; 퓨전 판타지</v>
      </c>
    </row>
    <row r="2415" spans="1:57" x14ac:dyDescent="0.3">
      <c r="A2415">
        <v>2313000685</v>
      </c>
      <c r="B2415">
        <v>2313000749</v>
      </c>
      <c r="C2415" t="str">
        <f>T("라지에르의 서 66화")</f>
        <v>라지에르의 서 66화</v>
      </c>
      <c r="D2415" t="str">
        <f>T("65")</f>
        <v>65</v>
      </c>
      <c r="E2415" t="str">
        <f t="shared" si="380"/>
        <v>공든탑</v>
      </c>
      <c r="H2415" t="str">
        <f t="shared" si="379"/>
        <v>스토리위즈</v>
      </c>
      <c r="I2415" t="str">
        <f t="shared" si="381"/>
        <v>라지에르의 서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/>
      <c r="AQ2415">
        <v>0</v>
      </c>
      <c r="AR2415">
        <v>0</v>
      </c>
      <c r="AT2415">
        <v>0</v>
      </c>
      <c r="AU2415">
        <v>0</v>
      </c>
      <c r="AW2415">
        <v>0</v>
      </c>
      <c r="AX2415">
        <v>0</v>
      </c>
      <c r="AY2415">
        <v>70</v>
      </c>
      <c r="BC2415" t="str">
        <f t="shared" si="382"/>
        <v>9791159285783</v>
      </c>
      <c r="BE2415" t="str">
        <f t="shared" si="383"/>
        <v>판타지 웹소설 &gt; 퓨전 판타지</v>
      </c>
    </row>
    <row r="2416" spans="1:57" x14ac:dyDescent="0.3">
      <c r="A2416">
        <v>2313000685</v>
      </c>
      <c r="B2416">
        <v>2313000750</v>
      </c>
      <c r="C2416" t="str">
        <f>T("라지에르의 서 67화")</f>
        <v>라지에르의 서 67화</v>
      </c>
      <c r="D2416" t="str">
        <f>T("66")</f>
        <v>66</v>
      </c>
      <c r="E2416" t="str">
        <f t="shared" si="380"/>
        <v>공든탑</v>
      </c>
      <c r="H2416" t="str">
        <f t="shared" si="379"/>
        <v>스토리위즈</v>
      </c>
      <c r="I2416" t="str">
        <f t="shared" si="381"/>
        <v>라지에르의 서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/>
      <c r="AQ2416">
        <v>0</v>
      </c>
      <c r="AR2416">
        <v>0</v>
      </c>
      <c r="AT2416">
        <v>0</v>
      </c>
      <c r="AU2416">
        <v>0</v>
      </c>
      <c r="AW2416">
        <v>0</v>
      </c>
      <c r="AX2416">
        <v>0</v>
      </c>
      <c r="AY2416">
        <v>70</v>
      </c>
      <c r="BC2416" t="str">
        <f t="shared" si="382"/>
        <v>9791159285783</v>
      </c>
      <c r="BE2416" t="str">
        <f t="shared" si="383"/>
        <v>판타지 웹소설 &gt; 퓨전 판타지</v>
      </c>
    </row>
    <row r="2417" spans="1:57" x14ac:dyDescent="0.3">
      <c r="A2417">
        <v>2313000685</v>
      </c>
      <c r="B2417">
        <v>2313000751</v>
      </c>
      <c r="C2417" t="str">
        <f>T("라지에르의 서 68화")</f>
        <v>라지에르의 서 68화</v>
      </c>
      <c r="D2417" t="str">
        <f>T("67")</f>
        <v>67</v>
      </c>
      <c r="E2417" t="str">
        <f t="shared" si="380"/>
        <v>공든탑</v>
      </c>
      <c r="H2417" t="str">
        <f t="shared" si="379"/>
        <v>스토리위즈</v>
      </c>
      <c r="I2417" t="str">
        <f t="shared" si="381"/>
        <v>라지에르의 서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/>
      <c r="AQ2417">
        <v>0</v>
      </c>
      <c r="AR2417">
        <v>0</v>
      </c>
      <c r="AT2417">
        <v>0</v>
      </c>
      <c r="AU2417">
        <v>0</v>
      </c>
      <c r="AW2417">
        <v>0</v>
      </c>
      <c r="AX2417">
        <v>0</v>
      </c>
      <c r="AY2417">
        <v>70</v>
      </c>
      <c r="BC2417" t="str">
        <f t="shared" si="382"/>
        <v>9791159285783</v>
      </c>
      <c r="BE2417" t="str">
        <f t="shared" si="383"/>
        <v>판타지 웹소설 &gt; 퓨전 판타지</v>
      </c>
    </row>
    <row r="2418" spans="1:57" x14ac:dyDescent="0.3">
      <c r="A2418">
        <v>2313000685</v>
      </c>
      <c r="B2418">
        <v>2313000752</v>
      </c>
      <c r="C2418" t="str">
        <f>T("라지에르의 서 69화")</f>
        <v>라지에르의 서 69화</v>
      </c>
      <c r="D2418" t="str">
        <f>T("68")</f>
        <v>68</v>
      </c>
      <c r="E2418" t="str">
        <f t="shared" si="380"/>
        <v>공든탑</v>
      </c>
      <c r="H2418" t="str">
        <f t="shared" si="379"/>
        <v>스토리위즈</v>
      </c>
      <c r="I2418" t="str">
        <f t="shared" si="381"/>
        <v>라지에르의 서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/>
      <c r="AQ2418">
        <v>0</v>
      </c>
      <c r="AR2418">
        <v>0</v>
      </c>
      <c r="AT2418">
        <v>0</v>
      </c>
      <c r="AU2418">
        <v>0</v>
      </c>
      <c r="AW2418">
        <v>0</v>
      </c>
      <c r="AX2418">
        <v>0</v>
      </c>
      <c r="AY2418">
        <v>70</v>
      </c>
      <c r="BC2418" t="str">
        <f t="shared" si="382"/>
        <v>9791159285783</v>
      </c>
      <c r="BE2418" t="str">
        <f t="shared" si="383"/>
        <v>판타지 웹소설 &gt; 퓨전 판타지</v>
      </c>
    </row>
    <row r="2419" spans="1:57" x14ac:dyDescent="0.3">
      <c r="A2419">
        <v>2313000685</v>
      </c>
      <c r="B2419">
        <v>2313000753</v>
      </c>
      <c r="C2419" t="str">
        <f>T("라지에르의 서 70화")</f>
        <v>라지에르의 서 70화</v>
      </c>
      <c r="D2419" t="str">
        <f>T("69")</f>
        <v>69</v>
      </c>
      <c r="E2419" t="str">
        <f t="shared" si="380"/>
        <v>공든탑</v>
      </c>
      <c r="H2419" t="str">
        <f t="shared" si="379"/>
        <v>스토리위즈</v>
      </c>
      <c r="I2419" t="str">
        <f t="shared" si="381"/>
        <v>라지에르의 서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/>
      <c r="AQ2419">
        <v>0</v>
      </c>
      <c r="AR2419">
        <v>0</v>
      </c>
      <c r="AT2419">
        <v>0</v>
      </c>
      <c r="AU2419">
        <v>0</v>
      </c>
      <c r="AW2419">
        <v>0</v>
      </c>
      <c r="AX2419">
        <v>0</v>
      </c>
      <c r="AY2419">
        <v>70</v>
      </c>
      <c r="BC2419" t="str">
        <f t="shared" si="382"/>
        <v>9791159285783</v>
      </c>
      <c r="BE2419" t="str">
        <f t="shared" si="383"/>
        <v>판타지 웹소설 &gt; 퓨전 판타지</v>
      </c>
    </row>
    <row r="2420" spans="1:57" x14ac:dyDescent="0.3">
      <c r="A2420">
        <v>2313000685</v>
      </c>
      <c r="B2420">
        <v>2313000754</v>
      </c>
      <c r="C2420" t="str">
        <f>T("라지에르의 서 71화")</f>
        <v>라지에르의 서 71화</v>
      </c>
      <c r="D2420" t="str">
        <f>T("70")</f>
        <v>70</v>
      </c>
      <c r="E2420" t="str">
        <f t="shared" si="380"/>
        <v>공든탑</v>
      </c>
      <c r="H2420" t="str">
        <f t="shared" si="379"/>
        <v>스토리위즈</v>
      </c>
      <c r="I2420" t="str">
        <f t="shared" si="381"/>
        <v>라지에르의 서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/>
      <c r="AQ2420">
        <v>0</v>
      </c>
      <c r="AR2420">
        <v>0</v>
      </c>
      <c r="AT2420">
        <v>0</v>
      </c>
      <c r="AU2420">
        <v>0</v>
      </c>
      <c r="AW2420">
        <v>0</v>
      </c>
      <c r="AX2420">
        <v>0</v>
      </c>
      <c r="AY2420">
        <v>70</v>
      </c>
      <c r="BC2420" t="str">
        <f t="shared" si="382"/>
        <v>9791159285783</v>
      </c>
      <c r="BE2420" t="str">
        <f t="shared" si="383"/>
        <v>판타지 웹소설 &gt; 퓨전 판타지</v>
      </c>
    </row>
    <row r="2421" spans="1:57" x14ac:dyDescent="0.3">
      <c r="A2421">
        <v>2313000685</v>
      </c>
      <c r="B2421">
        <v>2313000755</v>
      </c>
      <c r="C2421" t="str">
        <f>T("라지에르의 서 72화")</f>
        <v>라지에르의 서 72화</v>
      </c>
      <c r="D2421" t="str">
        <f>T("71")</f>
        <v>71</v>
      </c>
      <c r="E2421" t="str">
        <f t="shared" si="380"/>
        <v>공든탑</v>
      </c>
      <c r="H2421" t="str">
        <f t="shared" si="379"/>
        <v>스토리위즈</v>
      </c>
      <c r="I2421" t="str">
        <f t="shared" si="381"/>
        <v>라지에르의 서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100</v>
      </c>
      <c r="AL2421">
        <v>0</v>
      </c>
      <c r="AM2421">
        <v>0</v>
      </c>
      <c r="AN2421">
        <v>0</v>
      </c>
      <c r="AO2421">
        <v>0</v>
      </c>
      <c r="AP2421"/>
      <c r="AQ2421">
        <v>0</v>
      </c>
      <c r="AR2421">
        <v>0</v>
      </c>
      <c r="AT2421">
        <v>0</v>
      </c>
      <c r="AU2421">
        <v>0</v>
      </c>
      <c r="AW2421">
        <v>0</v>
      </c>
      <c r="AX2421">
        <v>0</v>
      </c>
      <c r="AY2421">
        <v>70</v>
      </c>
      <c r="BC2421" t="str">
        <f t="shared" si="382"/>
        <v>9791159285783</v>
      </c>
      <c r="BE2421" t="str">
        <f t="shared" si="383"/>
        <v>판타지 웹소설 &gt; 퓨전 판타지</v>
      </c>
    </row>
    <row r="2422" spans="1:57" x14ac:dyDescent="0.3">
      <c r="A2422">
        <v>2313000685</v>
      </c>
      <c r="B2422">
        <v>2313000756</v>
      </c>
      <c r="C2422" t="str">
        <f>T("라지에르의 서 73화")</f>
        <v>라지에르의 서 73화</v>
      </c>
      <c r="D2422" t="str">
        <f>T("72")</f>
        <v>72</v>
      </c>
      <c r="E2422" t="str">
        <f t="shared" si="380"/>
        <v>공든탑</v>
      </c>
      <c r="H2422" t="str">
        <f t="shared" si="379"/>
        <v>스토리위즈</v>
      </c>
      <c r="I2422" t="str">
        <f t="shared" si="381"/>
        <v>라지에르의 서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/>
      <c r="AQ2422">
        <v>0</v>
      </c>
      <c r="AR2422">
        <v>0</v>
      </c>
      <c r="AT2422">
        <v>0</v>
      </c>
      <c r="AU2422">
        <v>0</v>
      </c>
      <c r="AW2422">
        <v>0</v>
      </c>
      <c r="AX2422">
        <v>0</v>
      </c>
      <c r="AY2422">
        <v>70</v>
      </c>
      <c r="BC2422" t="str">
        <f t="shared" si="382"/>
        <v>9791159285783</v>
      </c>
      <c r="BE2422" t="str">
        <f t="shared" si="383"/>
        <v>판타지 웹소설 &gt; 퓨전 판타지</v>
      </c>
    </row>
    <row r="2423" spans="1:57" x14ac:dyDescent="0.3">
      <c r="A2423">
        <v>2313000685</v>
      </c>
      <c r="B2423">
        <v>2313000757</v>
      </c>
      <c r="C2423" t="str">
        <f>T("라지에르의 서 74화")</f>
        <v>라지에르의 서 74화</v>
      </c>
      <c r="D2423" t="str">
        <f>T("73")</f>
        <v>73</v>
      </c>
      <c r="E2423" t="str">
        <f t="shared" si="380"/>
        <v>공든탑</v>
      </c>
      <c r="H2423" t="str">
        <f t="shared" si="379"/>
        <v>스토리위즈</v>
      </c>
      <c r="I2423" t="str">
        <f t="shared" si="381"/>
        <v>라지에르의 서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/>
      <c r="AQ2423">
        <v>0</v>
      </c>
      <c r="AR2423">
        <v>0</v>
      </c>
      <c r="AT2423">
        <v>0</v>
      </c>
      <c r="AU2423">
        <v>0</v>
      </c>
      <c r="AW2423">
        <v>0</v>
      </c>
      <c r="AX2423">
        <v>0</v>
      </c>
      <c r="AY2423">
        <v>70</v>
      </c>
      <c r="BC2423" t="str">
        <f t="shared" si="382"/>
        <v>9791159285783</v>
      </c>
      <c r="BE2423" t="str">
        <f t="shared" si="383"/>
        <v>판타지 웹소설 &gt; 퓨전 판타지</v>
      </c>
    </row>
    <row r="2424" spans="1:57" x14ac:dyDescent="0.3">
      <c r="A2424">
        <v>2313000685</v>
      </c>
      <c r="B2424">
        <v>2313000758</v>
      </c>
      <c r="C2424" t="str">
        <f>T("라지에르의 서 75화")</f>
        <v>라지에르의 서 75화</v>
      </c>
      <c r="D2424" t="str">
        <f>T("74")</f>
        <v>74</v>
      </c>
      <c r="E2424" t="str">
        <f t="shared" si="380"/>
        <v>공든탑</v>
      </c>
      <c r="H2424" t="str">
        <f t="shared" ref="H2424:H2487" si="384">T("스토리위즈")</f>
        <v>스토리위즈</v>
      </c>
      <c r="I2424" t="str">
        <f t="shared" si="381"/>
        <v>라지에르의 서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/>
      <c r="AQ2424">
        <v>0</v>
      </c>
      <c r="AR2424">
        <v>0</v>
      </c>
      <c r="AT2424">
        <v>0</v>
      </c>
      <c r="AU2424">
        <v>0</v>
      </c>
      <c r="AW2424">
        <v>0</v>
      </c>
      <c r="AX2424">
        <v>0</v>
      </c>
      <c r="AY2424">
        <v>70</v>
      </c>
      <c r="BC2424" t="str">
        <f t="shared" si="382"/>
        <v>9791159285783</v>
      </c>
      <c r="BE2424" t="str">
        <f t="shared" si="383"/>
        <v>판타지 웹소설 &gt; 퓨전 판타지</v>
      </c>
    </row>
    <row r="2425" spans="1:57" x14ac:dyDescent="0.3">
      <c r="A2425">
        <v>2313000685</v>
      </c>
      <c r="B2425">
        <v>2313000759</v>
      </c>
      <c r="C2425" t="str">
        <f>T("라지에르의 서 76화")</f>
        <v>라지에르의 서 76화</v>
      </c>
      <c r="D2425" t="str">
        <f>T("75")</f>
        <v>75</v>
      </c>
      <c r="E2425" t="str">
        <f t="shared" si="380"/>
        <v>공든탑</v>
      </c>
      <c r="H2425" t="str">
        <f t="shared" si="384"/>
        <v>스토리위즈</v>
      </c>
      <c r="I2425" t="str">
        <f t="shared" si="381"/>
        <v>라지에르의 서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/>
      <c r="AQ2425">
        <v>0</v>
      </c>
      <c r="AR2425">
        <v>0</v>
      </c>
      <c r="AT2425">
        <v>0</v>
      </c>
      <c r="AU2425">
        <v>0</v>
      </c>
      <c r="AW2425">
        <v>0</v>
      </c>
      <c r="AX2425">
        <v>0</v>
      </c>
      <c r="AY2425">
        <v>70</v>
      </c>
      <c r="BC2425" t="str">
        <f t="shared" si="382"/>
        <v>9791159285783</v>
      </c>
      <c r="BE2425" t="str">
        <f t="shared" si="383"/>
        <v>판타지 웹소설 &gt; 퓨전 판타지</v>
      </c>
    </row>
    <row r="2426" spans="1:57" x14ac:dyDescent="0.3">
      <c r="A2426">
        <v>2313000685</v>
      </c>
      <c r="B2426">
        <v>2313000760</v>
      </c>
      <c r="C2426" t="str">
        <f>T("라지에르의 서 77화")</f>
        <v>라지에르의 서 77화</v>
      </c>
      <c r="D2426" t="str">
        <f>T("76")</f>
        <v>76</v>
      </c>
      <c r="E2426" t="str">
        <f t="shared" si="380"/>
        <v>공든탑</v>
      </c>
      <c r="H2426" t="str">
        <f t="shared" si="384"/>
        <v>스토리위즈</v>
      </c>
      <c r="I2426" t="str">
        <f t="shared" si="381"/>
        <v>라지에르의 서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/>
      <c r="AQ2426">
        <v>0</v>
      </c>
      <c r="AR2426">
        <v>0</v>
      </c>
      <c r="AT2426">
        <v>0</v>
      </c>
      <c r="AU2426">
        <v>0</v>
      </c>
      <c r="AW2426">
        <v>0</v>
      </c>
      <c r="AX2426">
        <v>0</v>
      </c>
      <c r="AY2426">
        <v>70</v>
      </c>
      <c r="BC2426" t="str">
        <f t="shared" si="382"/>
        <v>9791159285783</v>
      </c>
      <c r="BE2426" t="str">
        <f t="shared" si="383"/>
        <v>판타지 웹소설 &gt; 퓨전 판타지</v>
      </c>
    </row>
    <row r="2427" spans="1:57" x14ac:dyDescent="0.3">
      <c r="A2427">
        <v>2313000685</v>
      </c>
      <c r="B2427">
        <v>2313000761</v>
      </c>
      <c r="C2427" t="str">
        <f>T("라지에르의 서 78화")</f>
        <v>라지에르의 서 78화</v>
      </c>
      <c r="D2427" t="str">
        <f>T("77")</f>
        <v>77</v>
      </c>
      <c r="E2427" t="str">
        <f t="shared" si="380"/>
        <v>공든탑</v>
      </c>
      <c r="H2427" t="str">
        <f t="shared" si="384"/>
        <v>스토리위즈</v>
      </c>
      <c r="I2427" t="str">
        <f t="shared" si="381"/>
        <v>라지에르의 서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/>
      <c r="AQ2427">
        <v>0</v>
      </c>
      <c r="AR2427">
        <v>0</v>
      </c>
      <c r="AT2427">
        <v>0</v>
      </c>
      <c r="AU2427">
        <v>0</v>
      </c>
      <c r="AW2427">
        <v>0</v>
      </c>
      <c r="AX2427">
        <v>0</v>
      </c>
      <c r="AY2427">
        <v>70</v>
      </c>
      <c r="BC2427" t="str">
        <f t="shared" si="382"/>
        <v>9791159285783</v>
      </c>
      <c r="BE2427" t="str">
        <f t="shared" si="383"/>
        <v>판타지 웹소설 &gt; 퓨전 판타지</v>
      </c>
    </row>
    <row r="2428" spans="1:57" x14ac:dyDescent="0.3">
      <c r="A2428">
        <v>2313000685</v>
      </c>
      <c r="B2428">
        <v>2313000762</v>
      </c>
      <c r="C2428" t="str">
        <f>T("라지에르의 서 79화")</f>
        <v>라지에르의 서 79화</v>
      </c>
      <c r="D2428" t="str">
        <f>T("78")</f>
        <v>78</v>
      </c>
      <c r="E2428" t="str">
        <f t="shared" si="380"/>
        <v>공든탑</v>
      </c>
      <c r="H2428" t="str">
        <f t="shared" si="384"/>
        <v>스토리위즈</v>
      </c>
      <c r="I2428" t="str">
        <f t="shared" si="381"/>
        <v>라지에르의 서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P2428"/>
      <c r="AQ2428">
        <v>0</v>
      </c>
      <c r="AR2428">
        <v>0</v>
      </c>
      <c r="AT2428">
        <v>0</v>
      </c>
      <c r="AU2428">
        <v>0</v>
      </c>
      <c r="AW2428">
        <v>0</v>
      </c>
      <c r="AX2428">
        <v>0</v>
      </c>
      <c r="AY2428">
        <v>70</v>
      </c>
      <c r="BC2428" t="str">
        <f t="shared" si="382"/>
        <v>9791159285783</v>
      </c>
      <c r="BE2428" t="str">
        <f t="shared" si="383"/>
        <v>판타지 웹소설 &gt; 퓨전 판타지</v>
      </c>
    </row>
    <row r="2429" spans="1:57" x14ac:dyDescent="0.3">
      <c r="A2429">
        <v>2313000685</v>
      </c>
      <c r="B2429">
        <v>2313000763</v>
      </c>
      <c r="C2429" t="str">
        <f>T("라지에르의 서 80화")</f>
        <v>라지에르의 서 80화</v>
      </c>
      <c r="D2429" t="str">
        <f>T("79")</f>
        <v>79</v>
      </c>
      <c r="E2429" t="str">
        <f t="shared" si="380"/>
        <v>공든탑</v>
      </c>
      <c r="H2429" t="str">
        <f t="shared" si="384"/>
        <v>스토리위즈</v>
      </c>
      <c r="I2429" t="str">
        <f t="shared" si="381"/>
        <v>라지에르의 서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/>
      <c r="AQ2429">
        <v>0</v>
      </c>
      <c r="AR2429">
        <v>0</v>
      </c>
      <c r="AT2429">
        <v>0</v>
      </c>
      <c r="AU2429">
        <v>0</v>
      </c>
      <c r="AW2429">
        <v>0</v>
      </c>
      <c r="AX2429">
        <v>0</v>
      </c>
      <c r="AY2429">
        <v>70</v>
      </c>
      <c r="BC2429" t="str">
        <f t="shared" si="382"/>
        <v>9791159285783</v>
      </c>
      <c r="BE2429" t="str">
        <f t="shared" si="383"/>
        <v>판타지 웹소설 &gt; 퓨전 판타지</v>
      </c>
    </row>
    <row r="2430" spans="1:57" x14ac:dyDescent="0.3">
      <c r="A2430">
        <v>2313000685</v>
      </c>
      <c r="B2430">
        <v>2313000764</v>
      </c>
      <c r="C2430" t="str">
        <f>T("라지에르의 서 81화")</f>
        <v>라지에르의 서 81화</v>
      </c>
      <c r="D2430" t="str">
        <f>T("80")</f>
        <v>80</v>
      </c>
      <c r="E2430" t="str">
        <f t="shared" si="380"/>
        <v>공든탑</v>
      </c>
      <c r="H2430" t="str">
        <f t="shared" si="384"/>
        <v>스토리위즈</v>
      </c>
      <c r="I2430" t="str">
        <f t="shared" si="381"/>
        <v>라지에르의 서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/>
      <c r="AQ2430">
        <v>0</v>
      </c>
      <c r="AR2430">
        <v>0</v>
      </c>
      <c r="AT2430">
        <v>0</v>
      </c>
      <c r="AU2430">
        <v>0</v>
      </c>
      <c r="AW2430">
        <v>0</v>
      </c>
      <c r="AX2430">
        <v>0</v>
      </c>
      <c r="AY2430">
        <v>70</v>
      </c>
      <c r="BC2430" t="str">
        <f t="shared" si="382"/>
        <v>9791159285783</v>
      </c>
      <c r="BE2430" t="str">
        <f t="shared" si="383"/>
        <v>판타지 웹소설 &gt; 퓨전 판타지</v>
      </c>
    </row>
    <row r="2431" spans="1:57" x14ac:dyDescent="0.3">
      <c r="A2431">
        <v>2313000685</v>
      </c>
      <c r="B2431">
        <v>2313000765</v>
      </c>
      <c r="C2431" t="str">
        <f>T("라지에르의 서 82화")</f>
        <v>라지에르의 서 82화</v>
      </c>
      <c r="D2431" t="str">
        <f>T("81")</f>
        <v>81</v>
      </c>
      <c r="E2431" t="str">
        <f t="shared" si="380"/>
        <v>공든탑</v>
      </c>
      <c r="H2431" t="str">
        <f t="shared" si="384"/>
        <v>스토리위즈</v>
      </c>
      <c r="I2431" t="str">
        <f t="shared" si="381"/>
        <v>라지에르의 서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/>
      <c r="AQ2431">
        <v>0</v>
      </c>
      <c r="AR2431">
        <v>0</v>
      </c>
      <c r="AT2431">
        <v>0</v>
      </c>
      <c r="AU2431">
        <v>0</v>
      </c>
      <c r="AW2431">
        <v>0</v>
      </c>
      <c r="AX2431">
        <v>0</v>
      </c>
      <c r="AY2431">
        <v>70</v>
      </c>
      <c r="BC2431" t="str">
        <f t="shared" si="382"/>
        <v>9791159285783</v>
      </c>
      <c r="BE2431" t="str">
        <f t="shared" si="383"/>
        <v>판타지 웹소설 &gt; 퓨전 판타지</v>
      </c>
    </row>
    <row r="2432" spans="1:57" x14ac:dyDescent="0.3">
      <c r="A2432">
        <v>2313000685</v>
      </c>
      <c r="B2432">
        <v>2313000766</v>
      </c>
      <c r="C2432" t="str">
        <f>T("라지에르의 서 83화")</f>
        <v>라지에르의 서 83화</v>
      </c>
      <c r="D2432" t="str">
        <f>T("82")</f>
        <v>82</v>
      </c>
      <c r="E2432" t="str">
        <f t="shared" si="380"/>
        <v>공든탑</v>
      </c>
      <c r="H2432" t="str">
        <f t="shared" si="384"/>
        <v>스토리위즈</v>
      </c>
      <c r="I2432" t="str">
        <f t="shared" si="381"/>
        <v>라지에르의 서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/>
      <c r="AQ2432">
        <v>0</v>
      </c>
      <c r="AR2432">
        <v>0</v>
      </c>
      <c r="AT2432">
        <v>0</v>
      </c>
      <c r="AU2432">
        <v>0</v>
      </c>
      <c r="AW2432">
        <v>0</v>
      </c>
      <c r="AX2432">
        <v>0</v>
      </c>
      <c r="AY2432">
        <v>70</v>
      </c>
      <c r="BC2432" t="str">
        <f t="shared" si="382"/>
        <v>9791159285783</v>
      </c>
      <c r="BE2432" t="str">
        <f t="shared" si="383"/>
        <v>판타지 웹소설 &gt; 퓨전 판타지</v>
      </c>
    </row>
    <row r="2433" spans="1:57" x14ac:dyDescent="0.3">
      <c r="A2433">
        <v>2313000685</v>
      </c>
      <c r="B2433">
        <v>2313000767</v>
      </c>
      <c r="C2433" t="str">
        <f>T("라지에르의 서 84화")</f>
        <v>라지에르의 서 84화</v>
      </c>
      <c r="D2433" t="str">
        <f>T("83")</f>
        <v>83</v>
      </c>
      <c r="E2433" t="str">
        <f t="shared" si="380"/>
        <v>공든탑</v>
      </c>
      <c r="H2433" t="str">
        <f t="shared" si="384"/>
        <v>스토리위즈</v>
      </c>
      <c r="I2433" t="str">
        <f t="shared" si="381"/>
        <v>라지에르의 서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/>
      <c r="AQ2433">
        <v>0</v>
      </c>
      <c r="AR2433">
        <v>0</v>
      </c>
      <c r="AT2433">
        <v>0</v>
      </c>
      <c r="AU2433">
        <v>0</v>
      </c>
      <c r="AW2433">
        <v>0</v>
      </c>
      <c r="AX2433">
        <v>0</v>
      </c>
      <c r="AY2433">
        <v>70</v>
      </c>
      <c r="BC2433" t="str">
        <f t="shared" si="382"/>
        <v>9791159285783</v>
      </c>
      <c r="BE2433" t="str">
        <f t="shared" si="383"/>
        <v>판타지 웹소설 &gt; 퓨전 판타지</v>
      </c>
    </row>
    <row r="2434" spans="1:57" x14ac:dyDescent="0.3">
      <c r="A2434">
        <v>2313000685</v>
      </c>
      <c r="B2434">
        <v>2313000768</v>
      </c>
      <c r="C2434" t="str">
        <f>T("라지에르의 서 85화")</f>
        <v>라지에르의 서 85화</v>
      </c>
      <c r="D2434" t="str">
        <f>T("84")</f>
        <v>84</v>
      </c>
      <c r="E2434" t="str">
        <f t="shared" si="380"/>
        <v>공든탑</v>
      </c>
      <c r="H2434" t="str">
        <f t="shared" si="384"/>
        <v>스토리위즈</v>
      </c>
      <c r="I2434" t="str">
        <f t="shared" si="381"/>
        <v>라지에르의 서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/>
      <c r="AQ2434">
        <v>0</v>
      </c>
      <c r="AR2434">
        <v>0</v>
      </c>
      <c r="AT2434">
        <v>0</v>
      </c>
      <c r="AU2434">
        <v>0</v>
      </c>
      <c r="AW2434">
        <v>0</v>
      </c>
      <c r="AX2434">
        <v>0</v>
      </c>
      <c r="AY2434">
        <v>70</v>
      </c>
      <c r="BC2434" t="str">
        <f t="shared" si="382"/>
        <v>9791159285783</v>
      </c>
      <c r="BE2434" t="str">
        <f t="shared" si="383"/>
        <v>판타지 웹소설 &gt; 퓨전 판타지</v>
      </c>
    </row>
    <row r="2435" spans="1:57" x14ac:dyDescent="0.3">
      <c r="A2435">
        <v>2313000685</v>
      </c>
      <c r="B2435">
        <v>2313000769</v>
      </c>
      <c r="C2435" t="str">
        <f>T("라지에르의 서 86화")</f>
        <v>라지에르의 서 86화</v>
      </c>
      <c r="D2435" t="str">
        <f>T("85")</f>
        <v>85</v>
      </c>
      <c r="E2435" t="str">
        <f t="shared" si="380"/>
        <v>공든탑</v>
      </c>
      <c r="H2435" t="str">
        <f t="shared" si="384"/>
        <v>스토리위즈</v>
      </c>
      <c r="I2435" t="str">
        <f t="shared" si="381"/>
        <v>라지에르의 서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/>
      <c r="AQ2435">
        <v>0</v>
      </c>
      <c r="AR2435">
        <v>0</v>
      </c>
      <c r="AT2435">
        <v>0</v>
      </c>
      <c r="AU2435">
        <v>0</v>
      </c>
      <c r="AW2435">
        <v>0</v>
      </c>
      <c r="AX2435">
        <v>0</v>
      </c>
      <c r="AY2435">
        <v>70</v>
      </c>
      <c r="BC2435" t="str">
        <f t="shared" si="382"/>
        <v>9791159285783</v>
      </c>
      <c r="BE2435" t="str">
        <f t="shared" si="383"/>
        <v>판타지 웹소설 &gt; 퓨전 판타지</v>
      </c>
    </row>
    <row r="2436" spans="1:57" x14ac:dyDescent="0.3">
      <c r="A2436">
        <v>2313000685</v>
      </c>
      <c r="B2436">
        <v>2313000770</v>
      </c>
      <c r="C2436" t="str">
        <f>T("라지에르의 서 87화")</f>
        <v>라지에르의 서 87화</v>
      </c>
      <c r="D2436" t="str">
        <f>T("86")</f>
        <v>86</v>
      </c>
      <c r="E2436" t="str">
        <f t="shared" si="380"/>
        <v>공든탑</v>
      </c>
      <c r="H2436" t="str">
        <f t="shared" si="384"/>
        <v>스토리위즈</v>
      </c>
      <c r="I2436" t="str">
        <f t="shared" si="381"/>
        <v>라지에르의 서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/>
      <c r="AQ2436">
        <v>0</v>
      </c>
      <c r="AR2436">
        <v>0</v>
      </c>
      <c r="AT2436">
        <v>0</v>
      </c>
      <c r="AU2436">
        <v>0</v>
      </c>
      <c r="AW2436">
        <v>0</v>
      </c>
      <c r="AX2436">
        <v>0</v>
      </c>
      <c r="AY2436">
        <v>70</v>
      </c>
      <c r="BC2436" t="str">
        <f t="shared" si="382"/>
        <v>9791159285783</v>
      </c>
      <c r="BE2436" t="str">
        <f t="shared" si="383"/>
        <v>판타지 웹소설 &gt; 퓨전 판타지</v>
      </c>
    </row>
    <row r="2437" spans="1:57" x14ac:dyDescent="0.3">
      <c r="A2437">
        <v>2313000685</v>
      </c>
      <c r="B2437">
        <v>2313000771</v>
      </c>
      <c r="C2437" t="str">
        <f>T("라지에르의 서 88화")</f>
        <v>라지에르의 서 88화</v>
      </c>
      <c r="D2437" t="str">
        <f>T("87")</f>
        <v>87</v>
      </c>
      <c r="E2437" t="str">
        <f t="shared" si="380"/>
        <v>공든탑</v>
      </c>
      <c r="H2437" t="str">
        <f t="shared" si="384"/>
        <v>스토리위즈</v>
      </c>
      <c r="I2437" t="str">
        <f t="shared" si="381"/>
        <v>라지에르의 서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/>
      <c r="AQ2437">
        <v>0</v>
      </c>
      <c r="AR2437">
        <v>0</v>
      </c>
      <c r="AT2437">
        <v>0</v>
      </c>
      <c r="AU2437">
        <v>0</v>
      </c>
      <c r="AW2437">
        <v>0</v>
      </c>
      <c r="AX2437">
        <v>0</v>
      </c>
      <c r="AY2437">
        <v>70</v>
      </c>
      <c r="BC2437" t="str">
        <f t="shared" si="382"/>
        <v>9791159285783</v>
      </c>
      <c r="BE2437" t="str">
        <f t="shared" si="383"/>
        <v>판타지 웹소설 &gt; 퓨전 판타지</v>
      </c>
    </row>
    <row r="2438" spans="1:57" x14ac:dyDescent="0.3">
      <c r="A2438">
        <v>2313000685</v>
      </c>
      <c r="B2438">
        <v>2313000772</v>
      </c>
      <c r="C2438" t="str">
        <f>T("라지에르의 서 89화")</f>
        <v>라지에르의 서 89화</v>
      </c>
      <c r="D2438" t="str">
        <f>T("88")</f>
        <v>88</v>
      </c>
      <c r="E2438" t="str">
        <f t="shared" si="380"/>
        <v>공든탑</v>
      </c>
      <c r="H2438" t="str">
        <f t="shared" si="384"/>
        <v>스토리위즈</v>
      </c>
      <c r="I2438" t="str">
        <f t="shared" si="381"/>
        <v>라지에르의 서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P2438"/>
      <c r="AQ2438">
        <v>0</v>
      </c>
      <c r="AR2438">
        <v>0</v>
      </c>
      <c r="AT2438">
        <v>0</v>
      </c>
      <c r="AU2438">
        <v>0</v>
      </c>
      <c r="AW2438">
        <v>0</v>
      </c>
      <c r="AX2438">
        <v>0</v>
      </c>
      <c r="AY2438">
        <v>70</v>
      </c>
      <c r="BC2438" t="str">
        <f t="shared" si="382"/>
        <v>9791159285783</v>
      </c>
      <c r="BE2438" t="str">
        <f t="shared" si="383"/>
        <v>판타지 웹소설 &gt; 퓨전 판타지</v>
      </c>
    </row>
    <row r="2439" spans="1:57" x14ac:dyDescent="0.3">
      <c r="A2439">
        <v>2313000685</v>
      </c>
      <c r="B2439">
        <v>2313000773</v>
      </c>
      <c r="C2439" t="str">
        <f>T("라지에르의 서 90화")</f>
        <v>라지에르의 서 90화</v>
      </c>
      <c r="D2439" t="str">
        <f>T("89")</f>
        <v>89</v>
      </c>
      <c r="E2439" t="str">
        <f t="shared" si="380"/>
        <v>공든탑</v>
      </c>
      <c r="H2439" t="str">
        <f t="shared" si="384"/>
        <v>스토리위즈</v>
      </c>
      <c r="I2439" t="str">
        <f t="shared" si="381"/>
        <v>라지에르의 서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100</v>
      </c>
      <c r="AL2439">
        <v>0</v>
      </c>
      <c r="AM2439">
        <v>0</v>
      </c>
      <c r="AN2439">
        <v>0</v>
      </c>
      <c r="AO2439">
        <v>0</v>
      </c>
      <c r="AP2439"/>
      <c r="AQ2439">
        <v>0</v>
      </c>
      <c r="AR2439">
        <v>0</v>
      </c>
      <c r="AT2439">
        <v>0</v>
      </c>
      <c r="AU2439">
        <v>0</v>
      </c>
      <c r="AW2439">
        <v>0</v>
      </c>
      <c r="AX2439">
        <v>0</v>
      </c>
      <c r="AY2439">
        <v>70</v>
      </c>
      <c r="BC2439" t="str">
        <f t="shared" si="382"/>
        <v>9791159285783</v>
      </c>
      <c r="BE2439" t="str">
        <f t="shared" si="383"/>
        <v>판타지 웹소설 &gt; 퓨전 판타지</v>
      </c>
    </row>
    <row r="2440" spans="1:57" x14ac:dyDescent="0.3">
      <c r="A2440">
        <v>2313000685</v>
      </c>
      <c r="B2440">
        <v>2313000774</v>
      </c>
      <c r="C2440" t="str">
        <f>T("라지에르의 서 91화")</f>
        <v>라지에르의 서 91화</v>
      </c>
      <c r="D2440" t="str">
        <f>T("90")</f>
        <v>90</v>
      </c>
      <c r="E2440" t="str">
        <f t="shared" si="380"/>
        <v>공든탑</v>
      </c>
      <c r="H2440" t="str">
        <f t="shared" si="384"/>
        <v>스토리위즈</v>
      </c>
      <c r="I2440" t="str">
        <f t="shared" si="381"/>
        <v>라지에르의 서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/>
      <c r="AQ2440">
        <v>0</v>
      </c>
      <c r="AR2440">
        <v>0</v>
      </c>
      <c r="AT2440">
        <v>0</v>
      </c>
      <c r="AU2440">
        <v>0</v>
      </c>
      <c r="AW2440">
        <v>0</v>
      </c>
      <c r="AX2440">
        <v>0</v>
      </c>
      <c r="AY2440">
        <v>70</v>
      </c>
      <c r="BC2440" t="str">
        <f t="shared" si="382"/>
        <v>9791159285783</v>
      </c>
      <c r="BE2440" t="str">
        <f t="shared" si="383"/>
        <v>판타지 웹소설 &gt; 퓨전 판타지</v>
      </c>
    </row>
    <row r="2441" spans="1:57" x14ac:dyDescent="0.3">
      <c r="A2441">
        <v>2313000685</v>
      </c>
      <c r="B2441">
        <v>2313000775</v>
      </c>
      <c r="C2441" t="str">
        <f>T("라지에르의 서 92화")</f>
        <v>라지에르의 서 92화</v>
      </c>
      <c r="D2441" t="str">
        <f>T("91")</f>
        <v>91</v>
      </c>
      <c r="E2441" t="str">
        <f t="shared" si="380"/>
        <v>공든탑</v>
      </c>
      <c r="H2441" t="str">
        <f t="shared" si="384"/>
        <v>스토리위즈</v>
      </c>
      <c r="I2441" t="str">
        <f t="shared" si="381"/>
        <v>라지에르의 서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/>
      <c r="AQ2441">
        <v>0</v>
      </c>
      <c r="AR2441">
        <v>0</v>
      </c>
      <c r="AT2441">
        <v>0</v>
      </c>
      <c r="AU2441">
        <v>0</v>
      </c>
      <c r="AW2441">
        <v>0</v>
      </c>
      <c r="AX2441">
        <v>0</v>
      </c>
      <c r="AY2441">
        <v>70</v>
      </c>
      <c r="BC2441" t="str">
        <f t="shared" si="382"/>
        <v>9791159285783</v>
      </c>
      <c r="BE2441" t="str">
        <f t="shared" si="383"/>
        <v>판타지 웹소설 &gt; 퓨전 판타지</v>
      </c>
    </row>
    <row r="2442" spans="1:57" x14ac:dyDescent="0.3">
      <c r="A2442">
        <v>2313000685</v>
      </c>
      <c r="B2442">
        <v>2313000776</v>
      </c>
      <c r="C2442" t="str">
        <f>T("라지에르의 서 93화")</f>
        <v>라지에르의 서 93화</v>
      </c>
      <c r="D2442" t="str">
        <f>T("92")</f>
        <v>92</v>
      </c>
      <c r="E2442" t="str">
        <f t="shared" ref="E2442:E2505" si="385">T("공든탑")</f>
        <v>공든탑</v>
      </c>
      <c r="H2442" t="str">
        <f t="shared" si="384"/>
        <v>스토리위즈</v>
      </c>
      <c r="I2442" t="str">
        <f t="shared" ref="I2442:I2505" si="386">T("라지에르의 서")</f>
        <v>라지에르의 서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/>
      <c r="AQ2442">
        <v>0</v>
      </c>
      <c r="AR2442">
        <v>0</v>
      </c>
      <c r="AT2442">
        <v>0</v>
      </c>
      <c r="AU2442">
        <v>0</v>
      </c>
      <c r="AW2442">
        <v>0</v>
      </c>
      <c r="AX2442">
        <v>0</v>
      </c>
      <c r="AY2442">
        <v>70</v>
      </c>
      <c r="BC2442" t="str">
        <f t="shared" ref="BC2442:BC2505" si="387">T("9791159285783")</f>
        <v>9791159285783</v>
      </c>
      <c r="BE2442" t="str">
        <f t="shared" ref="BE2442:BE2505" si="388">T("판타지 웹소설 &gt; 퓨전 판타지")</f>
        <v>판타지 웹소설 &gt; 퓨전 판타지</v>
      </c>
    </row>
    <row r="2443" spans="1:57" x14ac:dyDescent="0.3">
      <c r="A2443">
        <v>2313000685</v>
      </c>
      <c r="B2443">
        <v>2313000777</v>
      </c>
      <c r="C2443" t="str">
        <f>T("라지에르의 서 94화")</f>
        <v>라지에르의 서 94화</v>
      </c>
      <c r="D2443" t="str">
        <f>T("93")</f>
        <v>93</v>
      </c>
      <c r="E2443" t="str">
        <f t="shared" si="385"/>
        <v>공든탑</v>
      </c>
      <c r="H2443" t="str">
        <f t="shared" si="384"/>
        <v>스토리위즈</v>
      </c>
      <c r="I2443" t="str">
        <f t="shared" si="386"/>
        <v>라지에르의 서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/>
      <c r="AQ2443">
        <v>0</v>
      </c>
      <c r="AR2443">
        <v>0</v>
      </c>
      <c r="AT2443">
        <v>0</v>
      </c>
      <c r="AU2443">
        <v>0</v>
      </c>
      <c r="AW2443">
        <v>0</v>
      </c>
      <c r="AX2443">
        <v>0</v>
      </c>
      <c r="AY2443">
        <v>70</v>
      </c>
      <c r="BC2443" t="str">
        <f t="shared" si="387"/>
        <v>9791159285783</v>
      </c>
      <c r="BE2443" t="str">
        <f t="shared" si="388"/>
        <v>판타지 웹소설 &gt; 퓨전 판타지</v>
      </c>
    </row>
    <row r="2444" spans="1:57" x14ac:dyDescent="0.3">
      <c r="A2444">
        <v>2313000685</v>
      </c>
      <c r="B2444">
        <v>2313000778</v>
      </c>
      <c r="C2444" t="str">
        <f>T("라지에르의 서 95화")</f>
        <v>라지에르의 서 95화</v>
      </c>
      <c r="D2444" t="str">
        <f>T("94")</f>
        <v>94</v>
      </c>
      <c r="E2444" t="str">
        <f t="shared" si="385"/>
        <v>공든탑</v>
      </c>
      <c r="H2444" t="str">
        <f t="shared" si="384"/>
        <v>스토리위즈</v>
      </c>
      <c r="I2444" t="str">
        <f t="shared" si="386"/>
        <v>라지에르의 서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/>
      <c r="AQ2444">
        <v>0</v>
      </c>
      <c r="AR2444">
        <v>0</v>
      </c>
      <c r="AT2444">
        <v>0</v>
      </c>
      <c r="AU2444">
        <v>0</v>
      </c>
      <c r="AW2444">
        <v>0</v>
      </c>
      <c r="AX2444">
        <v>0</v>
      </c>
      <c r="AY2444">
        <v>70</v>
      </c>
      <c r="BC2444" t="str">
        <f t="shared" si="387"/>
        <v>9791159285783</v>
      </c>
      <c r="BE2444" t="str">
        <f t="shared" si="388"/>
        <v>판타지 웹소설 &gt; 퓨전 판타지</v>
      </c>
    </row>
    <row r="2445" spans="1:57" x14ac:dyDescent="0.3">
      <c r="A2445">
        <v>2313000685</v>
      </c>
      <c r="B2445">
        <v>2313000779</v>
      </c>
      <c r="C2445" t="str">
        <f>T("라지에르의 서 96화")</f>
        <v>라지에르의 서 96화</v>
      </c>
      <c r="D2445" t="str">
        <f>T("95")</f>
        <v>95</v>
      </c>
      <c r="E2445" t="str">
        <f t="shared" si="385"/>
        <v>공든탑</v>
      </c>
      <c r="H2445" t="str">
        <f t="shared" si="384"/>
        <v>스토리위즈</v>
      </c>
      <c r="I2445" t="str">
        <f t="shared" si="386"/>
        <v>라지에르의 서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/>
      <c r="AQ2445">
        <v>0</v>
      </c>
      <c r="AR2445">
        <v>0</v>
      </c>
      <c r="AT2445">
        <v>0</v>
      </c>
      <c r="AU2445">
        <v>0</v>
      </c>
      <c r="AW2445">
        <v>0</v>
      </c>
      <c r="AX2445">
        <v>0</v>
      </c>
      <c r="AY2445">
        <v>70</v>
      </c>
      <c r="BC2445" t="str">
        <f t="shared" si="387"/>
        <v>9791159285783</v>
      </c>
      <c r="BE2445" t="str">
        <f t="shared" si="388"/>
        <v>판타지 웹소설 &gt; 퓨전 판타지</v>
      </c>
    </row>
    <row r="2446" spans="1:57" x14ac:dyDescent="0.3">
      <c r="A2446">
        <v>2313000685</v>
      </c>
      <c r="B2446">
        <v>2313000780</v>
      </c>
      <c r="C2446" t="str">
        <f>T("라지에르의 서 97화")</f>
        <v>라지에르의 서 97화</v>
      </c>
      <c r="D2446" t="str">
        <f>T("96")</f>
        <v>96</v>
      </c>
      <c r="E2446" t="str">
        <f t="shared" si="385"/>
        <v>공든탑</v>
      </c>
      <c r="H2446" t="str">
        <f t="shared" si="384"/>
        <v>스토리위즈</v>
      </c>
      <c r="I2446" t="str">
        <f t="shared" si="386"/>
        <v>라지에르의 서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/>
      <c r="AQ2446">
        <v>0</v>
      </c>
      <c r="AR2446">
        <v>0</v>
      </c>
      <c r="AT2446">
        <v>0</v>
      </c>
      <c r="AU2446">
        <v>0</v>
      </c>
      <c r="AW2446">
        <v>0</v>
      </c>
      <c r="AX2446">
        <v>0</v>
      </c>
      <c r="AY2446">
        <v>70</v>
      </c>
      <c r="BC2446" t="str">
        <f t="shared" si="387"/>
        <v>9791159285783</v>
      </c>
      <c r="BE2446" t="str">
        <f t="shared" si="388"/>
        <v>판타지 웹소설 &gt; 퓨전 판타지</v>
      </c>
    </row>
    <row r="2447" spans="1:57" x14ac:dyDescent="0.3">
      <c r="A2447">
        <v>2313000685</v>
      </c>
      <c r="B2447">
        <v>2313000781</v>
      </c>
      <c r="C2447" t="str">
        <f>T("라지에르의 서 98화")</f>
        <v>라지에르의 서 98화</v>
      </c>
      <c r="D2447" t="str">
        <f>T("97")</f>
        <v>97</v>
      </c>
      <c r="E2447" t="str">
        <f t="shared" si="385"/>
        <v>공든탑</v>
      </c>
      <c r="H2447" t="str">
        <f t="shared" si="384"/>
        <v>스토리위즈</v>
      </c>
      <c r="I2447" t="str">
        <f t="shared" si="386"/>
        <v>라지에르의 서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/>
      <c r="AQ2447">
        <v>0</v>
      </c>
      <c r="AR2447">
        <v>0</v>
      </c>
      <c r="AT2447">
        <v>0</v>
      </c>
      <c r="AU2447">
        <v>0</v>
      </c>
      <c r="AW2447">
        <v>0</v>
      </c>
      <c r="AX2447">
        <v>0</v>
      </c>
      <c r="AY2447">
        <v>70</v>
      </c>
      <c r="BC2447" t="str">
        <f t="shared" si="387"/>
        <v>9791159285783</v>
      </c>
      <c r="BE2447" t="str">
        <f t="shared" si="388"/>
        <v>판타지 웹소설 &gt; 퓨전 판타지</v>
      </c>
    </row>
    <row r="2448" spans="1:57" x14ac:dyDescent="0.3">
      <c r="A2448">
        <v>2313000685</v>
      </c>
      <c r="B2448">
        <v>2313000782</v>
      </c>
      <c r="C2448" t="str">
        <f>T("라지에르의 서 99화")</f>
        <v>라지에르의 서 99화</v>
      </c>
      <c r="D2448" t="str">
        <f>T("98")</f>
        <v>98</v>
      </c>
      <c r="E2448" t="str">
        <f t="shared" si="385"/>
        <v>공든탑</v>
      </c>
      <c r="H2448" t="str">
        <f t="shared" si="384"/>
        <v>스토리위즈</v>
      </c>
      <c r="I2448" t="str">
        <f t="shared" si="386"/>
        <v>라지에르의 서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/>
      <c r="AQ2448">
        <v>0</v>
      </c>
      <c r="AR2448">
        <v>0</v>
      </c>
      <c r="AT2448">
        <v>0</v>
      </c>
      <c r="AU2448">
        <v>0</v>
      </c>
      <c r="AW2448">
        <v>0</v>
      </c>
      <c r="AX2448">
        <v>0</v>
      </c>
      <c r="AY2448">
        <v>70</v>
      </c>
      <c r="BC2448" t="str">
        <f t="shared" si="387"/>
        <v>9791159285783</v>
      </c>
      <c r="BE2448" t="str">
        <f t="shared" si="388"/>
        <v>판타지 웹소설 &gt; 퓨전 판타지</v>
      </c>
    </row>
    <row r="2449" spans="1:57" x14ac:dyDescent="0.3">
      <c r="A2449">
        <v>2313000685</v>
      </c>
      <c r="B2449">
        <v>2313000783</v>
      </c>
      <c r="C2449" t="str">
        <f>T("라지에르의 서 100화")</f>
        <v>라지에르의 서 100화</v>
      </c>
      <c r="D2449" t="str">
        <f>T("99")</f>
        <v>99</v>
      </c>
      <c r="E2449" t="str">
        <f t="shared" si="385"/>
        <v>공든탑</v>
      </c>
      <c r="H2449" t="str">
        <f t="shared" si="384"/>
        <v>스토리위즈</v>
      </c>
      <c r="I2449" t="str">
        <f t="shared" si="386"/>
        <v>라지에르의 서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/>
      <c r="AQ2449">
        <v>0</v>
      </c>
      <c r="AR2449">
        <v>0</v>
      </c>
      <c r="AT2449">
        <v>0</v>
      </c>
      <c r="AU2449">
        <v>0</v>
      </c>
      <c r="AW2449">
        <v>0</v>
      </c>
      <c r="AX2449">
        <v>0</v>
      </c>
      <c r="AY2449">
        <v>70</v>
      </c>
      <c r="BC2449" t="str">
        <f t="shared" si="387"/>
        <v>9791159285783</v>
      </c>
      <c r="BE2449" t="str">
        <f t="shared" si="388"/>
        <v>판타지 웹소설 &gt; 퓨전 판타지</v>
      </c>
    </row>
    <row r="2450" spans="1:57" x14ac:dyDescent="0.3">
      <c r="A2450">
        <v>2313000685</v>
      </c>
      <c r="B2450">
        <v>2313000784</v>
      </c>
      <c r="C2450" t="str">
        <f>T("라지에르의 서 101화")</f>
        <v>라지에르의 서 101화</v>
      </c>
      <c r="D2450" t="str">
        <f>T("100")</f>
        <v>100</v>
      </c>
      <c r="E2450" t="str">
        <f t="shared" si="385"/>
        <v>공든탑</v>
      </c>
      <c r="H2450" t="str">
        <f t="shared" si="384"/>
        <v>스토리위즈</v>
      </c>
      <c r="I2450" t="str">
        <f t="shared" si="386"/>
        <v>라지에르의 서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/>
      <c r="AQ2450">
        <v>0</v>
      </c>
      <c r="AR2450">
        <v>0</v>
      </c>
      <c r="AT2450">
        <v>0</v>
      </c>
      <c r="AU2450">
        <v>0</v>
      </c>
      <c r="AW2450">
        <v>0</v>
      </c>
      <c r="AX2450">
        <v>0</v>
      </c>
      <c r="AY2450">
        <v>70</v>
      </c>
      <c r="BC2450" t="str">
        <f t="shared" si="387"/>
        <v>9791159285783</v>
      </c>
      <c r="BE2450" t="str">
        <f t="shared" si="388"/>
        <v>판타지 웹소설 &gt; 퓨전 판타지</v>
      </c>
    </row>
    <row r="2451" spans="1:57" x14ac:dyDescent="0.3">
      <c r="A2451">
        <v>2313000685</v>
      </c>
      <c r="B2451">
        <v>2313000785</v>
      </c>
      <c r="C2451" t="str">
        <f>T("라지에르의 서 102화")</f>
        <v>라지에르의 서 102화</v>
      </c>
      <c r="D2451" t="str">
        <f>T("101")</f>
        <v>101</v>
      </c>
      <c r="E2451" t="str">
        <f t="shared" si="385"/>
        <v>공든탑</v>
      </c>
      <c r="H2451" t="str">
        <f t="shared" si="384"/>
        <v>스토리위즈</v>
      </c>
      <c r="I2451" t="str">
        <f t="shared" si="386"/>
        <v>라지에르의 서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/>
      <c r="AQ2451">
        <v>0</v>
      </c>
      <c r="AR2451">
        <v>0</v>
      </c>
      <c r="AT2451">
        <v>0</v>
      </c>
      <c r="AU2451">
        <v>0</v>
      </c>
      <c r="AW2451">
        <v>0</v>
      </c>
      <c r="AX2451">
        <v>0</v>
      </c>
      <c r="AY2451">
        <v>70</v>
      </c>
      <c r="BC2451" t="str">
        <f t="shared" si="387"/>
        <v>9791159285783</v>
      </c>
      <c r="BE2451" t="str">
        <f t="shared" si="388"/>
        <v>판타지 웹소설 &gt; 퓨전 판타지</v>
      </c>
    </row>
    <row r="2452" spans="1:57" x14ac:dyDescent="0.3">
      <c r="A2452">
        <v>2313000685</v>
      </c>
      <c r="B2452">
        <v>2313000786</v>
      </c>
      <c r="C2452" t="str">
        <f>T("라지에르의 서 103화")</f>
        <v>라지에르의 서 103화</v>
      </c>
      <c r="D2452" t="str">
        <f>T("102")</f>
        <v>102</v>
      </c>
      <c r="E2452" t="str">
        <f t="shared" si="385"/>
        <v>공든탑</v>
      </c>
      <c r="H2452" t="str">
        <f t="shared" si="384"/>
        <v>스토리위즈</v>
      </c>
      <c r="I2452" t="str">
        <f t="shared" si="386"/>
        <v>라지에르의 서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/>
      <c r="AQ2452">
        <v>0</v>
      </c>
      <c r="AR2452">
        <v>0</v>
      </c>
      <c r="AT2452">
        <v>0</v>
      </c>
      <c r="AU2452">
        <v>0</v>
      </c>
      <c r="AW2452">
        <v>0</v>
      </c>
      <c r="AX2452">
        <v>0</v>
      </c>
      <c r="AY2452">
        <v>70</v>
      </c>
      <c r="BC2452" t="str">
        <f t="shared" si="387"/>
        <v>9791159285783</v>
      </c>
      <c r="BE2452" t="str">
        <f t="shared" si="388"/>
        <v>판타지 웹소설 &gt; 퓨전 판타지</v>
      </c>
    </row>
    <row r="2453" spans="1:57" x14ac:dyDescent="0.3">
      <c r="A2453">
        <v>2313000685</v>
      </c>
      <c r="B2453">
        <v>2313000787</v>
      </c>
      <c r="C2453" t="str">
        <f>T("라지에르의 서 104화")</f>
        <v>라지에르의 서 104화</v>
      </c>
      <c r="D2453" t="str">
        <f>T("103")</f>
        <v>103</v>
      </c>
      <c r="E2453" t="str">
        <f t="shared" si="385"/>
        <v>공든탑</v>
      </c>
      <c r="H2453" t="str">
        <f t="shared" si="384"/>
        <v>스토리위즈</v>
      </c>
      <c r="I2453" t="str">
        <f t="shared" si="386"/>
        <v>라지에르의 서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/>
      <c r="AQ2453">
        <v>0</v>
      </c>
      <c r="AR2453">
        <v>0</v>
      </c>
      <c r="AT2453">
        <v>0</v>
      </c>
      <c r="AU2453">
        <v>0</v>
      </c>
      <c r="AW2453">
        <v>0</v>
      </c>
      <c r="AX2453">
        <v>0</v>
      </c>
      <c r="AY2453">
        <v>70</v>
      </c>
      <c r="BC2453" t="str">
        <f t="shared" si="387"/>
        <v>9791159285783</v>
      </c>
      <c r="BE2453" t="str">
        <f t="shared" si="388"/>
        <v>판타지 웹소설 &gt; 퓨전 판타지</v>
      </c>
    </row>
    <row r="2454" spans="1:57" x14ac:dyDescent="0.3">
      <c r="A2454">
        <v>2313000685</v>
      </c>
      <c r="B2454">
        <v>2313000788</v>
      </c>
      <c r="C2454" t="str">
        <f>T("라지에르의 서 105화")</f>
        <v>라지에르의 서 105화</v>
      </c>
      <c r="D2454" t="str">
        <f>T("104")</f>
        <v>104</v>
      </c>
      <c r="E2454" t="str">
        <f t="shared" si="385"/>
        <v>공든탑</v>
      </c>
      <c r="H2454" t="str">
        <f t="shared" si="384"/>
        <v>스토리위즈</v>
      </c>
      <c r="I2454" t="str">
        <f t="shared" si="386"/>
        <v>라지에르의 서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/>
      <c r="AQ2454">
        <v>0</v>
      </c>
      <c r="AR2454">
        <v>0</v>
      </c>
      <c r="AT2454">
        <v>0</v>
      </c>
      <c r="AU2454">
        <v>0</v>
      </c>
      <c r="AW2454">
        <v>0</v>
      </c>
      <c r="AX2454">
        <v>0</v>
      </c>
      <c r="AY2454">
        <v>70</v>
      </c>
      <c r="BC2454" t="str">
        <f t="shared" si="387"/>
        <v>9791159285783</v>
      </c>
      <c r="BE2454" t="str">
        <f t="shared" si="388"/>
        <v>판타지 웹소설 &gt; 퓨전 판타지</v>
      </c>
    </row>
    <row r="2455" spans="1:57" x14ac:dyDescent="0.3">
      <c r="A2455">
        <v>2313000685</v>
      </c>
      <c r="B2455">
        <v>2313000789</v>
      </c>
      <c r="C2455" t="str">
        <f>T("라지에르의 서 106화")</f>
        <v>라지에르의 서 106화</v>
      </c>
      <c r="D2455" t="str">
        <f>T("105")</f>
        <v>105</v>
      </c>
      <c r="E2455" t="str">
        <f t="shared" si="385"/>
        <v>공든탑</v>
      </c>
      <c r="H2455" t="str">
        <f t="shared" si="384"/>
        <v>스토리위즈</v>
      </c>
      <c r="I2455" t="str">
        <f t="shared" si="386"/>
        <v>라지에르의 서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/>
      <c r="AQ2455">
        <v>0</v>
      </c>
      <c r="AR2455">
        <v>0</v>
      </c>
      <c r="AT2455">
        <v>0</v>
      </c>
      <c r="AU2455">
        <v>0</v>
      </c>
      <c r="AW2455">
        <v>0</v>
      </c>
      <c r="AX2455">
        <v>0</v>
      </c>
      <c r="AY2455">
        <v>70</v>
      </c>
      <c r="BC2455" t="str">
        <f t="shared" si="387"/>
        <v>9791159285783</v>
      </c>
      <c r="BE2455" t="str">
        <f t="shared" si="388"/>
        <v>판타지 웹소설 &gt; 퓨전 판타지</v>
      </c>
    </row>
    <row r="2456" spans="1:57" x14ac:dyDescent="0.3">
      <c r="A2456">
        <v>2313000685</v>
      </c>
      <c r="B2456">
        <v>2313000790</v>
      </c>
      <c r="C2456" t="str">
        <f>T("라지에르의 서 107화")</f>
        <v>라지에르의 서 107화</v>
      </c>
      <c r="D2456" t="str">
        <f>T("106")</f>
        <v>106</v>
      </c>
      <c r="E2456" t="str">
        <f t="shared" si="385"/>
        <v>공든탑</v>
      </c>
      <c r="H2456" t="str">
        <f t="shared" si="384"/>
        <v>스토리위즈</v>
      </c>
      <c r="I2456" t="str">
        <f t="shared" si="386"/>
        <v>라지에르의 서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/>
      <c r="AQ2456">
        <v>0</v>
      </c>
      <c r="AR2456">
        <v>0</v>
      </c>
      <c r="AT2456">
        <v>0</v>
      </c>
      <c r="AU2456">
        <v>0</v>
      </c>
      <c r="AW2456">
        <v>0</v>
      </c>
      <c r="AX2456">
        <v>0</v>
      </c>
      <c r="AY2456">
        <v>70</v>
      </c>
      <c r="BC2456" t="str">
        <f t="shared" si="387"/>
        <v>9791159285783</v>
      </c>
      <c r="BE2456" t="str">
        <f t="shared" si="388"/>
        <v>판타지 웹소설 &gt; 퓨전 판타지</v>
      </c>
    </row>
    <row r="2457" spans="1:57" x14ac:dyDescent="0.3">
      <c r="A2457">
        <v>2313000685</v>
      </c>
      <c r="B2457">
        <v>2313000791</v>
      </c>
      <c r="C2457" t="str">
        <f>T("라지에르의 서 108화")</f>
        <v>라지에르의 서 108화</v>
      </c>
      <c r="D2457" t="str">
        <f>T("107")</f>
        <v>107</v>
      </c>
      <c r="E2457" t="str">
        <f t="shared" si="385"/>
        <v>공든탑</v>
      </c>
      <c r="H2457" t="str">
        <f t="shared" si="384"/>
        <v>스토리위즈</v>
      </c>
      <c r="I2457" t="str">
        <f t="shared" si="386"/>
        <v>라지에르의 서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/>
      <c r="AQ2457">
        <v>0</v>
      </c>
      <c r="AR2457">
        <v>0</v>
      </c>
      <c r="AT2457">
        <v>0</v>
      </c>
      <c r="AU2457">
        <v>0</v>
      </c>
      <c r="AW2457">
        <v>0</v>
      </c>
      <c r="AX2457">
        <v>0</v>
      </c>
      <c r="AY2457">
        <v>70</v>
      </c>
      <c r="BC2457" t="str">
        <f t="shared" si="387"/>
        <v>9791159285783</v>
      </c>
      <c r="BE2457" t="str">
        <f t="shared" si="388"/>
        <v>판타지 웹소설 &gt; 퓨전 판타지</v>
      </c>
    </row>
    <row r="2458" spans="1:57" x14ac:dyDescent="0.3">
      <c r="A2458">
        <v>2313000685</v>
      </c>
      <c r="B2458">
        <v>2313000792</v>
      </c>
      <c r="C2458" t="str">
        <f>T("라지에르의 서 109화")</f>
        <v>라지에르의 서 109화</v>
      </c>
      <c r="D2458" t="str">
        <f>T("108")</f>
        <v>108</v>
      </c>
      <c r="E2458" t="str">
        <f t="shared" si="385"/>
        <v>공든탑</v>
      </c>
      <c r="H2458" t="str">
        <f t="shared" si="384"/>
        <v>스토리위즈</v>
      </c>
      <c r="I2458" t="str">
        <f t="shared" si="386"/>
        <v>라지에르의 서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/>
      <c r="AQ2458">
        <v>0</v>
      </c>
      <c r="AR2458">
        <v>0</v>
      </c>
      <c r="AT2458">
        <v>0</v>
      </c>
      <c r="AU2458">
        <v>0</v>
      </c>
      <c r="AW2458">
        <v>0</v>
      </c>
      <c r="AX2458">
        <v>0</v>
      </c>
      <c r="AY2458">
        <v>70</v>
      </c>
      <c r="BC2458" t="str">
        <f t="shared" si="387"/>
        <v>9791159285783</v>
      </c>
      <c r="BE2458" t="str">
        <f t="shared" si="388"/>
        <v>판타지 웹소설 &gt; 퓨전 판타지</v>
      </c>
    </row>
    <row r="2459" spans="1:57" x14ac:dyDescent="0.3">
      <c r="A2459">
        <v>2313000685</v>
      </c>
      <c r="B2459">
        <v>2313000793</v>
      </c>
      <c r="C2459" t="str">
        <f>T("라지에르의 서 110화")</f>
        <v>라지에르의 서 110화</v>
      </c>
      <c r="D2459" t="str">
        <f>T("109")</f>
        <v>109</v>
      </c>
      <c r="E2459" t="str">
        <f t="shared" si="385"/>
        <v>공든탑</v>
      </c>
      <c r="H2459" t="str">
        <f t="shared" si="384"/>
        <v>스토리위즈</v>
      </c>
      <c r="I2459" t="str">
        <f t="shared" si="386"/>
        <v>라지에르의 서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/>
      <c r="AQ2459">
        <v>0</v>
      </c>
      <c r="AR2459">
        <v>0</v>
      </c>
      <c r="AT2459">
        <v>0</v>
      </c>
      <c r="AU2459">
        <v>0</v>
      </c>
      <c r="AW2459">
        <v>0</v>
      </c>
      <c r="AX2459">
        <v>0</v>
      </c>
      <c r="AY2459">
        <v>70</v>
      </c>
      <c r="BC2459" t="str">
        <f t="shared" si="387"/>
        <v>9791159285783</v>
      </c>
      <c r="BE2459" t="str">
        <f t="shared" si="388"/>
        <v>판타지 웹소설 &gt; 퓨전 판타지</v>
      </c>
    </row>
    <row r="2460" spans="1:57" x14ac:dyDescent="0.3">
      <c r="A2460">
        <v>2313000685</v>
      </c>
      <c r="B2460">
        <v>2313000794</v>
      </c>
      <c r="C2460" t="str">
        <f>T("라지에르의 서 111화")</f>
        <v>라지에르의 서 111화</v>
      </c>
      <c r="D2460" t="str">
        <f>T("110")</f>
        <v>110</v>
      </c>
      <c r="E2460" t="str">
        <f t="shared" si="385"/>
        <v>공든탑</v>
      </c>
      <c r="H2460" t="str">
        <f t="shared" si="384"/>
        <v>스토리위즈</v>
      </c>
      <c r="I2460" t="str">
        <f t="shared" si="386"/>
        <v>라지에르의 서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/>
      <c r="AQ2460">
        <v>0</v>
      </c>
      <c r="AR2460">
        <v>0</v>
      </c>
      <c r="AT2460">
        <v>0</v>
      </c>
      <c r="AU2460">
        <v>0</v>
      </c>
      <c r="AW2460">
        <v>0</v>
      </c>
      <c r="AX2460">
        <v>0</v>
      </c>
      <c r="AY2460">
        <v>70</v>
      </c>
      <c r="BC2460" t="str">
        <f t="shared" si="387"/>
        <v>9791159285783</v>
      </c>
      <c r="BE2460" t="str">
        <f t="shared" si="388"/>
        <v>판타지 웹소설 &gt; 퓨전 판타지</v>
      </c>
    </row>
    <row r="2461" spans="1:57" x14ac:dyDescent="0.3">
      <c r="A2461">
        <v>2313000685</v>
      </c>
      <c r="B2461">
        <v>2313000795</v>
      </c>
      <c r="C2461" t="str">
        <f>T("라지에르의 서 112화")</f>
        <v>라지에르의 서 112화</v>
      </c>
      <c r="D2461" t="str">
        <f>T("111")</f>
        <v>111</v>
      </c>
      <c r="E2461" t="str">
        <f t="shared" si="385"/>
        <v>공든탑</v>
      </c>
      <c r="H2461" t="str">
        <f t="shared" si="384"/>
        <v>스토리위즈</v>
      </c>
      <c r="I2461" t="str">
        <f t="shared" si="386"/>
        <v>라지에르의 서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/>
      <c r="AQ2461">
        <v>0</v>
      </c>
      <c r="AR2461">
        <v>0</v>
      </c>
      <c r="AT2461">
        <v>0</v>
      </c>
      <c r="AU2461">
        <v>0</v>
      </c>
      <c r="AW2461">
        <v>0</v>
      </c>
      <c r="AX2461">
        <v>0</v>
      </c>
      <c r="AY2461">
        <v>70</v>
      </c>
      <c r="BC2461" t="str">
        <f t="shared" si="387"/>
        <v>9791159285783</v>
      </c>
      <c r="BE2461" t="str">
        <f t="shared" si="388"/>
        <v>판타지 웹소설 &gt; 퓨전 판타지</v>
      </c>
    </row>
    <row r="2462" spans="1:57" x14ac:dyDescent="0.3">
      <c r="A2462">
        <v>2313000685</v>
      </c>
      <c r="B2462">
        <v>2313000796</v>
      </c>
      <c r="C2462" t="str">
        <f>T("라지에르의 서 113화")</f>
        <v>라지에르의 서 113화</v>
      </c>
      <c r="D2462" t="str">
        <f>T("112")</f>
        <v>112</v>
      </c>
      <c r="E2462" t="str">
        <f t="shared" si="385"/>
        <v>공든탑</v>
      </c>
      <c r="H2462" t="str">
        <f t="shared" si="384"/>
        <v>스토리위즈</v>
      </c>
      <c r="I2462" t="str">
        <f t="shared" si="386"/>
        <v>라지에르의 서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/>
      <c r="AQ2462">
        <v>0</v>
      </c>
      <c r="AR2462">
        <v>0</v>
      </c>
      <c r="AT2462">
        <v>0</v>
      </c>
      <c r="AU2462">
        <v>0</v>
      </c>
      <c r="AW2462">
        <v>0</v>
      </c>
      <c r="AX2462">
        <v>0</v>
      </c>
      <c r="AY2462">
        <v>70</v>
      </c>
      <c r="BC2462" t="str">
        <f t="shared" si="387"/>
        <v>9791159285783</v>
      </c>
      <c r="BE2462" t="str">
        <f t="shared" si="388"/>
        <v>판타지 웹소설 &gt; 퓨전 판타지</v>
      </c>
    </row>
    <row r="2463" spans="1:57" x14ac:dyDescent="0.3">
      <c r="A2463">
        <v>2313000685</v>
      </c>
      <c r="B2463">
        <v>2313000797</v>
      </c>
      <c r="C2463" t="str">
        <f>T("라지에르의 서 114화")</f>
        <v>라지에르의 서 114화</v>
      </c>
      <c r="D2463" t="str">
        <f>T("113")</f>
        <v>113</v>
      </c>
      <c r="E2463" t="str">
        <f t="shared" si="385"/>
        <v>공든탑</v>
      </c>
      <c r="H2463" t="str">
        <f t="shared" si="384"/>
        <v>스토리위즈</v>
      </c>
      <c r="I2463" t="str">
        <f t="shared" si="386"/>
        <v>라지에르의 서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/>
      <c r="AQ2463">
        <v>0</v>
      </c>
      <c r="AR2463">
        <v>0</v>
      </c>
      <c r="AT2463">
        <v>0</v>
      </c>
      <c r="AU2463">
        <v>0</v>
      </c>
      <c r="AW2463">
        <v>0</v>
      </c>
      <c r="AX2463">
        <v>0</v>
      </c>
      <c r="AY2463">
        <v>70</v>
      </c>
      <c r="BC2463" t="str">
        <f t="shared" si="387"/>
        <v>9791159285783</v>
      </c>
      <c r="BE2463" t="str">
        <f t="shared" si="388"/>
        <v>판타지 웹소설 &gt; 퓨전 판타지</v>
      </c>
    </row>
    <row r="2464" spans="1:57" x14ac:dyDescent="0.3">
      <c r="A2464">
        <v>2313000685</v>
      </c>
      <c r="B2464">
        <v>2313000798</v>
      </c>
      <c r="C2464" t="str">
        <f>T("라지에르의 서 115화")</f>
        <v>라지에르의 서 115화</v>
      </c>
      <c r="D2464" t="str">
        <f>T("114")</f>
        <v>114</v>
      </c>
      <c r="E2464" t="str">
        <f t="shared" si="385"/>
        <v>공든탑</v>
      </c>
      <c r="H2464" t="str">
        <f t="shared" si="384"/>
        <v>스토리위즈</v>
      </c>
      <c r="I2464" t="str">
        <f t="shared" si="386"/>
        <v>라지에르의 서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/>
      <c r="AQ2464">
        <v>0</v>
      </c>
      <c r="AR2464">
        <v>0</v>
      </c>
      <c r="AT2464">
        <v>0</v>
      </c>
      <c r="AU2464">
        <v>0</v>
      </c>
      <c r="AW2464">
        <v>0</v>
      </c>
      <c r="AX2464">
        <v>0</v>
      </c>
      <c r="AY2464">
        <v>70</v>
      </c>
      <c r="BC2464" t="str">
        <f t="shared" si="387"/>
        <v>9791159285783</v>
      </c>
      <c r="BE2464" t="str">
        <f t="shared" si="388"/>
        <v>판타지 웹소설 &gt; 퓨전 판타지</v>
      </c>
    </row>
    <row r="2465" spans="1:57" x14ac:dyDescent="0.3">
      <c r="A2465">
        <v>2313000685</v>
      </c>
      <c r="B2465">
        <v>2313000799</v>
      </c>
      <c r="C2465" t="str">
        <f>T("라지에르의 서 116화")</f>
        <v>라지에르의 서 116화</v>
      </c>
      <c r="D2465" t="str">
        <f>T("115")</f>
        <v>115</v>
      </c>
      <c r="E2465" t="str">
        <f t="shared" si="385"/>
        <v>공든탑</v>
      </c>
      <c r="H2465" t="str">
        <f t="shared" si="384"/>
        <v>스토리위즈</v>
      </c>
      <c r="I2465" t="str">
        <f t="shared" si="386"/>
        <v>라지에르의 서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/>
      <c r="AQ2465">
        <v>0</v>
      </c>
      <c r="AR2465">
        <v>0</v>
      </c>
      <c r="AT2465">
        <v>0</v>
      </c>
      <c r="AU2465">
        <v>0</v>
      </c>
      <c r="AW2465">
        <v>0</v>
      </c>
      <c r="AX2465">
        <v>0</v>
      </c>
      <c r="AY2465">
        <v>70</v>
      </c>
      <c r="BC2465" t="str">
        <f t="shared" si="387"/>
        <v>9791159285783</v>
      </c>
      <c r="BE2465" t="str">
        <f t="shared" si="388"/>
        <v>판타지 웹소설 &gt; 퓨전 판타지</v>
      </c>
    </row>
    <row r="2466" spans="1:57" x14ac:dyDescent="0.3">
      <c r="A2466">
        <v>2313000685</v>
      </c>
      <c r="B2466">
        <v>2313000800</v>
      </c>
      <c r="C2466" t="str">
        <f>T("라지에르의 서 117화")</f>
        <v>라지에르의 서 117화</v>
      </c>
      <c r="D2466" t="str">
        <f>T("116")</f>
        <v>116</v>
      </c>
      <c r="E2466" t="str">
        <f t="shared" si="385"/>
        <v>공든탑</v>
      </c>
      <c r="H2466" t="str">
        <f t="shared" si="384"/>
        <v>스토리위즈</v>
      </c>
      <c r="I2466" t="str">
        <f t="shared" si="386"/>
        <v>라지에르의 서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/>
      <c r="AQ2466">
        <v>0</v>
      </c>
      <c r="AR2466">
        <v>0</v>
      </c>
      <c r="AT2466">
        <v>0</v>
      </c>
      <c r="AU2466">
        <v>0</v>
      </c>
      <c r="AW2466">
        <v>0</v>
      </c>
      <c r="AX2466">
        <v>0</v>
      </c>
      <c r="AY2466">
        <v>70</v>
      </c>
      <c r="BC2466" t="str">
        <f t="shared" si="387"/>
        <v>9791159285783</v>
      </c>
      <c r="BE2466" t="str">
        <f t="shared" si="388"/>
        <v>판타지 웹소설 &gt; 퓨전 판타지</v>
      </c>
    </row>
    <row r="2467" spans="1:57" x14ac:dyDescent="0.3">
      <c r="A2467">
        <v>2313000685</v>
      </c>
      <c r="B2467">
        <v>2313000801</v>
      </c>
      <c r="C2467" t="str">
        <f>T("라지에르의 서 118화")</f>
        <v>라지에르의 서 118화</v>
      </c>
      <c r="D2467" t="str">
        <f>T("117")</f>
        <v>117</v>
      </c>
      <c r="E2467" t="str">
        <f t="shared" si="385"/>
        <v>공든탑</v>
      </c>
      <c r="H2467" t="str">
        <f t="shared" si="384"/>
        <v>스토리위즈</v>
      </c>
      <c r="I2467" t="str">
        <f t="shared" si="386"/>
        <v>라지에르의 서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/>
      <c r="AQ2467">
        <v>0</v>
      </c>
      <c r="AR2467">
        <v>0</v>
      </c>
      <c r="AT2467">
        <v>0</v>
      </c>
      <c r="AU2467">
        <v>0</v>
      </c>
      <c r="AW2467">
        <v>0</v>
      </c>
      <c r="AX2467">
        <v>0</v>
      </c>
      <c r="AY2467">
        <v>70</v>
      </c>
      <c r="BC2467" t="str">
        <f t="shared" si="387"/>
        <v>9791159285783</v>
      </c>
      <c r="BE2467" t="str">
        <f t="shared" si="388"/>
        <v>판타지 웹소설 &gt; 퓨전 판타지</v>
      </c>
    </row>
    <row r="2468" spans="1:57" x14ac:dyDescent="0.3">
      <c r="A2468">
        <v>2313000685</v>
      </c>
      <c r="B2468">
        <v>2313000802</v>
      </c>
      <c r="C2468" t="str">
        <f>T("라지에르의 서 119화")</f>
        <v>라지에르의 서 119화</v>
      </c>
      <c r="D2468" t="str">
        <f>T("118")</f>
        <v>118</v>
      </c>
      <c r="E2468" t="str">
        <f t="shared" si="385"/>
        <v>공든탑</v>
      </c>
      <c r="H2468" t="str">
        <f t="shared" si="384"/>
        <v>스토리위즈</v>
      </c>
      <c r="I2468" t="str">
        <f t="shared" si="386"/>
        <v>라지에르의 서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/>
      <c r="AQ2468">
        <v>0</v>
      </c>
      <c r="AR2468">
        <v>0</v>
      </c>
      <c r="AT2468">
        <v>0</v>
      </c>
      <c r="AU2468">
        <v>0</v>
      </c>
      <c r="AW2468">
        <v>0</v>
      </c>
      <c r="AX2468">
        <v>0</v>
      </c>
      <c r="AY2468">
        <v>70</v>
      </c>
      <c r="BC2468" t="str">
        <f t="shared" si="387"/>
        <v>9791159285783</v>
      </c>
      <c r="BE2468" t="str">
        <f t="shared" si="388"/>
        <v>판타지 웹소설 &gt; 퓨전 판타지</v>
      </c>
    </row>
    <row r="2469" spans="1:57" x14ac:dyDescent="0.3">
      <c r="A2469">
        <v>2313000685</v>
      </c>
      <c r="B2469">
        <v>2313000803</v>
      </c>
      <c r="C2469" t="str">
        <f>T("라지에르의 서 120화")</f>
        <v>라지에르의 서 120화</v>
      </c>
      <c r="D2469" t="str">
        <f>T("119")</f>
        <v>119</v>
      </c>
      <c r="E2469" t="str">
        <f t="shared" si="385"/>
        <v>공든탑</v>
      </c>
      <c r="H2469" t="str">
        <f t="shared" si="384"/>
        <v>스토리위즈</v>
      </c>
      <c r="I2469" t="str">
        <f t="shared" si="386"/>
        <v>라지에르의 서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/>
      <c r="AQ2469">
        <v>0</v>
      </c>
      <c r="AR2469">
        <v>0</v>
      </c>
      <c r="AT2469">
        <v>0</v>
      </c>
      <c r="AU2469">
        <v>0</v>
      </c>
      <c r="AW2469">
        <v>0</v>
      </c>
      <c r="AX2469">
        <v>0</v>
      </c>
      <c r="AY2469">
        <v>70</v>
      </c>
      <c r="BC2469" t="str">
        <f t="shared" si="387"/>
        <v>9791159285783</v>
      </c>
      <c r="BE2469" t="str">
        <f t="shared" si="388"/>
        <v>판타지 웹소설 &gt; 퓨전 판타지</v>
      </c>
    </row>
    <row r="2470" spans="1:57" x14ac:dyDescent="0.3">
      <c r="A2470">
        <v>2313000685</v>
      </c>
      <c r="B2470">
        <v>2313000804</v>
      </c>
      <c r="C2470" t="str">
        <f>T("라지에르의 서 121화")</f>
        <v>라지에르의 서 121화</v>
      </c>
      <c r="D2470" t="str">
        <f>T("120")</f>
        <v>120</v>
      </c>
      <c r="E2470" t="str">
        <f t="shared" si="385"/>
        <v>공든탑</v>
      </c>
      <c r="H2470" t="str">
        <f t="shared" si="384"/>
        <v>스토리위즈</v>
      </c>
      <c r="I2470" t="str">
        <f t="shared" si="386"/>
        <v>라지에르의 서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/>
      <c r="AQ2470">
        <v>0</v>
      </c>
      <c r="AR2470">
        <v>0</v>
      </c>
      <c r="AT2470">
        <v>0</v>
      </c>
      <c r="AU2470">
        <v>0</v>
      </c>
      <c r="AW2470">
        <v>0</v>
      </c>
      <c r="AX2470">
        <v>0</v>
      </c>
      <c r="AY2470">
        <v>70</v>
      </c>
      <c r="BC2470" t="str">
        <f t="shared" si="387"/>
        <v>9791159285783</v>
      </c>
      <c r="BE2470" t="str">
        <f t="shared" si="388"/>
        <v>판타지 웹소설 &gt; 퓨전 판타지</v>
      </c>
    </row>
    <row r="2471" spans="1:57" x14ac:dyDescent="0.3">
      <c r="A2471">
        <v>2313000685</v>
      </c>
      <c r="B2471">
        <v>2313000805</v>
      </c>
      <c r="C2471" t="str">
        <f>T("라지에르의 서 122화")</f>
        <v>라지에르의 서 122화</v>
      </c>
      <c r="D2471" t="str">
        <f>T("121")</f>
        <v>121</v>
      </c>
      <c r="E2471" t="str">
        <f t="shared" si="385"/>
        <v>공든탑</v>
      </c>
      <c r="H2471" t="str">
        <f t="shared" si="384"/>
        <v>스토리위즈</v>
      </c>
      <c r="I2471" t="str">
        <f t="shared" si="386"/>
        <v>라지에르의 서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/>
      <c r="AQ2471">
        <v>0</v>
      </c>
      <c r="AR2471">
        <v>0</v>
      </c>
      <c r="AT2471">
        <v>0</v>
      </c>
      <c r="AU2471">
        <v>0</v>
      </c>
      <c r="AW2471">
        <v>0</v>
      </c>
      <c r="AX2471">
        <v>0</v>
      </c>
      <c r="AY2471">
        <v>70</v>
      </c>
      <c r="BC2471" t="str">
        <f t="shared" si="387"/>
        <v>9791159285783</v>
      </c>
      <c r="BE2471" t="str">
        <f t="shared" si="388"/>
        <v>판타지 웹소설 &gt; 퓨전 판타지</v>
      </c>
    </row>
    <row r="2472" spans="1:57" x14ac:dyDescent="0.3">
      <c r="A2472">
        <v>2313000685</v>
      </c>
      <c r="B2472">
        <v>2313000806</v>
      </c>
      <c r="C2472" t="str">
        <f>T("라지에르의 서 123화")</f>
        <v>라지에르의 서 123화</v>
      </c>
      <c r="D2472" t="str">
        <f>T("122")</f>
        <v>122</v>
      </c>
      <c r="E2472" t="str">
        <f t="shared" si="385"/>
        <v>공든탑</v>
      </c>
      <c r="H2472" t="str">
        <f t="shared" si="384"/>
        <v>스토리위즈</v>
      </c>
      <c r="I2472" t="str">
        <f t="shared" si="386"/>
        <v>라지에르의 서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/>
      <c r="AQ2472">
        <v>0</v>
      </c>
      <c r="AR2472">
        <v>0</v>
      </c>
      <c r="AT2472">
        <v>0</v>
      </c>
      <c r="AU2472">
        <v>0</v>
      </c>
      <c r="AW2472">
        <v>0</v>
      </c>
      <c r="AX2472">
        <v>0</v>
      </c>
      <c r="AY2472">
        <v>70</v>
      </c>
      <c r="BC2472" t="str">
        <f t="shared" si="387"/>
        <v>9791159285783</v>
      </c>
      <c r="BE2472" t="str">
        <f t="shared" si="388"/>
        <v>판타지 웹소설 &gt; 퓨전 판타지</v>
      </c>
    </row>
    <row r="2473" spans="1:57" x14ac:dyDescent="0.3">
      <c r="A2473">
        <v>2313000685</v>
      </c>
      <c r="B2473">
        <v>2313000807</v>
      </c>
      <c r="C2473" t="str">
        <f>T("라지에르의 서 124화")</f>
        <v>라지에르의 서 124화</v>
      </c>
      <c r="D2473" t="str">
        <f>T("123")</f>
        <v>123</v>
      </c>
      <c r="E2473" t="str">
        <f t="shared" si="385"/>
        <v>공든탑</v>
      </c>
      <c r="H2473" t="str">
        <f t="shared" si="384"/>
        <v>스토리위즈</v>
      </c>
      <c r="I2473" t="str">
        <f t="shared" si="386"/>
        <v>라지에르의 서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/>
      <c r="AQ2473">
        <v>0</v>
      </c>
      <c r="AR2473">
        <v>0</v>
      </c>
      <c r="AT2473">
        <v>0</v>
      </c>
      <c r="AU2473">
        <v>0</v>
      </c>
      <c r="AW2473">
        <v>0</v>
      </c>
      <c r="AX2473">
        <v>0</v>
      </c>
      <c r="AY2473">
        <v>70</v>
      </c>
      <c r="BC2473" t="str">
        <f t="shared" si="387"/>
        <v>9791159285783</v>
      </c>
      <c r="BE2473" t="str">
        <f t="shared" si="388"/>
        <v>판타지 웹소설 &gt; 퓨전 판타지</v>
      </c>
    </row>
    <row r="2474" spans="1:57" x14ac:dyDescent="0.3">
      <c r="A2474">
        <v>2313000685</v>
      </c>
      <c r="B2474">
        <v>2313000808</v>
      </c>
      <c r="C2474" t="str">
        <f>T("라지에르의 서 125화")</f>
        <v>라지에르의 서 125화</v>
      </c>
      <c r="D2474" t="str">
        <f>T("124")</f>
        <v>124</v>
      </c>
      <c r="E2474" t="str">
        <f t="shared" si="385"/>
        <v>공든탑</v>
      </c>
      <c r="H2474" t="str">
        <f t="shared" si="384"/>
        <v>스토리위즈</v>
      </c>
      <c r="I2474" t="str">
        <f t="shared" si="386"/>
        <v>라지에르의 서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/>
      <c r="AQ2474">
        <v>0</v>
      </c>
      <c r="AR2474">
        <v>0</v>
      </c>
      <c r="AT2474">
        <v>0</v>
      </c>
      <c r="AU2474">
        <v>0</v>
      </c>
      <c r="AW2474">
        <v>0</v>
      </c>
      <c r="AX2474">
        <v>0</v>
      </c>
      <c r="AY2474">
        <v>70</v>
      </c>
      <c r="BC2474" t="str">
        <f t="shared" si="387"/>
        <v>9791159285783</v>
      </c>
      <c r="BE2474" t="str">
        <f t="shared" si="388"/>
        <v>판타지 웹소설 &gt; 퓨전 판타지</v>
      </c>
    </row>
    <row r="2475" spans="1:57" x14ac:dyDescent="0.3">
      <c r="A2475">
        <v>2313000685</v>
      </c>
      <c r="B2475">
        <v>2313000809</v>
      </c>
      <c r="C2475" t="str">
        <f>T("라지에르의 서 126화")</f>
        <v>라지에르의 서 126화</v>
      </c>
      <c r="D2475" t="str">
        <f>T("125")</f>
        <v>125</v>
      </c>
      <c r="E2475" t="str">
        <f t="shared" si="385"/>
        <v>공든탑</v>
      </c>
      <c r="H2475" t="str">
        <f t="shared" si="384"/>
        <v>스토리위즈</v>
      </c>
      <c r="I2475" t="str">
        <f t="shared" si="386"/>
        <v>라지에르의 서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/>
      <c r="AQ2475">
        <v>0</v>
      </c>
      <c r="AR2475">
        <v>0</v>
      </c>
      <c r="AT2475">
        <v>0</v>
      </c>
      <c r="AU2475">
        <v>0</v>
      </c>
      <c r="AW2475">
        <v>0</v>
      </c>
      <c r="AX2475">
        <v>0</v>
      </c>
      <c r="AY2475">
        <v>70</v>
      </c>
      <c r="BC2475" t="str">
        <f t="shared" si="387"/>
        <v>9791159285783</v>
      </c>
      <c r="BE2475" t="str">
        <f t="shared" si="388"/>
        <v>판타지 웹소설 &gt; 퓨전 판타지</v>
      </c>
    </row>
    <row r="2476" spans="1:57" x14ac:dyDescent="0.3">
      <c r="A2476">
        <v>2313000685</v>
      </c>
      <c r="B2476">
        <v>2313000810</v>
      </c>
      <c r="C2476" t="str">
        <f>T("라지에르의 서 127화")</f>
        <v>라지에르의 서 127화</v>
      </c>
      <c r="D2476" t="str">
        <f>T("126")</f>
        <v>126</v>
      </c>
      <c r="E2476" t="str">
        <f t="shared" si="385"/>
        <v>공든탑</v>
      </c>
      <c r="H2476" t="str">
        <f t="shared" si="384"/>
        <v>스토리위즈</v>
      </c>
      <c r="I2476" t="str">
        <f t="shared" si="386"/>
        <v>라지에르의 서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/>
      <c r="AQ2476">
        <v>0</v>
      </c>
      <c r="AR2476">
        <v>0</v>
      </c>
      <c r="AT2476">
        <v>0</v>
      </c>
      <c r="AU2476">
        <v>0</v>
      </c>
      <c r="AW2476">
        <v>0</v>
      </c>
      <c r="AX2476">
        <v>0</v>
      </c>
      <c r="AY2476">
        <v>70</v>
      </c>
      <c r="BC2476" t="str">
        <f t="shared" si="387"/>
        <v>9791159285783</v>
      </c>
      <c r="BE2476" t="str">
        <f t="shared" si="388"/>
        <v>판타지 웹소설 &gt; 퓨전 판타지</v>
      </c>
    </row>
    <row r="2477" spans="1:57" x14ac:dyDescent="0.3">
      <c r="A2477">
        <v>2313000685</v>
      </c>
      <c r="B2477">
        <v>2313000811</v>
      </c>
      <c r="C2477" t="str">
        <f>T("라지에르의 서 128화")</f>
        <v>라지에르의 서 128화</v>
      </c>
      <c r="D2477" t="str">
        <f>T("127")</f>
        <v>127</v>
      </c>
      <c r="E2477" t="str">
        <f t="shared" si="385"/>
        <v>공든탑</v>
      </c>
      <c r="H2477" t="str">
        <f t="shared" si="384"/>
        <v>스토리위즈</v>
      </c>
      <c r="I2477" t="str">
        <f t="shared" si="386"/>
        <v>라지에르의 서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/>
      <c r="AQ2477">
        <v>0</v>
      </c>
      <c r="AR2477">
        <v>0</v>
      </c>
      <c r="AT2477">
        <v>0</v>
      </c>
      <c r="AU2477">
        <v>0</v>
      </c>
      <c r="AW2477">
        <v>0</v>
      </c>
      <c r="AX2477">
        <v>0</v>
      </c>
      <c r="AY2477">
        <v>70</v>
      </c>
      <c r="BC2477" t="str">
        <f t="shared" si="387"/>
        <v>9791159285783</v>
      </c>
      <c r="BE2477" t="str">
        <f t="shared" si="388"/>
        <v>판타지 웹소설 &gt; 퓨전 판타지</v>
      </c>
    </row>
    <row r="2478" spans="1:57" x14ac:dyDescent="0.3">
      <c r="A2478">
        <v>2313000685</v>
      </c>
      <c r="B2478">
        <v>2313000812</v>
      </c>
      <c r="C2478" t="str">
        <f>T("라지에르의 서 129화")</f>
        <v>라지에르의 서 129화</v>
      </c>
      <c r="D2478" t="str">
        <f>T("128")</f>
        <v>128</v>
      </c>
      <c r="E2478" t="str">
        <f t="shared" si="385"/>
        <v>공든탑</v>
      </c>
      <c r="H2478" t="str">
        <f t="shared" si="384"/>
        <v>스토리위즈</v>
      </c>
      <c r="I2478" t="str">
        <f t="shared" si="386"/>
        <v>라지에르의 서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/>
      <c r="AQ2478">
        <v>0</v>
      </c>
      <c r="AR2478">
        <v>0</v>
      </c>
      <c r="AT2478">
        <v>0</v>
      </c>
      <c r="AU2478">
        <v>0</v>
      </c>
      <c r="AW2478">
        <v>0</v>
      </c>
      <c r="AX2478">
        <v>0</v>
      </c>
      <c r="AY2478">
        <v>70</v>
      </c>
      <c r="BC2478" t="str">
        <f t="shared" si="387"/>
        <v>9791159285783</v>
      </c>
      <c r="BE2478" t="str">
        <f t="shared" si="388"/>
        <v>판타지 웹소설 &gt; 퓨전 판타지</v>
      </c>
    </row>
    <row r="2479" spans="1:57" x14ac:dyDescent="0.3">
      <c r="A2479">
        <v>2313000685</v>
      </c>
      <c r="B2479">
        <v>2313000813</v>
      </c>
      <c r="C2479" t="str">
        <f>T("라지에르의 서 130화")</f>
        <v>라지에르의 서 130화</v>
      </c>
      <c r="D2479" t="str">
        <f>T("129")</f>
        <v>129</v>
      </c>
      <c r="E2479" t="str">
        <f t="shared" si="385"/>
        <v>공든탑</v>
      </c>
      <c r="H2479" t="str">
        <f t="shared" si="384"/>
        <v>스토리위즈</v>
      </c>
      <c r="I2479" t="str">
        <f t="shared" si="386"/>
        <v>라지에르의 서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/>
      <c r="AQ2479">
        <v>0</v>
      </c>
      <c r="AR2479">
        <v>0</v>
      </c>
      <c r="AT2479">
        <v>0</v>
      </c>
      <c r="AU2479">
        <v>0</v>
      </c>
      <c r="AW2479">
        <v>0</v>
      </c>
      <c r="AX2479">
        <v>0</v>
      </c>
      <c r="AY2479">
        <v>70</v>
      </c>
      <c r="BC2479" t="str">
        <f t="shared" si="387"/>
        <v>9791159285783</v>
      </c>
      <c r="BE2479" t="str">
        <f t="shared" si="388"/>
        <v>판타지 웹소설 &gt; 퓨전 판타지</v>
      </c>
    </row>
    <row r="2480" spans="1:57" x14ac:dyDescent="0.3">
      <c r="A2480">
        <v>2313000685</v>
      </c>
      <c r="B2480">
        <v>2313000814</v>
      </c>
      <c r="C2480" t="str">
        <f>T("라지에르의 서 131화")</f>
        <v>라지에르의 서 131화</v>
      </c>
      <c r="D2480" t="str">
        <f>T("130")</f>
        <v>130</v>
      </c>
      <c r="E2480" t="str">
        <f t="shared" si="385"/>
        <v>공든탑</v>
      </c>
      <c r="H2480" t="str">
        <f t="shared" si="384"/>
        <v>스토리위즈</v>
      </c>
      <c r="I2480" t="str">
        <f t="shared" si="386"/>
        <v>라지에르의 서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/>
      <c r="AQ2480">
        <v>0</v>
      </c>
      <c r="AR2480">
        <v>0</v>
      </c>
      <c r="AT2480">
        <v>0</v>
      </c>
      <c r="AU2480">
        <v>0</v>
      </c>
      <c r="AW2480">
        <v>0</v>
      </c>
      <c r="AX2480">
        <v>0</v>
      </c>
      <c r="AY2480">
        <v>70</v>
      </c>
      <c r="BC2480" t="str">
        <f t="shared" si="387"/>
        <v>9791159285783</v>
      </c>
      <c r="BE2480" t="str">
        <f t="shared" si="388"/>
        <v>판타지 웹소설 &gt; 퓨전 판타지</v>
      </c>
    </row>
    <row r="2481" spans="1:57" x14ac:dyDescent="0.3">
      <c r="A2481">
        <v>2313000685</v>
      </c>
      <c r="B2481">
        <v>2313000815</v>
      </c>
      <c r="C2481" t="str">
        <f>T("라지에르의 서 132화")</f>
        <v>라지에르의 서 132화</v>
      </c>
      <c r="D2481" t="str">
        <f>T("131")</f>
        <v>131</v>
      </c>
      <c r="E2481" t="str">
        <f t="shared" si="385"/>
        <v>공든탑</v>
      </c>
      <c r="H2481" t="str">
        <f t="shared" si="384"/>
        <v>스토리위즈</v>
      </c>
      <c r="I2481" t="str">
        <f t="shared" si="386"/>
        <v>라지에르의 서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/>
      <c r="AQ2481">
        <v>0</v>
      </c>
      <c r="AR2481">
        <v>0</v>
      </c>
      <c r="AT2481">
        <v>0</v>
      </c>
      <c r="AU2481">
        <v>0</v>
      </c>
      <c r="AW2481">
        <v>0</v>
      </c>
      <c r="AX2481">
        <v>0</v>
      </c>
      <c r="AY2481">
        <v>70</v>
      </c>
      <c r="BC2481" t="str">
        <f t="shared" si="387"/>
        <v>9791159285783</v>
      </c>
      <c r="BE2481" t="str">
        <f t="shared" si="388"/>
        <v>판타지 웹소설 &gt; 퓨전 판타지</v>
      </c>
    </row>
    <row r="2482" spans="1:57" x14ac:dyDescent="0.3">
      <c r="A2482">
        <v>2313000685</v>
      </c>
      <c r="B2482">
        <v>2313000816</v>
      </c>
      <c r="C2482" t="str">
        <f>T("라지에르의 서 133화")</f>
        <v>라지에르의 서 133화</v>
      </c>
      <c r="D2482" t="str">
        <f>T("132")</f>
        <v>132</v>
      </c>
      <c r="E2482" t="str">
        <f t="shared" si="385"/>
        <v>공든탑</v>
      </c>
      <c r="H2482" t="str">
        <f t="shared" si="384"/>
        <v>스토리위즈</v>
      </c>
      <c r="I2482" t="str">
        <f t="shared" si="386"/>
        <v>라지에르의 서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/>
      <c r="AQ2482">
        <v>0</v>
      </c>
      <c r="AR2482">
        <v>0</v>
      </c>
      <c r="AT2482">
        <v>0</v>
      </c>
      <c r="AU2482">
        <v>0</v>
      </c>
      <c r="AW2482">
        <v>0</v>
      </c>
      <c r="AX2482">
        <v>0</v>
      </c>
      <c r="AY2482">
        <v>70</v>
      </c>
      <c r="BC2482" t="str">
        <f t="shared" si="387"/>
        <v>9791159285783</v>
      </c>
      <c r="BE2482" t="str">
        <f t="shared" si="388"/>
        <v>판타지 웹소설 &gt; 퓨전 판타지</v>
      </c>
    </row>
    <row r="2483" spans="1:57" x14ac:dyDescent="0.3">
      <c r="A2483">
        <v>2313000685</v>
      </c>
      <c r="B2483">
        <v>2313000817</v>
      </c>
      <c r="C2483" t="str">
        <f>T("라지에르의 서 134화")</f>
        <v>라지에르의 서 134화</v>
      </c>
      <c r="D2483" t="str">
        <f>T("133")</f>
        <v>133</v>
      </c>
      <c r="E2483" t="str">
        <f t="shared" si="385"/>
        <v>공든탑</v>
      </c>
      <c r="H2483" t="str">
        <f t="shared" si="384"/>
        <v>스토리위즈</v>
      </c>
      <c r="I2483" t="str">
        <f t="shared" si="386"/>
        <v>라지에르의 서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/>
      <c r="AQ2483">
        <v>0</v>
      </c>
      <c r="AR2483">
        <v>0</v>
      </c>
      <c r="AT2483">
        <v>0</v>
      </c>
      <c r="AU2483">
        <v>0</v>
      </c>
      <c r="AW2483">
        <v>0</v>
      </c>
      <c r="AX2483">
        <v>0</v>
      </c>
      <c r="AY2483">
        <v>70</v>
      </c>
      <c r="BC2483" t="str">
        <f t="shared" si="387"/>
        <v>9791159285783</v>
      </c>
      <c r="BE2483" t="str">
        <f t="shared" si="388"/>
        <v>판타지 웹소설 &gt; 퓨전 판타지</v>
      </c>
    </row>
    <row r="2484" spans="1:57" x14ac:dyDescent="0.3">
      <c r="A2484">
        <v>2313000685</v>
      </c>
      <c r="B2484">
        <v>2313000818</v>
      </c>
      <c r="C2484" t="str">
        <f>T("라지에르의 서 135화")</f>
        <v>라지에르의 서 135화</v>
      </c>
      <c r="D2484" t="str">
        <f>T("134")</f>
        <v>134</v>
      </c>
      <c r="E2484" t="str">
        <f t="shared" si="385"/>
        <v>공든탑</v>
      </c>
      <c r="H2484" t="str">
        <f t="shared" si="384"/>
        <v>스토리위즈</v>
      </c>
      <c r="I2484" t="str">
        <f t="shared" si="386"/>
        <v>라지에르의 서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/>
      <c r="AQ2484">
        <v>0</v>
      </c>
      <c r="AR2484">
        <v>0</v>
      </c>
      <c r="AT2484">
        <v>0</v>
      </c>
      <c r="AU2484">
        <v>0</v>
      </c>
      <c r="AW2484">
        <v>0</v>
      </c>
      <c r="AX2484">
        <v>0</v>
      </c>
      <c r="AY2484">
        <v>70</v>
      </c>
      <c r="BC2484" t="str">
        <f t="shared" si="387"/>
        <v>9791159285783</v>
      </c>
      <c r="BE2484" t="str">
        <f t="shared" si="388"/>
        <v>판타지 웹소설 &gt; 퓨전 판타지</v>
      </c>
    </row>
    <row r="2485" spans="1:57" x14ac:dyDescent="0.3">
      <c r="A2485">
        <v>2313000685</v>
      </c>
      <c r="B2485">
        <v>2313000819</v>
      </c>
      <c r="C2485" t="str">
        <f>T("라지에르의 서 136화")</f>
        <v>라지에르의 서 136화</v>
      </c>
      <c r="D2485" t="str">
        <f>T("135")</f>
        <v>135</v>
      </c>
      <c r="E2485" t="str">
        <f t="shared" si="385"/>
        <v>공든탑</v>
      </c>
      <c r="H2485" t="str">
        <f t="shared" si="384"/>
        <v>스토리위즈</v>
      </c>
      <c r="I2485" t="str">
        <f t="shared" si="386"/>
        <v>라지에르의 서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/>
      <c r="AQ2485">
        <v>0</v>
      </c>
      <c r="AR2485">
        <v>0</v>
      </c>
      <c r="AT2485">
        <v>0</v>
      </c>
      <c r="AU2485">
        <v>0</v>
      </c>
      <c r="AW2485">
        <v>0</v>
      </c>
      <c r="AX2485">
        <v>0</v>
      </c>
      <c r="AY2485">
        <v>70</v>
      </c>
      <c r="BC2485" t="str">
        <f t="shared" si="387"/>
        <v>9791159285783</v>
      </c>
      <c r="BE2485" t="str">
        <f t="shared" si="388"/>
        <v>판타지 웹소설 &gt; 퓨전 판타지</v>
      </c>
    </row>
    <row r="2486" spans="1:57" x14ac:dyDescent="0.3">
      <c r="A2486">
        <v>2313000685</v>
      </c>
      <c r="B2486">
        <v>2313000820</v>
      </c>
      <c r="C2486" t="str">
        <f>T("라지에르의 서 137화")</f>
        <v>라지에르의 서 137화</v>
      </c>
      <c r="D2486" t="str">
        <f>T("136")</f>
        <v>136</v>
      </c>
      <c r="E2486" t="str">
        <f t="shared" si="385"/>
        <v>공든탑</v>
      </c>
      <c r="H2486" t="str">
        <f t="shared" si="384"/>
        <v>스토리위즈</v>
      </c>
      <c r="I2486" t="str">
        <f t="shared" si="386"/>
        <v>라지에르의 서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/>
      <c r="AQ2486">
        <v>0</v>
      </c>
      <c r="AR2486">
        <v>0</v>
      </c>
      <c r="AT2486">
        <v>0</v>
      </c>
      <c r="AU2486">
        <v>0</v>
      </c>
      <c r="AW2486">
        <v>0</v>
      </c>
      <c r="AX2486">
        <v>0</v>
      </c>
      <c r="AY2486">
        <v>70</v>
      </c>
      <c r="BC2486" t="str">
        <f t="shared" si="387"/>
        <v>9791159285783</v>
      </c>
      <c r="BE2486" t="str">
        <f t="shared" si="388"/>
        <v>판타지 웹소설 &gt; 퓨전 판타지</v>
      </c>
    </row>
    <row r="2487" spans="1:57" x14ac:dyDescent="0.3">
      <c r="A2487">
        <v>2313000685</v>
      </c>
      <c r="B2487">
        <v>2313000821</v>
      </c>
      <c r="C2487" t="str">
        <f>T("라지에르의 서 138화")</f>
        <v>라지에르의 서 138화</v>
      </c>
      <c r="D2487" t="str">
        <f>T("137")</f>
        <v>137</v>
      </c>
      <c r="E2487" t="str">
        <f t="shared" si="385"/>
        <v>공든탑</v>
      </c>
      <c r="H2487" t="str">
        <f t="shared" si="384"/>
        <v>스토리위즈</v>
      </c>
      <c r="I2487" t="str">
        <f t="shared" si="386"/>
        <v>라지에르의 서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/>
      <c r="AQ2487">
        <v>0</v>
      </c>
      <c r="AR2487">
        <v>0</v>
      </c>
      <c r="AT2487">
        <v>0</v>
      </c>
      <c r="AU2487">
        <v>0</v>
      </c>
      <c r="AW2487">
        <v>0</v>
      </c>
      <c r="AX2487">
        <v>0</v>
      </c>
      <c r="AY2487">
        <v>70</v>
      </c>
      <c r="BC2487" t="str">
        <f t="shared" si="387"/>
        <v>9791159285783</v>
      </c>
      <c r="BE2487" t="str">
        <f t="shared" si="388"/>
        <v>판타지 웹소설 &gt; 퓨전 판타지</v>
      </c>
    </row>
    <row r="2488" spans="1:57" x14ac:dyDescent="0.3">
      <c r="A2488">
        <v>2313000685</v>
      </c>
      <c r="B2488">
        <v>2313000822</v>
      </c>
      <c r="C2488" t="str">
        <f>T("라지에르의 서 139화")</f>
        <v>라지에르의 서 139화</v>
      </c>
      <c r="D2488" t="str">
        <f>T("138")</f>
        <v>138</v>
      </c>
      <c r="E2488" t="str">
        <f t="shared" si="385"/>
        <v>공든탑</v>
      </c>
      <c r="H2488" t="str">
        <f t="shared" ref="H2488:H2551" si="389">T("스토리위즈")</f>
        <v>스토리위즈</v>
      </c>
      <c r="I2488" t="str">
        <f t="shared" si="386"/>
        <v>라지에르의 서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/>
      <c r="AQ2488">
        <v>0</v>
      </c>
      <c r="AR2488">
        <v>0</v>
      </c>
      <c r="AT2488">
        <v>0</v>
      </c>
      <c r="AU2488">
        <v>0</v>
      </c>
      <c r="AW2488">
        <v>0</v>
      </c>
      <c r="AX2488">
        <v>0</v>
      </c>
      <c r="AY2488">
        <v>70</v>
      </c>
      <c r="BC2488" t="str">
        <f t="shared" si="387"/>
        <v>9791159285783</v>
      </c>
      <c r="BE2488" t="str">
        <f t="shared" si="388"/>
        <v>판타지 웹소설 &gt; 퓨전 판타지</v>
      </c>
    </row>
    <row r="2489" spans="1:57" x14ac:dyDescent="0.3">
      <c r="A2489">
        <v>2313000685</v>
      </c>
      <c r="B2489">
        <v>2313000823</v>
      </c>
      <c r="C2489" t="str">
        <f>T("라지에르의 서 140화")</f>
        <v>라지에르의 서 140화</v>
      </c>
      <c r="D2489" t="str">
        <f>T("139")</f>
        <v>139</v>
      </c>
      <c r="E2489" t="str">
        <f t="shared" si="385"/>
        <v>공든탑</v>
      </c>
      <c r="H2489" t="str">
        <f t="shared" si="389"/>
        <v>스토리위즈</v>
      </c>
      <c r="I2489" t="str">
        <f t="shared" si="386"/>
        <v>라지에르의 서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/>
      <c r="AQ2489">
        <v>0</v>
      </c>
      <c r="AR2489">
        <v>0</v>
      </c>
      <c r="AT2489">
        <v>0</v>
      </c>
      <c r="AU2489">
        <v>0</v>
      </c>
      <c r="AW2489">
        <v>0</v>
      </c>
      <c r="AX2489">
        <v>0</v>
      </c>
      <c r="AY2489">
        <v>70</v>
      </c>
      <c r="BC2489" t="str">
        <f t="shared" si="387"/>
        <v>9791159285783</v>
      </c>
      <c r="BE2489" t="str">
        <f t="shared" si="388"/>
        <v>판타지 웹소설 &gt; 퓨전 판타지</v>
      </c>
    </row>
    <row r="2490" spans="1:57" x14ac:dyDescent="0.3">
      <c r="A2490">
        <v>2313000685</v>
      </c>
      <c r="B2490">
        <v>2313000824</v>
      </c>
      <c r="C2490" t="str">
        <f>T("라지에르의 서 141화")</f>
        <v>라지에르의 서 141화</v>
      </c>
      <c r="D2490" t="str">
        <f>T("140")</f>
        <v>140</v>
      </c>
      <c r="E2490" t="str">
        <f t="shared" si="385"/>
        <v>공든탑</v>
      </c>
      <c r="H2490" t="str">
        <f t="shared" si="389"/>
        <v>스토리위즈</v>
      </c>
      <c r="I2490" t="str">
        <f t="shared" si="386"/>
        <v>라지에르의 서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100</v>
      </c>
      <c r="AL2490">
        <v>0</v>
      </c>
      <c r="AM2490">
        <v>0</v>
      </c>
      <c r="AN2490">
        <v>0</v>
      </c>
      <c r="AO2490">
        <v>0</v>
      </c>
      <c r="AP2490"/>
      <c r="AQ2490">
        <v>0</v>
      </c>
      <c r="AR2490">
        <v>0</v>
      </c>
      <c r="AT2490">
        <v>0</v>
      </c>
      <c r="AU2490">
        <v>0</v>
      </c>
      <c r="AW2490">
        <v>0</v>
      </c>
      <c r="AX2490">
        <v>0</v>
      </c>
      <c r="AY2490">
        <v>70</v>
      </c>
      <c r="BC2490" t="str">
        <f t="shared" si="387"/>
        <v>9791159285783</v>
      </c>
      <c r="BE2490" t="str">
        <f t="shared" si="388"/>
        <v>판타지 웹소설 &gt; 퓨전 판타지</v>
      </c>
    </row>
    <row r="2491" spans="1:57" x14ac:dyDescent="0.3">
      <c r="A2491">
        <v>2313000685</v>
      </c>
      <c r="B2491">
        <v>2313000825</v>
      </c>
      <c r="C2491" t="str">
        <f>T("라지에르의 서 142화")</f>
        <v>라지에르의 서 142화</v>
      </c>
      <c r="D2491" t="str">
        <f>T("141")</f>
        <v>141</v>
      </c>
      <c r="E2491" t="str">
        <f t="shared" si="385"/>
        <v>공든탑</v>
      </c>
      <c r="H2491" t="str">
        <f t="shared" si="389"/>
        <v>스토리위즈</v>
      </c>
      <c r="I2491" t="str">
        <f t="shared" si="386"/>
        <v>라지에르의 서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100</v>
      </c>
      <c r="AL2491">
        <v>0</v>
      </c>
      <c r="AM2491">
        <v>0</v>
      </c>
      <c r="AN2491">
        <v>0</v>
      </c>
      <c r="AO2491">
        <v>0</v>
      </c>
      <c r="AP2491"/>
      <c r="AQ2491">
        <v>0</v>
      </c>
      <c r="AR2491">
        <v>0</v>
      </c>
      <c r="AT2491">
        <v>0</v>
      </c>
      <c r="AU2491">
        <v>0</v>
      </c>
      <c r="AW2491">
        <v>0</v>
      </c>
      <c r="AX2491">
        <v>0</v>
      </c>
      <c r="AY2491">
        <v>70</v>
      </c>
      <c r="BC2491" t="str">
        <f t="shared" si="387"/>
        <v>9791159285783</v>
      </c>
      <c r="BE2491" t="str">
        <f t="shared" si="388"/>
        <v>판타지 웹소설 &gt; 퓨전 판타지</v>
      </c>
    </row>
    <row r="2492" spans="1:57" x14ac:dyDescent="0.3">
      <c r="A2492">
        <v>2313000685</v>
      </c>
      <c r="B2492">
        <v>2313000826</v>
      </c>
      <c r="C2492" t="str">
        <f>T("라지에르의 서 143화")</f>
        <v>라지에르의 서 143화</v>
      </c>
      <c r="D2492" t="str">
        <f>T("142")</f>
        <v>142</v>
      </c>
      <c r="E2492" t="str">
        <f t="shared" si="385"/>
        <v>공든탑</v>
      </c>
      <c r="H2492" t="str">
        <f t="shared" si="389"/>
        <v>스토리위즈</v>
      </c>
      <c r="I2492" t="str">
        <f t="shared" si="386"/>
        <v>라지에르의 서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/>
      <c r="AQ2492">
        <v>0</v>
      </c>
      <c r="AR2492">
        <v>0</v>
      </c>
      <c r="AT2492">
        <v>0</v>
      </c>
      <c r="AU2492">
        <v>0</v>
      </c>
      <c r="AW2492">
        <v>0</v>
      </c>
      <c r="AX2492">
        <v>0</v>
      </c>
      <c r="AY2492">
        <v>70</v>
      </c>
      <c r="BC2492" t="str">
        <f t="shared" si="387"/>
        <v>9791159285783</v>
      </c>
      <c r="BE2492" t="str">
        <f t="shared" si="388"/>
        <v>판타지 웹소설 &gt; 퓨전 판타지</v>
      </c>
    </row>
    <row r="2493" spans="1:57" x14ac:dyDescent="0.3">
      <c r="A2493">
        <v>2313000685</v>
      </c>
      <c r="B2493">
        <v>2313000827</v>
      </c>
      <c r="C2493" t="str">
        <f>T("라지에르의 서 144화")</f>
        <v>라지에르의 서 144화</v>
      </c>
      <c r="D2493" t="str">
        <f>T("143")</f>
        <v>143</v>
      </c>
      <c r="E2493" t="str">
        <f t="shared" si="385"/>
        <v>공든탑</v>
      </c>
      <c r="H2493" t="str">
        <f t="shared" si="389"/>
        <v>스토리위즈</v>
      </c>
      <c r="I2493" t="str">
        <f t="shared" si="386"/>
        <v>라지에르의 서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/>
      <c r="AQ2493">
        <v>0</v>
      </c>
      <c r="AR2493">
        <v>0</v>
      </c>
      <c r="AT2493">
        <v>0</v>
      </c>
      <c r="AU2493">
        <v>0</v>
      </c>
      <c r="AW2493">
        <v>0</v>
      </c>
      <c r="AX2493">
        <v>0</v>
      </c>
      <c r="AY2493">
        <v>70</v>
      </c>
      <c r="BC2493" t="str">
        <f t="shared" si="387"/>
        <v>9791159285783</v>
      </c>
      <c r="BE2493" t="str">
        <f t="shared" si="388"/>
        <v>판타지 웹소설 &gt; 퓨전 판타지</v>
      </c>
    </row>
    <row r="2494" spans="1:57" x14ac:dyDescent="0.3">
      <c r="A2494">
        <v>2313000685</v>
      </c>
      <c r="B2494">
        <v>2313000828</v>
      </c>
      <c r="C2494" t="str">
        <f>T("라지에르의 서 145화")</f>
        <v>라지에르의 서 145화</v>
      </c>
      <c r="D2494" t="str">
        <f>T("144")</f>
        <v>144</v>
      </c>
      <c r="E2494" t="str">
        <f t="shared" si="385"/>
        <v>공든탑</v>
      </c>
      <c r="H2494" t="str">
        <f t="shared" si="389"/>
        <v>스토리위즈</v>
      </c>
      <c r="I2494" t="str">
        <f t="shared" si="386"/>
        <v>라지에르의 서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/>
      <c r="AQ2494">
        <v>0</v>
      </c>
      <c r="AR2494">
        <v>0</v>
      </c>
      <c r="AT2494">
        <v>0</v>
      </c>
      <c r="AU2494">
        <v>0</v>
      </c>
      <c r="AW2494">
        <v>0</v>
      </c>
      <c r="AX2494">
        <v>0</v>
      </c>
      <c r="AY2494">
        <v>70</v>
      </c>
      <c r="BC2494" t="str">
        <f t="shared" si="387"/>
        <v>9791159285783</v>
      </c>
      <c r="BE2494" t="str">
        <f t="shared" si="388"/>
        <v>판타지 웹소설 &gt; 퓨전 판타지</v>
      </c>
    </row>
    <row r="2495" spans="1:57" x14ac:dyDescent="0.3">
      <c r="A2495">
        <v>2313000685</v>
      </c>
      <c r="B2495">
        <v>2313000829</v>
      </c>
      <c r="C2495" t="str">
        <f>T("라지에르의 서 146화")</f>
        <v>라지에르의 서 146화</v>
      </c>
      <c r="D2495" t="str">
        <f>T("145")</f>
        <v>145</v>
      </c>
      <c r="E2495" t="str">
        <f t="shared" si="385"/>
        <v>공든탑</v>
      </c>
      <c r="H2495" t="str">
        <f t="shared" si="389"/>
        <v>스토리위즈</v>
      </c>
      <c r="I2495" t="str">
        <f t="shared" si="386"/>
        <v>라지에르의 서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/>
      <c r="AQ2495">
        <v>0</v>
      </c>
      <c r="AR2495">
        <v>0</v>
      </c>
      <c r="AT2495">
        <v>0</v>
      </c>
      <c r="AU2495">
        <v>0</v>
      </c>
      <c r="AW2495">
        <v>0</v>
      </c>
      <c r="AX2495">
        <v>0</v>
      </c>
      <c r="AY2495">
        <v>70</v>
      </c>
      <c r="BC2495" t="str">
        <f t="shared" si="387"/>
        <v>9791159285783</v>
      </c>
      <c r="BE2495" t="str">
        <f t="shared" si="388"/>
        <v>판타지 웹소설 &gt; 퓨전 판타지</v>
      </c>
    </row>
    <row r="2496" spans="1:57" x14ac:dyDescent="0.3">
      <c r="A2496">
        <v>2313000685</v>
      </c>
      <c r="B2496">
        <v>2313000830</v>
      </c>
      <c r="C2496" t="str">
        <f>T("라지에르의 서 147화")</f>
        <v>라지에르의 서 147화</v>
      </c>
      <c r="D2496" t="str">
        <f>T("146")</f>
        <v>146</v>
      </c>
      <c r="E2496" t="str">
        <f t="shared" si="385"/>
        <v>공든탑</v>
      </c>
      <c r="H2496" t="str">
        <f t="shared" si="389"/>
        <v>스토리위즈</v>
      </c>
      <c r="I2496" t="str">
        <f t="shared" si="386"/>
        <v>라지에르의 서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/>
      <c r="AQ2496">
        <v>0</v>
      </c>
      <c r="AR2496">
        <v>0</v>
      </c>
      <c r="AT2496">
        <v>0</v>
      </c>
      <c r="AU2496">
        <v>0</v>
      </c>
      <c r="AW2496">
        <v>0</v>
      </c>
      <c r="AX2496">
        <v>0</v>
      </c>
      <c r="AY2496">
        <v>70</v>
      </c>
      <c r="BC2496" t="str">
        <f t="shared" si="387"/>
        <v>9791159285783</v>
      </c>
      <c r="BE2496" t="str">
        <f t="shared" si="388"/>
        <v>판타지 웹소설 &gt; 퓨전 판타지</v>
      </c>
    </row>
    <row r="2497" spans="1:57" x14ac:dyDescent="0.3">
      <c r="A2497">
        <v>2313000685</v>
      </c>
      <c r="B2497">
        <v>2313000831</v>
      </c>
      <c r="C2497" t="str">
        <f>T("라지에르의 서 148화")</f>
        <v>라지에르의 서 148화</v>
      </c>
      <c r="D2497" t="str">
        <f>T("147")</f>
        <v>147</v>
      </c>
      <c r="E2497" t="str">
        <f t="shared" si="385"/>
        <v>공든탑</v>
      </c>
      <c r="H2497" t="str">
        <f t="shared" si="389"/>
        <v>스토리위즈</v>
      </c>
      <c r="I2497" t="str">
        <f t="shared" si="386"/>
        <v>라지에르의 서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/>
      <c r="AQ2497">
        <v>0</v>
      </c>
      <c r="AR2497">
        <v>0</v>
      </c>
      <c r="AT2497">
        <v>0</v>
      </c>
      <c r="AU2497">
        <v>0</v>
      </c>
      <c r="AW2497">
        <v>0</v>
      </c>
      <c r="AX2497">
        <v>0</v>
      </c>
      <c r="AY2497">
        <v>70</v>
      </c>
      <c r="BC2497" t="str">
        <f t="shared" si="387"/>
        <v>9791159285783</v>
      </c>
      <c r="BE2497" t="str">
        <f t="shared" si="388"/>
        <v>판타지 웹소설 &gt; 퓨전 판타지</v>
      </c>
    </row>
    <row r="2498" spans="1:57" x14ac:dyDescent="0.3">
      <c r="A2498">
        <v>2313000685</v>
      </c>
      <c r="B2498">
        <v>2313000832</v>
      </c>
      <c r="C2498" t="str">
        <f>T("라지에르의 서 149화")</f>
        <v>라지에르의 서 149화</v>
      </c>
      <c r="D2498" t="str">
        <f>T("148")</f>
        <v>148</v>
      </c>
      <c r="E2498" t="str">
        <f t="shared" si="385"/>
        <v>공든탑</v>
      </c>
      <c r="H2498" t="str">
        <f t="shared" si="389"/>
        <v>스토리위즈</v>
      </c>
      <c r="I2498" t="str">
        <f t="shared" si="386"/>
        <v>라지에르의 서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/>
      <c r="AQ2498">
        <v>0</v>
      </c>
      <c r="AR2498">
        <v>0</v>
      </c>
      <c r="AT2498">
        <v>0</v>
      </c>
      <c r="AU2498">
        <v>0</v>
      </c>
      <c r="AW2498">
        <v>0</v>
      </c>
      <c r="AX2498">
        <v>0</v>
      </c>
      <c r="AY2498">
        <v>70</v>
      </c>
      <c r="BC2498" t="str">
        <f t="shared" si="387"/>
        <v>9791159285783</v>
      </c>
      <c r="BE2498" t="str">
        <f t="shared" si="388"/>
        <v>판타지 웹소설 &gt; 퓨전 판타지</v>
      </c>
    </row>
    <row r="2499" spans="1:57" x14ac:dyDescent="0.3">
      <c r="A2499">
        <v>2313000685</v>
      </c>
      <c r="B2499">
        <v>2313000833</v>
      </c>
      <c r="C2499" t="str">
        <f>T("라지에르의 서 150화")</f>
        <v>라지에르의 서 150화</v>
      </c>
      <c r="D2499" t="str">
        <f>T("149")</f>
        <v>149</v>
      </c>
      <c r="E2499" t="str">
        <f t="shared" si="385"/>
        <v>공든탑</v>
      </c>
      <c r="H2499" t="str">
        <f t="shared" si="389"/>
        <v>스토리위즈</v>
      </c>
      <c r="I2499" t="str">
        <f t="shared" si="386"/>
        <v>라지에르의 서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100</v>
      </c>
      <c r="AL2499">
        <v>0</v>
      </c>
      <c r="AM2499">
        <v>0</v>
      </c>
      <c r="AN2499">
        <v>0</v>
      </c>
      <c r="AO2499">
        <v>0</v>
      </c>
      <c r="AP2499"/>
      <c r="AQ2499">
        <v>0</v>
      </c>
      <c r="AR2499">
        <v>0</v>
      </c>
      <c r="AT2499">
        <v>0</v>
      </c>
      <c r="AU2499">
        <v>0</v>
      </c>
      <c r="AW2499">
        <v>0</v>
      </c>
      <c r="AX2499">
        <v>0</v>
      </c>
      <c r="AY2499">
        <v>70</v>
      </c>
      <c r="BC2499" t="str">
        <f t="shared" si="387"/>
        <v>9791159285783</v>
      </c>
      <c r="BE2499" t="str">
        <f t="shared" si="388"/>
        <v>판타지 웹소설 &gt; 퓨전 판타지</v>
      </c>
    </row>
    <row r="2500" spans="1:57" x14ac:dyDescent="0.3">
      <c r="A2500">
        <v>2313000685</v>
      </c>
      <c r="B2500">
        <v>2313000834</v>
      </c>
      <c r="C2500" t="str">
        <f>T("라지에르의 서 151화")</f>
        <v>라지에르의 서 151화</v>
      </c>
      <c r="D2500" t="str">
        <f>T("150")</f>
        <v>150</v>
      </c>
      <c r="E2500" t="str">
        <f t="shared" si="385"/>
        <v>공든탑</v>
      </c>
      <c r="H2500" t="str">
        <f t="shared" si="389"/>
        <v>스토리위즈</v>
      </c>
      <c r="I2500" t="str">
        <f t="shared" si="386"/>
        <v>라지에르의 서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/>
      <c r="AQ2500">
        <v>0</v>
      </c>
      <c r="AR2500">
        <v>0</v>
      </c>
      <c r="AT2500">
        <v>0</v>
      </c>
      <c r="AU2500">
        <v>0</v>
      </c>
      <c r="AW2500">
        <v>0</v>
      </c>
      <c r="AX2500">
        <v>0</v>
      </c>
      <c r="AY2500">
        <v>70</v>
      </c>
      <c r="BC2500" t="str">
        <f t="shared" si="387"/>
        <v>9791159285783</v>
      </c>
      <c r="BE2500" t="str">
        <f t="shared" si="388"/>
        <v>판타지 웹소설 &gt; 퓨전 판타지</v>
      </c>
    </row>
    <row r="2501" spans="1:57" x14ac:dyDescent="0.3">
      <c r="A2501">
        <v>2313000685</v>
      </c>
      <c r="B2501">
        <v>2313000835</v>
      </c>
      <c r="C2501" t="str">
        <f>T("라지에르의 서 152화")</f>
        <v>라지에르의 서 152화</v>
      </c>
      <c r="D2501" t="str">
        <f>T("151")</f>
        <v>151</v>
      </c>
      <c r="E2501" t="str">
        <f t="shared" si="385"/>
        <v>공든탑</v>
      </c>
      <c r="H2501" t="str">
        <f t="shared" si="389"/>
        <v>스토리위즈</v>
      </c>
      <c r="I2501" t="str">
        <f t="shared" si="386"/>
        <v>라지에르의 서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/>
      <c r="AQ2501">
        <v>0</v>
      </c>
      <c r="AR2501">
        <v>0</v>
      </c>
      <c r="AT2501">
        <v>0</v>
      </c>
      <c r="AU2501">
        <v>0</v>
      </c>
      <c r="AW2501">
        <v>0</v>
      </c>
      <c r="AX2501">
        <v>0</v>
      </c>
      <c r="AY2501">
        <v>70</v>
      </c>
      <c r="BC2501" t="str">
        <f t="shared" si="387"/>
        <v>9791159285783</v>
      </c>
      <c r="BE2501" t="str">
        <f t="shared" si="388"/>
        <v>판타지 웹소설 &gt; 퓨전 판타지</v>
      </c>
    </row>
    <row r="2502" spans="1:57" x14ac:dyDescent="0.3">
      <c r="A2502">
        <v>2313000685</v>
      </c>
      <c r="B2502">
        <v>2313000836</v>
      </c>
      <c r="C2502" t="str">
        <f>T("라지에르의 서 153화")</f>
        <v>라지에르의 서 153화</v>
      </c>
      <c r="D2502" t="str">
        <f>T("152")</f>
        <v>152</v>
      </c>
      <c r="E2502" t="str">
        <f t="shared" si="385"/>
        <v>공든탑</v>
      </c>
      <c r="H2502" t="str">
        <f t="shared" si="389"/>
        <v>스토리위즈</v>
      </c>
      <c r="I2502" t="str">
        <f t="shared" si="386"/>
        <v>라지에르의 서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/>
      <c r="AQ2502">
        <v>0</v>
      </c>
      <c r="AR2502">
        <v>0</v>
      </c>
      <c r="AT2502">
        <v>0</v>
      </c>
      <c r="AU2502">
        <v>0</v>
      </c>
      <c r="AW2502">
        <v>0</v>
      </c>
      <c r="AX2502">
        <v>0</v>
      </c>
      <c r="AY2502">
        <v>70</v>
      </c>
      <c r="BC2502" t="str">
        <f t="shared" si="387"/>
        <v>9791159285783</v>
      </c>
      <c r="BE2502" t="str">
        <f t="shared" si="388"/>
        <v>판타지 웹소설 &gt; 퓨전 판타지</v>
      </c>
    </row>
    <row r="2503" spans="1:57" x14ac:dyDescent="0.3">
      <c r="A2503">
        <v>2313000685</v>
      </c>
      <c r="B2503">
        <v>2313000837</v>
      </c>
      <c r="C2503" t="str">
        <f>T("라지에르의 서 154화")</f>
        <v>라지에르의 서 154화</v>
      </c>
      <c r="D2503" t="str">
        <f>T("153")</f>
        <v>153</v>
      </c>
      <c r="E2503" t="str">
        <f t="shared" si="385"/>
        <v>공든탑</v>
      </c>
      <c r="H2503" t="str">
        <f t="shared" si="389"/>
        <v>스토리위즈</v>
      </c>
      <c r="I2503" t="str">
        <f t="shared" si="386"/>
        <v>라지에르의 서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/>
      <c r="AQ2503">
        <v>0</v>
      </c>
      <c r="AR2503">
        <v>0</v>
      </c>
      <c r="AT2503">
        <v>0</v>
      </c>
      <c r="AU2503">
        <v>0</v>
      </c>
      <c r="AW2503">
        <v>0</v>
      </c>
      <c r="AX2503">
        <v>0</v>
      </c>
      <c r="AY2503">
        <v>70</v>
      </c>
      <c r="BC2503" t="str">
        <f t="shared" si="387"/>
        <v>9791159285783</v>
      </c>
      <c r="BE2503" t="str">
        <f t="shared" si="388"/>
        <v>판타지 웹소설 &gt; 퓨전 판타지</v>
      </c>
    </row>
    <row r="2504" spans="1:57" x14ac:dyDescent="0.3">
      <c r="A2504">
        <v>2313000685</v>
      </c>
      <c r="B2504">
        <v>2313000838</v>
      </c>
      <c r="C2504" t="str">
        <f>T("라지에르의 서 155화")</f>
        <v>라지에르의 서 155화</v>
      </c>
      <c r="D2504" t="str">
        <f>T("154")</f>
        <v>154</v>
      </c>
      <c r="E2504" t="str">
        <f t="shared" si="385"/>
        <v>공든탑</v>
      </c>
      <c r="H2504" t="str">
        <f t="shared" si="389"/>
        <v>스토리위즈</v>
      </c>
      <c r="I2504" t="str">
        <f t="shared" si="386"/>
        <v>라지에르의 서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/>
      <c r="AQ2504">
        <v>0</v>
      </c>
      <c r="AR2504">
        <v>0</v>
      </c>
      <c r="AT2504">
        <v>0</v>
      </c>
      <c r="AU2504">
        <v>0</v>
      </c>
      <c r="AW2504">
        <v>0</v>
      </c>
      <c r="AX2504">
        <v>0</v>
      </c>
      <c r="AY2504">
        <v>70</v>
      </c>
      <c r="BC2504" t="str">
        <f t="shared" si="387"/>
        <v>9791159285783</v>
      </c>
      <c r="BE2504" t="str">
        <f t="shared" si="388"/>
        <v>판타지 웹소설 &gt; 퓨전 판타지</v>
      </c>
    </row>
    <row r="2505" spans="1:57" x14ac:dyDescent="0.3">
      <c r="A2505">
        <v>2313000685</v>
      </c>
      <c r="B2505">
        <v>2313000839</v>
      </c>
      <c r="C2505" t="str">
        <f>T("라지에르의 서 156화")</f>
        <v>라지에르의 서 156화</v>
      </c>
      <c r="D2505" t="str">
        <f>T("155")</f>
        <v>155</v>
      </c>
      <c r="E2505" t="str">
        <f t="shared" si="385"/>
        <v>공든탑</v>
      </c>
      <c r="H2505" t="str">
        <f t="shared" si="389"/>
        <v>스토리위즈</v>
      </c>
      <c r="I2505" t="str">
        <f t="shared" si="386"/>
        <v>라지에르의 서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P2505"/>
      <c r="AQ2505">
        <v>0</v>
      </c>
      <c r="AR2505">
        <v>0</v>
      </c>
      <c r="AT2505">
        <v>0</v>
      </c>
      <c r="AU2505">
        <v>0</v>
      </c>
      <c r="AW2505">
        <v>0</v>
      </c>
      <c r="AX2505">
        <v>0</v>
      </c>
      <c r="AY2505">
        <v>70</v>
      </c>
      <c r="BC2505" t="str">
        <f t="shared" si="387"/>
        <v>9791159285783</v>
      </c>
      <c r="BE2505" t="str">
        <f t="shared" si="388"/>
        <v>판타지 웹소설 &gt; 퓨전 판타지</v>
      </c>
    </row>
    <row r="2506" spans="1:57" x14ac:dyDescent="0.3">
      <c r="A2506">
        <v>2313000685</v>
      </c>
      <c r="B2506">
        <v>2313000840</v>
      </c>
      <c r="C2506" t="str">
        <f>T("라지에르의 서 157화")</f>
        <v>라지에르의 서 157화</v>
      </c>
      <c r="D2506" t="str">
        <f>T("156")</f>
        <v>156</v>
      </c>
      <c r="E2506" t="str">
        <f t="shared" ref="E2506:E2560" si="390">T("공든탑")</f>
        <v>공든탑</v>
      </c>
      <c r="H2506" t="str">
        <f t="shared" si="389"/>
        <v>스토리위즈</v>
      </c>
      <c r="I2506" t="str">
        <f t="shared" ref="I2506:I2560" si="391">T("라지에르의 서")</f>
        <v>라지에르의 서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P2506"/>
      <c r="AQ2506">
        <v>0</v>
      </c>
      <c r="AR2506">
        <v>0</v>
      </c>
      <c r="AT2506">
        <v>0</v>
      </c>
      <c r="AU2506">
        <v>0</v>
      </c>
      <c r="AW2506">
        <v>0</v>
      </c>
      <c r="AX2506">
        <v>0</v>
      </c>
      <c r="AY2506">
        <v>70</v>
      </c>
      <c r="BC2506" t="str">
        <f t="shared" ref="BC2506:BC2550" si="392">T("9791159285783")</f>
        <v>9791159285783</v>
      </c>
      <c r="BE2506" t="str">
        <f t="shared" ref="BE2506:BE2560" si="393">T("판타지 웹소설 &gt; 퓨전 판타지")</f>
        <v>판타지 웹소설 &gt; 퓨전 판타지</v>
      </c>
    </row>
    <row r="2507" spans="1:57" x14ac:dyDescent="0.3">
      <c r="A2507">
        <v>2313000685</v>
      </c>
      <c r="B2507">
        <v>2313000841</v>
      </c>
      <c r="C2507" t="str">
        <f>T("라지에르의 서 158화")</f>
        <v>라지에르의 서 158화</v>
      </c>
      <c r="D2507" t="str">
        <f>T("157")</f>
        <v>157</v>
      </c>
      <c r="E2507" t="str">
        <f t="shared" si="390"/>
        <v>공든탑</v>
      </c>
      <c r="H2507" t="str">
        <f t="shared" si="389"/>
        <v>스토리위즈</v>
      </c>
      <c r="I2507" t="str">
        <f t="shared" si="391"/>
        <v>라지에르의 서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P2507"/>
      <c r="AQ2507">
        <v>0</v>
      </c>
      <c r="AR2507">
        <v>0</v>
      </c>
      <c r="AT2507">
        <v>0</v>
      </c>
      <c r="AU2507">
        <v>0</v>
      </c>
      <c r="AW2507">
        <v>0</v>
      </c>
      <c r="AX2507">
        <v>0</v>
      </c>
      <c r="AY2507">
        <v>70</v>
      </c>
      <c r="BC2507" t="str">
        <f t="shared" si="392"/>
        <v>9791159285783</v>
      </c>
      <c r="BE2507" t="str">
        <f t="shared" si="393"/>
        <v>판타지 웹소설 &gt; 퓨전 판타지</v>
      </c>
    </row>
    <row r="2508" spans="1:57" x14ac:dyDescent="0.3">
      <c r="A2508">
        <v>2313000685</v>
      </c>
      <c r="B2508">
        <v>2313000842</v>
      </c>
      <c r="C2508" t="str">
        <f>T("라지에르의 서 159화")</f>
        <v>라지에르의 서 159화</v>
      </c>
      <c r="D2508" t="str">
        <f>T("158")</f>
        <v>158</v>
      </c>
      <c r="E2508" t="str">
        <f t="shared" si="390"/>
        <v>공든탑</v>
      </c>
      <c r="H2508" t="str">
        <f t="shared" si="389"/>
        <v>스토리위즈</v>
      </c>
      <c r="I2508" t="str">
        <f t="shared" si="391"/>
        <v>라지에르의 서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P2508"/>
      <c r="AQ2508">
        <v>0</v>
      </c>
      <c r="AR2508">
        <v>0</v>
      </c>
      <c r="AT2508">
        <v>0</v>
      </c>
      <c r="AU2508">
        <v>0</v>
      </c>
      <c r="AW2508">
        <v>0</v>
      </c>
      <c r="AX2508">
        <v>0</v>
      </c>
      <c r="AY2508">
        <v>70</v>
      </c>
      <c r="BC2508" t="str">
        <f t="shared" si="392"/>
        <v>9791159285783</v>
      </c>
      <c r="BE2508" t="str">
        <f t="shared" si="393"/>
        <v>판타지 웹소설 &gt; 퓨전 판타지</v>
      </c>
    </row>
    <row r="2509" spans="1:57" x14ac:dyDescent="0.3">
      <c r="A2509">
        <v>2313000685</v>
      </c>
      <c r="B2509">
        <v>2313000843</v>
      </c>
      <c r="C2509" t="str">
        <f>T("라지에르의 서 160화")</f>
        <v>라지에르의 서 160화</v>
      </c>
      <c r="D2509" t="str">
        <f>T("159")</f>
        <v>159</v>
      </c>
      <c r="E2509" t="str">
        <f t="shared" si="390"/>
        <v>공든탑</v>
      </c>
      <c r="H2509" t="str">
        <f t="shared" si="389"/>
        <v>스토리위즈</v>
      </c>
      <c r="I2509" t="str">
        <f t="shared" si="391"/>
        <v>라지에르의 서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/>
      <c r="AQ2509">
        <v>0</v>
      </c>
      <c r="AR2509">
        <v>0</v>
      </c>
      <c r="AT2509">
        <v>0</v>
      </c>
      <c r="AU2509">
        <v>0</v>
      </c>
      <c r="AW2509">
        <v>0</v>
      </c>
      <c r="AX2509">
        <v>0</v>
      </c>
      <c r="AY2509">
        <v>70</v>
      </c>
      <c r="BC2509" t="str">
        <f t="shared" si="392"/>
        <v>9791159285783</v>
      </c>
      <c r="BE2509" t="str">
        <f t="shared" si="393"/>
        <v>판타지 웹소설 &gt; 퓨전 판타지</v>
      </c>
    </row>
    <row r="2510" spans="1:57" x14ac:dyDescent="0.3">
      <c r="A2510">
        <v>2313000685</v>
      </c>
      <c r="B2510">
        <v>2313000844</v>
      </c>
      <c r="C2510" t="str">
        <f>T("라지에르의 서 161화")</f>
        <v>라지에르의 서 161화</v>
      </c>
      <c r="D2510" t="str">
        <f>T("160")</f>
        <v>160</v>
      </c>
      <c r="E2510" t="str">
        <f t="shared" si="390"/>
        <v>공든탑</v>
      </c>
      <c r="H2510" t="str">
        <f t="shared" si="389"/>
        <v>스토리위즈</v>
      </c>
      <c r="I2510" t="str">
        <f t="shared" si="391"/>
        <v>라지에르의 서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/>
      <c r="AQ2510">
        <v>0</v>
      </c>
      <c r="AR2510">
        <v>0</v>
      </c>
      <c r="AT2510">
        <v>0</v>
      </c>
      <c r="AU2510">
        <v>0</v>
      </c>
      <c r="AW2510">
        <v>0</v>
      </c>
      <c r="AX2510">
        <v>0</v>
      </c>
      <c r="AY2510">
        <v>70</v>
      </c>
      <c r="BC2510" t="str">
        <f t="shared" si="392"/>
        <v>9791159285783</v>
      </c>
      <c r="BE2510" t="str">
        <f t="shared" si="393"/>
        <v>판타지 웹소설 &gt; 퓨전 판타지</v>
      </c>
    </row>
    <row r="2511" spans="1:57" x14ac:dyDescent="0.3">
      <c r="A2511">
        <v>2313000685</v>
      </c>
      <c r="B2511">
        <v>2313000845</v>
      </c>
      <c r="C2511" t="str">
        <f>T("라지에르의 서 162화")</f>
        <v>라지에르의 서 162화</v>
      </c>
      <c r="D2511" t="str">
        <f>T("161")</f>
        <v>161</v>
      </c>
      <c r="E2511" t="str">
        <f t="shared" si="390"/>
        <v>공든탑</v>
      </c>
      <c r="H2511" t="str">
        <f t="shared" si="389"/>
        <v>스토리위즈</v>
      </c>
      <c r="I2511" t="str">
        <f t="shared" si="391"/>
        <v>라지에르의 서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P2511"/>
      <c r="AQ2511">
        <v>0</v>
      </c>
      <c r="AR2511">
        <v>0</v>
      </c>
      <c r="AT2511">
        <v>0</v>
      </c>
      <c r="AU2511">
        <v>0</v>
      </c>
      <c r="AW2511">
        <v>0</v>
      </c>
      <c r="AX2511">
        <v>0</v>
      </c>
      <c r="AY2511">
        <v>70</v>
      </c>
      <c r="BC2511" t="str">
        <f t="shared" si="392"/>
        <v>9791159285783</v>
      </c>
      <c r="BE2511" t="str">
        <f t="shared" si="393"/>
        <v>판타지 웹소설 &gt; 퓨전 판타지</v>
      </c>
    </row>
    <row r="2512" spans="1:57" x14ac:dyDescent="0.3">
      <c r="A2512">
        <v>2313000685</v>
      </c>
      <c r="B2512">
        <v>2313000846</v>
      </c>
      <c r="C2512" t="str">
        <f>T("라지에르의 서 163화")</f>
        <v>라지에르의 서 163화</v>
      </c>
      <c r="D2512" t="str">
        <f>T("162")</f>
        <v>162</v>
      </c>
      <c r="E2512" t="str">
        <f t="shared" si="390"/>
        <v>공든탑</v>
      </c>
      <c r="H2512" t="str">
        <f t="shared" si="389"/>
        <v>스토리위즈</v>
      </c>
      <c r="I2512" t="str">
        <f t="shared" si="391"/>
        <v>라지에르의 서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/>
      <c r="AQ2512">
        <v>0</v>
      </c>
      <c r="AR2512">
        <v>0</v>
      </c>
      <c r="AT2512">
        <v>0</v>
      </c>
      <c r="AU2512">
        <v>0</v>
      </c>
      <c r="AW2512">
        <v>0</v>
      </c>
      <c r="AX2512">
        <v>0</v>
      </c>
      <c r="AY2512">
        <v>70</v>
      </c>
      <c r="BC2512" t="str">
        <f t="shared" si="392"/>
        <v>9791159285783</v>
      </c>
      <c r="BE2512" t="str">
        <f t="shared" si="393"/>
        <v>판타지 웹소설 &gt; 퓨전 판타지</v>
      </c>
    </row>
    <row r="2513" spans="1:57" x14ac:dyDescent="0.3">
      <c r="A2513">
        <v>2313000685</v>
      </c>
      <c r="B2513">
        <v>2313000847</v>
      </c>
      <c r="C2513" t="str">
        <f>T("라지에르의 서 164화")</f>
        <v>라지에르의 서 164화</v>
      </c>
      <c r="D2513" t="str">
        <f>T("163")</f>
        <v>163</v>
      </c>
      <c r="E2513" t="str">
        <f t="shared" si="390"/>
        <v>공든탑</v>
      </c>
      <c r="H2513" t="str">
        <f t="shared" si="389"/>
        <v>스토리위즈</v>
      </c>
      <c r="I2513" t="str">
        <f t="shared" si="391"/>
        <v>라지에르의 서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P2513"/>
      <c r="AQ2513">
        <v>0</v>
      </c>
      <c r="AR2513">
        <v>0</v>
      </c>
      <c r="AT2513">
        <v>0</v>
      </c>
      <c r="AU2513">
        <v>0</v>
      </c>
      <c r="AW2513">
        <v>0</v>
      </c>
      <c r="AX2513">
        <v>0</v>
      </c>
      <c r="AY2513">
        <v>70</v>
      </c>
      <c r="BC2513" t="str">
        <f t="shared" si="392"/>
        <v>9791159285783</v>
      </c>
      <c r="BE2513" t="str">
        <f t="shared" si="393"/>
        <v>판타지 웹소설 &gt; 퓨전 판타지</v>
      </c>
    </row>
    <row r="2514" spans="1:57" x14ac:dyDescent="0.3">
      <c r="A2514">
        <v>2313000685</v>
      </c>
      <c r="B2514">
        <v>2313000848</v>
      </c>
      <c r="C2514" t="str">
        <f>T("라지에르의 서 165화")</f>
        <v>라지에르의 서 165화</v>
      </c>
      <c r="D2514" t="str">
        <f>T("164")</f>
        <v>164</v>
      </c>
      <c r="E2514" t="str">
        <f t="shared" si="390"/>
        <v>공든탑</v>
      </c>
      <c r="H2514" t="str">
        <f t="shared" si="389"/>
        <v>스토리위즈</v>
      </c>
      <c r="I2514" t="str">
        <f t="shared" si="391"/>
        <v>라지에르의 서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/>
      <c r="AQ2514">
        <v>0</v>
      </c>
      <c r="AR2514">
        <v>0</v>
      </c>
      <c r="AT2514">
        <v>0</v>
      </c>
      <c r="AU2514">
        <v>0</v>
      </c>
      <c r="AW2514">
        <v>0</v>
      </c>
      <c r="AX2514">
        <v>0</v>
      </c>
      <c r="AY2514">
        <v>70</v>
      </c>
      <c r="BC2514" t="str">
        <f t="shared" si="392"/>
        <v>9791159285783</v>
      </c>
      <c r="BE2514" t="str">
        <f t="shared" si="393"/>
        <v>판타지 웹소설 &gt; 퓨전 판타지</v>
      </c>
    </row>
    <row r="2515" spans="1:57" x14ac:dyDescent="0.3">
      <c r="A2515">
        <v>2313000685</v>
      </c>
      <c r="B2515">
        <v>2313000849</v>
      </c>
      <c r="C2515" t="str">
        <f>T("라지에르의 서 166화")</f>
        <v>라지에르의 서 166화</v>
      </c>
      <c r="D2515" t="str">
        <f>T("165")</f>
        <v>165</v>
      </c>
      <c r="E2515" t="str">
        <f t="shared" si="390"/>
        <v>공든탑</v>
      </c>
      <c r="H2515" t="str">
        <f t="shared" si="389"/>
        <v>스토리위즈</v>
      </c>
      <c r="I2515" t="str">
        <f t="shared" si="391"/>
        <v>라지에르의 서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/>
      <c r="AQ2515">
        <v>0</v>
      </c>
      <c r="AR2515">
        <v>0</v>
      </c>
      <c r="AT2515">
        <v>0</v>
      </c>
      <c r="AU2515">
        <v>0</v>
      </c>
      <c r="AW2515">
        <v>0</v>
      </c>
      <c r="AX2515">
        <v>0</v>
      </c>
      <c r="AY2515">
        <v>70</v>
      </c>
      <c r="BC2515" t="str">
        <f t="shared" si="392"/>
        <v>9791159285783</v>
      </c>
      <c r="BE2515" t="str">
        <f t="shared" si="393"/>
        <v>판타지 웹소설 &gt; 퓨전 판타지</v>
      </c>
    </row>
    <row r="2516" spans="1:57" x14ac:dyDescent="0.3">
      <c r="A2516">
        <v>2313000685</v>
      </c>
      <c r="B2516">
        <v>2313000850</v>
      </c>
      <c r="C2516" t="str">
        <f>T("라지에르의 서 167화")</f>
        <v>라지에르의 서 167화</v>
      </c>
      <c r="D2516" t="str">
        <f>T("166")</f>
        <v>166</v>
      </c>
      <c r="E2516" t="str">
        <f t="shared" si="390"/>
        <v>공든탑</v>
      </c>
      <c r="H2516" t="str">
        <f t="shared" si="389"/>
        <v>스토리위즈</v>
      </c>
      <c r="I2516" t="str">
        <f t="shared" si="391"/>
        <v>라지에르의 서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100</v>
      </c>
      <c r="AL2516">
        <v>0</v>
      </c>
      <c r="AM2516">
        <v>0</v>
      </c>
      <c r="AN2516">
        <v>0</v>
      </c>
      <c r="AO2516">
        <v>0</v>
      </c>
      <c r="AP2516"/>
      <c r="AQ2516">
        <v>0</v>
      </c>
      <c r="AR2516">
        <v>0</v>
      </c>
      <c r="AT2516">
        <v>0</v>
      </c>
      <c r="AU2516">
        <v>0</v>
      </c>
      <c r="AW2516">
        <v>0</v>
      </c>
      <c r="AX2516">
        <v>0</v>
      </c>
      <c r="AY2516">
        <v>70</v>
      </c>
      <c r="BC2516" t="str">
        <f t="shared" si="392"/>
        <v>9791159285783</v>
      </c>
      <c r="BE2516" t="str">
        <f t="shared" si="393"/>
        <v>판타지 웹소설 &gt; 퓨전 판타지</v>
      </c>
    </row>
    <row r="2517" spans="1:57" x14ac:dyDescent="0.3">
      <c r="A2517">
        <v>2313000685</v>
      </c>
      <c r="B2517">
        <v>2313000851</v>
      </c>
      <c r="C2517" t="str">
        <f>T("라지에르의 서 168화")</f>
        <v>라지에르의 서 168화</v>
      </c>
      <c r="D2517" t="str">
        <f>T("167")</f>
        <v>167</v>
      </c>
      <c r="E2517" t="str">
        <f t="shared" si="390"/>
        <v>공든탑</v>
      </c>
      <c r="H2517" t="str">
        <f t="shared" si="389"/>
        <v>스토리위즈</v>
      </c>
      <c r="I2517" t="str">
        <f t="shared" si="391"/>
        <v>라지에르의 서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1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/>
      <c r="AQ2517">
        <v>0</v>
      </c>
      <c r="AR2517">
        <v>0</v>
      </c>
      <c r="AT2517">
        <v>0</v>
      </c>
      <c r="AU2517">
        <v>0</v>
      </c>
      <c r="AW2517">
        <v>0</v>
      </c>
      <c r="AX2517">
        <v>0</v>
      </c>
      <c r="AY2517">
        <v>70</v>
      </c>
      <c r="BC2517" t="str">
        <f t="shared" si="392"/>
        <v>9791159285783</v>
      </c>
      <c r="BE2517" t="str">
        <f t="shared" si="393"/>
        <v>판타지 웹소설 &gt; 퓨전 판타지</v>
      </c>
    </row>
    <row r="2518" spans="1:57" x14ac:dyDescent="0.3">
      <c r="A2518">
        <v>2313000685</v>
      </c>
      <c r="B2518">
        <v>2313000852</v>
      </c>
      <c r="C2518" t="str">
        <f>T("라지에르의 서 169화")</f>
        <v>라지에르의 서 169화</v>
      </c>
      <c r="D2518" t="str">
        <f>T("168")</f>
        <v>168</v>
      </c>
      <c r="E2518" t="str">
        <f t="shared" si="390"/>
        <v>공든탑</v>
      </c>
      <c r="H2518" t="str">
        <f t="shared" si="389"/>
        <v>스토리위즈</v>
      </c>
      <c r="I2518" t="str">
        <f t="shared" si="391"/>
        <v>라지에르의 서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/>
      <c r="AQ2518">
        <v>0</v>
      </c>
      <c r="AR2518">
        <v>0</v>
      </c>
      <c r="AT2518">
        <v>0</v>
      </c>
      <c r="AU2518">
        <v>0</v>
      </c>
      <c r="AW2518">
        <v>0</v>
      </c>
      <c r="AX2518">
        <v>0</v>
      </c>
      <c r="AY2518">
        <v>70</v>
      </c>
      <c r="BC2518" t="str">
        <f t="shared" si="392"/>
        <v>9791159285783</v>
      </c>
      <c r="BE2518" t="str">
        <f t="shared" si="393"/>
        <v>판타지 웹소설 &gt; 퓨전 판타지</v>
      </c>
    </row>
    <row r="2519" spans="1:57" x14ac:dyDescent="0.3">
      <c r="A2519">
        <v>2313000685</v>
      </c>
      <c r="B2519">
        <v>2313000853</v>
      </c>
      <c r="C2519" t="str">
        <f>T("라지에르의 서 170화")</f>
        <v>라지에르의 서 170화</v>
      </c>
      <c r="D2519" t="str">
        <f>T("169")</f>
        <v>169</v>
      </c>
      <c r="E2519" t="str">
        <f t="shared" si="390"/>
        <v>공든탑</v>
      </c>
      <c r="H2519" t="str">
        <f t="shared" si="389"/>
        <v>스토리위즈</v>
      </c>
      <c r="I2519" t="str">
        <f t="shared" si="391"/>
        <v>라지에르의 서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/>
      <c r="AQ2519">
        <v>0</v>
      </c>
      <c r="AR2519">
        <v>0</v>
      </c>
      <c r="AT2519">
        <v>0</v>
      </c>
      <c r="AU2519">
        <v>0</v>
      </c>
      <c r="AW2519">
        <v>0</v>
      </c>
      <c r="AX2519">
        <v>0</v>
      </c>
      <c r="AY2519">
        <v>70</v>
      </c>
      <c r="BC2519" t="str">
        <f t="shared" si="392"/>
        <v>9791159285783</v>
      </c>
      <c r="BE2519" t="str">
        <f t="shared" si="393"/>
        <v>판타지 웹소설 &gt; 퓨전 판타지</v>
      </c>
    </row>
    <row r="2520" spans="1:57" x14ac:dyDescent="0.3">
      <c r="A2520">
        <v>2313000685</v>
      </c>
      <c r="B2520">
        <v>2313000854</v>
      </c>
      <c r="C2520" t="str">
        <f>T("라지에르의 서 171화")</f>
        <v>라지에르의 서 171화</v>
      </c>
      <c r="D2520" t="str">
        <f>T("170")</f>
        <v>170</v>
      </c>
      <c r="E2520" t="str">
        <f t="shared" si="390"/>
        <v>공든탑</v>
      </c>
      <c r="H2520" t="str">
        <f t="shared" si="389"/>
        <v>스토리위즈</v>
      </c>
      <c r="I2520" t="str">
        <f t="shared" si="391"/>
        <v>라지에르의 서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/>
      <c r="AQ2520">
        <v>0</v>
      </c>
      <c r="AR2520">
        <v>0</v>
      </c>
      <c r="AT2520">
        <v>0</v>
      </c>
      <c r="AU2520">
        <v>0</v>
      </c>
      <c r="AW2520">
        <v>0</v>
      </c>
      <c r="AX2520">
        <v>0</v>
      </c>
      <c r="AY2520">
        <v>70</v>
      </c>
      <c r="BC2520" t="str">
        <f t="shared" si="392"/>
        <v>9791159285783</v>
      </c>
      <c r="BE2520" t="str">
        <f t="shared" si="393"/>
        <v>판타지 웹소설 &gt; 퓨전 판타지</v>
      </c>
    </row>
    <row r="2521" spans="1:57" x14ac:dyDescent="0.3">
      <c r="A2521">
        <v>2313000685</v>
      </c>
      <c r="B2521">
        <v>2313000855</v>
      </c>
      <c r="C2521" t="str">
        <f>T("라지에르의 서 172화")</f>
        <v>라지에르의 서 172화</v>
      </c>
      <c r="D2521" t="str">
        <f>T("171")</f>
        <v>171</v>
      </c>
      <c r="E2521" t="str">
        <f t="shared" si="390"/>
        <v>공든탑</v>
      </c>
      <c r="H2521" t="str">
        <f t="shared" si="389"/>
        <v>스토리위즈</v>
      </c>
      <c r="I2521" t="str">
        <f t="shared" si="391"/>
        <v>라지에르의 서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1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/>
      <c r="AQ2521">
        <v>0</v>
      </c>
      <c r="AR2521">
        <v>0</v>
      </c>
      <c r="AT2521">
        <v>0</v>
      </c>
      <c r="AU2521">
        <v>0</v>
      </c>
      <c r="AW2521">
        <v>0</v>
      </c>
      <c r="AX2521">
        <v>0</v>
      </c>
      <c r="AY2521">
        <v>70</v>
      </c>
      <c r="BC2521" t="str">
        <f t="shared" si="392"/>
        <v>9791159285783</v>
      </c>
      <c r="BE2521" t="str">
        <f t="shared" si="393"/>
        <v>판타지 웹소설 &gt; 퓨전 판타지</v>
      </c>
    </row>
    <row r="2522" spans="1:57" x14ac:dyDescent="0.3">
      <c r="A2522">
        <v>2313000685</v>
      </c>
      <c r="B2522">
        <v>2313000856</v>
      </c>
      <c r="C2522" t="str">
        <f>T("라지에르의 서 173화")</f>
        <v>라지에르의 서 173화</v>
      </c>
      <c r="D2522" t="str">
        <f>T("172")</f>
        <v>172</v>
      </c>
      <c r="E2522" t="str">
        <f t="shared" si="390"/>
        <v>공든탑</v>
      </c>
      <c r="H2522" t="str">
        <f t="shared" si="389"/>
        <v>스토리위즈</v>
      </c>
      <c r="I2522" t="str">
        <f t="shared" si="391"/>
        <v>라지에르의 서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/>
      <c r="AQ2522">
        <v>0</v>
      </c>
      <c r="AR2522">
        <v>0</v>
      </c>
      <c r="AT2522">
        <v>0</v>
      </c>
      <c r="AU2522">
        <v>0</v>
      </c>
      <c r="AW2522">
        <v>0</v>
      </c>
      <c r="AX2522">
        <v>0</v>
      </c>
      <c r="AY2522">
        <v>70</v>
      </c>
      <c r="BC2522" t="str">
        <f t="shared" si="392"/>
        <v>9791159285783</v>
      </c>
      <c r="BE2522" t="str">
        <f t="shared" si="393"/>
        <v>판타지 웹소설 &gt; 퓨전 판타지</v>
      </c>
    </row>
    <row r="2523" spans="1:57" x14ac:dyDescent="0.3">
      <c r="A2523">
        <v>2313000685</v>
      </c>
      <c r="B2523">
        <v>2313000857</v>
      </c>
      <c r="C2523" t="str">
        <f>T("라지에르의 서 174화")</f>
        <v>라지에르의 서 174화</v>
      </c>
      <c r="D2523" t="str">
        <f>T("173")</f>
        <v>173</v>
      </c>
      <c r="E2523" t="str">
        <f t="shared" si="390"/>
        <v>공든탑</v>
      </c>
      <c r="H2523" t="str">
        <f t="shared" si="389"/>
        <v>스토리위즈</v>
      </c>
      <c r="I2523" t="str">
        <f t="shared" si="391"/>
        <v>라지에르의 서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/>
      <c r="AQ2523">
        <v>0</v>
      </c>
      <c r="AR2523">
        <v>0</v>
      </c>
      <c r="AT2523">
        <v>0</v>
      </c>
      <c r="AU2523">
        <v>0</v>
      </c>
      <c r="AW2523">
        <v>0</v>
      </c>
      <c r="AX2523">
        <v>0</v>
      </c>
      <c r="AY2523">
        <v>70</v>
      </c>
      <c r="BC2523" t="str">
        <f t="shared" si="392"/>
        <v>9791159285783</v>
      </c>
      <c r="BE2523" t="str">
        <f t="shared" si="393"/>
        <v>판타지 웹소설 &gt; 퓨전 판타지</v>
      </c>
    </row>
    <row r="2524" spans="1:57" x14ac:dyDescent="0.3">
      <c r="A2524">
        <v>2313000685</v>
      </c>
      <c r="B2524">
        <v>2313000858</v>
      </c>
      <c r="C2524" t="str">
        <f>T("라지에르의 서 175화")</f>
        <v>라지에르의 서 175화</v>
      </c>
      <c r="D2524" t="str">
        <f>T("174")</f>
        <v>174</v>
      </c>
      <c r="E2524" t="str">
        <f t="shared" si="390"/>
        <v>공든탑</v>
      </c>
      <c r="H2524" t="str">
        <f t="shared" si="389"/>
        <v>스토리위즈</v>
      </c>
      <c r="I2524" t="str">
        <f t="shared" si="391"/>
        <v>라지에르의 서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/>
      <c r="AQ2524">
        <v>0</v>
      </c>
      <c r="AR2524">
        <v>0</v>
      </c>
      <c r="AT2524">
        <v>0</v>
      </c>
      <c r="AU2524">
        <v>0</v>
      </c>
      <c r="AW2524">
        <v>0</v>
      </c>
      <c r="AX2524">
        <v>0</v>
      </c>
      <c r="AY2524">
        <v>70</v>
      </c>
      <c r="BC2524" t="str">
        <f t="shared" si="392"/>
        <v>9791159285783</v>
      </c>
      <c r="BE2524" t="str">
        <f t="shared" si="393"/>
        <v>판타지 웹소설 &gt; 퓨전 판타지</v>
      </c>
    </row>
    <row r="2525" spans="1:57" x14ac:dyDescent="0.3">
      <c r="A2525">
        <v>2313000685</v>
      </c>
      <c r="B2525">
        <v>2313000859</v>
      </c>
      <c r="C2525" t="str">
        <f>T("라지에르의 서 176화")</f>
        <v>라지에르의 서 176화</v>
      </c>
      <c r="D2525" t="str">
        <f>T("175")</f>
        <v>175</v>
      </c>
      <c r="E2525" t="str">
        <f t="shared" si="390"/>
        <v>공든탑</v>
      </c>
      <c r="H2525" t="str">
        <f t="shared" si="389"/>
        <v>스토리위즈</v>
      </c>
      <c r="I2525" t="str">
        <f t="shared" si="391"/>
        <v>라지에르의 서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/>
      <c r="AQ2525">
        <v>0</v>
      </c>
      <c r="AR2525">
        <v>0</v>
      </c>
      <c r="AT2525">
        <v>0</v>
      </c>
      <c r="AU2525">
        <v>0</v>
      </c>
      <c r="AW2525">
        <v>0</v>
      </c>
      <c r="AX2525">
        <v>0</v>
      </c>
      <c r="AY2525">
        <v>70</v>
      </c>
      <c r="BC2525" t="str">
        <f t="shared" si="392"/>
        <v>9791159285783</v>
      </c>
      <c r="BE2525" t="str">
        <f t="shared" si="393"/>
        <v>판타지 웹소설 &gt; 퓨전 판타지</v>
      </c>
    </row>
    <row r="2526" spans="1:57" x14ac:dyDescent="0.3">
      <c r="A2526">
        <v>2313000685</v>
      </c>
      <c r="B2526">
        <v>2313000860</v>
      </c>
      <c r="C2526" t="str">
        <f>T("라지에르의 서 177화")</f>
        <v>라지에르의 서 177화</v>
      </c>
      <c r="D2526" t="str">
        <f>T("176")</f>
        <v>176</v>
      </c>
      <c r="E2526" t="str">
        <f t="shared" si="390"/>
        <v>공든탑</v>
      </c>
      <c r="H2526" t="str">
        <f t="shared" si="389"/>
        <v>스토리위즈</v>
      </c>
      <c r="I2526" t="str">
        <f t="shared" si="391"/>
        <v>라지에르의 서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/>
      <c r="AQ2526">
        <v>0</v>
      </c>
      <c r="AR2526">
        <v>0</v>
      </c>
      <c r="AT2526">
        <v>0</v>
      </c>
      <c r="AU2526">
        <v>0</v>
      </c>
      <c r="AW2526">
        <v>0</v>
      </c>
      <c r="AX2526">
        <v>0</v>
      </c>
      <c r="AY2526">
        <v>70</v>
      </c>
      <c r="BC2526" t="str">
        <f t="shared" si="392"/>
        <v>9791159285783</v>
      </c>
      <c r="BE2526" t="str">
        <f t="shared" si="393"/>
        <v>판타지 웹소설 &gt; 퓨전 판타지</v>
      </c>
    </row>
    <row r="2527" spans="1:57" x14ac:dyDescent="0.3">
      <c r="A2527">
        <v>2313000685</v>
      </c>
      <c r="B2527">
        <v>2313000861</v>
      </c>
      <c r="C2527" t="str">
        <f>T("라지에르의 서 178화")</f>
        <v>라지에르의 서 178화</v>
      </c>
      <c r="D2527" t="str">
        <f>T("177")</f>
        <v>177</v>
      </c>
      <c r="E2527" t="str">
        <f t="shared" si="390"/>
        <v>공든탑</v>
      </c>
      <c r="H2527" t="str">
        <f t="shared" si="389"/>
        <v>스토리위즈</v>
      </c>
      <c r="I2527" t="str">
        <f t="shared" si="391"/>
        <v>라지에르의 서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/>
      <c r="AQ2527">
        <v>0</v>
      </c>
      <c r="AR2527">
        <v>0</v>
      </c>
      <c r="AT2527">
        <v>0</v>
      </c>
      <c r="AU2527">
        <v>0</v>
      </c>
      <c r="AW2527">
        <v>0</v>
      </c>
      <c r="AX2527">
        <v>0</v>
      </c>
      <c r="AY2527">
        <v>70</v>
      </c>
      <c r="BC2527" t="str">
        <f t="shared" si="392"/>
        <v>9791159285783</v>
      </c>
      <c r="BE2527" t="str">
        <f t="shared" si="393"/>
        <v>판타지 웹소설 &gt; 퓨전 판타지</v>
      </c>
    </row>
    <row r="2528" spans="1:57" x14ac:dyDescent="0.3">
      <c r="A2528">
        <v>2313000685</v>
      </c>
      <c r="B2528">
        <v>2313000862</v>
      </c>
      <c r="C2528" t="str">
        <f>T("라지에르의 서 179화")</f>
        <v>라지에르의 서 179화</v>
      </c>
      <c r="D2528" t="str">
        <f>T("178")</f>
        <v>178</v>
      </c>
      <c r="E2528" t="str">
        <f t="shared" si="390"/>
        <v>공든탑</v>
      </c>
      <c r="H2528" t="str">
        <f t="shared" si="389"/>
        <v>스토리위즈</v>
      </c>
      <c r="I2528" t="str">
        <f t="shared" si="391"/>
        <v>라지에르의 서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/>
      <c r="AQ2528">
        <v>0</v>
      </c>
      <c r="AR2528">
        <v>0</v>
      </c>
      <c r="AT2528">
        <v>0</v>
      </c>
      <c r="AU2528">
        <v>0</v>
      </c>
      <c r="AW2528">
        <v>0</v>
      </c>
      <c r="AX2528">
        <v>0</v>
      </c>
      <c r="AY2528">
        <v>70</v>
      </c>
      <c r="BC2528" t="str">
        <f t="shared" si="392"/>
        <v>9791159285783</v>
      </c>
      <c r="BE2528" t="str">
        <f t="shared" si="393"/>
        <v>판타지 웹소설 &gt; 퓨전 판타지</v>
      </c>
    </row>
    <row r="2529" spans="1:57" x14ac:dyDescent="0.3">
      <c r="A2529">
        <v>2313000685</v>
      </c>
      <c r="B2529">
        <v>2313000863</v>
      </c>
      <c r="C2529" t="str">
        <f>T("라지에르의 서 180화")</f>
        <v>라지에르의 서 180화</v>
      </c>
      <c r="D2529" t="str">
        <f>T("179")</f>
        <v>179</v>
      </c>
      <c r="E2529" t="str">
        <f t="shared" si="390"/>
        <v>공든탑</v>
      </c>
      <c r="H2529" t="str">
        <f t="shared" si="389"/>
        <v>스토리위즈</v>
      </c>
      <c r="I2529" t="str">
        <f t="shared" si="391"/>
        <v>라지에르의 서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/>
      <c r="AQ2529">
        <v>0</v>
      </c>
      <c r="AR2529">
        <v>0</v>
      </c>
      <c r="AT2529">
        <v>0</v>
      </c>
      <c r="AU2529">
        <v>0</v>
      </c>
      <c r="AW2529">
        <v>0</v>
      </c>
      <c r="AX2529">
        <v>0</v>
      </c>
      <c r="AY2529">
        <v>70</v>
      </c>
      <c r="BC2529" t="str">
        <f t="shared" si="392"/>
        <v>9791159285783</v>
      </c>
      <c r="BE2529" t="str">
        <f t="shared" si="393"/>
        <v>판타지 웹소설 &gt; 퓨전 판타지</v>
      </c>
    </row>
    <row r="2530" spans="1:57" x14ac:dyDescent="0.3">
      <c r="A2530">
        <v>2313000685</v>
      </c>
      <c r="B2530">
        <v>2313000864</v>
      </c>
      <c r="C2530" t="str">
        <f>T("라지에르의 서 181화")</f>
        <v>라지에르의 서 181화</v>
      </c>
      <c r="D2530" t="str">
        <f>T("180")</f>
        <v>180</v>
      </c>
      <c r="E2530" t="str">
        <f t="shared" si="390"/>
        <v>공든탑</v>
      </c>
      <c r="H2530" t="str">
        <f t="shared" si="389"/>
        <v>스토리위즈</v>
      </c>
      <c r="I2530" t="str">
        <f t="shared" si="391"/>
        <v>라지에르의 서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1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/>
      <c r="AQ2530">
        <v>0</v>
      </c>
      <c r="AR2530">
        <v>0</v>
      </c>
      <c r="AT2530">
        <v>0</v>
      </c>
      <c r="AU2530">
        <v>0</v>
      </c>
      <c r="AW2530">
        <v>0</v>
      </c>
      <c r="AX2530">
        <v>0</v>
      </c>
      <c r="AY2530">
        <v>70</v>
      </c>
      <c r="BC2530" t="str">
        <f t="shared" si="392"/>
        <v>9791159285783</v>
      </c>
      <c r="BE2530" t="str">
        <f t="shared" si="393"/>
        <v>판타지 웹소설 &gt; 퓨전 판타지</v>
      </c>
    </row>
    <row r="2531" spans="1:57" x14ac:dyDescent="0.3">
      <c r="A2531">
        <v>2313000685</v>
      </c>
      <c r="B2531">
        <v>2313000865</v>
      </c>
      <c r="C2531" t="str">
        <f>T("라지에르의 서 182화")</f>
        <v>라지에르의 서 182화</v>
      </c>
      <c r="D2531" t="str">
        <f>T("181")</f>
        <v>181</v>
      </c>
      <c r="E2531" t="str">
        <f t="shared" si="390"/>
        <v>공든탑</v>
      </c>
      <c r="H2531" t="str">
        <f t="shared" si="389"/>
        <v>스토리위즈</v>
      </c>
      <c r="I2531" t="str">
        <f t="shared" si="391"/>
        <v>라지에르의 서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/>
      <c r="AQ2531">
        <v>0</v>
      </c>
      <c r="AR2531">
        <v>0</v>
      </c>
      <c r="AT2531">
        <v>0</v>
      </c>
      <c r="AU2531">
        <v>0</v>
      </c>
      <c r="AW2531">
        <v>0</v>
      </c>
      <c r="AX2531">
        <v>0</v>
      </c>
      <c r="AY2531">
        <v>70</v>
      </c>
      <c r="BC2531" t="str">
        <f t="shared" si="392"/>
        <v>9791159285783</v>
      </c>
      <c r="BE2531" t="str">
        <f t="shared" si="393"/>
        <v>판타지 웹소설 &gt; 퓨전 판타지</v>
      </c>
    </row>
    <row r="2532" spans="1:57" x14ac:dyDescent="0.3">
      <c r="A2532">
        <v>2313000685</v>
      </c>
      <c r="B2532">
        <v>2313000866</v>
      </c>
      <c r="C2532" t="str">
        <f>T("라지에르의 서 183화")</f>
        <v>라지에르의 서 183화</v>
      </c>
      <c r="D2532" t="str">
        <f>T("182")</f>
        <v>182</v>
      </c>
      <c r="E2532" t="str">
        <f t="shared" si="390"/>
        <v>공든탑</v>
      </c>
      <c r="H2532" t="str">
        <f t="shared" si="389"/>
        <v>스토리위즈</v>
      </c>
      <c r="I2532" t="str">
        <f t="shared" si="391"/>
        <v>라지에르의 서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/>
      <c r="AQ2532">
        <v>0</v>
      </c>
      <c r="AR2532">
        <v>0</v>
      </c>
      <c r="AT2532">
        <v>0</v>
      </c>
      <c r="AU2532">
        <v>0</v>
      </c>
      <c r="AW2532">
        <v>0</v>
      </c>
      <c r="AX2532">
        <v>0</v>
      </c>
      <c r="AY2532">
        <v>70</v>
      </c>
      <c r="BC2532" t="str">
        <f t="shared" si="392"/>
        <v>9791159285783</v>
      </c>
      <c r="BE2532" t="str">
        <f t="shared" si="393"/>
        <v>판타지 웹소설 &gt; 퓨전 판타지</v>
      </c>
    </row>
    <row r="2533" spans="1:57" x14ac:dyDescent="0.3">
      <c r="A2533">
        <v>2313000685</v>
      </c>
      <c r="B2533">
        <v>2313000867</v>
      </c>
      <c r="C2533" t="str">
        <f>T("라지에르의 서 184화")</f>
        <v>라지에르의 서 184화</v>
      </c>
      <c r="D2533" t="str">
        <f>T("183")</f>
        <v>183</v>
      </c>
      <c r="E2533" t="str">
        <f t="shared" si="390"/>
        <v>공든탑</v>
      </c>
      <c r="H2533" t="str">
        <f t="shared" si="389"/>
        <v>스토리위즈</v>
      </c>
      <c r="I2533" t="str">
        <f t="shared" si="391"/>
        <v>라지에르의 서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/>
      <c r="AQ2533">
        <v>0</v>
      </c>
      <c r="AR2533">
        <v>0</v>
      </c>
      <c r="AT2533">
        <v>0</v>
      </c>
      <c r="AU2533">
        <v>0</v>
      </c>
      <c r="AW2533">
        <v>0</v>
      </c>
      <c r="AX2533">
        <v>0</v>
      </c>
      <c r="AY2533">
        <v>70</v>
      </c>
      <c r="BC2533" t="str">
        <f t="shared" si="392"/>
        <v>9791159285783</v>
      </c>
      <c r="BE2533" t="str">
        <f t="shared" si="393"/>
        <v>판타지 웹소설 &gt; 퓨전 판타지</v>
      </c>
    </row>
    <row r="2534" spans="1:57" x14ac:dyDescent="0.3">
      <c r="A2534">
        <v>2313000685</v>
      </c>
      <c r="B2534">
        <v>2313000868</v>
      </c>
      <c r="C2534" t="str">
        <f>T("라지에르의 서 185화")</f>
        <v>라지에르의 서 185화</v>
      </c>
      <c r="D2534" t="str">
        <f>T("184")</f>
        <v>184</v>
      </c>
      <c r="E2534" t="str">
        <f t="shared" si="390"/>
        <v>공든탑</v>
      </c>
      <c r="H2534" t="str">
        <f t="shared" si="389"/>
        <v>스토리위즈</v>
      </c>
      <c r="I2534" t="str">
        <f t="shared" si="391"/>
        <v>라지에르의 서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/>
      <c r="AQ2534">
        <v>0</v>
      </c>
      <c r="AR2534">
        <v>0</v>
      </c>
      <c r="AT2534">
        <v>0</v>
      </c>
      <c r="AU2534">
        <v>0</v>
      </c>
      <c r="AW2534">
        <v>0</v>
      </c>
      <c r="AX2534">
        <v>0</v>
      </c>
      <c r="AY2534">
        <v>70</v>
      </c>
      <c r="BC2534" t="str">
        <f t="shared" si="392"/>
        <v>9791159285783</v>
      </c>
      <c r="BE2534" t="str">
        <f t="shared" si="393"/>
        <v>판타지 웹소설 &gt; 퓨전 판타지</v>
      </c>
    </row>
    <row r="2535" spans="1:57" x14ac:dyDescent="0.3">
      <c r="A2535">
        <v>2313000685</v>
      </c>
      <c r="B2535">
        <v>2313000869</v>
      </c>
      <c r="C2535" t="str">
        <f>T("라지에르의 서 186화")</f>
        <v>라지에르의 서 186화</v>
      </c>
      <c r="D2535" t="str">
        <f>T("185")</f>
        <v>185</v>
      </c>
      <c r="E2535" t="str">
        <f t="shared" si="390"/>
        <v>공든탑</v>
      </c>
      <c r="H2535" t="str">
        <f t="shared" si="389"/>
        <v>스토리위즈</v>
      </c>
      <c r="I2535" t="str">
        <f t="shared" si="391"/>
        <v>라지에르의 서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1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/>
      <c r="AQ2535">
        <v>0</v>
      </c>
      <c r="AR2535">
        <v>0</v>
      </c>
      <c r="AT2535">
        <v>0</v>
      </c>
      <c r="AU2535">
        <v>0</v>
      </c>
      <c r="AW2535">
        <v>0</v>
      </c>
      <c r="AX2535">
        <v>0</v>
      </c>
      <c r="AY2535">
        <v>70</v>
      </c>
      <c r="BC2535" t="str">
        <f t="shared" si="392"/>
        <v>9791159285783</v>
      </c>
      <c r="BE2535" t="str">
        <f t="shared" si="393"/>
        <v>판타지 웹소설 &gt; 퓨전 판타지</v>
      </c>
    </row>
    <row r="2536" spans="1:57" x14ac:dyDescent="0.3">
      <c r="A2536">
        <v>2313000685</v>
      </c>
      <c r="B2536">
        <v>2313000870</v>
      </c>
      <c r="C2536" t="str">
        <f>T("라지에르의 서 187화")</f>
        <v>라지에르의 서 187화</v>
      </c>
      <c r="D2536" t="str">
        <f>T("186")</f>
        <v>186</v>
      </c>
      <c r="E2536" t="str">
        <f t="shared" si="390"/>
        <v>공든탑</v>
      </c>
      <c r="H2536" t="str">
        <f t="shared" si="389"/>
        <v>스토리위즈</v>
      </c>
      <c r="I2536" t="str">
        <f t="shared" si="391"/>
        <v>라지에르의 서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/>
      <c r="AQ2536">
        <v>0</v>
      </c>
      <c r="AR2536">
        <v>0</v>
      </c>
      <c r="AT2536">
        <v>0</v>
      </c>
      <c r="AU2536">
        <v>0</v>
      </c>
      <c r="AW2536">
        <v>0</v>
      </c>
      <c r="AX2536">
        <v>0</v>
      </c>
      <c r="AY2536">
        <v>70</v>
      </c>
      <c r="BC2536" t="str">
        <f t="shared" si="392"/>
        <v>9791159285783</v>
      </c>
      <c r="BE2536" t="str">
        <f t="shared" si="393"/>
        <v>판타지 웹소설 &gt; 퓨전 판타지</v>
      </c>
    </row>
    <row r="2537" spans="1:57" x14ac:dyDescent="0.3">
      <c r="A2537">
        <v>2313000685</v>
      </c>
      <c r="B2537">
        <v>2313000871</v>
      </c>
      <c r="C2537" t="str">
        <f>T("라지에르의 서 188화")</f>
        <v>라지에르의 서 188화</v>
      </c>
      <c r="D2537" t="str">
        <f>T("187")</f>
        <v>187</v>
      </c>
      <c r="E2537" t="str">
        <f t="shared" si="390"/>
        <v>공든탑</v>
      </c>
      <c r="H2537" t="str">
        <f t="shared" si="389"/>
        <v>스토리위즈</v>
      </c>
      <c r="I2537" t="str">
        <f t="shared" si="391"/>
        <v>라지에르의 서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/>
      <c r="AQ2537">
        <v>0</v>
      </c>
      <c r="AR2537">
        <v>0</v>
      </c>
      <c r="AT2537">
        <v>0</v>
      </c>
      <c r="AU2537">
        <v>0</v>
      </c>
      <c r="AW2537">
        <v>0</v>
      </c>
      <c r="AX2537">
        <v>0</v>
      </c>
      <c r="AY2537">
        <v>70</v>
      </c>
      <c r="BC2537" t="str">
        <f t="shared" si="392"/>
        <v>9791159285783</v>
      </c>
      <c r="BE2537" t="str">
        <f t="shared" si="393"/>
        <v>판타지 웹소설 &gt; 퓨전 판타지</v>
      </c>
    </row>
    <row r="2538" spans="1:57" x14ac:dyDescent="0.3">
      <c r="A2538">
        <v>2313000685</v>
      </c>
      <c r="B2538">
        <v>2313000872</v>
      </c>
      <c r="C2538" t="str">
        <f>T("라지에르의 서 189화")</f>
        <v>라지에르의 서 189화</v>
      </c>
      <c r="D2538" t="str">
        <f>T("188")</f>
        <v>188</v>
      </c>
      <c r="E2538" t="str">
        <f t="shared" si="390"/>
        <v>공든탑</v>
      </c>
      <c r="H2538" t="str">
        <f t="shared" si="389"/>
        <v>스토리위즈</v>
      </c>
      <c r="I2538" t="str">
        <f t="shared" si="391"/>
        <v>라지에르의 서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/>
      <c r="AQ2538">
        <v>0</v>
      </c>
      <c r="AR2538">
        <v>0</v>
      </c>
      <c r="AT2538">
        <v>0</v>
      </c>
      <c r="AU2538">
        <v>0</v>
      </c>
      <c r="AW2538">
        <v>0</v>
      </c>
      <c r="AX2538">
        <v>0</v>
      </c>
      <c r="AY2538">
        <v>70</v>
      </c>
      <c r="BC2538" t="str">
        <f t="shared" si="392"/>
        <v>9791159285783</v>
      </c>
      <c r="BE2538" t="str">
        <f t="shared" si="393"/>
        <v>판타지 웹소설 &gt; 퓨전 판타지</v>
      </c>
    </row>
    <row r="2539" spans="1:57" x14ac:dyDescent="0.3">
      <c r="A2539">
        <v>2313000685</v>
      </c>
      <c r="B2539">
        <v>2313000873</v>
      </c>
      <c r="C2539" t="str">
        <f>T("라지에르의 서 190화")</f>
        <v>라지에르의 서 190화</v>
      </c>
      <c r="D2539" t="str">
        <f>T("189")</f>
        <v>189</v>
      </c>
      <c r="E2539" t="str">
        <f t="shared" si="390"/>
        <v>공든탑</v>
      </c>
      <c r="H2539" t="str">
        <f t="shared" si="389"/>
        <v>스토리위즈</v>
      </c>
      <c r="I2539" t="str">
        <f t="shared" si="391"/>
        <v>라지에르의 서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/>
      <c r="AQ2539">
        <v>0</v>
      </c>
      <c r="AR2539">
        <v>0</v>
      </c>
      <c r="AT2539">
        <v>0</v>
      </c>
      <c r="AU2539">
        <v>0</v>
      </c>
      <c r="AW2539">
        <v>0</v>
      </c>
      <c r="AX2539">
        <v>0</v>
      </c>
      <c r="AY2539">
        <v>70</v>
      </c>
      <c r="BC2539" t="str">
        <f t="shared" si="392"/>
        <v>9791159285783</v>
      </c>
      <c r="BE2539" t="str">
        <f t="shared" si="393"/>
        <v>판타지 웹소설 &gt; 퓨전 판타지</v>
      </c>
    </row>
    <row r="2540" spans="1:57" x14ac:dyDescent="0.3">
      <c r="A2540">
        <v>2313000685</v>
      </c>
      <c r="B2540">
        <v>2313000874</v>
      </c>
      <c r="C2540" t="str">
        <f>T("라지에르의 서 191화")</f>
        <v>라지에르의 서 191화</v>
      </c>
      <c r="D2540" t="str">
        <f>T("190")</f>
        <v>190</v>
      </c>
      <c r="E2540" t="str">
        <f t="shared" si="390"/>
        <v>공든탑</v>
      </c>
      <c r="H2540" t="str">
        <f t="shared" si="389"/>
        <v>스토리위즈</v>
      </c>
      <c r="I2540" t="str">
        <f t="shared" si="391"/>
        <v>라지에르의 서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1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/>
      <c r="AQ2540">
        <v>0</v>
      </c>
      <c r="AR2540">
        <v>0</v>
      </c>
      <c r="AT2540">
        <v>0</v>
      </c>
      <c r="AU2540">
        <v>0</v>
      </c>
      <c r="AW2540">
        <v>0</v>
      </c>
      <c r="AX2540">
        <v>0</v>
      </c>
      <c r="AY2540">
        <v>70</v>
      </c>
      <c r="BC2540" t="str">
        <f t="shared" si="392"/>
        <v>9791159285783</v>
      </c>
      <c r="BE2540" t="str">
        <f t="shared" si="393"/>
        <v>판타지 웹소설 &gt; 퓨전 판타지</v>
      </c>
    </row>
    <row r="2541" spans="1:57" x14ac:dyDescent="0.3">
      <c r="A2541">
        <v>2313000685</v>
      </c>
      <c r="B2541">
        <v>2313000875</v>
      </c>
      <c r="C2541" t="str">
        <f>T("라지에르의 서 192화")</f>
        <v>라지에르의 서 192화</v>
      </c>
      <c r="D2541" t="str">
        <f>T("191")</f>
        <v>191</v>
      </c>
      <c r="E2541" t="str">
        <f t="shared" si="390"/>
        <v>공든탑</v>
      </c>
      <c r="H2541" t="str">
        <f t="shared" si="389"/>
        <v>스토리위즈</v>
      </c>
      <c r="I2541" t="str">
        <f t="shared" si="391"/>
        <v>라지에르의 서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/>
      <c r="AQ2541">
        <v>0</v>
      </c>
      <c r="AR2541">
        <v>0</v>
      </c>
      <c r="AT2541">
        <v>0</v>
      </c>
      <c r="AU2541">
        <v>0</v>
      </c>
      <c r="AW2541">
        <v>0</v>
      </c>
      <c r="AX2541">
        <v>0</v>
      </c>
      <c r="AY2541">
        <v>70</v>
      </c>
      <c r="BC2541" t="str">
        <f t="shared" si="392"/>
        <v>9791159285783</v>
      </c>
      <c r="BE2541" t="str">
        <f t="shared" si="393"/>
        <v>판타지 웹소설 &gt; 퓨전 판타지</v>
      </c>
    </row>
    <row r="2542" spans="1:57" x14ac:dyDescent="0.3">
      <c r="A2542">
        <v>2313000685</v>
      </c>
      <c r="B2542">
        <v>2313000876</v>
      </c>
      <c r="C2542" t="str">
        <f>T("라지에르의 서 193화")</f>
        <v>라지에르의 서 193화</v>
      </c>
      <c r="D2542" t="str">
        <f>T("192")</f>
        <v>192</v>
      </c>
      <c r="E2542" t="str">
        <f t="shared" si="390"/>
        <v>공든탑</v>
      </c>
      <c r="H2542" t="str">
        <f t="shared" si="389"/>
        <v>스토리위즈</v>
      </c>
      <c r="I2542" t="str">
        <f t="shared" si="391"/>
        <v>라지에르의 서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/>
      <c r="AQ2542">
        <v>0</v>
      </c>
      <c r="AR2542">
        <v>0</v>
      </c>
      <c r="AT2542">
        <v>0</v>
      </c>
      <c r="AU2542">
        <v>0</v>
      </c>
      <c r="AW2542">
        <v>0</v>
      </c>
      <c r="AX2542">
        <v>0</v>
      </c>
      <c r="AY2542">
        <v>70</v>
      </c>
      <c r="BC2542" t="str">
        <f t="shared" si="392"/>
        <v>9791159285783</v>
      </c>
      <c r="BE2542" t="str">
        <f t="shared" si="393"/>
        <v>판타지 웹소설 &gt; 퓨전 판타지</v>
      </c>
    </row>
    <row r="2543" spans="1:57" x14ac:dyDescent="0.3">
      <c r="A2543">
        <v>2313000685</v>
      </c>
      <c r="B2543">
        <v>2313000877</v>
      </c>
      <c r="C2543" t="str">
        <f>T("라지에르의 서 194화")</f>
        <v>라지에르의 서 194화</v>
      </c>
      <c r="D2543" t="str">
        <f>T("193")</f>
        <v>193</v>
      </c>
      <c r="E2543" t="str">
        <f t="shared" si="390"/>
        <v>공든탑</v>
      </c>
      <c r="H2543" t="str">
        <f t="shared" si="389"/>
        <v>스토리위즈</v>
      </c>
      <c r="I2543" t="str">
        <f t="shared" si="391"/>
        <v>라지에르의 서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1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/>
      <c r="AQ2543">
        <v>0</v>
      </c>
      <c r="AR2543">
        <v>0</v>
      </c>
      <c r="AT2543">
        <v>0</v>
      </c>
      <c r="AU2543">
        <v>0</v>
      </c>
      <c r="AW2543">
        <v>0</v>
      </c>
      <c r="AX2543">
        <v>0</v>
      </c>
      <c r="AY2543">
        <v>70</v>
      </c>
      <c r="BC2543" t="str">
        <f t="shared" si="392"/>
        <v>9791159285783</v>
      </c>
      <c r="BE2543" t="str">
        <f t="shared" si="393"/>
        <v>판타지 웹소설 &gt; 퓨전 판타지</v>
      </c>
    </row>
    <row r="2544" spans="1:57" x14ac:dyDescent="0.3">
      <c r="A2544">
        <v>2313000685</v>
      </c>
      <c r="B2544">
        <v>2313000878</v>
      </c>
      <c r="C2544" t="str">
        <f>T("라지에르의 서 195화")</f>
        <v>라지에르의 서 195화</v>
      </c>
      <c r="D2544" t="str">
        <f>T("194")</f>
        <v>194</v>
      </c>
      <c r="E2544" t="str">
        <f t="shared" si="390"/>
        <v>공든탑</v>
      </c>
      <c r="H2544" t="str">
        <f t="shared" si="389"/>
        <v>스토리위즈</v>
      </c>
      <c r="I2544" t="str">
        <f t="shared" si="391"/>
        <v>라지에르의 서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100</v>
      </c>
      <c r="AL2544">
        <v>0</v>
      </c>
      <c r="AM2544">
        <v>0</v>
      </c>
      <c r="AN2544">
        <v>0</v>
      </c>
      <c r="AO2544">
        <v>0</v>
      </c>
      <c r="AP2544"/>
      <c r="AQ2544">
        <v>0</v>
      </c>
      <c r="AR2544">
        <v>0</v>
      </c>
      <c r="AT2544">
        <v>0</v>
      </c>
      <c r="AU2544">
        <v>0</v>
      </c>
      <c r="AW2544">
        <v>0</v>
      </c>
      <c r="AX2544">
        <v>0</v>
      </c>
      <c r="AY2544">
        <v>70</v>
      </c>
      <c r="BC2544" t="str">
        <f t="shared" si="392"/>
        <v>9791159285783</v>
      </c>
      <c r="BE2544" t="str">
        <f t="shared" si="393"/>
        <v>판타지 웹소설 &gt; 퓨전 판타지</v>
      </c>
    </row>
    <row r="2545" spans="1:57" x14ac:dyDescent="0.3">
      <c r="A2545">
        <v>2313000685</v>
      </c>
      <c r="B2545">
        <v>2313000879</v>
      </c>
      <c r="C2545" t="str">
        <f>T("라지에르의 서 196화")</f>
        <v>라지에르의 서 196화</v>
      </c>
      <c r="D2545" t="str">
        <f>T("195")</f>
        <v>195</v>
      </c>
      <c r="E2545" t="str">
        <f t="shared" si="390"/>
        <v>공든탑</v>
      </c>
      <c r="H2545" t="str">
        <f t="shared" si="389"/>
        <v>스토리위즈</v>
      </c>
      <c r="I2545" t="str">
        <f t="shared" si="391"/>
        <v>라지에르의 서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/>
      <c r="AQ2545">
        <v>0</v>
      </c>
      <c r="AR2545">
        <v>0</v>
      </c>
      <c r="AT2545">
        <v>0</v>
      </c>
      <c r="AU2545">
        <v>0</v>
      </c>
      <c r="AW2545">
        <v>0</v>
      </c>
      <c r="AX2545">
        <v>0</v>
      </c>
      <c r="AY2545">
        <v>70</v>
      </c>
      <c r="BC2545" t="str">
        <f t="shared" si="392"/>
        <v>9791159285783</v>
      </c>
      <c r="BE2545" t="str">
        <f t="shared" si="393"/>
        <v>판타지 웹소설 &gt; 퓨전 판타지</v>
      </c>
    </row>
    <row r="2546" spans="1:57" x14ac:dyDescent="0.3">
      <c r="A2546">
        <v>2313000685</v>
      </c>
      <c r="B2546">
        <v>2313000880</v>
      </c>
      <c r="C2546" t="str">
        <f>T("라지에르의 서 197화")</f>
        <v>라지에르의 서 197화</v>
      </c>
      <c r="D2546" t="str">
        <f>T("196")</f>
        <v>196</v>
      </c>
      <c r="E2546" t="str">
        <f t="shared" si="390"/>
        <v>공든탑</v>
      </c>
      <c r="H2546" t="str">
        <f t="shared" si="389"/>
        <v>스토리위즈</v>
      </c>
      <c r="I2546" t="str">
        <f t="shared" si="391"/>
        <v>라지에르의 서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/>
      <c r="AQ2546">
        <v>0</v>
      </c>
      <c r="AR2546">
        <v>0</v>
      </c>
      <c r="AT2546">
        <v>0</v>
      </c>
      <c r="AU2546">
        <v>0</v>
      </c>
      <c r="AW2546">
        <v>0</v>
      </c>
      <c r="AX2546">
        <v>0</v>
      </c>
      <c r="AY2546">
        <v>70</v>
      </c>
      <c r="BC2546" t="str">
        <f t="shared" si="392"/>
        <v>9791159285783</v>
      </c>
      <c r="BE2546" t="str">
        <f t="shared" si="393"/>
        <v>판타지 웹소설 &gt; 퓨전 판타지</v>
      </c>
    </row>
    <row r="2547" spans="1:57" x14ac:dyDescent="0.3">
      <c r="A2547">
        <v>2313000685</v>
      </c>
      <c r="B2547">
        <v>2313000881</v>
      </c>
      <c r="C2547" t="str">
        <f>T("라지에르의 서 198화")</f>
        <v>라지에르의 서 198화</v>
      </c>
      <c r="D2547" t="str">
        <f>T("197")</f>
        <v>197</v>
      </c>
      <c r="E2547" t="str">
        <f t="shared" si="390"/>
        <v>공든탑</v>
      </c>
      <c r="H2547" t="str">
        <f t="shared" si="389"/>
        <v>스토리위즈</v>
      </c>
      <c r="I2547" t="str">
        <f t="shared" si="391"/>
        <v>라지에르의 서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/>
      <c r="AQ2547">
        <v>0</v>
      </c>
      <c r="AR2547">
        <v>0</v>
      </c>
      <c r="AT2547">
        <v>0</v>
      </c>
      <c r="AU2547">
        <v>0</v>
      </c>
      <c r="AW2547">
        <v>0</v>
      </c>
      <c r="AX2547">
        <v>0</v>
      </c>
      <c r="AY2547">
        <v>70</v>
      </c>
      <c r="BC2547" t="str">
        <f t="shared" si="392"/>
        <v>9791159285783</v>
      </c>
      <c r="BE2547" t="str">
        <f t="shared" si="393"/>
        <v>판타지 웹소설 &gt; 퓨전 판타지</v>
      </c>
    </row>
    <row r="2548" spans="1:57" x14ac:dyDescent="0.3">
      <c r="A2548">
        <v>2313000685</v>
      </c>
      <c r="B2548">
        <v>2313000882</v>
      </c>
      <c r="C2548" t="str">
        <f>T("라지에르의 서 199화")</f>
        <v>라지에르의 서 199화</v>
      </c>
      <c r="D2548" t="str">
        <f>T("198")</f>
        <v>198</v>
      </c>
      <c r="E2548" t="str">
        <f t="shared" si="390"/>
        <v>공든탑</v>
      </c>
      <c r="H2548" t="str">
        <f t="shared" si="389"/>
        <v>스토리위즈</v>
      </c>
      <c r="I2548" t="str">
        <f t="shared" si="391"/>
        <v>라지에르의 서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100</v>
      </c>
      <c r="AL2548">
        <v>0</v>
      </c>
      <c r="AM2548">
        <v>0</v>
      </c>
      <c r="AN2548">
        <v>0</v>
      </c>
      <c r="AO2548">
        <v>0</v>
      </c>
      <c r="AP2548"/>
      <c r="AQ2548">
        <v>0</v>
      </c>
      <c r="AR2548">
        <v>0</v>
      </c>
      <c r="AT2548">
        <v>0</v>
      </c>
      <c r="AU2548">
        <v>0</v>
      </c>
      <c r="AW2548">
        <v>0</v>
      </c>
      <c r="AX2548">
        <v>0</v>
      </c>
      <c r="AY2548">
        <v>70</v>
      </c>
      <c r="BC2548" t="str">
        <f t="shared" si="392"/>
        <v>9791159285783</v>
      </c>
      <c r="BE2548" t="str">
        <f t="shared" si="393"/>
        <v>판타지 웹소설 &gt; 퓨전 판타지</v>
      </c>
    </row>
    <row r="2549" spans="1:57" x14ac:dyDescent="0.3">
      <c r="A2549">
        <v>2313000685</v>
      </c>
      <c r="B2549">
        <v>2313000883</v>
      </c>
      <c r="C2549" t="str">
        <f>T("라지에르의 서 200화")</f>
        <v>라지에르의 서 200화</v>
      </c>
      <c r="D2549" t="str">
        <f>T("199")</f>
        <v>199</v>
      </c>
      <c r="E2549" t="str">
        <f t="shared" si="390"/>
        <v>공든탑</v>
      </c>
      <c r="H2549" t="str">
        <f t="shared" si="389"/>
        <v>스토리위즈</v>
      </c>
      <c r="I2549" t="str">
        <f t="shared" si="391"/>
        <v>라지에르의 서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100</v>
      </c>
      <c r="AL2549">
        <v>0</v>
      </c>
      <c r="AM2549">
        <v>0</v>
      </c>
      <c r="AN2549">
        <v>0</v>
      </c>
      <c r="AO2549">
        <v>0</v>
      </c>
      <c r="AP2549"/>
      <c r="AQ2549">
        <v>0</v>
      </c>
      <c r="AR2549">
        <v>0</v>
      </c>
      <c r="AT2549">
        <v>0</v>
      </c>
      <c r="AU2549">
        <v>0</v>
      </c>
      <c r="AW2549">
        <v>0</v>
      </c>
      <c r="AX2549">
        <v>0</v>
      </c>
      <c r="AY2549">
        <v>70</v>
      </c>
      <c r="BC2549" t="str">
        <f t="shared" si="392"/>
        <v>9791159285783</v>
      </c>
      <c r="BE2549" t="str">
        <f t="shared" si="393"/>
        <v>판타지 웹소설 &gt; 퓨전 판타지</v>
      </c>
    </row>
    <row r="2550" spans="1:57" x14ac:dyDescent="0.3">
      <c r="A2550">
        <v>2313000685</v>
      </c>
      <c r="B2550">
        <v>2313000884</v>
      </c>
      <c r="C2550" t="str">
        <f>T("라지에르의 서 201화")</f>
        <v>라지에르의 서 201화</v>
      </c>
      <c r="D2550" t="str">
        <f>T("200")</f>
        <v>200</v>
      </c>
      <c r="E2550" t="str">
        <f t="shared" si="390"/>
        <v>공든탑</v>
      </c>
      <c r="H2550" t="str">
        <f t="shared" si="389"/>
        <v>스토리위즈</v>
      </c>
      <c r="I2550" t="str">
        <f t="shared" si="391"/>
        <v>라지에르의 서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100</v>
      </c>
      <c r="AL2550">
        <v>0</v>
      </c>
      <c r="AM2550">
        <v>0</v>
      </c>
      <c r="AN2550">
        <v>0</v>
      </c>
      <c r="AO2550">
        <v>0</v>
      </c>
      <c r="AP2550"/>
      <c r="AQ2550">
        <v>0</v>
      </c>
      <c r="AR2550">
        <v>0</v>
      </c>
      <c r="AT2550">
        <v>0</v>
      </c>
      <c r="AU2550">
        <v>0</v>
      </c>
      <c r="AW2550">
        <v>0</v>
      </c>
      <c r="AX2550">
        <v>0</v>
      </c>
      <c r="AY2550">
        <v>70</v>
      </c>
      <c r="BC2550" t="str">
        <f t="shared" si="392"/>
        <v>9791159285783</v>
      </c>
      <c r="BE2550" t="str">
        <f t="shared" si="393"/>
        <v>판타지 웹소설 &gt; 퓨전 판타지</v>
      </c>
    </row>
    <row r="2551" spans="1:57" x14ac:dyDescent="0.3">
      <c r="A2551">
        <v>2313000685</v>
      </c>
      <c r="B2551">
        <v>2313000885</v>
      </c>
      <c r="C2551" t="str">
        <f>T("라지에르의 서 202화 (외전 1)")</f>
        <v>라지에르의 서 202화 (외전 1)</v>
      </c>
      <c r="D2551" t="str">
        <f>T("201")</f>
        <v>201</v>
      </c>
      <c r="E2551" t="str">
        <f t="shared" si="390"/>
        <v>공든탑</v>
      </c>
      <c r="H2551" t="str">
        <f t="shared" si="389"/>
        <v>스토리위즈</v>
      </c>
      <c r="I2551" t="str">
        <f t="shared" si="391"/>
        <v>라지에르의 서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1</v>
      </c>
      <c r="AI2551">
        <v>0</v>
      </c>
      <c r="AJ2551">
        <v>0</v>
      </c>
      <c r="AK2551">
        <v>100</v>
      </c>
      <c r="AL2551">
        <v>0</v>
      </c>
      <c r="AM2551">
        <v>0</v>
      </c>
      <c r="AN2551">
        <v>0</v>
      </c>
      <c r="AO2551">
        <v>0</v>
      </c>
      <c r="AP2551"/>
      <c r="AQ2551">
        <v>0</v>
      </c>
      <c r="AR2551">
        <v>0</v>
      </c>
      <c r="AT2551">
        <v>0</v>
      </c>
      <c r="AU2551">
        <v>0</v>
      </c>
      <c r="AW2551">
        <v>0</v>
      </c>
      <c r="AX2551">
        <v>0</v>
      </c>
      <c r="AY2551">
        <v>70</v>
      </c>
      <c r="BC2551" t="str">
        <f t="shared" ref="BC2551:BC2560" si="394">T("9791159285813")</f>
        <v>9791159285813</v>
      </c>
      <c r="BE2551" t="str">
        <f t="shared" si="393"/>
        <v>판타지 웹소설 &gt; 퓨전 판타지</v>
      </c>
    </row>
    <row r="2552" spans="1:57" x14ac:dyDescent="0.3">
      <c r="A2552">
        <v>2313000685</v>
      </c>
      <c r="B2552">
        <v>2313000886</v>
      </c>
      <c r="C2552" t="str">
        <f>T("라지에르의 서 203화 (외전 2)")</f>
        <v>라지에르의 서 203화 (외전 2)</v>
      </c>
      <c r="D2552" t="str">
        <f>T("202")</f>
        <v>202</v>
      </c>
      <c r="E2552" t="str">
        <f t="shared" si="390"/>
        <v>공든탑</v>
      </c>
      <c r="H2552" t="str">
        <f t="shared" ref="H2552:H2615" si="395">T("스토리위즈")</f>
        <v>스토리위즈</v>
      </c>
      <c r="I2552" t="str">
        <f t="shared" si="391"/>
        <v>라지에르의 서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100</v>
      </c>
      <c r="AL2552">
        <v>0</v>
      </c>
      <c r="AM2552">
        <v>0</v>
      </c>
      <c r="AN2552">
        <v>0</v>
      </c>
      <c r="AO2552">
        <v>0</v>
      </c>
      <c r="AP2552"/>
      <c r="AQ2552">
        <v>0</v>
      </c>
      <c r="AR2552">
        <v>0</v>
      </c>
      <c r="AT2552">
        <v>0</v>
      </c>
      <c r="AU2552">
        <v>0</v>
      </c>
      <c r="AW2552">
        <v>0</v>
      </c>
      <c r="AX2552">
        <v>0</v>
      </c>
      <c r="AY2552">
        <v>70</v>
      </c>
      <c r="BC2552" t="str">
        <f t="shared" si="394"/>
        <v>9791159285813</v>
      </c>
      <c r="BE2552" t="str">
        <f t="shared" si="393"/>
        <v>판타지 웹소설 &gt; 퓨전 판타지</v>
      </c>
    </row>
    <row r="2553" spans="1:57" x14ac:dyDescent="0.3">
      <c r="A2553">
        <v>2313000685</v>
      </c>
      <c r="B2553">
        <v>2313000887</v>
      </c>
      <c r="C2553" t="str">
        <f>T("라지에르의 서 204화 (외전 3)")</f>
        <v>라지에르의 서 204화 (외전 3)</v>
      </c>
      <c r="D2553" t="str">
        <f>T("203")</f>
        <v>203</v>
      </c>
      <c r="E2553" t="str">
        <f t="shared" si="390"/>
        <v>공든탑</v>
      </c>
      <c r="H2553" t="str">
        <f t="shared" si="395"/>
        <v>스토리위즈</v>
      </c>
      <c r="I2553" t="str">
        <f t="shared" si="391"/>
        <v>라지에르의 서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/>
      <c r="AQ2553">
        <v>0</v>
      </c>
      <c r="AR2553">
        <v>0</v>
      </c>
      <c r="AT2553">
        <v>0</v>
      </c>
      <c r="AU2553">
        <v>0</v>
      </c>
      <c r="AW2553">
        <v>0</v>
      </c>
      <c r="AX2553">
        <v>0</v>
      </c>
      <c r="AY2553">
        <v>70</v>
      </c>
      <c r="BC2553" t="str">
        <f t="shared" si="394"/>
        <v>9791159285813</v>
      </c>
      <c r="BE2553" t="str">
        <f t="shared" si="393"/>
        <v>판타지 웹소설 &gt; 퓨전 판타지</v>
      </c>
    </row>
    <row r="2554" spans="1:57" x14ac:dyDescent="0.3">
      <c r="A2554">
        <v>2313000685</v>
      </c>
      <c r="B2554">
        <v>2313000888</v>
      </c>
      <c r="C2554" t="str">
        <f>T("라지에르의 서 205화 (외전 4)")</f>
        <v>라지에르의 서 205화 (외전 4)</v>
      </c>
      <c r="D2554" t="str">
        <f>T("204")</f>
        <v>204</v>
      </c>
      <c r="E2554" t="str">
        <f t="shared" si="390"/>
        <v>공든탑</v>
      </c>
      <c r="H2554" t="str">
        <f t="shared" si="395"/>
        <v>스토리위즈</v>
      </c>
      <c r="I2554" t="str">
        <f t="shared" si="391"/>
        <v>라지에르의 서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/>
      <c r="AQ2554">
        <v>0</v>
      </c>
      <c r="AR2554">
        <v>0</v>
      </c>
      <c r="AT2554">
        <v>0</v>
      </c>
      <c r="AU2554">
        <v>0</v>
      </c>
      <c r="AW2554">
        <v>0</v>
      </c>
      <c r="AX2554">
        <v>0</v>
      </c>
      <c r="AY2554">
        <v>70</v>
      </c>
      <c r="BC2554" t="str">
        <f t="shared" si="394"/>
        <v>9791159285813</v>
      </c>
      <c r="BE2554" t="str">
        <f t="shared" si="393"/>
        <v>판타지 웹소설 &gt; 퓨전 판타지</v>
      </c>
    </row>
    <row r="2555" spans="1:57" x14ac:dyDescent="0.3">
      <c r="A2555">
        <v>2313000685</v>
      </c>
      <c r="B2555">
        <v>2313000889</v>
      </c>
      <c r="C2555" t="str">
        <f>T("라지에르의 서 206화 (외전 5)")</f>
        <v>라지에르의 서 206화 (외전 5)</v>
      </c>
      <c r="D2555" t="str">
        <f>T("205")</f>
        <v>205</v>
      </c>
      <c r="E2555" t="str">
        <f t="shared" si="390"/>
        <v>공든탑</v>
      </c>
      <c r="H2555" t="str">
        <f t="shared" si="395"/>
        <v>스토리위즈</v>
      </c>
      <c r="I2555" t="str">
        <f t="shared" si="391"/>
        <v>라지에르의 서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/>
      <c r="AQ2555">
        <v>0</v>
      </c>
      <c r="AR2555">
        <v>0</v>
      </c>
      <c r="AT2555">
        <v>0</v>
      </c>
      <c r="AU2555">
        <v>0</v>
      </c>
      <c r="AW2555">
        <v>0</v>
      </c>
      <c r="AX2555">
        <v>0</v>
      </c>
      <c r="AY2555">
        <v>70</v>
      </c>
      <c r="BC2555" t="str">
        <f t="shared" si="394"/>
        <v>9791159285813</v>
      </c>
      <c r="BE2555" t="str">
        <f t="shared" si="393"/>
        <v>판타지 웹소설 &gt; 퓨전 판타지</v>
      </c>
    </row>
    <row r="2556" spans="1:57" x14ac:dyDescent="0.3">
      <c r="A2556">
        <v>2313000685</v>
      </c>
      <c r="B2556">
        <v>2313000890</v>
      </c>
      <c r="C2556" t="str">
        <f>T("라지에르의 서 207화 (외전 6)")</f>
        <v>라지에르의 서 207화 (외전 6)</v>
      </c>
      <c r="D2556" t="str">
        <f>T("206")</f>
        <v>206</v>
      </c>
      <c r="E2556" t="str">
        <f t="shared" si="390"/>
        <v>공든탑</v>
      </c>
      <c r="H2556" t="str">
        <f t="shared" si="395"/>
        <v>스토리위즈</v>
      </c>
      <c r="I2556" t="str">
        <f t="shared" si="391"/>
        <v>라지에르의 서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/>
      <c r="AQ2556">
        <v>0</v>
      </c>
      <c r="AR2556">
        <v>0</v>
      </c>
      <c r="AT2556">
        <v>0</v>
      </c>
      <c r="AU2556">
        <v>0</v>
      </c>
      <c r="AW2556">
        <v>0</v>
      </c>
      <c r="AX2556">
        <v>0</v>
      </c>
      <c r="AY2556">
        <v>70</v>
      </c>
      <c r="BC2556" t="str">
        <f t="shared" si="394"/>
        <v>9791159285813</v>
      </c>
      <c r="BE2556" t="str">
        <f t="shared" si="393"/>
        <v>판타지 웹소설 &gt; 퓨전 판타지</v>
      </c>
    </row>
    <row r="2557" spans="1:57" x14ac:dyDescent="0.3">
      <c r="A2557">
        <v>2313000685</v>
      </c>
      <c r="B2557">
        <v>2313000891</v>
      </c>
      <c r="C2557" t="str">
        <f>T("라지에르의 서 208화 (외전 7)")</f>
        <v>라지에르의 서 208화 (외전 7)</v>
      </c>
      <c r="D2557" t="str">
        <f>T("207")</f>
        <v>207</v>
      </c>
      <c r="E2557" t="str">
        <f t="shared" si="390"/>
        <v>공든탑</v>
      </c>
      <c r="H2557" t="str">
        <f t="shared" si="395"/>
        <v>스토리위즈</v>
      </c>
      <c r="I2557" t="str">
        <f t="shared" si="391"/>
        <v>라지에르의 서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/>
      <c r="AQ2557">
        <v>0</v>
      </c>
      <c r="AR2557">
        <v>0</v>
      </c>
      <c r="AT2557">
        <v>0</v>
      </c>
      <c r="AU2557">
        <v>0</v>
      </c>
      <c r="AW2557">
        <v>0</v>
      </c>
      <c r="AX2557">
        <v>0</v>
      </c>
      <c r="AY2557">
        <v>70</v>
      </c>
      <c r="BC2557" t="str">
        <f t="shared" si="394"/>
        <v>9791159285813</v>
      </c>
      <c r="BE2557" t="str">
        <f t="shared" si="393"/>
        <v>판타지 웹소설 &gt; 퓨전 판타지</v>
      </c>
    </row>
    <row r="2558" spans="1:57" x14ac:dyDescent="0.3">
      <c r="A2558">
        <v>2313000685</v>
      </c>
      <c r="B2558">
        <v>2313000892</v>
      </c>
      <c r="C2558" t="str">
        <f>T("라지에르의 서 209화 (외전 8)")</f>
        <v>라지에르의 서 209화 (외전 8)</v>
      </c>
      <c r="D2558" t="str">
        <f>T("208")</f>
        <v>208</v>
      </c>
      <c r="E2558" t="str">
        <f t="shared" si="390"/>
        <v>공든탑</v>
      </c>
      <c r="H2558" t="str">
        <f t="shared" si="395"/>
        <v>스토리위즈</v>
      </c>
      <c r="I2558" t="str">
        <f t="shared" si="391"/>
        <v>라지에르의 서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/>
      <c r="AQ2558">
        <v>0</v>
      </c>
      <c r="AR2558">
        <v>0</v>
      </c>
      <c r="AT2558">
        <v>0</v>
      </c>
      <c r="AU2558">
        <v>0</v>
      </c>
      <c r="AW2558">
        <v>0</v>
      </c>
      <c r="AX2558">
        <v>0</v>
      </c>
      <c r="AY2558">
        <v>70</v>
      </c>
      <c r="BC2558" t="str">
        <f t="shared" si="394"/>
        <v>9791159285813</v>
      </c>
      <c r="BE2558" t="str">
        <f t="shared" si="393"/>
        <v>판타지 웹소설 &gt; 퓨전 판타지</v>
      </c>
    </row>
    <row r="2559" spans="1:57" x14ac:dyDescent="0.3">
      <c r="A2559">
        <v>2313000685</v>
      </c>
      <c r="B2559">
        <v>2313000893</v>
      </c>
      <c r="C2559" t="str">
        <f>T("라지에르의 서 210화 (외전 9)")</f>
        <v>라지에르의 서 210화 (외전 9)</v>
      </c>
      <c r="D2559" t="str">
        <f>T("209")</f>
        <v>209</v>
      </c>
      <c r="E2559" t="str">
        <f t="shared" si="390"/>
        <v>공든탑</v>
      </c>
      <c r="H2559" t="str">
        <f t="shared" si="395"/>
        <v>스토리위즈</v>
      </c>
      <c r="I2559" t="str">
        <f t="shared" si="391"/>
        <v>라지에르의 서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/>
      <c r="AQ2559">
        <v>0</v>
      </c>
      <c r="AR2559">
        <v>0</v>
      </c>
      <c r="AT2559">
        <v>0</v>
      </c>
      <c r="AU2559">
        <v>0</v>
      </c>
      <c r="AW2559">
        <v>0</v>
      </c>
      <c r="AX2559">
        <v>0</v>
      </c>
      <c r="AY2559">
        <v>70</v>
      </c>
      <c r="BC2559" t="str">
        <f t="shared" si="394"/>
        <v>9791159285813</v>
      </c>
      <c r="BE2559" t="str">
        <f t="shared" si="393"/>
        <v>판타지 웹소설 &gt; 퓨전 판타지</v>
      </c>
    </row>
    <row r="2560" spans="1:57" x14ac:dyDescent="0.3">
      <c r="A2560">
        <v>2313000685</v>
      </c>
      <c r="B2560">
        <v>2313000894</v>
      </c>
      <c r="C2560" t="str">
        <f>T("라지에르의 서 211화 (외전 10) (완결)")</f>
        <v>라지에르의 서 211화 (외전 10) (완결)</v>
      </c>
      <c r="D2560" t="str">
        <f>T("210")</f>
        <v>210</v>
      </c>
      <c r="E2560" t="str">
        <f t="shared" si="390"/>
        <v>공든탑</v>
      </c>
      <c r="H2560" t="str">
        <f t="shared" si="395"/>
        <v>스토리위즈</v>
      </c>
      <c r="I2560" t="str">
        <f t="shared" si="391"/>
        <v>라지에르의 서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/>
      <c r="AQ2560">
        <v>0</v>
      </c>
      <c r="AR2560">
        <v>0</v>
      </c>
      <c r="AT2560">
        <v>0</v>
      </c>
      <c r="AU2560">
        <v>0</v>
      </c>
      <c r="AW2560">
        <v>0</v>
      </c>
      <c r="AX2560">
        <v>0</v>
      </c>
      <c r="AY2560">
        <v>70</v>
      </c>
      <c r="BC2560" t="str">
        <f t="shared" si="394"/>
        <v>9791159285813</v>
      </c>
      <c r="BE2560" t="str">
        <f t="shared" si="393"/>
        <v>판타지 웹소설 &gt; 퓨전 판타지</v>
      </c>
    </row>
    <row r="2561" spans="1:57" x14ac:dyDescent="0.3">
      <c r="A2561">
        <v>2313002926</v>
      </c>
      <c r="B2561">
        <v>2313002951</v>
      </c>
      <c r="C2561" t="str">
        <f>T("나 혼자만 일일 보상 26화")</f>
        <v>나 혼자만 일일 보상 26화</v>
      </c>
      <c r="D2561" t="str">
        <f>T("26")</f>
        <v>26</v>
      </c>
      <c r="E2561" t="str">
        <f t="shared" ref="E2561:E2624" si="396">T("이동열")</f>
        <v>이동열</v>
      </c>
      <c r="H2561" t="str">
        <f t="shared" si="395"/>
        <v>스토리위즈</v>
      </c>
      <c r="I2561" t="str">
        <f t="shared" ref="I2561:I2624" si="397">T("나 혼자만 일일 보상")</f>
        <v>나 혼자만 일일 보상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/>
      <c r="AQ2561">
        <v>0</v>
      </c>
      <c r="AR2561">
        <v>0</v>
      </c>
      <c r="AT2561">
        <v>0</v>
      </c>
      <c r="AU2561">
        <v>0</v>
      </c>
      <c r="AW2561">
        <v>0</v>
      </c>
      <c r="AX2561">
        <v>0</v>
      </c>
      <c r="AY2561">
        <v>70</v>
      </c>
      <c r="BC2561" t="str">
        <f t="shared" ref="BC2561:BC2624" si="398">T("9791159286889")</f>
        <v>9791159286889</v>
      </c>
      <c r="BE2561" t="str">
        <f t="shared" ref="BE2561:BE2624" si="399">T("판타지 웹소설 &gt; 현대 판타지")</f>
        <v>판타지 웹소설 &gt; 현대 판타지</v>
      </c>
    </row>
    <row r="2562" spans="1:57" x14ac:dyDescent="0.3">
      <c r="A2562">
        <v>2313002926</v>
      </c>
      <c r="B2562">
        <v>2313002952</v>
      </c>
      <c r="C2562" t="str">
        <f>T("나 혼자만 일일 보상 27화")</f>
        <v>나 혼자만 일일 보상 27화</v>
      </c>
      <c r="D2562" t="str">
        <f>T("27")</f>
        <v>27</v>
      </c>
      <c r="E2562" t="str">
        <f t="shared" si="396"/>
        <v>이동열</v>
      </c>
      <c r="H2562" t="str">
        <f t="shared" si="395"/>
        <v>스토리위즈</v>
      </c>
      <c r="I2562" t="str">
        <f t="shared" si="397"/>
        <v>나 혼자만 일일 보상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/>
      <c r="AQ2562">
        <v>0</v>
      </c>
      <c r="AR2562">
        <v>0</v>
      </c>
      <c r="AT2562">
        <v>0</v>
      </c>
      <c r="AU2562">
        <v>0</v>
      </c>
      <c r="AW2562">
        <v>0</v>
      </c>
      <c r="AX2562">
        <v>0</v>
      </c>
      <c r="AY2562">
        <v>70</v>
      </c>
      <c r="BC2562" t="str">
        <f t="shared" si="398"/>
        <v>9791159286889</v>
      </c>
      <c r="BE2562" t="str">
        <f t="shared" si="399"/>
        <v>판타지 웹소설 &gt; 현대 판타지</v>
      </c>
    </row>
    <row r="2563" spans="1:57" x14ac:dyDescent="0.3">
      <c r="A2563">
        <v>2313002926</v>
      </c>
      <c r="B2563">
        <v>2313002953</v>
      </c>
      <c r="C2563" t="str">
        <f>T("나 혼자만 일일 보상 28화")</f>
        <v>나 혼자만 일일 보상 28화</v>
      </c>
      <c r="D2563" t="str">
        <f>T("28")</f>
        <v>28</v>
      </c>
      <c r="E2563" t="str">
        <f t="shared" si="396"/>
        <v>이동열</v>
      </c>
      <c r="H2563" t="str">
        <f t="shared" si="395"/>
        <v>스토리위즈</v>
      </c>
      <c r="I2563" t="str">
        <f t="shared" si="397"/>
        <v>나 혼자만 일일 보상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/>
      <c r="AQ2563">
        <v>0</v>
      </c>
      <c r="AR2563">
        <v>0</v>
      </c>
      <c r="AT2563">
        <v>0</v>
      </c>
      <c r="AU2563">
        <v>0</v>
      </c>
      <c r="AW2563">
        <v>0</v>
      </c>
      <c r="AX2563">
        <v>0</v>
      </c>
      <c r="AY2563">
        <v>70</v>
      </c>
      <c r="BC2563" t="str">
        <f t="shared" si="398"/>
        <v>9791159286889</v>
      </c>
      <c r="BE2563" t="str">
        <f t="shared" si="399"/>
        <v>판타지 웹소설 &gt; 현대 판타지</v>
      </c>
    </row>
    <row r="2564" spans="1:57" x14ac:dyDescent="0.3">
      <c r="A2564">
        <v>2313002926</v>
      </c>
      <c r="B2564">
        <v>2313002954</v>
      </c>
      <c r="C2564" t="str">
        <f>T("나 혼자만 일일 보상 29화")</f>
        <v>나 혼자만 일일 보상 29화</v>
      </c>
      <c r="D2564" t="str">
        <f>T("29")</f>
        <v>29</v>
      </c>
      <c r="E2564" t="str">
        <f t="shared" si="396"/>
        <v>이동열</v>
      </c>
      <c r="H2564" t="str">
        <f t="shared" si="395"/>
        <v>스토리위즈</v>
      </c>
      <c r="I2564" t="str">
        <f t="shared" si="397"/>
        <v>나 혼자만 일일 보상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/>
      <c r="AQ2564">
        <v>0</v>
      </c>
      <c r="AR2564">
        <v>0</v>
      </c>
      <c r="AT2564">
        <v>0</v>
      </c>
      <c r="AU2564">
        <v>0</v>
      </c>
      <c r="AW2564">
        <v>0</v>
      </c>
      <c r="AX2564">
        <v>0</v>
      </c>
      <c r="AY2564">
        <v>70</v>
      </c>
      <c r="BC2564" t="str">
        <f t="shared" si="398"/>
        <v>9791159286889</v>
      </c>
      <c r="BE2564" t="str">
        <f t="shared" si="399"/>
        <v>판타지 웹소설 &gt; 현대 판타지</v>
      </c>
    </row>
    <row r="2565" spans="1:57" x14ac:dyDescent="0.3">
      <c r="A2565">
        <v>2313002926</v>
      </c>
      <c r="B2565">
        <v>2313002955</v>
      </c>
      <c r="C2565" t="str">
        <f>T("나 혼자만 일일 보상 30화")</f>
        <v>나 혼자만 일일 보상 30화</v>
      </c>
      <c r="D2565" t="str">
        <f>T("30")</f>
        <v>30</v>
      </c>
      <c r="E2565" t="str">
        <f t="shared" si="396"/>
        <v>이동열</v>
      </c>
      <c r="H2565" t="str">
        <f t="shared" si="395"/>
        <v>스토리위즈</v>
      </c>
      <c r="I2565" t="str">
        <f t="shared" si="397"/>
        <v>나 혼자만 일일 보상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/>
      <c r="AQ2565">
        <v>0</v>
      </c>
      <c r="AR2565">
        <v>0</v>
      </c>
      <c r="AT2565">
        <v>0</v>
      </c>
      <c r="AU2565">
        <v>0</v>
      </c>
      <c r="AW2565">
        <v>0</v>
      </c>
      <c r="AX2565">
        <v>0</v>
      </c>
      <c r="AY2565">
        <v>70</v>
      </c>
      <c r="BC2565" t="str">
        <f t="shared" si="398"/>
        <v>9791159286889</v>
      </c>
      <c r="BE2565" t="str">
        <f t="shared" si="399"/>
        <v>판타지 웹소설 &gt; 현대 판타지</v>
      </c>
    </row>
    <row r="2566" spans="1:57" x14ac:dyDescent="0.3">
      <c r="A2566">
        <v>2313002926</v>
      </c>
      <c r="B2566">
        <v>2313002956</v>
      </c>
      <c r="C2566" t="str">
        <f>T("나 혼자만 일일 보상 31화")</f>
        <v>나 혼자만 일일 보상 31화</v>
      </c>
      <c r="D2566" t="str">
        <f>T("31")</f>
        <v>31</v>
      </c>
      <c r="E2566" t="str">
        <f t="shared" si="396"/>
        <v>이동열</v>
      </c>
      <c r="H2566" t="str">
        <f t="shared" si="395"/>
        <v>스토리위즈</v>
      </c>
      <c r="I2566" t="str">
        <f t="shared" si="397"/>
        <v>나 혼자만 일일 보상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/>
      <c r="AQ2566">
        <v>0</v>
      </c>
      <c r="AR2566">
        <v>0</v>
      </c>
      <c r="AT2566">
        <v>0</v>
      </c>
      <c r="AU2566">
        <v>0</v>
      </c>
      <c r="AW2566">
        <v>0</v>
      </c>
      <c r="AX2566">
        <v>0</v>
      </c>
      <c r="AY2566">
        <v>70</v>
      </c>
      <c r="BC2566" t="str">
        <f t="shared" si="398"/>
        <v>9791159286889</v>
      </c>
      <c r="BE2566" t="str">
        <f t="shared" si="399"/>
        <v>판타지 웹소설 &gt; 현대 판타지</v>
      </c>
    </row>
    <row r="2567" spans="1:57" x14ac:dyDescent="0.3">
      <c r="A2567">
        <v>2313002926</v>
      </c>
      <c r="B2567">
        <v>2313002957</v>
      </c>
      <c r="C2567" t="str">
        <f>T("나 혼자만 일일 보상 32화")</f>
        <v>나 혼자만 일일 보상 32화</v>
      </c>
      <c r="D2567" t="str">
        <f>T("32")</f>
        <v>32</v>
      </c>
      <c r="E2567" t="str">
        <f t="shared" si="396"/>
        <v>이동열</v>
      </c>
      <c r="H2567" t="str">
        <f t="shared" si="395"/>
        <v>스토리위즈</v>
      </c>
      <c r="I2567" t="str">
        <f t="shared" si="397"/>
        <v>나 혼자만 일일 보상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/>
      <c r="AQ2567">
        <v>0</v>
      </c>
      <c r="AR2567">
        <v>0</v>
      </c>
      <c r="AT2567">
        <v>0</v>
      </c>
      <c r="AU2567">
        <v>0</v>
      </c>
      <c r="AW2567">
        <v>0</v>
      </c>
      <c r="AX2567">
        <v>0</v>
      </c>
      <c r="AY2567">
        <v>70</v>
      </c>
      <c r="BC2567" t="str">
        <f t="shared" si="398"/>
        <v>9791159286889</v>
      </c>
      <c r="BE2567" t="str">
        <f t="shared" si="399"/>
        <v>판타지 웹소설 &gt; 현대 판타지</v>
      </c>
    </row>
    <row r="2568" spans="1:57" x14ac:dyDescent="0.3">
      <c r="A2568">
        <v>2313002926</v>
      </c>
      <c r="B2568">
        <v>2313002958</v>
      </c>
      <c r="C2568" t="str">
        <f>T("나 혼자만 일일 보상 33화")</f>
        <v>나 혼자만 일일 보상 33화</v>
      </c>
      <c r="D2568" t="str">
        <f>T("33")</f>
        <v>33</v>
      </c>
      <c r="E2568" t="str">
        <f t="shared" si="396"/>
        <v>이동열</v>
      </c>
      <c r="H2568" t="str">
        <f t="shared" si="395"/>
        <v>스토리위즈</v>
      </c>
      <c r="I2568" t="str">
        <f t="shared" si="397"/>
        <v>나 혼자만 일일 보상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/>
      <c r="AQ2568">
        <v>0</v>
      </c>
      <c r="AR2568">
        <v>0</v>
      </c>
      <c r="AT2568">
        <v>0</v>
      </c>
      <c r="AU2568">
        <v>0</v>
      </c>
      <c r="AW2568">
        <v>0</v>
      </c>
      <c r="AX2568">
        <v>0</v>
      </c>
      <c r="AY2568">
        <v>70</v>
      </c>
      <c r="BC2568" t="str">
        <f t="shared" si="398"/>
        <v>9791159286889</v>
      </c>
      <c r="BE2568" t="str">
        <f t="shared" si="399"/>
        <v>판타지 웹소설 &gt; 현대 판타지</v>
      </c>
    </row>
    <row r="2569" spans="1:57" x14ac:dyDescent="0.3">
      <c r="A2569">
        <v>2313002926</v>
      </c>
      <c r="B2569">
        <v>2313002959</v>
      </c>
      <c r="C2569" t="str">
        <f>T("나 혼자만 일일 보상 35화")</f>
        <v>나 혼자만 일일 보상 35화</v>
      </c>
      <c r="D2569" t="str">
        <f>T("35")</f>
        <v>35</v>
      </c>
      <c r="E2569" t="str">
        <f t="shared" si="396"/>
        <v>이동열</v>
      </c>
      <c r="H2569" t="str">
        <f t="shared" si="395"/>
        <v>스토리위즈</v>
      </c>
      <c r="I2569" t="str">
        <f t="shared" si="397"/>
        <v>나 혼자만 일일 보상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/>
      <c r="AQ2569">
        <v>0</v>
      </c>
      <c r="AR2569">
        <v>0</v>
      </c>
      <c r="AT2569">
        <v>0</v>
      </c>
      <c r="AU2569">
        <v>0</v>
      </c>
      <c r="AW2569">
        <v>0</v>
      </c>
      <c r="AX2569">
        <v>0</v>
      </c>
      <c r="AY2569">
        <v>70</v>
      </c>
      <c r="BC2569" t="str">
        <f t="shared" si="398"/>
        <v>9791159286889</v>
      </c>
      <c r="BE2569" t="str">
        <f t="shared" si="399"/>
        <v>판타지 웹소설 &gt; 현대 판타지</v>
      </c>
    </row>
    <row r="2570" spans="1:57" x14ac:dyDescent="0.3">
      <c r="A2570">
        <v>2313002926</v>
      </c>
      <c r="B2570">
        <v>2313002960</v>
      </c>
      <c r="C2570" t="str">
        <f>T("나 혼자만 일일 보상 36화")</f>
        <v>나 혼자만 일일 보상 36화</v>
      </c>
      <c r="D2570" t="str">
        <f>T("36")</f>
        <v>36</v>
      </c>
      <c r="E2570" t="str">
        <f t="shared" si="396"/>
        <v>이동열</v>
      </c>
      <c r="H2570" t="str">
        <f t="shared" si="395"/>
        <v>스토리위즈</v>
      </c>
      <c r="I2570" t="str">
        <f t="shared" si="397"/>
        <v>나 혼자만 일일 보상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/>
      <c r="AQ2570">
        <v>0</v>
      </c>
      <c r="AR2570">
        <v>0</v>
      </c>
      <c r="AT2570">
        <v>0</v>
      </c>
      <c r="AU2570">
        <v>0</v>
      </c>
      <c r="AW2570">
        <v>0</v>
      </c>
      <c r="AX2570">
        <v>0</v>
      </c>
      <c r="AY2570">
        <v>70</v>
      </c>
      <c r="BC2570" t="str">
        <f t="shared" si="398"/>
        <v>9791159286889</v>
      </c>
      <c r="BE2570" t="str">
        <f t="shared" si="399"/>
        <v>판타지 웹소설 &gt; 현대 판타지</v>
      </c>
    </row>
    <row r="2571" spans="1:57" x14ac:dyDescent="0.3">
      <c r="A2571">
        <v>2313002926</v>
      </c>
      <c r="B2571">
        <v>2313002961</v>
      </c>
      <c r="C2571" t="str">
        <f>T("나 혼자만 일일 보상 37화")</f>
        <v>나 혼자만 일일 보상 37화</v>
      </c>
      <c r="D2571" t="str">
        <f>T("37")</f>
        <v>37</v>
      </c>
      <c r="E2571" t="str">
        <f t="shared" si="396"/>
        <v>이동열</v>
      </c>
      <c r="H2571" t="str">
        <f t="shared" si="395"/>
        <v>스토리위즈</v>
      </c>
      <c r="I2571" t="str">
        <f t="shared" si="397"/>
        <v>나 혼자만 일일 보상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/>
      <c r="AQ2571">
        <v>0</v>
      </c>
      <c r="AR2571">
        <v>0</v>
      </c>
      <c r="AT2571">
        <v>0</v>
      </c>
      <c r="AU2571">
        <v>0</v>
      </c>
      <c r="AW2571">
        <v>0</v>
      </c>
      <c r="AX2571">
        <v>0</v>
      </c>
      <c r="AY2571">
        <v>70</v>
      </c>
      <c r="BC2571" t="str">
        <f t="shared" si="398"/>
        <v>9791159286889</v>
      </c>
      <c r="BE2571" t="str">
        <f t="shared" si="399"/>
        <v>판타지 웹소설 &gt; 현대 판타지</v>
      </c>
    </row>
    <row r="2572" spans="1:57" x14ac:dyDescent="0.3">
      <c r="A2572">
        <v>2313002926</v>
      </c>
      <c r="B2572">
        <v>2313002962</v>
      </c>
      <c r="C2572" t="str">
        <f>T("나 혼자만 일일 보상 38화")</f>
        <v>나 혼자만 일일 보상 38화</v>
      </c>
      <c r="D2572" t="str">
        <f>T("38")</f>
        <v>38</v>
      </c>
      <c r="E2572" t="str">
        <f t="shared" si="396"/>
        <v>이동열</v>
      </c>
      <c r="H2572" t="str">
        <f t="shared" si="395"/>
        <v>스토리위즈</v>
      </c>
      <c r="I2572" t="str">
        <f t="shared" si="397"/>
        <v>나 혼자만 일일 보상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/>
      <c r="AQ2572">
        <v>0</v>
      </c>
      <c r="AR2572">
        <v>0</v>
      </c>
      <c r="AT2572">
        <v>0</v>
      </c>
      <c r="AU2572">
        <v>0</v>
      </c>
      <c r="AW2572">
        <v>0</v>
      </c>
      <c r="AX2572">
        <v>0</v>
      </c>
      <c r="AY2572">
        <v>70</v>
      </c>
      <c r="BC2572" t="str">
        <f t="shared" si="398"/>
        <v>9791159286889</v>
      </c>
      <c r="BE2572" t="str">
        <f t="shared" si="399"/>
        <v>판타지 웹소설 &gt; 현대 판타지</v>
      </c>
    </row>
    <row r="2573" spans="1:57" x14ac:dyDescent="0.3">
      <c r="A2573">
        <v>2313002926</v>
      </c>
      <c r="B2573">
        <v>2313002963</v>
      </c>
      <c r="C2573" t="str">
        <f>T("나 혼자만 일일 보상 39화")</f>
        <v>나 혼자만 일일 보상 39화</v>
      </c>
      <c r="D2573" t="str">
        <f>T("39")</f>
        <v>39</v>
      </c>
      <c r="E2573" t="str">
        <f t="shared" si="396"/>
        <v>이동열</v>
      </c>
      <c r="H2573" t="str">
        <f t="shared" si="395"/>
        <v>스토리위즈</v>
      </c>
      <c r="I2573" t="str">
        <f t="shared" si="397"/>
        <v>나 혼자만 일일 보상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/>
      <c r="AQ2573">
        <v>0</v>
      </c>
      <c r="AR2573">
        <v>0</v>
      </c>
      <c r="AT2573">
        <v>0</v>
      </c>
      <c r="AU2573">
        <v>0</v>
      </c>
      <c r="AW2573">
        <v>0</v>
      </c>
      <c r="AX2573">
        <v>0</v>
      </c>
      <c r="AY2573">
        <v>70</v>
      </c>
      <c r="BC2573" t="str">
        <f t="shared" si="398"/>
        <v>9791159286889</v>
      </c>
      <c r="BE2573" t="str">
        <f t="shared" si="399"/>
        <v>판타지 웹소설 &gt; 현대 판타지</v>
      </c>
    </row>
    <row r="2574" spans="1:57" x14ac:dyDescent="0.3">
      <c r="A2574">
        <v>2313002926</v>
      </c>
      <c r="B2574">
        <v>2313002964</v>
      </c>
      <c r="C2574" t="str">
        <f>T("나 혼자만 일일 보상 40화")</f>
        <v>나 혼자만 일일 보상 40화</v>
      </c>
      <c r="D2574" t="str">
        <f>T("40")</f>
        <v>40</v>
      </c>
      <c r="E2574" t="str">
        <f t="shared" si="396"/>
        <v>이동열</v>
      </c>
      <c r="H2574" t="str">
        <f t="shared" si="395"/>
        <v>스토리위즈</v>
      </c>
      <c r="I2574" t="str">
        <f t="shared" si="397"/>
        <v>나 혼자만 일일 보상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/>
      <c r="AQ2574">
        <v>0</v>
      </c>
      <c r="AR2574">
        <v>0</v>
      </c>
      <c r="AT2574">
        <v>0</v>
      </c>
      <c r="AU2574">
        <v>0</v>
      </c>
      <c r="AW2574">
        <v>0</v>
      </c>
      <c r="AX2574">
        <v>0</v>
      </c>
      <c r="AY2574">
        <v>70</v>
      </c>
      <c r="BC2574" t="str">
        <f t="shared" si="398"/>
        <v>9791159286889</v>
      </c>
      <c r="BE2574" t="str">
        <f t="shared" si="399"/>
        <v>판타지 웹소설 &gt; 현대 판타지</v>
      </c>
    </row>
    <row r="2575" spans="1:57" x14ac:dyDescent="0.3">
      <c r="A2575">
        <v>2313002926</v>
      </c>
      <c r="B2575">
        <v>2313002965</v>
      </c>
      <c r="C2575" t="str">
        <f>T("나 혼자만 일일 보상 41화")</f>
        <v>나 혼자만 일일 보상 41화</v>
      </c>
      <c r="D2575" t="str">
        <f>T("41")</f>
        <v>41</v>
      </c>
      <c r="E2575" t="str">
        <f t="shared" si="396"/>
        <v>이동열</v>
      </c>
      <c r="H2575" t="str">
        <f t="shared" si="395"/>
        <v>스토리위즈</v>
      </c>
      <c r="I2575" t="str">
        <f t="shared" si="397"/>
        <v>나 혼자만 일일 보상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/>
      <c r="AQ2575">
        <v>0</v>
      </c>
      <c r="AR2575">
        <v>0</v>
      </c>
      <c r="AT2575">
        <v>0</v>
      </c>
      <c r="AU2575">
        <v>0</v>
      </c>
      <c r="AW2575">
        <v>0</v>
      </c>
      <c r="AX2575">
        <v>0</v>
      </c>
      <c r="AY2575">
        <v>70</v>
      </c>
      <c r="BC2575" t="str">
        <f t="shared" si="398"/>
        <v>9791159286889</v>
      </c>
      <c r="BE2575" t="str">
        <f t="shared" si="399"/>
        <v>판타지 웹소설 &gt; 현대 판타지</v>
      </c>
    </row>
    <row r="2576" spans="1:57" x14ac:dyDescent="0.3">
      <c r="A2576">
        <v>2313002926</v>
      </c>
      <c r="B2576">
        <v>2313002966</v>
      </c>
      <c r="C2576" t="str">
        <f>T("나 혼자만 일일 보상 42화")</f>
        <v>나 혼자만 일일 보상 42화</v>
      </c>
      <c r="D2576" t="str">
        <f>T("42")</f>
        <v>42</v>
      </c>
      <c r="E2576" t="str">
        <f t="shared" si="396"/>
        <v>이동열</v>
      </c>
      <c r="H2576" t="str">
        <f t="shared" si="395"/>
        <v>스토리위즈</v>
      </c>
      <c r="I2576" t="str">
        <f t="shared" si="397"/>
        <v>나 혼자만 일일 보상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/>
      <c r="AQ2576">
        <v>0</v>
      </c>
      <c r="AR2576">
        <v>0</v>
      </c>
      <c r="AT2576">
        <v>0</v>
      </c>
      <c r="AU2576">
        <v>0</v>
      </c>
      <c r="AW2576">
        <v>0</v>
      </c>
      <c r="AX2576">
        <v>0</v>
      </c>
      <c r="AY2576">
        <v>70</v>
      </c>
      <c r="BC2576" t="str">
        <f t="shared" si="398"/>
        <v>9791159286889</v>
      </c>
      <c r="BE2576" t="str">
        <f t="shared" si="399"/>
        <v>판타지 웹소설 &gt; 현대 판타지</v>
      </c>
    </row>
    <row r="2577" spans="1:57" x14ac:dyDescent="0.3">
      <c r="A2577">
        <v>2313002926</v>
      </c>
      <c r="B2577">
        <v>2313002967</v>
      </c>
      <c r="C2577" t="str">
        <f>T("나 혼자만 일일 보상 43화")</f>
        <v>나 혼자만 일일 보상 43화</v>
      </c>
      <c r="D2577" t="str">
        <f>T("43")</f>
        <v>43</v>
      </c>
      <c r="E2577" t="str">
        <f t="shared" si="396"/>
        <v>이동열</v>
      </c>
      <c r="H2577" t="str">
        <f t="shared" si="395"/>
        <v>스토리위즈</v>
      </c>
      <c r="I2577" t="str">
        <f t="shared" si="397"/>
        <v>나 혼자만 일일 보상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/>
      <c r="AQ2577">
        <v>0</v>
      </c>
      <c r="AR2577">
        <v>0</v>
      </c>
      <c r="AT2577">
        <v>0</v>
      </c>
      <c r="AU2577">
        <v>0</v>
      </c>
      <c r="AW2577">
        <v>0</v>
      </c>
      <c r="AX2577">
        <v>0</v>
      </c>
      <c r="AY2577">
        <v>70</v>
      </c>
      <c r="BC2577" t="str">
        <f t="shared" si="398"/>
        <v>9791159286889</v>
      </c>
      <c r="BE2577" t="str">
        <f t="shared" si="399"/>
        <v>판타지 웹소설 &gt; 현대 판타지</v>
      </c>
    </row>
    <row r="2578" spans="1:57" x14ac:dyDescent="0.3">
      <c r="A2578">
        <v>2313002926</v>
      </c>
      <c r="B2578">
        <v>2313002968</v>
      </c>
      <c r="C2578" t="str">
        <f>T("나 혼자만 일일 보상 44화")</f>
        <v>나 혼자만 일일 보상 44화</v>
      </c>
      <c r="D2578" t="str">
        <f>T("44")</f>
        <v>44</v>
      </c>
      <c r="E2578" t="str">
        <f t="shared" si="396"/>
        <v>이동열</v>
      </c>
      <c r="H2578" t="str">
        <f t="shared" si="395"/>
        <v>스토리위즈</v>
      </c>
      <c r="I2578" t="str">
        <f t="shared" si="397"/>
        <v>나 혼자만 일일 보상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/>
      <c r="AQ2578">
        <v>0</v>
      </c>
      <c r="AR2578">
        <v>0</v>
      </c>
      <c r="AT2578">
        <v>0</v>
      </c>
      <c r="AU2578">
        <v>0</v>
      </c>
      <c r="AW2578">
        <v>0</v>
      </c>
      <c r="AX2578">
        <v>0</v>
      </c>
      <c r="AY2578">
        <v>70</v>
      </c>
      <c r="BC2578" t="str">
        <f t="shared" si="398"/>
        <v>9791159286889</v>
      </c>
      <c r="BE2578" t="str">
        <f t="shared" si="399"/>
        <v>판타지 웹소설 &gt; 현대 판타지</v>
      </c>
    </row>
    <row r="2579" spans="1:57" x14ac:dyDescent="0.3">
      <c r="A2579">
        <v>2313002926</v>
      </c>
      <c r="B2579">
        <v>2313002969</v>
      </c>
      <c r="C2579" t="str">
        <f>T("나 혼자만 일일 보상 45화")</f>
        <v>나 혼자만 일일 보상 45화</v>
      </c>
      <c r="D2579" t="str">
        <f>T("45")</f>
        <v>45</v>
      </c>
      <c r="E2579" t="str">
        <f t="shared" si="396"/>
        <v>이동열</v>
      </c>
      <c r="H2579" t="str">
        <f t="shared" si="395"/>
        <v>스토리위즈</v>
      </c>
      <c r="I2579" t="str">
        <f t="shared" si="397"/>
        <v>나 혼자만 일일 보상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/>
      <c r="AQ2579">
        <v>0</v>
      </c>
      <c r="AR2579">
        <v>0</v>
      </c>
      <c r="AT2579">
        <v>0</v>
      </c>
      <c r="AU2579">
        <v>0</v>
      </c>
      <c r="AW2579">
        <v>0</v>
      </c>
      <c r="AX2579">
        <v>0</v>
      </c>
      <c r="AY2579">
        <v>70</v>
      </c>
      <c r="BC2579" t="str">
        <f t="shared" si="398"/>
        <v>9791159286889</v>
      </c>
      <c r="BE2579" t="str">
        <f t="shared" si="399"/>
        <v>판타지 웹소설 &gt; 현대 판타지</v>
      </c>
    </row>
    <row r="2580" spans="1:57" x14ac:dyDescent="0.3">
      <c r="A2580">
        <v>2313002926</v>
      </c>
      <c r="B2580">
        <v>2313002970</v>
      </c>
      <c r="C2580" t="str">
        <f>T("나 혼자만 일일 보상 46화")</f>
        <v>나 혼자만 일일 보상 46화</v>
      </c>
      <c r="D2580" t="str">
        <f>T("46")</f>
        <v>46</v>
      </c>
      <c r="E2580" t="str">
        <f t="shared" si="396"/>
        <v>이동열</v>
      </c>
      <c r="H2580" t="str">
        <f t="shared" si="395"/>
        <v>스토리위즈</v>
      </c>
      <c r="I2580" t="str">
        <f t="shared" si="397"/>
        <v>나 혼자만 일일 보상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/>
      <c r="AQ2580">
        <v>0</v>
      </c>
      <c r="AR2580">
        <v>0</v>
      </c>
      <c r="AT2580">
        <v>0</v>
      </c>
      <c r="AU2580">
        <v>0</v>
      </c>
      <c r="AW2580">
        <v>0</v>
      </c>
      <c r="AX2580">
        <v>0</v>
      </c>
      <c r="AY2580">
        <v>70</v>
      </c>
      <c r="BC2580" t="str">
        <f t="shared" si="398"/>
        <v>9791159286889</v>
      </c>
      <c r="BE2580" t="str">
        <f t="shared" si="399"/>
        <v>판타지 웹소설 &gt; 현대 판타지</v>
      </c>
    </row>
    <row r="2581" spans="1:57" x14ac:dyDescent="0.3">
      <c r="A2581">
        <v>2313002926</v>
      </c>
      <c r="B2581">
        <v>2313002971</v>
      </c>
      <c r="C2581" t="str">
        <f>T("나 혼자만 일일 보상 47화")</f>
        <v>나 혼자만 일일 보상 47화</v>
      </c>
      <c r="D2581" t="str">
        <f>T("47")</f>
        <v>47</v>
      </c>
      <c r="E2581" t="str">
        <f t="shared" si="396"/>
        <v>이동열</v>
      </c>
      <c r="H2581" t="str">
        <f t="shared" si="395"/>
        <v>스토리위즈</v>
      </c>
      <c r="I2581" t="str">
        <f t="shared" si="397"/>
        <v>나 혼자만 일일 보상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/>
      <c r="AQ2581">
        <v>0</v>
      </c>
      <c r="AR2581">
        <v>0</v>
      </c>
      <c r="AT2581">
        <v>0</v>
      </c>
      <c r="AU2581">
        <v>0</v>
      </c>
      <c r="AW2581">
        <v>0</v>
      </c>
      <c r="AX2581">
        <v>0</v>
      </c>
      <c r="AY2581">
        <v>70</v>
      </c>
      <c r="BC2581" t="str">
        <f t="shared" si="398"/>
        <v>9791159286889</v>
      </c>
      <c r="BE2581" t="str">
        <f t="shared" si="399"/>
        <v>판타지 웹소설 &gt; 현대 판타지</v>
      </c>
    </row>
    <row r="2582" spans="1:57" x14ac:dyDescent="0.3">
      <c r="A2582">
        <v>2313002926</v>
      </c>
      <c r="B2582">
        <v>2313002972</v>
      </c>
      <c r="C2582" t="str">
        <f>T("나 혼자만 일일 보상 48화")</f>
        <v>나 혼자만 일일 보상 48화</v>
      </c>
      <c r="D2582" t="str">
        <f>T("48")</f>
        <v>48</v>
      </c>
      <c r="E2582" t="str">
        <f t="shared" si="396"/>
        <v>이동열</v>
      </c>
      <c r="H2582" t="str">
        <f t="shared" si="395"/>
        <v>스토리위즈</v>
      </c>
      <c r="I2582" t="str">
        <f t="shared" si="397"/>
        <v>나 혼자만 일일 보상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/>
      <c r="AQ2582">
        <v>0</v>
      </c>
      <c r="AR2582">
        <v>0</v>
      </c>
      <c r="AT2582">
        <v>0</v>
      </c>
      <c r="AU2582">
        <v>0</v>
      </c>
      <c r="AW2582">
        <v>0</v>
      </c>
      <c r="AX2582">
        <v>0</v>
      </c>
      <c r="AY2582">
        <v>70</v>
      </c>
      <c r="BC2582" t="str">
        <f t="shared" si="398"/>
        <v>9791159286889</v>
      </c>
      <c r="BE2582" t="str">
        <f t="shared" si="399"/>
        <v>판타지 웹소설 &gt; 현대 판타지</v>
      </c>
    </row>
    <row r="2583" spans="1:57" x14ac:dyDescent="0.3">
      <c r="A2583">
        <v>2313002926</v>
      </c>
      <c r="B2583">
        <v>2313002973</v>
      </c>
      <c r="C2583" t="str">
        <f>T("나 혼자만 일일 보상 49화")</f>
        <v>나 혼자만 일일 보상 49화</v>
      </c>
      <c r="D2583" t="str">
        <f>T("49")</f>
        <v>49</v>
      </c>
      <c r="E2583" t="str">
        <f t="shared" si="396"/>
        <v>이동열</v>
      </c>
      <c r="H2583" t="str">
        <f t="shared" si="395"/>
        <v>스토리위즈</v>
      </c>
      <c r="I2583" t="str">
        <f t="shared" si="397"/>
        <v>나 혼자만 일일 보상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/>
      <c r="AQ2583">
        <v>0</v>
      </c>
      <c r="AR2583">
        <v>0</v>
      </c>
      <c r="AT2583">
        <v>0</v>
      </c>
      <c r="AU2583">
        <v>0</v>
      </c>
      <c r="AW2583">
        <v>0</v>
      </c>
      <c r="AX2583">
        <v>0</v>
      </c>
      <c r="AY2583">
        <v>70</v>
      </c>
      <c r="BC2583" t="str">
        <f t="shared" si="398"/>
        <v>9791159286889</v>
      </c>
      <c r="BE2583" t="str">
        <f t="shared" si="399"/>
        <v>판타지 웹소설 &gt; 현대 판타지</v>
      </c>
    </row>
    <row r="2584" spans="1:57" x14ac:dyDescent="0.3">
      <c r="A2584">
        <v>2313002926</v>
      </c>
      <c r="B2584">
        <v>2313002974</v>
      </c>
      <c r="C2584" t="str">
        <f>T("나 혼자만 일일 보상 50화")</f>
        <v>나 혼자만 일일 보상 50화</v>
      </c>
      <c r="D2584" t="str">
        <f>T("50")</f>
        <v>50</v>
      </c>
      <c r="E2584" t="str">
        <f t="shared" si="396"/>
        <v>이동열</v>
      </c>
      <c r="H2584" t="str">
        <f t="shared" si="395"/>
        <v>스토리위즈</v>
      </c>
      <c r="I2584" t="str">
        <f t="shared" si="397"/>
        <v>나 혼자만 일일 보상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/>
      <c r="AQ2584">
        <v>0</v>
      </c>
      <c r="AR2584">
        <v>0</v>
      </c>
      <c r="AT2584">
        <v>0</v>
      </c>
      <c r="AU2584">
        <v>0</v>
      </c>
      <c r="AW2584">
        <v>0</v>
      </c>
      <c r="AX2584">
        <v>0</v>
      </c>
      <c r="AY2584">
        <v>70</v>
      </c>
      <c r="BC2584" t="str">
        <f t="shared" si="398"/>
        <v>9791159286889</v>
      </c>
      <c r="BE2584" t="str">
        <f t="shared" si="399"/>
        <v>판타지 웹소설 &gt; 현대 판타지</v>
      </c>
    </row>
    <row r="2585" spans="1:57" x14ac:dyDescent="0.3">
      <c r="A2585">
        <v>2313002926</v>
      </c>
      <c r="B2585">
        <v>2313002975</v>
      </c>
      <c r="C2585" t="str">
        <f>T("나 혼자만 일일 보상 51화")</f>
        <v>나 혼자만 일일 보상 51화</v>
      </c>
      <c r="D2585" t="str">
        <f>T("51")</f>
        <v>51</v>
      </c>
      <c r="E2585" t="str">
        <f t="shared" si="396"/>
        <v>이동열</v>
      </c>
      <c r="H2585" t="str">
        <f t="shared" si="395"/>
        <v>스토리위즈</v>
      </c>
      <c r="I2585" t="str">
        <f t="shared" si="397"/>
        <v>나 혼자만 일일 보상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/>
      <c r="AQ2585">
        <v>0</v>
      </c>
      <c r="AR2585">
        <v>0</v>
      </c>
      <c r="AT2585">
        <v>0</v>
      </c>
      <c r="AU2585">
        <v>0</v>
      </c>
      <c r="AW2585">
        <v>0</v>
      </c>
      <c r="AX2585">
        <v>0</v>
      </c>
      <c r="AY2585">
        <v>70</v>
      </c>
      <c r="BC2585" t="str">
        <f t="shared" si="398"/>
        <v>9791159286889</v>
      </c>
      <c r="BE2585" t="str">
        <f t="shared" si="399"/>
        <v>판타지 웹소설 &gt; 현대 판타지</v>
      </c>
    </row>
    <row r="2586" spans="1:57" x14ac:dyDescent="0.3">
      <c r="A2586">
        <v>2313002926</v>
      </c>
      <c r="B2586">
        <v>2313002976</v>
      </c>
      <c r="C2586" t="str">
        <f>T("나 혼자만 일일 보상 52화")</f>
        <v>나 혼자만 일일 보상 52화</v>
      </c>
      <c r="D2586" t="str">
        <f>T("52")</f>
        <v>52</v>
      </c>
      <c r="E2586" t="str">
        <f t="shared" si="396"/>
        <v>이동열</v>
      </c>
      <c r="H2586" t="str">
        <f t="shared" si="395"/>
        <v>스토리위즈</v>
      </c>
      <c r="I2586" t="str">
        <f t="shared" si="397"/>
        <v>나 혼자만 일일 보상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/>
      <c r="AQ2586">
        <v>0</v>
      </c>
      <c r="AR2586">
        <v>0</v>
      </c>
      <c r="AT2586">
        <v>0</v>
      </c>
      <c r="AU2586">
        <v>0</v>
      </c>
      <c r="AW2586">
        <v>0</v>
      </c>
      <c r="AX2586">
        <v>0</v>
      </c>
      <c r="AY2586">
        <v>70</v>
      </c>
      <c r="BC2586" t="str">
        <f t="shared" si="398"/>
        <v>9791159286889</v>
      </c>
      <c r="BE2586" t="str">
        <f t="shared" si="399"/>
        <v>판타지 웹소설 &gt; 현대 판타지</v>
      </c>
    </row>
    <row r="2587" spans="1:57" x14ac:dyDescent="0.3">
      <c r="A2587">
        <v>2313002926</v>
      </c>
      <c r="B2587">
        <v>2313002977</v>
      </c>
      <c r="C2587" t="str">
        <f>T("나 혼자만 일일 보상 53화")</f>
        <v>나 혼자만 일일 보상 53화</v>
      </c>
      <c r="D2587" t="str">
        <f>T("53")</f>
        <v>53</v>
      </c>
      <c r="E2587" t="str">
        <f t="shared" si="396"/>
        <v>이동열</v>
      </c>
      <c r="H2587" t="str">
        <f t="shared" si="395"/>
        <v>스토리위즈</v>
      </c>
      <c r="I2587" t="str">
        <f t="shared" si="397"/>
        <v>나 혼자만 일일 보상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/>
      <c r="AQ2587">
        <v>0</v>
      </c>
      <c r="AR2587">
        <v>0</v>
      </c>
      <c r="AT2587">
        <v>0</v>
      </c>
      <c r="AU2587">
        <v>0</v>
      </c>
      <c r="AW2587">
        <v>0</v>
      </c>
      <c r="AX2587">
        <v>0</v>
      </c>
      <c r="AY2587">
        <v>70</v>
      </c>
      <c r="BC2587" t="str">
        <f t="shared" si="398"/>
        <v>9791159286889</v>
      </c>
      <c r="BE2587" t="str">
        <f t="shared" si="399"/>
        <v>판타지 웹소설 &gt; 현대 판타지</v>
      </c>
    </row>
    <row r="2588" spans="1:57" x14ac:dyDescent="0.3">
      <c r="A2588">
        <v>2313002926</v>
      </c>
      <c r="B2588">
        <v>2313002978</v>
      </c>
      <c r="C2588" t="str">
        <f>T("나 혼자만 일일 보상 54화")</f>
        <v>나 혼자만 일일 보상 54화</v>
      </c>
      <c r="D2588" t="str">
        <f>T("54")</f>
        <v>54</v>
      </c>
      <c r="E2588" t="str">
        <f t="shared" si="396"/>
        <v>이동열</v>
      </c>
      <c r="H2588" t="str">
        <f t="shared" si="395"/>
        <v>스토리위즈</v>
      </c>
      <c r="I2588" t="str">
        <f t="shared" si="397"/>
        <v>나 혼자만 일일 보상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/>
      <c r="AQ2588">
        <v>0</v>
      </c>
      <c r="AR2588">
        <v>0</v>
      </c>
      <c r="AT2588">
        <v>0</v>
      </c>
      <c r="AU2588">
        <v>0</v>
      </c>
      <c r="AW2588">
        <v>0</v>
      </c>
      <c r="AX2588">
        <v>0</v>
      </c>
      <c r="AY2588">
        <v>70</v>
      </c>
      <c r="BC2588" t="str">
        <f t="shared" si="398"/>
        <v>9791159286889</v>
      </c>
      <c r="BE2588" t="str">
        <f t="shared" si="399"/>
        <v>판타지 웹소설 &gt; 현대 판타지</v>
      </c>
    </row>
    <row r="2589" spans="1:57" x14ac:dyDescent="0.3">
      <c r="A2589">
        <v>2313002926</v>
      </c>
      <c r="B2589">
        <v>2313002979</v>
      </c>
      <c r="C2589" t="str">
        <f>T("나 혼자만 일일 보상 55화")</f>
        <v>나 혼자만 일일 보상 55화</v>
      </c>
      <c r="D2589" t="str">
        <f>T("55")</f>
        <v>55</v>
      </c>
      <c r="E2589" t="str">
        <f t="shared" si="396"/>
        <v>이동열</v>
      </c>
      <c r="H2589" t="str">
        <f t="shared" si="395"/>
        <v>스토리위즈</v>
      </c>
      <c r="I2589" t="str">
        <f t="shared" si="397"/>
        <v>나 혼자만 일일 보상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/>
      <c r="AQ2589">
        <v>0</v>
      </c>
      <c r="AR2589">
        <v>0</v>
      </c>
      <c r="AT2589">
        <v>0</v>
      </c>
      <c r="AU2589">
        <v>0</v>
      </c>
      <c r="AW2589">
        <v>0</v>
      </c>
      <c r="AX2589">
        <v>0</v>
      </c>
      <c r="AY2589">
        <v>70</v>
      </c>
      <c r="BC2589" t="str">
        <f t="shared" si="398"/>
        <v>9791159286889</v>
      </c>
      <c r="BE2589" t="str">
        <f t="shared" si="399"/>
        <v>판타지 웹소설 &gt; 현대 판타지</v>
      </c>
    </row>
    <row r="2590" spans="1:57" x14ac:dyDescent="0.3">
      <c r="A2590">
        <v>2313002926</v>
      </c>
      <c r="B2590">
        <v>2313002980</v>
      </c>
      <c r="C2590" t="str">
        <f>T("나 혼자만 일일 보상 56화")</f>
        <v>나 혼자만 일일 보상 56화</v>
      </c>
      <c r="D2590" t="str">
        <f>T("56")</f>
        <v>56</v>
      </c>
      <c r="E2590" t="str">
        <f t="shared" si="396"/>
        <v>이동열</v>
      </c>
      <c r="H2590" t="str">
        <f t="shared" si="395"/>
        <v>스토리위즈</v>
      </c>
      <c r="I2590" t="str">
        <f t="shared" si="397"/>
        <v>나 혼자만 일일 보상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/>
      <c r="AQ2590">
        <v>0</v>
      </c>
      <c r="AR2590">
        <v>0</v>
      </c>
      <c r="AT2590">
        <v>0</v>
      </c>
      <c r="AU2590">
        <v>0</v>
      </c>
      <c r="AW2590">
        <v>0</v>
      </c>
      <c r="AX2590">
        <v>0</v>
      </c>
      <c r="AY2590">
        <v>70</v>
      </c>
      <c r="BC2590" t="str">
        <f t="shared" si="398"/>
        <v>9791159286889</v>
      </c>
      <c r="BE2590" t="str">
        <f t="shared" si="399"/>
        <v>판타지 웹소설 &gt; 현대 판타지</v>
      </c>
    </row>
    <row r="2591" spans="1:57" x14ac:dyDescent="0.3">
      <c r="A2591">
        <v>2313002926</v>
      </c>
      <c r="B2591">
        <v>2313002981</v>
      </c>
      <c r="C2591" t="str">
        <f>T("나 혼자만 일일 보상 57화")</f>
        <v>나 혼자만 일일 보상 57화</v>
      </c>
      <c r="D2591" t="str">
        <f>T("57")</f>
        <v>57</v>
      </c>
      <c r="E2591" t="str">
        <f t="shared" si="396"/>
        <v>이동열</v>
      </c>
      <c r="H2591" t="str">
        <f t="shared" si="395"/>
        <v>스토리위즈</v>
      </c>
      <c r="I2591" t="str">
        <f t="shared" si="397"/>
        <v>나 혼자만 일일 보상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/>
      <c r="AQ2591">
        <v>0</v>
      </c>
      <c r="AR2591">
        <v>0</v>
      </c>
      <c r="AT2591">
        <v>0</v>
      </c>
      <c r="AU2591">
        <v>0</v>
      </c>
      <c r="AW2591">
        <v>0</v>
      </c>
      <c r="AX2591">
        <v>0</v>
      </c>
      <c r="AY2591">
        <v>70</v>
      </c>
      <c r="BC2591" t="str">
        <f t="shared" si="398"/>
        <v>9791159286889</v>
      </c>
      <c r="BE2591" t="str">
        <f t="shared" si="399"/>
        <v>판타지 웹소설 &gt; 현대 판타지</v>
      </c>
    </row>
    <row r="2592" spans="1:57" x14ac:dyDescent="0.3">
      <c r="A2592">
        <v>2313002926</v>
      </c>
      <c r="B2592">
        <v>2313002982</v>
      </c>
      <c r="C2592" t="str">
        <f>T("나 혼자만 일일 보상 58화")</f>
        <v>나 혼자만 일일 보상 58화</v>
      </c>
      <c r="D2592" t="str">
        <f>T("58")</f>
        <v>58</v>
      </c>
      <c r="E2592" t="str">
        <f t="shared" si="396"/>
        <v>이동열</v>
      </c>
      <c r="H2592" t="str">
        <f t="shared" si="395"/>
        <v>스토리위즈</v>
      </c>
      <c r="I2592" t="str">
        <f t="shared" si="397"/>
        <v>나 혼자만 일일 보상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/>
      <c r="AQ2592">
        <v>0</v>
      </c>
      <c r="AR2592">
        <v>0</v>
      </c>
      <c r="AT2592">
        <v>0</v>
      </c>
      <c r="AU2592">
        <v>0</v>
      </c>
      <c r="AW2592">
        <v>0</v>
      </c>
      <c r="AX2592">
        <v>0</v>
      </c>
      <c r="AY2592">
        <v>70</v>
      </c>
      <c r="BC2592" t="str">
        <f t="shared" si="398"/>
        <v>9791159286889</v>
      </c>
      <c r="BE2592" t="str">
        <f t="shared" si="399"/>
        <v>판타지 웹소설 &gt; 현대 판타지</v>
      </c>
    </row>
    <row r="2593" spans="1:57" x14ac:dyDescent="0.3">
      <c r="A2593">
        <v>2313002926</v>
      </c>
      <c r="B2593">
        <v>2313002983</v>
      </c>
      <c r="C2593" t="str">
        <f>T("나 혼자만 일일 보상 59화")</f>
        <v>나 혼자만 일일 보상 59화</v>
      </c>
      <c r="D2593" t="str">
        <f>T("59")</f>
        <v>59</v>
      </c>
      <c r="E2593" t="str">
        <f t="shared" si="396"/>
        <v>이동열</v>
      </c>
      <c r="H2593" t="str">
        <f t="shared" si="395"/>
        <v>스토리위즈</v>
      </c>
      <c r="I2593" t="str">
        <f t="shared" si="397"/>
        <v>나 혼자만 일일 보상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/>
      <c r="AQ2593">
        <v>0</v>
      </c>
      <c r="AR2593">
        <v>0</v>
      </c>
      <c r="AT2593">
        <v>0</v>
      </c>
      <c r="AU2593">
        <v>0</v>
      </c>
      <c r="AW2593">
        <v>0</v>
      </c>
      <c r="AX2593">
        <v>0</v>
      </c>
      <c r="AY2593">
        <v>70</v>
      </c>
      <c r="BC2593" t="str">
        <f t="shared" si="398"/>
        <v>9791159286889</v>
      </c>
      <c r="BE2593" t="str">
        <f t="shared" si="399"/>
        <v>판타지 웹소설 &gt; 현대 판타지</v>
      </c>
    </row>
    <row r="2594" spans="1:57" x14ac:dyDescent="0.3">
      <c r="A2594">
        <v>2313002926</v>
      </c>
      <c r="B2594">
        <v>2313002984</v>
      </c>
      <c r="C2594" t="str">
        <f>T("나 혼자만 일일 보상 60화")</f>
        <v>나 혼자만 일일 보상 60화</v>
      </c>
      <c r="D2594" t="str">
        <f>T("60")</f>
        <v>60</v>
      </c>
      <c r="E2594" t="str">
        <f t="shared" si="396"/>
        <v>이동열</v>
      </c>
      <c r="H2594" t="str">
        <f t="shared" si="395"/>
        <v>스토리위즈</v>
      </c>
      <c r="I2594" t="str">
        <f t="shared" si="397"/>
        <v>나 혼자만 일일 보상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/>
      <c r="AQ2594">
        <v>0</v>
      </c>
      <c r="AR2594">
        <v>0</v>
      </c>
      <c r="AT2594">
        <v>0</v>
      </c>
      <c r="AU2594">
        <v>0</v>
      </c>
      <c r="AW2594">
        <v>0</v>
      </c>
      <c r="AX2594">
        <v>0</v>
      </c>
      <c r="AY2594">
        <v>70</v>
      </c>
      <c r="BC2594" t="str">
        <f t="shared" si="398"/>
        <v>9791159286889</v>
      </c>
      <c r="BE2594" t="str">
        <f t="shared" si="399"/>
        <v>판타지 웹소설 &gt; 현대 판타지</v>
      </c>
    </row>
    <row r="2595" spans="1:57" x14ac:dyDescent="0.3">
      <c r="A2595">
        <v>2313002926</v>
      </c>
      <c r="B2595">
        <v>2313002985</v>
      </c>
      <c r="C2595" t="str">
        <f>T("나 혼자만 일일 보상 61화")</f>
        <v>나 혼자만 일일 보상 61화</v>
      </c>
      <c r="D2595" t="str">
        <f>T("61")</f>
        <v>61</v>
      </c>
      <c r="E2595" t="str">
        <f t="shared" si="396"/>
        <v>이동열</v>
      </c>
      <c r="H2595" t="str">
        <f t="shared" si="395"/>
        <v>스토리위즈</v>
      </c>
      <c r="I2595" t="str">
        <f t="shared" si="397"/>
        <v>나 혼자만 일일 보상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/>
      <c r="AQ2595">
        <v>0</v>
      </c>
      <c r="AR2595">
        <v>0</v>
      </c>
      <c r="AT2595">
        <v>0</v>
      </c>
      <c r="AU2595">
        <v>0</v>
      </c>
      <c r="AW2595">
        <v>0</v>
      </c>
      <c r="AX2595">
        <v>0</v>
      </c>
      <c r="AY2595">
        <v>70</v>
      </c>
      <c r="BC2595" t="str">
        <f t="shared" si="398"/>
        <v>9791159286889</v>
      </c>
      <c r="BE2595" t="str">
        <f t="shared" si="399"/>
        <v>판타지 웹소설 &gt; 현대 판타지</v>
      </c>
    </row>
    <row r="2596" spans="1:57" x14ac:dyDescent="0.3">
      <c r="A2596">
        <v>2313002926</v>
      </c>
      <c r="B2596">
        <v>2313002986</v>
      </c>
      <c r="C2596" t="str">
        <f>T("나 혼자만 일일 보상 62화")</f>
        <v>나 혼자만 일일 보상 62화</v>
      </c>
      <c r="D2596" t="str">
        <f>T("62")</f>
        <v>62</v>
      </c>
      <c r="E2596" t="str">
        <f t="shared" si="396"/>
        <v>이동열</v>
      </c>
      <c r="H2596" t="str">
        <f t="shared" si="395"/>
        <v>스토리위즈</v>
      </c>
      <c r="I2596" t="str">
        <f t="shared" si="397"/>
        <v>나 혼자만 일일 보상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/>
      <c r="AQ2596">
        <v>0</v>
      </c>
      <c r="AR2596">
        <v>0</v>
      </c>
      <c r="AT2596">
        <v>0</v>
      </c>
      <c r="AU2596">
        <v>0</v>
      </c>
      <c r="AW2596">
        <v>0</v>
      </c>
      <c r="AX2596">
        <v>0</v>
      </c>
      <c r="AY2596">
        <v>70</v>
      </c>
      <c r="BC2596" t="str">
        <f t="shared" si="398"/>
        <v>9791159286889</v>
      </c>
      <c r="BE2596" t="str">
        <f t="shared" si="399"/>
        <v>판타지 웹소설 &gt; 현대 판타지</v>
      </c>
    </row>
    <row r="2597" spans="1:57" x14ac:dyDescent="0.3">
      <c r="A2597">
        <v>2313002926</v>
      </c>
      <c r="B2597">
        <v>2313002987</v>
      </c>
      <c r="C2597" t="str">
        <f>T("나 혼자만 일일 보상 63화")</f>
        <v>나 혼자만 일일 보상 63화</v>
      </c>
      <c r="D2597" t="str">
        <f>T("63")</f>
        <v>63</v>
      </c>
      <c r="E2597" t="str">
        <f t="shared" si="396"/>
        <v>이동열</v>
      </c>
      <c r="H2597" t="str">
        <f t="shared" si="395"/>
        <v>스토리위즈</v>
      </c>
      <c r="I2597" t="str">
        <f t="shared" si="397"/>
        <v>나 혼자만 일일 보상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/>
      <c r="AQ2597">
        <v>0</v>
      </c>
      <c r="AR2597">
        <v>0</v>
      </c>
      <c r="AT2597">
        <v>0</v>
      </c>
      <c r="AU2597">
        <v>0</v>
      </c>
      <c r="AW2597">
        <v>0</v>
      </c>
      <c r="AX2597">
        <v>0</v>
      </c>
      <c r="AY2597">
        <v>70</v>
      </c>
      <c r="BC2597" t="str">
        <f t="shared" si="398"/>
        <v>9791159286889</v>
      </c>
      <c r="BE2597" t="str">
        <f t="shared" si="399"/>
        <v>판타지 웹소설 &gt; 현대 판타지</v>
      </c>
    </row>
    <row r="2598" spans="1:57" x14ac:dyDescent="0.3">
      <c r="A2598">
        <v>2313002926</v>
      </c>
      <c r="B2598">
        <v>2313002988</v>
      </c>
      <c r="C2598" t="str">
        <f>T("나 혼자만 일일 보상 64화")</f>
        <v>나 혼자만 일일 보상 64화</v>
      </c>
      <c r="D2598" t="str">
        <f>T("64")</f>
        <v>64</v>
      </c>
      <c r="E2598" t="str">
        <f t="shared" si="396"/>
        <v>이동열</v>
      </c>
      <c r="H2598" t="str">
        <f t="shared" si="395"/>
        <v>스토리위즈</v>
      </c>
      <c r="I2598" t="str">
        <f t="shared" si="397"/>
        <v>나 혼자만 일일 보상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/>
      <c r="AQ2598">
        <v>0</v>
      </c>
      <c r="AR2598">
        <v>0</v>
      </c>
      <c r="AT2598">
        <v>0</v>
      </c>
      <c r="AU2598">
        <v>0</v>
      </c>
      <c r="AW2598">
        <v>0</v>
      </c>
      <c r="AX2598">
        <v>0</v>
      </c>
      <c r="AY2598">
        <v>70</v>
      </c>
      <c r="BC2598" t="str">
        <f t="shared" si="398"/>
        <v>9791159286889</v>
      </c>
      <c r="BE2598" t="str">
        <f t="shared" si="399"/>
        <v>판타지 웹소설 &gt; 현대 판타지</v>
      </c>
    </row>
    <row r="2599" spans="1:57" x14ac:dyDescent="0.3">
      <c r="A2599">
        <v>2313002926</v>
      </c>
      <c r="B2599">
        <v>2313002989</v>
      </c>
      <c r="C2599" t="str">
        <f>T("나 혼자만 일일 보상 65화")</f>
        <v>나 혼자만 일일 보상 65화</v>
      </c>
      <c r="D2599" t="str">
        <f>T("65")</f>
        <v>65</v>
      </c>
      <c r="E2599" t="str">
        <f t="shared" si="396"/>
        <v>이동열</v>
      </c>
      <c r="H2599" t="str">
        <f t="shared" si="395"/>
        <v>스토리위즈</v>
      </c>
      <c r="I2599" t="str">
        <f t="shared" si="397"/>
        <v>나 혼자만 일일 보상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100</v>
      </c>
      <c r="AH2599">
        <v>1</v>
      </c>
      <c r="AI2599">
        <v>0</v>
      </c>
      <c r="AJ2599">
        <v>0</v>
      </c>
      <c r="AK2599">
        <v>100</v>
      </c>
      <c r="AL2599">
        <v>0</v>
      </c>
      <c r="AM2599">
        <v>0</v>
      </c>
      <c r="AN2599">
        <v>0</v>
      </c>
      <c r="AO2599">
        <v>0</v>
      </c>
      <c r="AP2599"/>
      <c r="AQ2599">
        <v>0</v>
      </c>
      <c r="AR2599">
        <v>0</v>
      </c>
      <c r="AT2599">
        <v>0</v>
      </c>
      <c r="AU2599">
        <v>0</v>
      </c>
      <c r="AW2599">
        <v>0</v>
      </c>
      <c r="AX2599">
        <v>0</v>
      </c>
      <c r="AY2599">
        <v>70</v>
      </c>
      <c r="BC2599" t="str">
        <f t="shared" si="398"/>
        <v>9791159286889</v>
      </c>
      <c r="BE2599" t="str">
        <f t="shared" si="399"/>
        <v>판타지 웹소설 &gt; 현대 판타지</v>
      </c>
    </row>
    <row r="2600" spans="1:57" x14ac:dyDescent="0.3">
      <c r="A2600">
        <v>2313002926</v>
      </c>
      <c r="B2600">
        <v>2313002990</v>
      </c>
      <c r="C2600" t="str">
        <f>T("나 혼자만 일일 보상 66화")</f>
        <v>나 혼자만 일일 보상 66화</v>
      </c>
      <c r="D2600" t="str">
        <f>T("66")</f>
        <v>66</v>
      </c>
      <c r="E2600" t="str">
        <f t="shared" si="396"/>
        <v>이동열</v>
      </c>
      <c r="H2600" t="str">
        <f t="shared" si="395"/>
        <v>스토리위즈</v>
      </c>
      <c r="I2600" t="str">
        <f t="shared" si="397"/>
        <v>나 혼자만 일일 보상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100</v>
      </c>
      <c r="AH2600">
        <v>1</v>
      </c>
      <c r="AI2600">
        <v>0</v>
      </c>
      <c r="AJ2600">
        <v>0</v>
      </c>
      <c r="AK2600">
        <v>100</v>
      </c>
      <c r="AL2600">
        <v>0</v>
      </c>
      <c r="AM2600">
        <v>0</v>
      </c>
      <c r="AN2600">
        <v>0</v>
      </c>
      <c r="AO2600">
        <v>0</v>
      </c>
      <c r="AP2600"/>
      <c r="AQ2600">
        <v>0</v>
      </c>
      <c r="AR2600">
        <v>0</v>
      </c>
      <c r="AT2600">
        <v>0</v>
      </c>
      <c r="AU2600">
        <v>0</v>
      </c>
      <c r="AW2600">
        <v>0</v>
      </c>
      <c r="AX2600">
        <v>0</v>
      </c>
      <c r="AY2600">
        <v>70</v>
      </c>
      <c r="BC2600" t="str">
        <f t="shared" si="398"/>
        <v>9791159286889</v>
      </c>
      <c r="BE2600" t="str">
        <f t="shared" si="399"/>
        <v>판타지 웹소설 &gt; 현대 판타지</v>
      </c>
    </row>
    <row r="2601" spans="1:57" x14ac:dyDescent="0.3">
      <c r="A2601">
        <v>2313002926</v>
      </c>
      <c r="B2601">
        <v>2313002991</v>
      </c>
      <c r="C2601" t="str">
        <f>T("나 혼자만 일일 보상 67화")</f>
        <v>나 혼자만 일일 보상 67화</v>
      </c>
      <c r="D2601" t="str">
        <f>T("67")</f>
        <v>67</v>
      </c>
      <c r="E2601" t="str">
        <f t="shared" si="396"/>
        <v>이동열</v>
      </c>
      <c r="H2601" t="str">
        <f t="shared" si="395"/>
        <v>스토리위즈</v>
      </c>
      <c r="I2601" t="str">
        <f t="shared" si="397"/>
        <v>나 혼자만 일일 보상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/>
      <c r="AQ2601">
        <v>0</v>
      </c>
      <c r="AR2601">
        <v>0</v>
      </c>
      <c r="AT2601">
        <v>0</v>
      </c>
      <c r="AU2601">
        <v>0</v>
      </c>
      <c r="AW2601">
        <v>0</v>
      </c>
      <c r="AX2601">
        <v>0</v>
      </c>
      <c r="AY2601">
        <v>70</v>
      </c>
      <c r="BC2601" t="str">
        <f t="shared" si="398"/>
        <v>9791159286889</v>
      </c>
      <c r="BE2601" t="str">
        <f t="shared" si="399"/>
        <v>판타지 웹소설 &gt; 현대 판타지</v>
      </c>
    </row>
    <row r="2602" spans="1:57" x14ac:dyDescent="0.3">
      <c r="A2602">
        <v>2313002926</v>
      </c>
      <c r="B2602">
        <v>2313002992</v>
      </c>
      <c r="C2602" t="str">
        <f>T("나 혼자만 일일 보상 68화")</f>
        <v>나 혼자만 일일 보상 68화</v>
      </c>
      <c r="D2602" t="str">
        <f>T("68")</f>
        <v>68</v>
      </c>
      <c r="E2602" t="str">
        <f t="shared" si="396"/>
        <v>이동열</v>
      </c>
      <c r="H2602" t="str">
        <f t="shared" si="395"/>
        <v>스토리위즈</v>
      </c>
      <c r="I2602" t="str">
        <f t="shared" si="397"/>
        <v>나 혼자만 일일 보상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/>
      <c r="AQ2602">
        <v>0</v>
      </c>
      <c r="AR2602">
        <v>0</v>
      </c>
      <c r="AT2602">
        <v>0</v>
      </c>
      <c r="AU2602">
        <v>0</v>
      </c>
      <c r="AW2602">
        <v>0</v>
      </c>
      <c r="AX2602">
        <v>0</v>
      </c>
      <c r="AY2602">
        <v>70</v>
      </c>
      <c r="BC2602" t="str">
        <f t="shared" si="398"/>
        <v>9791159286889</v>
      </c>
      <c r="BE2602" t="str">
        <f t="shared" si="399"/>
        <v>판타지 웹소설 &gt; 현대 판타지</v>
      </c>
    </row>
    <row r="2603" spans="1:57" x14ac:dyDescent="0.3">
      <c r="A2603">
        <v>2313002926</v>
      </c>
      <c r="B2603">
        <v>2313002993</v>
      </c>
      <c r="C2603" t="str">
        <f>T("나 혼자만 일일 보상 69화")</f>
        <v>나 혼자만 일일 보상 69화</v>
      </c>
      <c r="D2603" t="str">
        <f>T("69")</f>
        <v>69</v>
      </c>
      <c r="E2603" t="str">
        <f t="shared" si="396"/>
        <v>이동열</v>
      </c>
      <c r="H2603" t="str">
        <f t="shared" si="395"/>
        <v>스토리위즈</v>
      </c>
      <c r="I2603" t="str">
        <f t="shared" si="397"/>
        <v>나 혼자만 일일 보상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/>
      <c r="AQ2603">
        <v>0</v>
      </c>
      <c r="AR2603">
        <v>0</v>
      </c>
      <c r="AT2603">
        <v>0</v>
      </c>
      <c r="AU2603">
        <v>0</v>
      </c>
      <c r="AW2603">
        <v>0</v>
      </c>
      <c r="AX2603">
        <v>0</v>
      </c>
      <c r="AY2603">
        <v>70</v>
      </c>
      <c r="BC2603" t="str">
        <f t="shared" si="398"/>
        <v>9791159286889</v>
      </c>
      <c r="BE2603" t="str">
        <f t="shared" si="399"/>
        <v>판타지 웹소설 &gt; 현대 판타지</v>
      </c>
    </row>
    <row r="2604" spans="1:57" x14ac:dyDescent="0.3">
      <c r="A2604">
        <v>2313002926</v>
      </c>
      <c r="B2604">
        <v>2313002994</v>
      </c>
      <c r="C2604" t="str">
        <f>T("나 혼자만 일일 보상 70화")</f>
        <v>나 혼자만 일일 보상 70화</v>
      </c>
      <c r="D2604" t="str">
        <f>T("70")</f>
        <v>70</v>
      </c>
      <c r="E2604" t="str">
        <f t="shared" si="396"/>
        <v>이동열</v>
      </c>
      <c r="H2604" t="str">
        <f t="shared" si="395"/>
        <v>스토리위즈</v>
      </c>
      <c r="I2604" t="str">
        <f t="shared" si="397"/>
        <v>나 혼자만 일일 보상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/>
      <c r="AQ2604">
        <v>0</v>
      </c>
      <c r="AR2604">
        <v>0</v>
      </c>
      <c r="AT2604">
        <v>0</v>
      </c>
      <c r="AU2604">
        <v>0</v>
      </c>
      <c r="AW2604">
        <v>0</v>
      </c>
      <c r="AX2604">
        <v>0</v>
      </c>
      <c r="AY2604">
        <v>70</v>
      </c>
      <c r="BC2604" t="str">
        <f t="shared" si="398"/>
        <v>9791159286889</v>
      </c>
      <c r="BE2604" t="str">
        <f t="shared" si="399"/>
        <v>판타지 웹소설 &gt; 현대 판타지</v>
      </c>
    </row>
    <row r="2605" spans="1:57" x14ac:dyDescent="0.3">
      <c r="A2605">
        <v>2313002926</v>
      </c>
      <c r="B2605">
        <v>2313002995</v>
      </c>
      <c r="C2605" t="str">
        <f>T("나 혼자만 일일 보상 71화")</f>
        <v>나 혼자만 일일 보상 71화</v>
      </c>
      <c r="D2605" t="str">
        <f>T("71")</f>
        <v>71</v>
      </c>
      <c r="E2605" t="str">
        <f t="shared" si="396"/>
        <v>이동열</v>
      </c>
      <c r="H2605" t="str">
        <f t="shared" si="395"/>
        <v>스토리위즈</v>
      </c>
      <c r="I2605" t="str">
        <f t="shared" si="397"/>
        <v>나 혼자만 일일 보상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/>
      <c r="AQ2605">
        <v>0</v>
      </c>
      <c r="AR2605">
        <v>0</v>
      </c>
      <c r="AT2605">
        <v>0</v>
      </c>
      <c r="AU2605">
        <v>0</v>
      </c>
      <c r="AW2605">
        <v>0</v>
      </c>
      <c r="AX2605">
        <v>0</v>
      </c>
      <c r="AY2605">
        <v>70</v>
      </c>
      <c r="BC2605" t="str">
        <f t="shared" si="398"/>
        <v>9791159286889</v>
      </c>
      <c r="BE2605" t="str">
        <f t="shared" si="399"/>
        <v>판타지 웹소설 &gt; 현대 판타지</v>
      </c>
    </row>
    <row r="2606" spans="1:57" x14ac:dyDescent="0.3">
      <c r="A2606">
        <v>2313002926</v>
      </c>
      <c r="B2606">
        <v>2313002996</v>
      </c>
      <c r="C2606" t="str">
        <f>T("나 혼자만 일일 보상 72화")</f>
        <v>나 혼자만 일일 보상 72화</v>
      </c>
      <c r="D2606" t="str">
        <f>T("72")</f>
        <v>72</v>
      </c>
      <c r="E2606" t="str">
        <f t="shared" si="396"/>
        <v>이동열</v>
      </c>
      <c r="H2606" t="str">
        <f t="shared" si="395"/>
        <v>스토리위즈</v>
      </c>
      <c r="I2606" t="str">
        <f t="shared" si="397"/>
        <v>나 혼자만 일일 보상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/>
      <c r="AQ2606">
        <v>0</v>
      </c>
      <c r="AR2606">
        <v>0</v>
      </c>
      <c r="AT2606">
        <v>0</v>
      </c>
      <c r="AU2606">
        <v>0</v>
      </c>
      <c r="AW2606">
        <v>0</v>
      </c>
      <c r="AX2606">
        <v>0</v>
      </c>
      <c r="AY2606">
        <v>70</v>
      </c>
      <c r="BC2606" t="str">
        <f t="shared" si="398"/>
        <v>9791159286889</v>
      </c>
      <c r="BE2606" t="str">
        <f t="shared" si="399"/>
        <v>판타지 웹소설 &gt; 현대 판타지</v>
      </c>
    </row>
    <row r="2607" spans="1:57" x14ac:dyDescent="0.3">
      <c r="A2607">
        <v>2313002926</v>
      </c>
      <c r="B2607">
        <v>2313002997</v>
      </c>
      <c r="C2607" t="str">
        <f>T("나 혼자만 일일 보상 73화")</f>
        <v>나 혼자만 일일 보상 73화</v>
      </c>
      <c r="D2607" t="str">
        <f>T("73")</f>
        <v>73</v>
      </c>
      <c r="E2607" t="str">
        <f t="shared" si="396"/>
        <v>이동열</v>
      </c>
      <c r="H2607" t="str">
        <f t="shared" si="395"/>
        <v>스토리위즈</v>
      </c>
      <c r="I2607" t="str">
        <f t="shared" si="397"/>
        <v>나 혼자만 일일 보상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/>
      <c r="AQ2607">
        <v>0</v>
      </c>
      <c r="AR2607">
        <v>0</v>
      </c>
      <c r="AT2607">
        <v>0</v>
      </c>
      <c r="AU2607">
        <v>0</v>
      </c>
      <c r="AW2607">
        <v>0</v>
      </c>
      <c r="AX2607">
        <v>0</v>
      </c>
      <c r="AY2607">
        <v>70</v>
      </c>
      <c r="BC2607" t="str">
        <f t="shared" si="398"/>
        <v>9791159286889</v>
      </c>
      <c r="BE2607" t="str">
        <f t="shared" si="399"/>
        <v>판타지 웹소설 &gt; 현대 판타지</v>
      </c>
    </row>
    <row r="2608" spans="1:57" x14ac:dyDescent="0.3">
      <c r="A2608">
        <v>2313002926</v>
      </c>
      <c r="B2608">
        <v>2313002998</v>
      </c>
      <c r="C2608" t="str">
        <f>T("나 혼자만 일일 보상 74화")</f>
        <v>나 혼자만 일일 보상 74화</v>
      </c>
      <c r="D2608" t="str">
        <f>T("74")</f>
        <v>74</v>
      </c>
      <c r="E2608" t="str">
        <f t="shared" si="396"/>
        <v>이동열</v>
      </c>
      <c r="H2608" t="str">
        <f t="shared" si="395"/>
        <v>스토리위즈</v>
      </c>
      <c r="I2608" t="str">
        <f t="shared" si="397"/>
        <v>나 혼자만 일일 보상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/>
      <c r="AQ2608">
        <v>0</v>
      </c>
      <c r="AR2608">
        <v>0</v>
      </c>
      <c r="AT2608">
        <v>0</v>
      </c>
      <c r="AU2608">
        <v>0</v>
      </c>
      <c r="AW2608">
        <v>0</v>
      </c>
      <c r="AX2608">
        <v>0</v>
      </c>
      <c r="AY2608">
        <v>70</v>
      </c>
      <c r="BC2608" t="str">
        <f t="shared" si="398"/>
        <v>9791159286889</v>
      </c>
      <c r="BE2608" t="str">
        <f t="shared" si="399"/>
        <v>판타지 웹소설 &gt; 현대 판타지</v>
      </c>
    </row>
    <row r="2609" spans="1:57" x14ac:dyDescent="0.3">
      <c r="A2609">
        <v>2313002926</v>
      </c>
      <c r="B2609">
        <v>2313002999</v>
      </c>
      <c r="C2609" t="str">
        <f>T("나 혼자만 일일 보상 75화")</f>
        <v>나 혼자만 일일 보상 75화</v>
      </c>
      <c r="D2609" t="str">
        <f>T("75")</f>
        <v>75</v>
      </c>
      <c r="E2609" t="str">
        <f t="shared" si="396"/>
        <v>이동열</v>
      </c>
      <c r="H2609" t="str">
        <f t="shared" si="395"/>
        <v>스토리위즈</v>
      </c>
      <c r="I2609" t="str">
        <f t="shared" si="397"/>
        <v>나 혼자만 일일 보상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/>
      <c r="AQ2609">
        <v>0</v>
      </c>
      <c r="AR2609">
        <v>0</v>
      </c>
      <c r="AT2609">
        <v>0</v>
      </c>
      <c r="AU2609">
        <v>0</v>
      </c>
      <c r="AW2609">
        <v>0</v>
      </c>
      <c r="AX2609">
        <v>0</v>
      </c>
      <c r="AY2609">
        <v>70</v>
      </c>
      <c r="BC2609" t="str">
        <f t="shared" si="398"/>
        <v>9791159286889</v>
      </c>
      <c r="BE2609" t="str">
        <f t="shared" si="399"/>
        <v>판타지 웹소설 &gt; 현대 판타지</v>
      </c>
    </row>
    <row r="2610" spans="1:57" x14ac:dyDescent="0.3">
      <c r="A2610">
        <v>2313002926</v>
      </c>
      <c r="B2610">
        <v>2313003000</v>
      </c>
      <c r="C2610" t="str">
        <f>T("나 혼자만 일일 보상 76화")</f>
        <v>나 혼자만 일일 보상 76화</v>
      </c>
      <c r="D2610" t="str">
        <f>T("76")</f>
        <v>76</v>
      </c>
      <c r="E2610" t="str">
        <f t="shared" si="396"/>
        <v>이동열</v>
      </c>
      <c r="H2610" t="str">
        <f t="shared" si="395"/>
        <v>스토리위즈</v>
      </c>
      <c r="I2610" t="str">
        <f t="shared" si="397"/>
        <v>나 혼자만 일일 보상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/>
      <c r="AQ2610">
        <v>0</v>
      </c>
      <c r="AR2610">
        <v>0</v>
      </c>
      <c r="AT2610">
        <v>0</v>
      </c>
      <c r="AU2610">
        <v>0</v>
      </c>
      <c r="AW2610">
        <v>0</v>
      </c>
      <c r="AX2610">
        <v>0</v>
      </c>
      <c r="AY2610">
        <v>70</v>
      </c>
      <c r="BC2610" t="str">
        <f t="shared" si="398"/>
        <v>9791159286889</v>
      </c>
      <c r="BE2610" t="str">
        <f t="shared" si="399"/>
        <v>판타지 웹소설 &gt; 현대 판타지</v>
      </c>
    </row>
    <row r="2611" spans="1:57" x14ac:dyDescent="0.3">
      <c r="A2611">
        <v>2313002926</v>
      </c>
      <c r="B2611">
        <v>2313003001</v>
      </c>
      <c r="C2611" t="str">
        <f>T("나 혼자만 일일 보상 77화")</f>
        <v>나 혼자만 일일 보상 77화</v>
      </c>
      <c r="D2611" t="str">
        <f>T("77")</f>
        <v>77</v>
      </c>
      <c r="E2611" t="str">
        <f t="shared" si="396"/>
        <v>이동열</v>
      </c>
      <c r="H2611" t="str">
        <f t="shared" si="395"/>
        <v>스토리위즈</v>
      </c>
      <c r="I2611" t="str">
        <f t="shared" si="397"/>
        <v>나 혼자만 일일 보상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/>
      <c r="AQ2611">
        <v>0</v>
      </c>
      <c r="AR2611">
        <v>0</v>
      </c>
      <c r="AT2611">
        <v>0</v>
      </c>
      <c r="AU2611">
        <v>0</v>
      </c>
      <c r="AW2611">
        <v>0</v>
      </c>
      <c r="AX2611">
        <v>0</v>
      </c>
      <c r="AY2611">
        <v>70</v>
      </c>
      <c r="BC2611" t="str">
        <f t="shared" si="398"/>
        <v>9791159286889</v>
      </c>
      <c r="BE2611" t="str">
        <f t="shared" si="399"/>
        <v>판타지 웹소설 &gt; 현대 판타지</v>
      </c>
    </row>
    <row r="2612" spans="1:57" x14ac:dyDescent="0.3">
      <c r="A2612">
        <v>2313002926</v>
      </c>
      <c r="B2612">
        <v>2313003002</v>
      </c>
      <c r="C2612" t="str">
        <f>T("나 혼자만 일일 보상 78화")</f>
        <v>나 혼자만 일일 보상 78화</v>
      </c>
      <c r="D2612" t="str">
        <f>T("78")</f>
        <v>78</v>
      </c>
      <c r="E2612" t="str">
        <f t="shared" si="396"/>
        <v>이동열</v>
      </c>
      <c r="H2612" t="str">
        <f t="shared" si="395"/>
        <v>스토리위즈</v>
      </c>
      <c r="I2612" t="str">
        <f t="shared" si="397"/>
        <v>나 혼자만 일일 보상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/>
      <c r="AQ2612">
        <v>0</v>
      </c>
      <c r="AR2612">
        <v>0</v>
      </c>
      <c r="AT2612">
        <v>0</v>
      </c>
      <c r="AU2612">
        <v>0</v>
      </c>
      <c r="AW2612">
        <v>0</v>
      </c>
      <c r="AX2612">
        <v>0</v>
      </c>
      <c r="AY2612">
        <v>70</v>
      </c>
      <c r="BC2612" t="str">
        <f t="shared" si="398"/>
        <v>9791159286889</v>
      </c>
      <c r="BE2612" t="str">
        <f t="shared" si="399"/>
        <v>판타지 웹소설 &gt; 현대 판타지</v>
      </c>
    </row>
    <row r="2613" spans="1:57" x14ac:dyDescent="0.3">
      <c r="A2613">
        <v>2313002926</v>
      </c>
      <c r="B2613">
        <v>2313003003</v>
      </c>
      <c r="C2613" t="str">
        <f>T("나 혼자만 일일 보상 79화")</f>
        <v>나 혼자만 일일 보상 79화</v>
      </c>
      <c r="D2613" t="str">
        <f>T("79")</f>
        <v>79</v>
      </c>
      <c r="E2613" t="str">
        <f t="shared" si="396"/>
        <v>이동열</v>
      </c>
      <c r="H2613" t="str">
        <f t="shared" si="395"/>
        <v>스토리위즈</v>
      </c>
      <c r="I2613" t="str">
        <f t="shared" si="397"/>
        <v>나 혼자만 일일 보상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/>
      <c r="AQ2613">
        <v>0</v>
      </c>
      <c r="AR2613">
        <v>0</v>
      </c>
      <c r="AT2613">
        <v>0</v>
      </c>
      <c r="AU2613">
        <v>0</v>
      </c>
      <c r="AW2613">
        <v>0</v>
      </c>
      <c r="AX2613">
        <v>0</v>
      </c>
      <c r="AY2613">
        <v>70</v>
      </c>
      <c r="BC2613" t="str">
        <f t="shared" si="398"/>
        <v>9791159286889</v>
      </c>
      <c r="BE2613" t="str">
        <f t="shared" si="399"/>
        <v>판타지 웹소설 &gt; 현대 판타지</v>
      </c>
    </row>
    <row r="2614" spans="1:57" x14ac:dyDescent="0.3">
      <c r="A2614">
        <v>2313002926</v>
      </c>
      <c r="B2614">
        <v>2313003004</v>
      </c>
      <c r="C2614" t="str">
        <f>T("나 혼자만 일일 보상 80화")</f>
        <v>나 혼자만 일일 보상 80화</v>
      </c>
      <c r="D2614" t="str">
        <f>T("80")</f>
        <v>80</v>
      </c>
      <c r="E2614" t="str">
        <f t="shared" si="396"/>
        <v>이동열</v>
      </c>
      <c r="H2614" t="str">
        <f t="shared" si="395"/>
        <v>스토리위즈</v>
      </c>
      <c r="I2614" t="str">
        <f t="shared" si="397"/>
        <v>나 혼자만 일일 보상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/>
      <c r="AQ2614">
        <v>0</v>
      </c>
      <c r="AR2614">
        <v>0</v>
      </c>
      <c r="AT2614">
        <v>0</v>
      </c>
      <c r="AU2614">
        <v>0</v>
      </c>
      <c r="AW2614">
        <v>0</v>
      </c>
      <c r="AX2614">
        <v>0</v>
      </c>
      <c r="AY2614">
        <v>70</v>
      </c>
      <c r="BC2614" t="str">
        <f t="shared" si="398"/>
        <v>9791159286889</v>
      </c>
      <c r="BE2614" t="str">
        <f t="shared" si="399"/>
        <v>판타지 웹소설 &gt; 현대 판타지</v>
      </c>
    </row>
    <row r="2615" spans="1:57" x14ac:dyDescent="0.3">
      <c r="A2615">
        <v>2313002926</v>
      </c>
      <c r="B2615">
        <v>2313003005</v>
      </c>
      <c r="C2615" t="str">
        <f>T("나 혼자만 일일 보상 81화")</f>
        <v>나 혼자만 일일 보상 81화</v>
      </c>
      <c r="D2615" t="str">
        <f>T("81")</f>
        <v>81</v>
      </c>
      <c r="E2615" t="str">
        <f t="shared" si="396"/>
        <v>이동열</v>
      </c>
      <c r="H2615" t="str">
        <f t="shared" si="395"/>
        <v>스토리위즈</v>
      </c>
      <c r="I2615" t="str">
        <f t="shared" si="397"/>
        <v>나 혼자만 일일 보상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/>
      <c r="AQ2615">
        <v>0</v>
      </c>
      <c r="AR2615">
        <v>0</v>
      </c>
      <c r="AT2615">
        <v>0</v>
      </c>
      <c r="AU2615">
        <v>0</v>
      </c>
      <c r="AW2615">
        <v>0</v>
      </c>
      <c r="AX2615">
        <v>0</v>
      </c>
      <c r="AY2615">
        <v>70</v>
      </c>
      <c r="BC2615" t="str">
        <f t="shared" si="398"/>
        <v>9791159286889</v>
      </c>
      <c r="BE2615" t="str">
        <f t="shared" si="399"/>
        <v>판타지 웹소설 &gt; 현대 판타지</v>
      </c>
    </row>
    <row r="2616" spans="1:57" x14ac:dyDescent="0.3">
      <c r="A2616">
        <v>2313002926</v>
      </c>
      <c r="B2616">
        <v>2313003006</v>
      </c>
      <c r="C2616" t="str">
        <f>T("나 혼자만 일일 보상 82화")</f>
        <v>나 혼자만 일일 보상 82화</v>
      </c>
      <c r="D2616" t="str">
        <f>T("82")</f>
        <v>82</v>
      </c>
      <c r="E2616" t="str">
        <f t="shared" si="396"/>
        <v>이동열</v>
      </c>
      <c r="H2616" t="str">
        <f t="shared" ref="H2616:H2679" si="400">T("스토리위즈")</f>
        <v>스토리위즈</v>
      </c>
      <c r="I2616" t="str">
        <f t="shared" si="397"/>
        <v>나 혼자만 일일 보상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/>
      <c r="AQ2616">
        <v>0</v>
      </c>
      <c r="AR2616">
        <v>0</v>
      </c>
      <c r="AT2616">
        <v>0</v>
      </c>
      <c r="AU2616">
        <v>0</v>
      </c>
      <c r="AW2616">
        <v>0</v>
      </c>
      <c r="AX2616">
        <v>0</v>
      </c>
      <c r="AY2616">
        <v>70</v>
      </c>
      <c r="BC2616" t="str">
        <f t="shared" si="398"/>
        <v>9791159286889</v>
      </c>
      <c r="BE2616" t="str">
        <f t="shared" si="399"/>
        <v>판타지 웹소설 &gt; 현대 판타지</v>
      </c>
    </row>
    <row r="2617" spans="1:57" x14ac:dyDescent="0.3">
      <c r="A2617">
        <v>2313002926</v>
      </c>
      <c r="B2617">
        <v>2313003007</v>
      </c>
      <c r="C2617" t="str">
        <f>T("나 혼자만 일일 보상 83화")</f>
        <v>나 혼자만 일일 보상 83화</v>
      </c>
      <c r="D2617" t="str">
        <f>T("83")</f>
        <v>83</v>
      </c>
      <c r="E2617" t="str">
        <f t="shared" si="396"/>
        <v>이동열</v>
      </c>
      <c r="H2617" t="str">
        <f t="shared" si="400"/>
        <v>스토리위즈</v>
      </c>
      <c r="I2617" t="str">
        <f t="shared" si="397"/>
        <v>나 혼자만 일일 보상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/>
      <c r="AQ2617">
        <v>0</v>
      </c>
      <c r="AR2617">
        <v>0</v>
      </c>
      <c r="AT2617">
        <v>0</v>
      </c>
      <c r="AU2617">
        <v>0</v>
      </c>
      <c r="AW2617">
        <v>0</v>
      </c>
      <c r="AX2617">
        <v>0</v>
      </c>
      <c r="AY2617">
        <v>70</v>
      </c>
      <c r="BC2617" t="str">
        <f t="shared" si="398"/>
        <v>9791159286889</v>
      </c>
      <c r="BE2617" t="str">
        <f t="shared" si="399"/>
        <v>판타지 웹소설 &gt; 현대 판타지</v>
      </c>
    </row>
    <row r="2618" spans="1:57" x14ac:dyDescent="0.3">
      <c r="A2618">
        <v>2313002926</v>
      </c>
      <c r="B2618">
        <v>2313003008</v>
      </c>
      <c r="C2618" t="str">
        <f>T("나 혼자만 일일 보상 84화")</f>
        <v>나 혼자만 일일 보상 84화</v>
      </c>
      <c r="D2618" t="str">
        <f>T("84")</f>
        <v>84</v>
      </c>
      <c r="E2618" t="str">
        <f t="shared" si="396"/>
        <v>이동열</v>
      </c>
      <c r="H2618" t="str">
        <f t="shared" si="400"/>
        <v>스토리위즈</v>
      </c>
      <c r="I2618" t="str">
        <f t="shared" si="397"/>
        <v>나 혼자만 일일 보상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/>
      <c r="AQ2618">
        <v>0</v>
      </c>
      <c r="AR2618">
        <v>0</v>
      </c>
      <c r="AT2618">
        <v>0</v>
      </c>
      <c r="AU2618">
        <v>0</v>
      </c>
      <c r="AW2618">
        <v>0</v>
      </c>
      <c r="AX2618">
        <v>0</v>
      </c>
      <c r="AY2618">
        <v>70</v>
      </c>
      <c r="BC2618" t="str">
        <f t="shared" si="398"/>
        <v>9791159286889</v>
      </c>
      <c r="BE2618" t="str">
        <f t="shared" si="399"/>
        <v>판타지 웹소설 &gt; 현대 판타지</v>
      </c>
    </row>
    <row r="2619" spans="1:57" x14ac:dyDescent="0.3">
      <c r="A2619">
        <v>2313002926</v>
      </c>
      <c r="B2619">
        <v>2313003009</v>
      </c>
      <c r="C2619" t="str">
        <f>T("나 혼자만 일일 보상 85화")</f>
        <v>나 혼자만 일일 보상 85화</v>
      </c>
      <c r="D2619" t="str">
        <f>T("85")</f>
        <v>85</v>
      </c>
      <c r="E2619" t="str">
        <f t="shared" si="396"/>
        <v>이동열</v>
      </c>
      <c r="H2619" t="str">
        <f t="shared" si="400"/>
        <v>스토리위즈</v>
      </c>
      <c r="I2619" t="str">
        <f t="shared" si="397"/>
        <v>나 혼자만 일일 보상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</v>
      </c>
      <c r="AH2619">
        <v>1</v>
      </c>
      <c r="AI2619">
        <v>0</v>
      </c>
      <c r="AJ2619">
        <v>0</v>
      </c>
      <c r="AK2619">
        <v>100</v>
      </c>
      <c r="AL2619">
        <v>0</v>
      </c>
      <c r="AM2619">
        <v>0</v>
      </c>
      <c r="AN2619">
        <v>0</v>
      </c>
      <c r="AO2619">
        <v>0</v>
      </c>
      <c r="AP2619"/>
      <c r="AQ2619">
        <v>0</v>
      </c>
      <c r="AR2619">
        <v>0</v>
      </c>
      <c r="AT2619">
        <v>0</v>
      </c>
      <c r="AU2619">
        <v>0</v>
      </c>
      <c r="AW2619">
        <v>0</v>
      </c>
      <c r="AX2619">
        <v>0</v>
      </c>
      <c r="AY2619">
        <v>70</v>
      </c>
      <c r="BC2619" t="str">
        <f t="shared" si="398"/>
        <v>9791159286889</v>
      </c>
      <c r="BE2619" t="str">
        <f t="shared" si="399"/>
        <v>판타지 웹소설 &gt; 현대 판타지</v>
      </c>
    </row>
    <row r="2620" spans="1:57" x14ac:dyDescent="0.3">
      <c r="A2620">
        <v>2313002926</v>
      </c>
      <c r="B2620">
        <v>2313003010</v>
      </c>
      <c r="C2620" t="str">
        <f>T("나 혼자만 일일 보상 86화")</f>
        <v>나 혼자만 일일 보상 86화</v>
      </c>
      <c r="D2620" t="str">
        <f>T("86")</f>
        <v>86</v>
      </c>
      <c r="E2620" t="str">
        <f t="shared" si="396"/>
        <v>이동열</v>
      </c>
      <c r="H2620" t="str">
        <f t="shared" si="400"/>
        <v>스토리위즈</v>
      </c>
      <c r="I2620" t="str">
        <f t="shared" si="397"/>
        <v>나 혼자만 일일 보상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/>
      <c r="AQ2620">
        <v>0</v>
      </c>
      <c r="AR2620">
        <v>0</v>
      </c>
      <c r="AT2620">
        <v>0</v>
      </c>
      <c r="AU2620">
        <v>0</v>
      </c>
      <c r="AW2620">
        <v>0</v>
      </c>
      <c r="AX2620">
        <v>0</v>
      </c>
      <c r="AY2620">
        <v>70</v>
      </c>
      <c r="BC2620" t="str">
        <f t="shared" si="398"/>
        <v>9791159286889</v>
      </c>
      <c r="BE2620" t="str">
        <f t="shared" si="399"/>
        <v>판타지 웹소설 &gt; 현대 판타지</v>
      </c>
    </row>
    <row r="2621" spans="1:57" x14ac:dyDescent="0.3">
      <c r="A2621">
        <v>2313002926</v>
      </c>
      <c r="B2621">
        <v>2313003011</v>
      </c>
      <c r="C2621" t="str">
        <f>T("나 혼자만 일일 보상 87화")</f>
        <v>나 혼자만 일일 보상 87화</v>
      </c>
      <c r="D2621" t="str">
        <f>T("87")</f>
        <v>87</v>
      </c>
      <c r="E2621" t="str">
        <f t="shared" si="396"/>
        <v>이동열</v>
      </c>
      <c r="H2621" t="str">
        <f t="shared" si="400"/>
        <v>스토리위즈</v>
      </c>
      <c r="I2621" t="str">
        <f t="shared" si="397"/>
        <v>나 혼자만 일일 보상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/>
      <c r="AQ2621">
        <v>0</v>
      </c>
      <c r="AR2621">
        <v>0</v>
      </c>
      <c r="AT2621">
        <v>0</v>
      </c>
      <c r="AU2621">
        <v>0</v>
      </c>
      <c r="AW2621">
        <v>0</v>
      </c>
      <c r="AX2621">
        <v>0</v>
      </c>
      <c r="AY2621">
        <v>70</v>
      </c>
      <c r="BC2621" t="str">
        <f t="shared" si="398"/>
        <v>9791159286889</v>
      </c>
      <c r="BE2621" t="str">
        <f t="shared" si="399"/>
        <v>판타지 웹소설 &gt; 현대 판타지</v>
      </c>
    </row>
    <row r="2622" spans="1:57" x14ac:dyDescent="0.3">
      <c r="A2622">
        <v>2313002926</v>
      </c>
      <c r="B2622">
        <v>2313003012</v>
      </c>
      <c r="C2622" t="str">
        <f>T("나 혼자만 일일 보상 88화")</f>
        <v>나 혼자만 일일 보상 88화</v>
      </c>
      <c r="D2622" t="str">
        <f>T("88")</f>
        <v>88</v>
      </c>
      <c r="E2622" t="str">
        <f t="shared" si="396"/>
        <v>이동열</v>
      </c>
      <c r="H2622" t="str">
        <f t="shared" si="400"/>
        <v>스토리위즈</v>
      </c>
      <c r="I2622" t="str">
        <f t="shared" si="397"/>
        <v>나 혼자만 일일 보상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/>
      <c r="AQ2622">
        <v>0</v>
      </c>
      <c r="AR2622">
        <v>0</v>
      </c>
      <c r="AT2622">
        <v>0</v>
      </c>
      <c r="AU2622">
        <v>0</v>
      </c>
      <c r="AW2622">
        <v>0</v>
      </c>
      <c r="AX2622">
        <v>0</v>
      </c>
      <c r="AY2622">
        <v>70</v>
      </c>
      <c r="BC2622" t="str">
        <f t="shared" si="398"/>
        <v>9791159286889</v>
      </c>
      <c r="BE2622" t="str">
        <f t="shared" si="399"/>
        <v>판타지 웹소설 &gt; 현대 판타지</v>
      </c>
    </row>
    <row r="2623" spans="1:57" x14ac:dyDescent="0.3">
      <c r="A2623">
        <v>2313002926</v>
      </c>
      <c r="B2623">
        <v>2313003013</v>
      </c>
      <c r="C2623" t="str">
        <f>T("나 혼자만 일일 보상 89화")</f>
        <v>나 혼자만 일일 보상 89화</v>
      </c>
      <c r="D2623" t="str">
        <f>T("89")</f>
        <v>89</v>
      </c>
      <c r="E2623" t="str">
        <f t="shared" si="396"/>
        <v>이동열</v>
      </c>
      <c r="H2623" t="str">
        <f t="shared" si="400"/>
        <v>스토리위즈</v>
      </c>
      <c r="I2623" t="str">
        <f t="shared" si="397"/>
        <v>나 혼자만 일일 보상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/>
      <c r="AQ2623">
        <v>0</v>
      </c>
      <c r="AR2623">
        <v>0</v>
      </c>
      <c r="AT2623">
        <v>0</v>
      </c>
      <c r="AU2623">
        <v>0</v>
      </c>
      <c r="AW2623">
        <v>0</v>
      </c>
      <c r="AX2623">
        <v>0</v>
      </c>
      <c r="AY2623">
        <v>70</v>
      </c>
      <c r="BC2623" t="str">
        <f t="shared" si="398"/>
        <v>9791159286889</v>
      </c>
      <c r="BE2623" t="str">
        <f t="shared" si="399"/>
        <v>판타지 웹소설 &gt; 현대 판타지</v>
      </c>
    </row>
    <row r="2624" spans="1:57" x14ac:dyDescent="0.3">
      <c r="A2624">
        <v>2313002926</v>
      </c>
      <c r="B2624">
        <v>2313003014</v>
      </c>
      <c r="C2624" t="str">
        <f>T("나 혼자만 일일 보상 90화")</f>
        <v>나 혼자만 일일 보상 90화</v>
      </c>
      <c r="D2624" t="str">
        <f>T("90")</f>
        <v>90</v>
      </c>
      <c r="E2624" t="str">
        <f t="shared" si="396"/>
        <v>이동열</v>
      </c>
      <c r="H2624" t="str">
        <f t="shared" si="400"/>
        <v>스토리위즈</v>
      </c>
      <c r="I2624" t="str">
        <f t="shared" si="397"/>
        <v>나 혼자만 일일 보상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/>
      <c r="AQ2624">
        <v>0</v>
      </c>
      <c r="AR2624">
        <v>0</v>
      </c>
      <c r="AT2624">
        <v>0</v>
      </c>
      <c r="AU2624">
        <v>0</v>
      </c>
      <c r="AW2624">
        <v>0</v>
      </c>
      <c r="AX2624">
        <v>0</v>
      </c>
      <c r="AY2624">
        <v>70</v>
      </c>
      <c r="BC2624" t="str">
        <f t="shared" si="398"/>
        <v>9791159286889</v>
      </c>
      <c r="BE2624" t="str">
        <f t="shared" si="399"/>
        <v>판타지 웹소설 &gt; 현대 판타지</v>
      </c>
    </row>
    <row r="2625" spans="1:57" x14ac:dyDescent="0.3">
      <c r="A2625">
        <v>2313002926</v>
      </c>
      <c r="B2625">
        <v>2313003015</v>
      </c>
      <c r="C2625" t="str">
        <f>T("나 혼자만 일일 보상 91화")</f>
        <v>나 혼자만 일일 보상 91화</v>
      </c>
      <c r="D2625" t="str">
        <f>T("91")</f>
        <v>91</v>
      </c>
      <c r="E2625" t="str">
        <f t="shared" ref="E2625:E2688" si="401">T("이동열")</f>
        <v>이동열</v>
      </c>
      <c r="H2625" t="str">
        <f t="shared" si="400"/>
        <v>스토리위즈</v>
      </c>
      <c r="I2625" t="str">
        <f t="shared" ref="I2625:I2688" si="402">T("나 혼자만 일일 보상")</f>
        <v>나 혼자만 일일 보상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/>
      <c r="AQ2625">
        <v>0</v>
      </c>
      <c r="AR2625">
        <v>0</v>
      </c>
      <c r="AT2625">
        <v>0</v>
      </c>
      <c r="AU2625">
        <v>0</v>
      </c>
      <c r="AW2625">
        <v>0</v>
      </c>
      <c r="AX2625">
        <v>0</v>
      </c>
      <c r="AY2625">
        <v>70</v>
      </c>
      <c r="BC2625" t="str">
        <f t="shared" ref="BC2625:BC2688" si="403">T("9791159286889")</f>
        <v>9791159286889</v>
      </c>
      <c r="BE2625" t="str">
        <f t="shared" ref="BE2625:BE2688" si="404">T("판타지 웹소설 &gt; 현대 판타지")</f>
        <v>판타지 웹소설 &gt; 현대 판타지</v>
      </c>
    </row>
    <row r="2626" spans="1:57" x14ac:dyDescent="0.3">
      <c r="A2626">
        <v>2313002926</v>
      </c>
      <c r="B2626">
        <v>2313003016</v>
      </c>
      <c r="C2626" t="str">
        <f>T("나 혼자만 일일 보상 92화")</f>
        <v>나 혼자만 일일 보상 92화</v>
      </c>
      <c r="D2626" t="str">
        <f>T("92")</f>
        <v>92</v>
      </c>
      <c r="E2626" t="str">
        <f t="shared" si="401"/>
        <v>이동열</v>
      </c>
      <c r="H2626" t="str">
        <f t="shared" si="400"/>
        <v>스토리위즈</v>
      </c>
      <c r="I2626" t="str">
        <f t="shared" si="402"/>
        <v>나 혼자만 일일 보상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/>
      <c r="AQ2626">
        <v>0</v>
      </c>
      <c r="AR2626">
        <v>0</v>
      </c>
      <c r="AT2626">
        <v>0</v>
      </c>
      <c r="AU2626">
        <v>0</v>
      </c>
      <c r="AW2626">
        <v>0</v>
      </c>
      <c r="AX2626">
        <v>0</v>
      </c>
      <c r="AY2626">
        <v>70</v>
      </c>
      <c r="BC2626" t="str">
        <f t="shared" si="403"/>
        <v>9791159286889</v>
      </c>
      <c r="BE2626" t="str">
        <f t="shared" si="404"/>
        <v>판타지 웹소설 &gt; 현대 판타지</v>
      </c>
    </row>
    <row r="2627" spans="1:57" x14ac:dyDescent="0.3">
      <c r="A2627">
        <v>2313002926</v>
      </c>
      <c r="B2627">
        <v>2313003017</v>
      </c>
      <c r="C2627" t="str">
        <f>T("나 혼자만 일일 보상 93화")</f>
        <v>나 혼자만 일일 보상 93화</v>
      </c>
      <c r="D2627" t="str">
        <f>T("93")</f>
        <v>93</v>
      </c>
      <c r="E2627" t="str">
        <f t="shared" si="401"/>
        <v>이동열</v>
      </c>
      <c r="H2627" t="str">
        <f t="shared" si="400"/>
        <v>스토리위즈</v>
      </c>
      <c r="I2627" t="str">
        <f t="shared" si="402"/>
        <v>나 혼자만 일일 보상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/>
      <c r="AQ2627">
        <v>0</v>
      </c>
      <c r="AR2627">
        <v>0</v>
      </c>
      <c r="AT2627">
        <v>0</v>
      </c>
      <c r="AU2627">
        <v>0</v>
      </c>
      <c r="AW2627">
        <v>0</v>
      </c>
      <c r="AX2627">
        <v>0</v>
      </c>
      <c r="AY2627">
        <v>70</v>
      </c>
      <c r="BC2627" t="str">
        <f t="shared" si="403"/>
        <v>9791159286889</v>
      </c>
      <c r="BE2627" t="str">
        <f t="shared" si="404"/>
        <v>판타지 웹소설 &gt; 현대 판타지</v>
      </c>
    </row>
    <row r="2628" spans="1:57" x14ac:dyDescent="0.3">
      <c r="A2628">
        <v>2313002926</v>
      </c>
      <c r="B2628">
        <v>2313003018</v>
      </c>
      <c r="C2628" t="str">
        <f>T("나 혼자만 일일 보상 94화")</f>
        <v>나 혼자만 일일 보상 94화</v>
      </c>
      <c r="D2628" t="str">
        <f>T("94")</f>
        <v>94</v>
      </c>
      <c r="E2628" t="str">
        <f t="shared" si="401"/>
        <v>이동열</v>
      </c>
      <c r="H2628" t="str">
        <f t="shared" si="400"/>
        <v>스토리위즈</v>
      </c>
      <c r="I2628" t="str">
        <f t="shared" si="402"/>
        <v>나 혼자만 일일 보상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/>
      <c r="AQ2628">
        <v>0</v>
      </c>
      <c r="AR2628">
        <v>0</v>
      </c>
      <c r="AT2628">
        <v>0</v>
      </c>
      <c r="AU2628">
        <v>0</v>
      </c>
      <c r="AW2628">
        <v>0</v>
      </c>
      <c r="AX2628">
        <v>0</v>
      </c>
      <c r="AY2628">
        <v>70</v>
      </c>
      <c r="BC2628" t="str">
        <f t="shared" si="403"/>
        <v>9791159286889</v>
      </c>
      <c r="BE2628" t="str">
        <f t="shared" si="404"/>
        <v>판타지 웹소설 &gt; 현대 판타지</v>
      </c>
    </row>
    <row r="2629" spans="1:57" x14ac:dyDescent="0.3">
      <c r="A2629">
        <v>2313002926</v>
      </c>
      <c r="B2629">
        <v>2313003019</v>
      </c>
      <c r="C2629" t="str">
        <f>T("나 혼자만 일일 보상 95화")</f>
        <v>나 혼자만 일일 보상 95화</v>
      </c>
      <c r="D2629" t="str">
        <f>T("95")</f>
        <v>95</v>
      </c>
      <c r="E2629" t="str">
        <f t="shared" si="401"/>
        <v>이동열</v>
      </c>
      <c r="H2629" t="str">
        <f t="shared" si="400"/>
        <v>스토리위즈</v>
      </c>
      <c r="I2629" t="str">
        <f t="shared" si="402"/>
        <v>나 혼자만 일일 보상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/>
      <c r="AQ2629">
        <v>0</v>
      </c>
      <c r="AR2629">
        <v>0</v>
      </c>
      <c r="AT2629">
        <v>0</v>
      </c>
      <c r="AU2629">
        <v>0</v>
      </c>
      <c r="AW2629">
        <v>0</v>
      </c>
      <c r="AX2629">
        <v>0</v>
      </c>
      <c r="AY2629">
        <v>70</v>
      </c>
      <c r="BC2629" t="str">
        <f t="shared" si="403"/>
        <v>9791159286889</v>
      </c>
      <c r="BE2629" t="str">
        <f t="shared" si="404"/>
        <v>판타지 웹소설 &gt; 현대 판타지</v>
      </c>
    </row>
    <row r="2630" spans="1:57" x14ac:dyDescent="0.3">
      <c r="A2630">
        <v>2313002926</v>
      </c>
      <c r="B2630">
        <v>2313003020</v>
      </c>
      <c r="C2630" t="str">
        <f>T("나 혼자만 일일 보상 96화")</f>
        <v>나 혼자만 일일 보상 96화</v>
      </c>
      <c r="D2630" t="str">
        <f>T("96")</f>
        <v>96</v>
      </c>
      <c r="E2630" t="str">
        <f t="shared" si="401"/>
        <v>이동열</v>
      </c>
      <c r="H2630" t="str">
        <f t="shared" si="400"/>
        <v>스토리위즈</v>
      </c>
      <c r="I2630" t="str">
        <f t="shared" si="402"/>
        <v>나 혼자만 일일 보상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/>
      <c r="AQ2630">
        <v>0</v>
      </c>
      <c r="AR2630">
        <v>0</v>
      </c>
      <c r="AT2630">
        <v>0</v>
      </c>
      <c r="AU2630">
        <v>0</v>
      </c>
      <c r="AW2630">
        <v>0</v>
      </c>
      <c r="AX2630">
        <v>0</v>
      </c>
      <c r="AY2630">
        <v>70</v>
      </c>
      <c r="BC2630" t="str">
        <f t="shared" si="403"/>
        <v>9791159286889</v>
      </c>
      <c r="BE2630" t="str">
        <f t="shared" si="404"/>
        <v>판타지 웹소설 &gt; 현대 판타지</v>
      </c>
    </row>
    <row r="2631" spans="1:57" x14ac:dyDescent="0.3">
      <c r="A2631">
        <v>2313002926</v>
      </c>
      <c r="B2631">
        <v>2313003021</v>
      </c>
      <c r="C2631" t="str">
        <f>T("나 혼자만 일일 보상 97화")</f>
        <v>나 혼자만 일일 보상 97화</v>
      </c>
      <c r="D2631" t="str">
        <f>T("97")</f>
        <v>97</v>
      </c>
      <c r="E2631" t="str">
        <f t="shared" si="401"/>
        <v>이동열</v>
      </c>
      <c r="H2631" t="str">
        <f t="shared" si="400"/>
        <v>스토리위즈</v>
      </c>
      <c r="I2631" t="str">
        <f t="shared" si="402"/>
        <v>나 혼자만 일일 보상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/>
      <c r="AQ2631">
        <v>0</v>
      </c>
      <c r="AR2631">
        <v>0</v>
      </c>
      <c r="AT2631">
        <v>0</v>
      </c>
      <c r="AU2631">
        <v>0</v>
      </c>
      <c r="AW2631">
        <v>0</v>
      </c>
      <c r="AX2631">
        <v>0</v>
      </c>
      <c r="AY2631">
        <v>70</v>
      </c>
      <c r="BC2631" t="str">
        <f t="shared" si="403"/>
        <v>9791159286889</v>
      </c>
      <c r="BE2631" t="str">
        <f t="shared" si="404"/>
        <v>판타지 웹소설 &gt; 현대 판타지</v>
      </c>
    </row>
    <row r="2632" spans="1:57" x14ac:dyDescent="0.3">
      <c r="A2632">
        <v>2313002926</v>
      </c>
      <c r="B2632">
        <v>2313003022</v>
      </c>
      <c r="C2632" t="str">
        <f>T("나 혼자만 일일 보상 98화")</f>
        <v>나 혼자만 일일 보상 98화</v>
      </c>
      <c r="D2632" t="str">
        <f>T("98")</f>
        <v>98</v>
      </c>
      <c r="E2632" t="str">
        <f t="shared" si="401"/>
        <v>이동열</v>
      </c>
      <c r="H2632" t="str">
        <f t="shared" si="400"/>
        <v>스토리위즈</v>
      </c>
      <c r="I2632" t="str">
        <f t="shared" si="402"/>
        <v>나 혼자만 일일 보상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/>
      <c r="AQ2632">
        <v>0</v>
      </c>
      <c r="AR2632">
        <v>0</v>
      </c>
      <c r="AT2632">
        <v>0</v>
      </c>
      <c r="AU2632">
        <v>0</v>
      </c>
      <c r="AW2632">
        <v>0</v>
      </c>
      <c r="AX2632">
        <v>0</v>
      </c>
      <c r="AY2632">
        <v>70</v>
      </c>
      <c r="BC2632" t="str">
        <f t="shared" si="403"/>
        <v>9791159286889</v>
      </c>
      <c r="BE2632" t="str">
        <f t="shared" si="404"/>
        <v>판타지 웹소설 &gt; 현대 판타지</v>
      </c>
    </row>
    <row r="2633" spans="1:57" x14ac:dyDescent="0.3">
      <c r="A2633">
        <v>2313002926</v>
      </c>
      <c r="B2633">
        <v>2313003023</v>
      </c>
      <c r="C2633" t="str">
        <f>T("나 혼자만 일일 보상 99화")</f>
        <v>나 혼자만 일일 보상 99화</v>
      </c>
      <c r="D2633" t="str">
        <f>T("99")</f>
        <v>99</v>
      </c>
      <c r="E2633" t="str">
        <f t="shared" si="401"/>
        <v>이동열</v>
      </c>
      <c r="H2633" t="str">
        <f t="shared" si="400"/>
        <v>스토리위즈</v>
      </c>
      <c r="I2633" t="str">
        <f t="shared" si="402"/>
        <v>나 혼자만 일일 보상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/>
      <c r="AQ2633">
        <v>0</v>
      </c>
      <c r="AR2633">
        <v>0</v>
      </c>
      <c r="AT2633">
        <v>0</v>
      </c>
      <c r="AU2633">
        <v>0</v>
      </c>
      <c r="AW2633">
        <v>0</v>
      </c>
      <c r="AX2633">
        <v>0</v>
      </c>
      <c r="AY2633">
        <v>70</v>
      </c>
      <c r="BC2633" t="str">
        <f t="shared" si="403"/>
        <v>9791159286889</v>
      </c>
      <c r="BE2633" t="str">
        <f t="shared" si="404"/>
        <v>판타지 웹소설 &gt; 현대 판타지</v>
      </c>
    </row>
    <row r="2634" spans="1:57" x14ac:dyDescent="0.3">
      <c r="A2634">
        <v>2313002926</v>
      </c>
      <c r="B2634">
        <v>2313003024</v>
      </c>
      <c r="C2634" t="str">
        <f>T("나 혼자만 일일 보상 100화")</f>
        <v>나 혼자만 일일 보상 100화</v>
      </c>
      <c r="D2634" t="str">
        <f>T("100")</f>
        <v>100</v>
      </c>
      <c r="E2634" t="str">
        <f t="shared" si="401"/>
        <v>이동열</v>
      </c>
      <c r="H2634" t="str">
        <f t="shared" si="400"/>
        <v>스토리위즈</v>
      </c>
      <c r="I2634" t="str">
        <f t="shared" si="402"/>
        <v>나 혼자만 일일 보상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/>
      <c r="AQ2634">
        <v>0</v>
      </c>
      <c r="AR2634">
        <v>0</v>
      </c>
      <c r="AT2634">
        <v>0</v>
      </c>
      <c r="AU2634">
        <v>0</v>
      </c>
      <c r="AW2634">
        <v>0</v>
      </c>
      <c r="AX2634">
        <v>0</v>
      </c>
      <c r="AY2634">
        <v>70</v>
      </c>
      <c r="BC2634" t="str">
        <f t="shared" si="403"/>
        <v>9791159286889</v>
      </c>
      <c r="BE2634" t="str">
        <f t="shared" si="404"/>
        <v>판타지 웹소설 &gt; 현대 판타지</v>
      </c>
    </row>
    <row r="2635" spans="1:57" x14ac:dyDescent="0.3">
      <c r="A2635">
        <v>2313002926</v>
      </c>
      <c r="B2635">
        <v>2313003025</v>
      </c>
      <c r="C2635" t="str">
        <f>T("나 혼자만 일일 보상 101화")</f>
        <v>나 혼자만 일일 보상 101화</v>
      </c>
      <c r="D2635" t="str">
        <f>T("101")</f>
        <v>101</v>
      </c>
      <c r="E2635" t="str">
        <f t="shared" si="401"/>
        <v>이동열</v>
      </c>
      <c r="H2635" t="str">
        <f t="shared" si="400"/>
        <v>스토리위즈</v>
      </c>
      <c r="I2635" t="str">
        <f t="shared" si="402"/>
        <v>나 혼자만 일일 보상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/>
      <c r="AQ2635">
        <v>0</v>
      </c>
      <c r="AR2635">
        <v>0</v>
      </c>
      <c r="AT2635">
        <v>0</v>
      </c>
      <c r="AU2635">
        <v>0</v>
      </c>
      <c r="AW2635">
        <v>0</v>
      </c>
      <c r="AX2635">
        <v>0</v>
      </c>
      <c r="AY2635">
        <v>70</v>
      </c>
      <c r="BC2635" t="str">
        <f t="shared" si="403"/>
        <v>9791159286889</v>
      </c>
      <c r="BE2635" t="str">
        <f t="shared" si="404"/>
        <v>판타지 웹소설 &gt; 현대 판타지</v>
      </c>
    </row>
    <row r="2636" spans="1:57" x14ac:dyDescent="0.3">
      <c r="A2636">
        <v>2313002926</v>
      </c>
      <c r="B2636">
        <v>2313003026</v>
      </c>
      <c r="C2636" t="str">
        <f>T("나 혼자만 일일 보상 102화")</f>
        <v>나 혼자만 일일 보상 102화</v>
      </c>
      <c r="D2636" t="str">
        <f>T("102")</f>
        <v>102</v>
      </c>
      <c r="E2636" t="str">
        <f t="shared" si="401"/>
        <v>이동열</v>
      </c>
      <c r="H2636" t="str">
        <f t="shared" si="400"/>
        <v>스토리위즈</v>
      </c>
      <c r="I2636" t="str">
        <f t="shared" si="402"/>
        <v>나 혼자만 일일 보상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/>
      <c r="AQ2636">
        <v>0</v>
      </c>
      <c r="AR2636">
        <v>0</v>
      </c>
      <c r="AT2636">
        <v>0</v>
      </c>
      <c r="AU2636">
        <v>0</v>
      </c>
      <c r="AW2636">
        <v>0</v>
      </c>
      <c r="AX2636">
        <v>0</v>
      </c>
      <c r="AY2636">
        <v>70</v>
      </c>
      <c r="BC2636" t="str">
        <f t="shared" si="403"/>
        <v>9791159286889</v>
      </c>
      <c r="BE2636" t="str">
        <f t="shared" si="404"/>
        <v>판타지 웹소설 &gt; 현대 판타지</v>
      </c>
    </row>
    <row r="2637" spans="1:57" x14ac:dyDescent="0.3">
      <c r="A2637">
        <v>2313002926</v>
      </c>
      <c r="B2637">
        <v>2313003027</v>
      </c>
      <c r="C2637" t="str">
        <f>T("나 혼자만 일일 보상 103화")</f>
        <v>나 혼자만 일일 보상 103화</v>
      </c>
      <c r="D2637" t="str">
        <f>T("103")</f>
        <v>103</v>
      </c>
      <c r="E2637" t="str">
        <f t="shared" si="401"/>
        <v>이동열</v>
      </c>
      <c r="H2637" t="str">
        <f t="shared" si="400"/>
        <v>스토리위즈</v>
      </c>
      <c r="I2637" t="str">
        <f t="shared" si="402"/>
        <v>나 혼자만 일일 보상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/>
      <c r="AQ2637">
        <v>0</v>
      </c>
      <c r="AR2637">
        <v>0</v>
      </c>
      <c r="AT2637">
        <v>0</v>
      </c>
      <c r="AU2637">
        <v>0</v>
      </c>
      <c r="AW2637">
        <v>0</v>
      </c>
      <c r="AX2637">
        <v>0</v>
      </c>
      <c r="AY2637">
        <v>70</v>
      </c>
      <c r="BC2637" t="str">
        <f t="shared" si="403"/>
        <v>9791159286889</v>
      </c>
      <c r="BE2637" t="str">
        <f t="shared" si="404"/>
        <v>판타지 웹소설 &gt; 현대 판타지</v>
      </c>
    </row>
    <row r="2638" spans="1:57" x14ac:dyDescent="0.3">
      <c r="A2638">
        <v>2313002926</v>
      </c>
      <c r="B2638">
        <v>2313003028</v>
      </c>
      <c r="C2638" t="str">
        <f>T("나 혼자만 일일 보상 104화")</f>
        <v>나 혼자만 일일 보상 104화</v>
      </c>
      <c r="D2638" t="str">
        <f>T("104")</f>
        <v>104</v>
      </c>
      <c r="E2638" t="str">
        <f t="shared" si="401"/>
        <v>이동열</v>
      </c>
      <c r="H2638" t="str">
        <f t="shared" si="400"/>
        <v>스토리위즈</v>
      </c>
      <c r="I2638" t="str">
        <f t="shared" si="402"/>
        <v>나 혼자만 일일 보상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/>
      <c r="AQ2638">
        <v>0</v>
      </c>
      <c r="AR2638">
        <v>0</v>
      </c>
      <c r="AT2638">
        <v>0</v>
      </c>
      <c r="AU2638">
        <v>0</v>
      </c>
      <c r="AW2638">
        <v>0</v>
      </c>
      <c r="AX2638">
        <v>0</v>
      </c>
      <c r="AY2638">
        <v>70</v>
      </c>
      <c r="BC2638" t="str">
        <f t="shared" si="403"/>
        <v>9791159286889</v>
      </c>
      <c r="BE2638" t="str">
        <f t="shared" si="404"/>
        <v>판타지 웹소설 &gt; 현대 판타지</v>
      </c>
    </row>
    <row r="2639" spans="1:57" x14ac:dyDescent="0.3">
      <c r="A2639">
        <v>2313002926</v>
      </c>
      <c r="B2639">
        <v>2313003029</v>
      </c>
      <c r="C2639" t="str">
        <f>T("나 혼자만 일일 보상 105화")</f>
        <v>나 혼자만 일일 보상 105화</v>
      </c>
      <c r="D2639" t="str">
        <f>T("105")</f>
        <v>105</v>
      </c>
      <c r="E2639" t="str">
        <f t="shared" si="401"/>
        <v>이동열</v>
      </c>
      <c r="H2639" t="str">
        <f t="shared" si="400"/>
        <v>스토리위즈</v>
      </c>
      <c r="I2639" t="str">
        <f t="shared" si="402"/>
        <v>나 혼자만 일일 보상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/>
      <c r="AQ2639">
        <v>0</v>
      </c>
      <c r="AR2639">
        <v>0</v>
      </c>
      <c r="AT2639">
        <v>0</v>
      </c>
      <c r="AU2639">
        <v>0</v>
      </c>
      <c r="AW2639">
        <v>0</v>
      </c>
      <c r="AX2639">
        <v>0</v>
      </c>
      <c r="AY2639">
        <v>70</v>
      </c>
      <c r="BC2639" t="str">
        <f t="shared" si="403"/>
        <v>9791159286889</v>
      </c>
      <c r="BE2639" t="str">
        <f t="shared" si="404"/>
        <v>판타지 웹소설 &gt; 현대 판타지</v>
      </c>
    </row>
    <row r="2640" spans="1:57" x14ac:dyDescent="0.3">
      <c r="A2640">
        <v>2313002926</v>
      </c>
      <c r="B2640">
        <v>2313003030</v>
      </c>
      <c r="C2640" t="str">
        <f>T("나 혼자만 일일 보상 106화")</f>
        <v>나 혼자만 일일 보상 106화</v>
      </c>
      <c r="D2640" t="str">
        <f>T("106")</f>
        <v>106</v>
      </c>
      <c r="E2640" t="str">
        <f t="shared" si="401"/>
        <v>이동열</v>
      </c>
      <c r="H2640" t="str">
        <f t="shared" si="400"/>
        <v>스토리위즈</v>
      </c>
      <c r="I2640" t="str">
        <f t="shared" si="402"/>
        <v>나 혼자만 일일 보상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/>
      <c r="AQ2640">
        <v>0</v>
      </c>
      <c r="AR2640">
        <v>0</v>
      </c>
      <c r="AT2640">
        <v>0</v>
      </c>
      <c r="AU2640">
        <v>0</v>
      </c>
      <c r="AW2640">
        <v>0</v>
      </c>
      <c r="AX2640">
        <v>0</v>
      </c>
      <c r="AY2640">
        <v>70</v>
      </c>
      <c r="BC2640" t="str">
        <f t="shared" si="403"/>
        <v>9791159286889</v>
      </c>
      <c r="BE2640" t="str">
        <f t="shared" si="404"/>
        <v>판타지 웹소설 &gt; 현대 판타지</v>
      </c>
    </row>
    <row r="2641" spans="1:57" x14ac:dyDescent="0.3">
      <c r="A2641">
        <v>2313002926</v>
      </c>
      <c r="B2641">
        <v>2313003031</v>
      </c>
      <c r="C2641" t="str">
        <f>T("나 혼자만 일일 보상 107화")</f>
        <v>나 혼자만 일일 보상 107화</v>
      </c>
      <c r="D2641" t="str">
        <f>T("107")</f>
        <v>107</v>
      </c>
      <c r="E2641" t="str">
        <f t="shared" si="401"/>
        <v>이동열</v>
      </c>
      <c r="H2641" t="str">
        <f t="shared" si="400"/>
        <v>스토리위즈</v>
      </c>
      <c r="I2641" t="str">
        <f t="shared" si="402"/>
        <v>나 혼자만 일일 보상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/>
      <c r="AQ2641">
        <v>0</v>
      </c>
      <c r="AR2641">
        <v>0</v>
      </c>
      <c r="AT2641">
        <v>0</v>
      </c>
      <c r="AU2641">
        <v>0</v>
      </c>
      <c r="AW2641">
        <v>0</v>
      </c>
      <c r="AX2641">
        <v>0</v>
      </c>
      <c r="AY2641">
        <v>70</v>
      </c>
      <c r="BC2641" t="str">
        <f t="shared" si="403"/>
        <v>9791159286889</v>
      </c>
      <c r="BE2641" t="str">
        <f t="shared" si="404"/>
        <v>판타지 웹소설 &gt; 현대 판타지</v>
      </c>
    </row>
    <row r="2642" spans="1:57" x14ac:dyDescent="0.3">
      <c r="A2642">
        <v>2313002926</v>
      </c>
      <c r="B2642">
        <v>2313003032</v>
      </c>
      <c r="C2642" t="str">
        <f>T("나 혼자만 일일 보상 108화")</f>
        <v>나 혼자만 일일 보상 108화</v>
      </c>
      <c r="D2642" t="str">
        <f>T("108")</f>
        <v>108</v>
      </c>
      <c r="E2642" t="str">
        <f t="shared" si="401"/>
        <v>이동열</v>
      </c>
      <c r="H2642" t="str">
        <f t="shared" si="400"/>
        <v>스토리위즈</v>
      </c>
      <c r="I2642" t="str">
        <f t="shared" si="402"/>
        <v>나 혼자만 일일 보상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/>
      <c r="AQ2642">
        <v>0</v>
      </c>
      <c r="AR2642">
        <v>0</v>
      </c>
      <c r="AT2642">
        <v>0</v>
      </c>
      <c r="AU2642">
        <v>0</v>
      </c>
      <c r="AW2642">
        <v>0</v>
      </c>
      <c r="AX2642">
        <v>0</v>
      </c>
      <c r="AY2642">
        <v>70</v>
      </c>
      <c r="BC2642" t="str">
        <f t="shared" si="403"/>
        <v>9791159286889</v>
      </c>
      <c r="BE2642" t="str">
        <f t="shared" si="404"/>
        <v>판타지 웹소설 &gt; 현대 판타지</v>
      </c>
    </row>
    <row r="2643" spans="1:57" x14ac:dyDescent="0.3">
      <c r="A2643">
        <v>2313002926</v>
      </c>
      <c r="B2643">
        <v>2313003033</v>
      </c>
      <c r="C2643" t="str">
        <f>T("나 혼자만 일일 보상 109화")</f>
        <v>나 혼자만 일일 보상 109화</v>
      </c>
      <c r="D2643" t="str">
        <f>T("109")</f>
        <v>109</v>
      </c>
      <c r="E2643" t="str">
        <f t="shared" si="401"/>
        <v>이동열</v>
      </c>
      <c r="H2643" t="str">
        <f t="shared" si="400"/>
        <v>스토리위즈</v>
      </c>
      <c r="I2643" t="str">
        <f t="shared" si="402"/>
        <v>나 혼자만 일일 보상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/>
      <c r="AQ2643">
        <v>0</v>
      </c>
      <c r="AR2643">
        <v>0</v>
      </c>
      <c r="AT2643">
        <v>0</v>
      </c>
      <c r="AU2643">
        <v>0</v>
      </c>
      <c r="AW2643">
        <v>0</v>
      </c>
      <c r="AX2643">
        <v>0</v>
      </c>
      <c r="AY2643">
        <v>70</v>
      </c>
      <c r="BC2643" t="str">
        <f t="shared" si="403"/>
        <v>9791159286889</v>
      </c>
      <c r="BE2643" t="str">
        <f t="shared" si="404"/>
        <v>판타지 웹소설 &gt; 현대 판타지</v>
      </c>
    </row>
    <row r="2644" spans="1:57" x14ac:dyDescent="0.3">
      <c r="A2644">
        <v>2313002926</v>
      </c>
      <c r="B2644">
        <v>2313003034</v>
      </c>
      <c r="C2644" t="str">
        <f>T("나 혼자만 일일 보상 110화")</f>
        <v>나 혼자만 일일 보상 110화</v>
      </c>
      <c r="D2644" t="str">
        <f>T("110")</f>
        <v>110</v>
      </c>
      <c r="E2644" t="str">
        <f t="shared" si="401"/>
        <v>이동열</v>
      </c>
      <c r="H2644" t="str">
        <f t="shared" si="400"/>
        <v>스토리위즈</v>
      </c>
      <c r="I2644" t="str">
        <f t="shared" si="402"/>
        <v>나 혼자만 일일 보상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/>
      <c r="AQ2644">
        <v>0</v>
      </c>
      <c r="AR2644">
        <v>0</v>
      </c>
      <c r="AT2644">
        <v>0</v>
      </c>
      <c r="AU2644">
        <v>0</v>
      </c>
      <c r="AW2644">
        <v>0</v>
      </c>
      <c r="AX2644">
        <v>0</v>
      </c>
      <c r="AY2644">
        <v>70</v>
      </c>
      <c r="BC2644" t="str">
        <f t="shared" si="403"/>
        <v>9791159286889</v>
      </c>
      <c r="BE2644" t="str">
        <f t="shared" si="404"/>
        <v>판타지 웹소설 &gt; 현대 판타지</v>
      </c>
    </row>
    <row r="2645" spans="1:57" x14ac:dyDescent="0.3">
      <c r="A2645">
        <v>2313002926</v>
      </c>
      <c r="B2645">
        <v>2313003035</v>
      </c>
      <c r="C2645" t="str">
        <f>T("나 혼자만 일일 보상 111화")</f>
        <v>나 혼자만 일일 보상 111화</v>
      </c>
      <c r="D2645" t="str">
        <f>T("111")</f>
        <v>111</v>
      </c>
      <c r="E2645" t="str">
        <f t="shared" si="401"/>
        <v>이동열</v>
      </c>
      <c r="H2645" t="str">
        <f t="shared" si="400"/>
        <v>스토리위즈</v>
      </c>
      <c r="I2645" t="str">
        <f t="shared" si="402"/>
        <v>나 혼자만 일일 보상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/>
      <c r="AQ2645">
        <v>0</v>
      </c>
      <c r="AR2645">
        <v>0</v>
      </c>
      <c r="AT2645">
        <v>0</v>
      </c>
      <c r="AU2645">
        <v>0</v>
      </c>
      <c r="AW2645">
        <v>0</v>
      </c>
      <c r="AX2645">
        <v>0</v>
      </c>
      <c r="AY2645">
        <v>70</v>
      </c>
      <c r="BC2645" t="str">
        <f t="shared" si="403"/>
        <v>9791159286889</v>
      </c>
      <c r="BE2645" t="str">
        <f t="shared" si="404"/>
        <v>판타지 웹소설 &gt; 현대 판타지</v>
      </c>
    </row>
    <row r="2646" spans="1:57" x14ac:dyDescent="0.3">
      <c r="A2646">
        <v>2313002926</v>
      </c>
      <c r="B2646">
        <v>2313003036</v>
      </c>
      <c r="C2646" t="str">
        <f>T("나 혼자만 일일 보상 112화")</f>
        <v>나 혼자만 일일 보상 112화</v>
      </c>
      <c r="D2646" t="str">
        <f>T("112")</f>
        <v>112</v>
      </c>
      <c r="E2646" t="str">
        <f t="shared" si="401"/>
        <v>이동열</v>
      </c>
      <c r="H2646" t="str">
        <f t="shared" si="400"/>
        <v>스토리위즈</v>
      </c>
      <c r="I2646" t="str">
        <f t="shared" si="402"/>
        <v>나 혼자만 일일 보상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/>
      <c r="AQ2646">
        <v>0</v>
      </c>
      <c r="AR2646">
        <v>0</v>
      </c>
      <c r="AT2646">
        <v>0</v>
      </c>
      <c r="AU2646">
        <v>0</v>
      </c>
      <c r="AW2646">
        <v>0</v>
      </c>
      <c r="AX2646">
        <v>0</v>
      </c>
      <c r="AY2646">
        <v>70</v>
      </c>
      <c r="BC2646" t="str">
        <f t="shared" si="403"/>
        <v>9791159286889</v>
      </c>
      <c r="BE2646" t="str">
        <f t="shared" si="404"/>
        <v>판타지 웹소설 &gt; 현대 판타지</v>
      </c>
    </row>
    <row r="2647" spans="1:57" x14ac:dyDescent="0.3">
      <c r="A2647">
        <v>2313002926</v>
      </c>
      <c r="B2647">
        <v>2313003037</v>
      </c>
      <c r="C2647" t="str">
        <f>T("나 혼자만 일일 보상 113화")</f>
        <v>나 혼자만 일일 보상 113화</v>
      </c>
      <c r="D2647" t="str">
        <f>T("113")</f>
        <v>113</v>
      </c>
      <c r="E2647" t="str">
        <f t="shared" si="401"/>
        <v>이동열</v>
      </c>
      <c r="H2647" t="str">
        <f t="shared" si="400"/>
        <v>스토리위즈</v>
      </c>
      <c r="I2647" t="str">
        <f t="shared" si="402"/>
        <v>나 혼자만 일일 보상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/>
      <c r="AQ2647">
        <v>0</v>
      </c>
      <c r="AR2647">
        <v>0</v>
      </c>
      <c r="AT2647">
        <v>0</v>
      </c>
      <c r="AU2647">
        <v>0</v>
      </c>
      <c r="AW2647">
        <v>0</v>
      </c>
      <c r="AX2647">
        <v>0</v>
      </c>
      <c r="AY2647">
        <v>70</v>
      </c>
      <c r="BC2647" t="str">
        <f t="shared" si="403"/>
        <v>9791159286889</v>
      </c>
      <c r="BE2647" t="str">
        <f t="shared" si="404"/>
        <v>판타지 웹소설 &gt; 현대 판타지</v>
      </c>
    </row>
    <row r="2648" spans="1:57" x14ac:dyDescent="0.3">
      <c r="A2648">
        <v>2313002926</v>
      </c>
      <c r="B2648">
        <v>2313003038</v>
      </c>
      <c r="C2648" t="str">
        <f>T("나 혼자만 일일 보상 114화")</f>
        <v>나 혼자만 일일 보상 114화</v>
      </c>
      <c r="D2648" t="str">
        <f>T("114")</f>
        <v>114</v>
      </c>
      <c r="E2648" t="str">
        <f t="shared" si="401"/>
        <v>이동열</v>
      </c>
      <c r="H2648" t="str">
        <f t="shared" si="400"/>
        <v>스토리위즈</v>
      </c>
      <c r="I2648" t="str">
        <f t="shared" si="402"/>
        <v>나 혼자만 일일 보상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/>
      <c r="AQ2648">
        <v>0</v>
      </c>
      <c r="AR2648">
        <v>0</v>
      </c>
      <c r="AT2648">
        <v>0</v>
      </c>
      <c r="AU2648">
        <v>0</v>
      </c>
      <c r="AW2648">
        <v>0</v>
      </c>
      <c r="AX2648">
        <v>0</v>
      </c>
      <c r="AY2648">
        <v>70</v>
      </c>
      <c r="BC2648" t="str">
        <f t="shared" si="403"/>
        <v>9791159286889</v>
      </c>
      <c r="BE2648" t="str">
        <f t="shared" si="404"/>
        <v>판타지 웹소설 &gt; 현대 판타지</v>
      </c>
    </row>
    <row r="2649" spans="1:57" x14ac:dyDescent="0.3">
      <c r="A2649">
        <v>2313002926</v>
      </c>
      <c r="B2649">
        <v>2313003039</v>
      </c>
      <c r="C2649" t="str">
        <f>T("나 혼자만 일일 보상 115화")</f>
        <v>나 혼자만 일일 보상 115화</v>
      </c>
      <c r="D2649" t="str">
        <f>T("115")</f>
        <v>115</v>
      </c>
      <c r="E2649" t="str">
        <f t="shared" si="401"/>
        <v>이동열</v>
      </c>
      <c r="H2649" t="str">
        <f t="shared" si="400"/>
        <v>스토리위즈</v>
      </c>
      <c r="I2649" t="str">
        <f t="shared" si="402"/>
        <v>나 혼자만 일일 보상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/>
      <c r="AQ2649">
        <v>0</v>
      </c>
      <c r="AR2649">
        <v>0</v>
      </c>
      <c r="AT2649">
        <v>0</v>
      </c>
      <c r="AU2649">
        <v>0</v>
      </c>
      <c r="AW2649">
        <v>0</v>
      </c>
      <c r="AX2649">
        <v>0</v>
      </c>
      <c r="AY2649">
        <v>70</v>
      </c>
      <c r="BC2649" t="str">
        <f t="shared" si="403"/>
        <v>9791159286889</v>
      </c>
      <c r="BE2649" t="str">
        <f t="shared" si="404"/>
        <v>판타지 웹소설 &gt; 현대 판타지</v>
      </c>
    </row>
    <row r="2650" spans="1:57" x14ac:dyDescent="0.3">
      <c r="A2650">
        <v>2313002926</v>
      </c>
      <c r="B2650">
        <v>2313003040</v>
      </c>
      <c r="C2650" t="str">
        <f>T("나 혼자만 일일 보상 116화")</f>
        <v>나 혼자만 일일 보상 116화</v>
      </c>
      <c r="D2650" t="str">
        <f>T("116")</f>
        <v>116</v>
      </c>
      <c r="E2650" t="str">
        <f t="shared" si="401"/>
        <v>이동열</v>
      </c>
      <c r="H2650" t="str">
        <f t="shared" si="400"/>
        <v>스토리위즈</v>
      </c>
      <c r="I2650" t="str">
        <f t="shared" si="402"/>
        <v>나 혼자만 일일 보상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/>
      <c r="AQ2650">
        <v>0</v>
      </c>
      <c r="AR2650">
        <v>0</v>
      </c>
      <c r="AT2650">
        <v>0</v>
      </c>
      <c r="AU2650">
        <v>0</v>
      </c>
      <c r="AW2650">
        <v>0</v>
      </c>
      <c r="AX2650">
        <v>0</v>
      </c>
      <c r="AY2650">
        <v>70</v>
      </c>
      <c r="BC2650" t="str">
        <f t="shared" si="403"/>
        <v>9791159286889</v>
      </c>
      <c r="BE2650" t="str">
        <f t="shared" si="404"/>
        <v>판타지 웹소설 &gt; 현대 판타지</v>
      </c>
    </row>
    <row r="2651" spans="1:57" x14ac:dyDescent="0.3">
      <c r="A2651">
        <v>2313002926</v>
      </c>
      <c r="B2651">
        <v>2313003041</v>
      </c>
      <c r="C2651" t="str">
        <f>T("나 혼자만 일일 보상 117화")</f>
        <v>나 혼자만 일일 보상 117화</v>
      </c>
      <c r="D2651" t="str">
        <f>T("117")</f>
        <v>117</v>
      </c>
      <c r="E2651" t="str">
        <f t="shared" si="401"/>
        <v>이동열</v>
      </c>
      <c r="H2651" t="str">
        <f t="shared" si="400"/>
        <v>스토리위즈</v>
      </c>
      <c r="I2651" t="str">
        <f t="shared" si="402"/>
        <v>나 혼자만 일일 보상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/>
      <c r="AQ2651">
        <v>0</v>
      </c>
      <c r="AR2651">
        <v>0</v>
      </c>
      <c r="AT2651">
        <v>0</v>
      </c>
      <c r="AU2651">
        <v>0</v>
      </c>
      <c r="AW2651">
        <v>0</v>
      </c>
      <c r="AX2651">
        <v>0</v>
      </c>
      <c r="AY2651">
        <v>70</v>
      </c>
      <c r="BC2651" t="str">
        <f t="shared" si="403"/>
        <v>9791159286889</v>
      </c>
      <c r="BE2651" t="str">
        <f t="shared" si="404"/>
        <v>판타지 웹소설 &gt; 현대 판타지</v>
      </c>
    </row>
    <row r="2652" spans="1:57" x14ac:dyDescent="0.3">
      <c r="A2652">
        <v>2313002926</v>
      </c>
      <c r="B2652">
        <v>2313003042</v>
      </c>
      <c r="C2652" t="str">
        <f>T("나 혼자만 일일 보상 118화")</f>
        <v>나 혼자만 일일 보상 118화</v>
      </c>
      <c r="D2652" t="str">
        <f>T("118")</f>
        <v>118</v>
      </c>
      <c r="E2652" t="str">
        <f t="shared" si="401"/>
        <v>이동열</v>
      </c>
      <c r="H2652" t="str">
        <f t="shared" si="400"/>
        <v>스토리위즈</v>
      </c>
      <c r="I2652" t="str">
        <f t="shared" si="402"/>
        <v>나 혼자만 일일 보상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/>
      <c r="AQ2652">
        <v>0</v>
      </c>
      <c r="AR2652">
        <v>0</v>
      </c>
      <c r="AT2652">
        <v>0</v>
      </c>
      <c r="AU2652">
        <v>0</v>
      </c>
      <c r="AW2652">
        <v>0</v>
      </c>
      <c r="AX2652">
        <v>0</v>
      </c>
      <c r="AY2652">
        <v>70</v>
      </c>
      <c r="BC2652" t="str">
        <f t="shared" si="403"/>
        <v>9791159286889</v>
      </c>
      <c r="BE2652" t="str">
        <f t="shared" si="404"/>
        <v>판타지 웹소설 &gt; 현대 판타지</v>
      </c>
    </row>
    <row r="2653" spans="1:57" x14ac:dyDescent="0.3">
      <c r="A2653">
        <v>2313002926</v>
      </c>
      <c r="B2653">
        <v>2313003043</v>
      </c>
      <c r="C2653" t="str">
        <f>T("나 혼자만 일일 보상 119화")</f>
        <v>나 혼자만 일일 보상 119화</v>
      </c>
      <c r="D2653" t="str">
        <f>T("119")</f>
        <v>119</v>
      </c>
      <c r="E2653" t="str">
        <f t="shared" si="401"/>
        <v>이동열</v>
      </c>
      <c r="H2653" t="str">
        <f t="shared" si="400"/>
        <v>스토리위즈</v>
      </c>
      <c r="I2653" t="str">
        <f t="shared" si="402"/>
        <v>나 혼자만 일일 보상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/>
      <c r="AQ2653">
        <v>0</v>
      </c>
      <c r="AR2653">
        <v>0</v>
      </c>
      <c r="AT2653">
        <v>0</v>
      </c>
      <c r="AU2653">
        <v>0</v>
      </c>
      <c r="AW2653">
        <v>0</v>
      </c>
      <c r="AX2653">
        <v>0</v>
      </c>
      <c r="AY2653">
        <v>70</v>
      </c>
      <c r="BC2653" t="str">
        <f t="shared" si="403"/>
        <v>9791159286889</v>
      </c>
      <c r="BE2653" t="str">
        <f t="shared" si="404"/>
        <v>판타지 웹소설 &gt; 현대 판타지</v>
      </c>
    </row>
    <row r="2654" spans="1:57" x14ac:dyDescent="0.3">
      <c r="A2654">
        <v>2313002926</v>
      </c>
      <c r="B2654">
        <v>2313003044</v>
      </c>
      <c r="C2654" t="str">
        <f>T("나 혼자만 일일 보상 120화")</f>
        <v>나 혼자만 일일 보상 120화</v>
      </c>
      <c r="D2654" t="str">
        <f>T("120")</f>
        <v>120</v>
      </c>
      <c r="E2654" t="str">
        <f t="shared" si="401"/>
        <v>이동열</v>
      </c>
      <c r="H2654" t="str">
        <f t="shared" si="400"/>
        <v>스토리위즈</v>
      </c>
      <c r="I2654" t="str">
        <f t="shared" si="402"/>
        <v>나 혼자만 일일 보상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/>
      <c r="AQ2654">
        <v>0</v>
      </c>
      <c r="AR2654">
        <v>0</v>
      </c>
      <c r="AT2654">
        <v>0</v>
      </c>
      <c r="AU2654">
        <v>0</v>
      </c>
      <c r="AW2654">
        <v>0</v>
      </c>
      <c r="AX2654">
        <v>0</v>
      </c>
      <c r="AY2654">
        <v>70</v>
      </c>
      <c r="BC2654" t="str">
        <f t="shared" si="403"/>
        <v>9791159286889</v>
      </c>
      <c r="BE2654" t="str">
        <f t="shared" si="404"/>
        <v>판타지 웹소설 &gt; 현대 판타지</v>
      </c>
    </row>
    <row r="2655" spans="1:57" x14ac:dyDescent="0.3">
      <c r="A2655">
        <v>2313002926</v>
      </c>
      <c r="B2655">
        <v>2313003045</v>
      </c>
      <c r="C2655" t="str">
        <f>T("나 혼자만 일일 보상 121화")</f>
        <v>나 혼자만 일일 보상 121화</v>
      </c>
      <c r="D2655" t="str">
        <f>T("121")</f>
        <v>121</v>
      </c>
      <c r="E2655" t="str">
        <f t="shared" si="401"/>
        <v>이동열</v>
      </c>
      <c r="H2655" t="str">
        <f t="shared" si="400"/>
        <v>스토리위즈</v>
      </c>
      <c r="I2655" t="str">
        <f t="shared" si="402"/>
        <v>나 혼자만 일일 보상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/>
      <c r="AQ2655">
        <v>0</v>
      </c>
      <c r="AR2655">
        <v>0</v>
      </c>
      <c r="AT2655">
        <v>0</v>
      </c>
      <c r="AU2655">
        <v>0</v>
      </c>
      <c r="AW2655">
        <v>0</v>
      </c>
      <c r="AX2655">
        <v>0</v>
      </c>
      <c r="AY2655">
        <v>70</v>
      </c>
      <c r="BC2655" t="str">
        <f t="shared" si="403"/>
        <v>9791159286889</v>
      </c>
      <c r="BE2655" t="str">
        <f t="shared" si="404"/>
        <v>판타지 웹소설 &gt; 현대 판타지</v>
      </c>
    </row>
    <row r="2656" spans="1:57" x14ac:dyDescent="0.3">
      <c r="A2656">
        <v>2313002926</v>
      </c>
      <c r="B2656">
        <v>2313003046</v>
      </c>
      <c r="C2656" t="str">
        <f>T("나 혼자만 일일 보상 122화")</f>
        <v>나 혼자만 일일 보상 122화</v>
      </c>
      <c r="D2656" t="str">
        <f>T("122")</f>
        <v>122</v>
      </c>
      <c r="E2656" t="str">
        <f t="shared" si="401"/>
        <v>이동열</v>
      </c>
      <c r="H2656" t="str">
        <f t="shared" si="400"/>
        <v>스토리위즈</v>
      </c>
      <c r="I2656" t="str">
        <f t="shared" si="402"/>
        <v>나 혼자만 일일 보상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/>
      <c r="AQ2656">
        <v>0</v>
      </c>
      <c r="AR2656">
        <v>0</v>
      </c>
      <c r="AT2656">
        <v>0</v>
      </c>
      <c r="AU2656">
        <v>0</v>
      </c>
      <c r="AW2656">
        <v>0</v>
      </c>
      <c r="AX2656">
        <v>0</v>
      </c>
      <c r="AY2656">
        <v>70</v>
      </c>
      <c r="BC2656" t="str">
        <f t="shared" si="403"/>
        <v>9791159286889</v>
      </c>
      <c r="BE2656" t="str">
        <f t="shared" si="404"/>
        <v>판타지 웹소설 &gt; 현대 판타지</v>
      </c>
    </row>
    <row r="2657" spans="1:57" x14ac:dyDescent="0.3">
      <c r="A2657">
        <v>2313002926</v>
      </c>
      <c r="B2657">
        <v>2313003047</v>
      </c>
      <c r="C2657" t="str">
        <f>T("나 혼자만 일일 보상 123화")</f>
        <v>나 혼자만 일일 보상 123화</v>
      </c>
      <c r="D2657" t="str">
        <f>T("123")</f>
        <v>123</v>
      </c>
      <c r="E2657" t="str">
        <f t="shared" si="401"/>
        <v>이동열</v>
      </c>
      <c r="H2657" t="str">
        <f t="shared" si="400"/>
        <v>스토리위즈</v>
      </c>
      <c r="I2657" t="str">
        <f t="shared" si="402"/>
        <v>나 혼자만 일일 보상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/>
      <c r="AQ2657">
        <v>0</v>
      </c>
      <c r="AR2657">
        <v>0</v>
      </c>
      <c r="AT2657">
        <v>0</v>
      </c>
      <c r="AU2657">
        <v>0</v>
      </c>
      <c r="AW2657">
        <v>0</v>
      </c>
      <c r="AX2657">
        <v>0</v>
      </c>
      <c r="AY2657">
        <v>70</v>
      </c>
      <c r="BC2657" t="str">
        <f t="shared" si="403"/>
        <v>9791159286889</v>
      </c>
      <c r="BE2657" t="str">
        <f t="shared" si="404"/>
        <v>판타지 웹소설 &gt; 현대 판타지</v>
      </c>
    </row>
    <row r="2658" spans="1:57" x14ac:dyDescent="0.3">
      <c r="A2658">
        <v>2313002926</v>
      </c>
      <c r="B2658">
        <v>2313003048</v>
      </c>
      <c r="C2658" t="str">
        <f>T("나 혼자만 일일 보상 124화")</f>
        <v>나 혼자만 일일 보상 124화</v>
      </c>
      <c r="D2658" t="str">
        <f>T("124")</f>
        <v>124</v>
      </c>
      <c r="E2658" t="str">
        <f t="shared" si="401"/>
        <v>이동열</v>
      </c>
      <c r="H2658" t="str">
        <f t="shared" si="400"/>
        <v>스토리위즈</v>
      </c>
      <c r="I2658" t="str">
        <f t="shared" si="402"/>
        <v>나 혼자만 일일 보상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/>
      <c r="AQ2658">
        <v>0</v>
      </c>
      <c r="AR2658">
        <v>0</v>
      </c>
      <c r="AT2658">
        <v>0</v>
      </c>
      <c r="AU2658">
        <v>0</v>
      </c>
      <c r="AW2658">
        <v>0</v>
      </c>
      <c r="AX2658">
        <v>0</v>
      </c>
      <c r="AY2658">
        <v>70</v>
      </c>
      <c r="BC2658" t="str">
        <f t="shared" si="403"/>
        <v>9791159286889</v>
      </c>
      <c r="BE2658" t="str">
        <f t="shared" si="404"/>
        <v>판타지 웹소설 &gt; 현대 판타지</v>
      </c>
    </row>
    <row r="2659" spans="1:57" x14ac:dyDescent="0.3">
      <c r="A2659">
        <v>2313002926</v>
      </c>
      <c r="B2659">
        <v>2313003049</v>
      </c>
      <c r="C2659" t="str">
        <f>T("나 혼자만 일일 보상 125화")</f>
        <v>나 혼자만 일일 보상 125화</v>
      </c>
      <c r="D2659" t="str">
        <f>T("125")</f>
        <v>125</v>
      </c>
      <c r="E2659" t="str">
        <f t="shared" si="401"/>
        <v>이동열</v>
      </c>
      <c r="H2659" t="str">
        <f t="shared" si="400"/>
        <v>스토리위즈</v>
      </c>
      <c r="I2659" t="str">
        <f t="shared" si="402"/>
        <v>나 혼자만 일일 보상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/>
      <c r="AQ2659">
        <v>0</v>
      </c>
      <c r="AR2659">
        <v>0</v>
      </c>
      <c r="AT2659">
        <v>0</v>
      </c>
      <c r="AU2659">
        <v>0</v>
      </c>
      <c r="AW2659">
        <v>0</v>
      </c>
      <c r="AX2659">
        <v>0</v>
      </c>
      <c r="AY2659">
        <v>70</v>
      </c>
      <c r="BC2659" t="str">
        <f t="shared" si="403"/>
        <v>9791159286889</v>
      </c>
      <c r="BE2659" t="str">
        <f t="shared" si="404"/>
        <v>판타지 웹소설 &gt; 현대 판타지</v>
      </c>
    </row>
    <row r="2660" spans="1:57" x14ac:dyDescent="0.3">
      <c r="A2660">
        <v>2313002926</v>
      </c>
      <c r="B2660">
        <v>2313003050</v>
      </c>
      <c r="C2660" t="str">
        <f>T("나 혼자만 일일 보상 126화")</f>
        <v>나 혼자만 일일 보상 126화</v>
      </c>
      <c r="D2660" t="str">
        <f>T("126")</f>
        <v>126</v>
      </c>
      <c r="E2660" t="str">
        <f t="shared" si="401"/>
        <v>이동열</v>
      </c>
      <c r="H2660" t="str">
        <f t="shared" si="400"/>
        <v>스토리위즈</v>
      </c>
      <c r="I2660" t="str">
        <f t="shared" si="402"/>
        <v>나 혼자만 일일 보상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/>
      <c r="AQ2660">
        <v>0</v>
      </c>
      <c r="AR2660">
        <v>0</v>
      </c>
      <c r="AT2660">
        <v>0</v>
      </c>
      <c r="AU2660">
        <v>0</v>
      </c>
      <c r="AW2660">
        <v>0</v>
      </c>
      <c r="AX2660">
        <v>0</v>
      </c>
      <c r="AY2660">
        <v>70</v>
      </c>
      <c r="BC2660" t="str">
        <f t="shared" si="403"/>
        <v>9791159286889</v>
      </c>
      <c r="BE2660" t="str">
        <f t="shared" si="404"/>
        <v>판타지 웹소설 &gt; 현대 판타지</v>
      </c>
    </row>
    <row r="2661" spans="1:57" x14ac:dyDescent="0.3">
      <c r="A2661">
        <v>2313002926</v>
      </c>
      <c r="B2661">
        <v>2313003051</v>
      </c>
      <c r="C2661" t="str">
        <f>T("나 혼자만 일일 보상 127화")</f>
        <v>나 혼자만 일일 보상 127화</v>
      </c>
      <c r="D2661" t="str">
        <f>T("127")</f>
        <v>127</v>
      </c>
      <c r="E2661" t="str">
        <f t="shared" si="401"/>
        <v>이동열</v>
      </c>
      <c r="H2661" t="str">
        <f t="shared" si="400"/>
        <v>스토리위즈</v>
      </c>
      <c r="I2661" t="str">
        <f t="shared" si="402"/>
        <v>나 혼자만 일일 보상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/>
      <c r="AQ2661">
        <v>0</v>
      </c>
      <c r="AR2661">
        <v>0</v>
      </c>
      <c r="AT2661">
        <v>0</v>
      </c>
      <c r="AU2661">
        <v>0</v>
      </c>
      <c r="AW2661">
        <v>0</v>
      </c>
      <c r="AX2661">
        <v>0</v>
      </c>
      <c r="AY2661">
        <v>70</v>
      </c>
      <c r="BC2661" t="str">
        <f t="shared" si="403"/>
        <v>9791159286889</v>
      </c>
      <c r="BE2661" t="str">
        <f t="shared" si="404"/>
        <v>판타지 웹소설 &gt; 현대 판타지</v>
      </c>
    </row>
    <row r="2662" spans="1:57" x14ac:dyDescent="0.3">
      <c r="A2662">
        <v>2313002926</v>
      </c>
      <c r="B2662">
        <v>2313003052</v>
      </c>
      <c r="C2662" t="str">
        <f>T("나 혼자만 일일 보상 128화")</f>
        <v>나 혼자만 일일 보상 128화</v>
      </c>
      <c r="D2662" t="str">
        <f>T("128")</f>
        <v>128</v>
      </c>
      <c r="E2662" t="str">
        <f t="shared" si="401"/>
        <v>이동열</v>
      </c>
      <c r="H2662" t="str">
        <f t="shared" si="400"/>
        <v>스토리위즈</v>
      </c>
      <c r="I2662" t="str">
        <f t="shared" si="402"/>
        <v>나 혼자만 일일 보상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/>
      <c r="AQ2662">
        <v>0</v>
      </c>
      <c r="AR2662">
        <v>0</v>
      </c>
      <c r="AT2662">
        <v>0</v>
      </c>
      <c r="AU2662">
        <v>0</v>
      </c>
      <c r="AW2662">
        <v>0</v>
      </c>
      <c r="AX2662">
        <v>0</v>
      </c>
      <c r="AY2662">
        <v>70</v>
      </c>
      <c r="BC2662" t="str">
        <f t="shared" si="403"/>
        <v>9791159286889</v>
      </c>
      <c r="BE2662" t="str">
        <f t="shared" si="404"/>
        <v>판타지 웹소설 &gt; 현대 판타지</v>
      </c>
    </row>
    <row r="2663" spans="1:57" x14ac:dyDescent="0.3">
      <c r="A2663">
        <v>2313002926</v>
      </c>
      <c r="B2663">
        <v>2313003053</v>
      </c>
      <c r="C2663" t="str">
        <f>T("나 혼자만 일일 보상 129화")</f>
        <v>나 혼자만 일일 보상 129화</v>
      </c>
      <c r="D2663" t="str">
        <f>T("129")</f>
        <v>129</v>
      </c>
      <c r="E2663" t="str">
        <f t="shared" si="401"/>
        <v>이동열</v>
      </c>
      <c r="H2663" t="str">
        <f t="shared" si="400"/>
        <v>스토리위즈</v>
      </c>
      <c r="I2663" t="str">
        <f t="shared" si="402"/>
        <v>나 혼자만 일일 보상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/>
      <c r="AQ2663">
        <v>0</v>
      </c>
      <c r="AR2663">
        <v>0</v>
      </c>
      <c r="AT2663">
        <v>0</v>
      </c>
      <c r="AU2663">
        <v>0</v>
      </c>
      <c r="AW2663">
        <v>0</v>
      </c>
      <c r="AX2663">
        <v>0</v>
      </c>
      <c r="AY2663">
        <v>70</v>
      </c>
      <c r="BC2663" t="str">
        <f t="shared" si="403"/>
        <v>9791159286889</v>
      </c>
      <c r="BE2663" t="str">
        <f t="shared" si="404"/>
        <v>판타지 웹소설 &gt; 현대 판타지</v>
      </c>
    </row>
    <row r="2664" spans="1:57" x14ac:dyDescent="0.3">
      <c r="A2664">
        <v>2313002926</v>
      </c>
      <c r="B2664">
        <v>2313003054</v>
      </c>
      <c r="C2664" t="str">
        <f>T("나 혼자만 일일 보상 130화")</f>
        <v>나 혼자만 일일 보상 130화</v>
      </c>
      <c r="D2664" t="str">
        <f>T("130")</f>
        <v>130</v>
      </c>
      <c r="E2664" t="str">
        <f t="shared" si="401"/>
        <v>이동열</v>
      </c>
      <c r="H2664" t="str">
        <f t="shared" si="400"/>
        <v>스토리위즈</v>
      </c>
      <c r="I2664" t="str">
        <f t="shared" si="402"/>
        <v>나 혼자만 일일 보상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/>
      <c r="AQ2664">
        <v>0</v>
      </c>
      <c r="AR2664">
        <v>0</v>
      </c>
      <c r="AT2664">
        <v>0</v>
      </c>
      <c r="AU2664">
        <v>0</v>
      </c>
      <c r="AW2664">
        <v>0</v>
      </c>
      <c r="AX2664">
        <v>0</v>
      </c>
      <c r="AY2664">
        <v>70</v>
      </c>
      <c r="BC2664" t="str">
        <f t="shared" si="403"/>
        <v>9791159286889</v>
      </c>
      <c r="BE2664" t="str">
        <f t="shared" si="404"/>
        <v>판타지 웹소설 &gt; 현대 판타지</v>
      </c>
    </row>
    <row r="2665" spans="1:57" x14ac:dyDescent="0.3">
      <c r="A2665">
        <v>2313002926</v>
      </c>
      <c r="B2665">
        <v>2313003055</v>
      </c>
      <c r="C2665" t="str">
        <f>T("나 혼자만 일일 보상 131화")</f>
        <v>나 혼자만 일일 보상 131화</v>
      </c>
      <c r="D2665" t="str">
        <f>T("131")</f>
        <v>131</v>
      </c>
      <c r="E2665" t="str">
        <f t="shared" si="401"/>
        <v>이동열</v>
      </c>
      <c r="H2665" t="str">
        <f t="shared" si="400"/>
        <v>스토리위즈</v>
      </c>
      <c r="I2665" t="str">
        <f t="shared" si="402"/>
        <v>나 혼자만 일일 보상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/>
      <c r="AQ2665">
        <v>0</v>
      </c>
      <c r="AR2665">
        <v>0</v>
      </c>
      <c r="AT2665">
        <v>0</v>
      </c>
      <c r="AU2665">
        <v>0</v>
      </c>
      <c r="AW2665">
        <v>0</v>
      </c>
      <c r="AX2665">
        <v>0</v>
      </c>
      <c r="AY2665">
        <v>70</v>
      </c>
      <c r="BC2665" t="str">
        <f t="shared" si="403"/>
        <v>9791159286889</v>
      </c>
      <c r="BE2665" t="str">
        <f t="shared" si="404"/>
        <v>판타지 웹소설 &gt; 현대 판타지</v>
      </c>
    </row>
    <row r="2666" spans="1:57" x14ac:dyDescent="0.3">
      <c r="A2666">
        <v>2313002926</v>
      </c>
      <c r="B2666">
        <v>2313003056</v>
      </c>
      <c r="C2666" t="str">
        <f>T("나 혼자만 일일 보상 132화")</f>
        <v>나 혼자만 일일 보상 132화</v>
      </c>
      <c r="D2666" t="str">
        <f>T("132")</f>
        <v>132</v>
      </c>
      <c r="E2666" t="str">
        <f t="shared" si="401"/>
        <v>이동열</v>
      </c>
      <c r="H2666" t="str">
        <f t="shared" si="400"/>
        <v>스토리위즈</v>
      </c>
      <c r="I2666" t="str">
        <f t="shared" si="402"/>
        <v>나 혼자만 일일 보상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/>
      <c r="AQ2666">
        <v>0</v>
      </c>
      <c r="AR2666">
        <v>0</v>
      </c>
      <c r="AT2666">
        <v>0</v>
      </c>
      <c r="AU2666">
        <v>0</v>
      </c>
      <c r="AW2666">
        <v>0</v>
      </c>
      <c r="AX2666">
        <v>0</v>
      </c>
      <c r="AY2666">
        <v>70</v>
      </c>
      <c r="BC2666" t="str">
        <f t="shared" si="403"/>
        <v>9791159286889</v>
      </c>
      <c r="BE2666" t="str">
        <f t="shared" si="404"/>
        <v>판타지 웹소설 &gt; 현대 판타지</v>
      </c>
    </row>
    <row r="2667" spans="1:57" x14ac:dyDescent="0.3">
      <c r="A2667">
        <v>2313002926</v>
      </c>
      <c r="B2667">
        <v>2313003057</v>
      </c>
      <c r="C2667" t="str">
        <f>T("나 혼자만 일일 보상 133화")</f>
        <v>나 혼자만 일일 보상 133화</v>
      </c>
      <c r="D2667" t="str">
        <f>T("133")</f>
        <v>133</v>
      </c>
      <c r="E2667" t="str">
        <f t="shared" si="401"/>
        <v>이동열</v>
      </c>
      <c r="H2667" t="str">
        <f t="shared" si="400"/>
        <v>스토리위즈</v>
      </c>
      <c r="I2667" t="str">
        <f t="shared" si="402"/>
        <v>나 혼자만 일일 보상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/>
      <c r="AQ2667">
        <v>0</v>
      </c>
      <c r="AR2667">
        <v>0</v>
      </c>
      <c r="AT2667">
        <v>0</v>
      </c>
      <c r="AU2667">
        <v>0</v>
      </c>
      <c r="AW2667">
        <v>0</v>
      </c>
      <c r="AX2667">
        <v>0</v>
      </c>
      <c r="AY2667">
        <v>70</v>
      </c>
      <c r="BC2667" t="str">
        <f t="shared" si="403"/>
        <v>9791159286889</v>
      </c>
      <c r="BE2667" t="str">
        <f t="shared" si="404"/>
        <v>판타지 웹소설 &gt; 현대 판타지</v>
      </c>
    </row>
    <row r="2668" spans="1:57" x14ac:dyDescent="0.3">
      <c r="A2668">
        <v>2313002926</v>
      </c>
      <c r="B2668">
        <v>2313003058</v>
      </c>
      <c r="C2668" t="str">
        <f>T("나 혼자만 일일 보상 134화")</f>
        <v>나 혼자만 일일 보상 134화</v>
      </c>
      <c r="D2668" t="str">
        <f>T("134")</f>
        <v>134</v>
      </c>
      <c r="E2668" t="str">
        <f t="shared" si="401"/>
        <v>이동열</v>
      </c>
      <c r="H2668" t="str">
        <f t="shared" si="400"/>
        <v>스토리위즈</v>
      </c>
      <c r="I2668" t="str">
        <f t="shared" si="402"/>
        <v>나 혼자만 일일 보상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/>
      <c r="AQ2668">
        <v>0</v>
      </c>
      <c r="AR2668">
        <v>0</v>
      </c>
      <c r="AT2668">
        <v>0</v>
      </c>
      <c r="AU2668">
        <v>0</v>
      </c>
      <c r="AW2668">
        <v>0</v>
      </c>
      <c r="AX2668">
        <v>0</v>
      </c>
      <c r="AY2668">
        <v>70</v>
      </c>
      <c r="BC2668" t="str">
        <f t="shared" si="403"/>
        <v>9791159286889</v>
      </c>
      <c r="BE2668" t="str">
        <f t="shared" si="404"/>
        <v>판타지 웹소설 &gt; 현대 판타지</v>
      </c>
    </row>
    <row r="2669" spans="1:57" x14ac:dyDescent="0.3">
      <c r="A2669">
        <v>2313002926</v>
      </c>
      <c r="B2669">
        <v>2313003059</v>
      </c>
      <c r="C2669" t="str">
        <f>T("나 혼자만 일일 보상 135화")</f>
        <v>나 혼자만 일일 보상 135화</v>
      </c>
      <c r="D2669" t="str">
        <f>T("135")</f>
        <v>135</v>
      </c>
      <c r="E2669" t="str">
        <f t="shared" si="401"/>
        <v>이동열</v>
      </c>
      <c r="H2669" t="str">
        <f t="shared" si="400"/>
        <v>스토리위즈</v>
      </c>
      <c r="I2669" t="str">
        <f t="shared" si="402"/>
        <v>나 혼자만 일일 보상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/>
      <c r="AQ2669">
        <v>0</v>
      </c>
      <c r="AR2669">
        <v>0</v>
      </c>
      <c r="AT2669">
        <v>0</v>
      </c>
      <c r="AU2669">
        <v>0</v>
      </c>
      <c r="AW2669">
        <v>0</v>
      </c>
      <c r="AX2669">
        <v>0</v>
      </c>
      <c r="AY2669">
        <v>70</v>
      </c>
      <c r="BC2669" t="str">
        <f t="shared" si="403"/>
        <v>9791159286889</v>
      </c>
      <c r="BE2669" t="str">
        <f t="shared" si="404"/>
        <v>판타지 웹소설 &gt; 현대 판타지</v>
      </c>
    </row>
    <row r="2670" spans="1:57" x14ac:dyDescent="0.3">
      <c r="A2670">
        <v>2313002926</v>
      </c>
      <c r="B2670">
        <v>2313003060</v>
      </c>
      <c r="C2670" t="str">
        <f>T("나 혼자만 일일 보상 136화")</f>
        <v>나 혼자만 일일 보상 136화</v>
      </c>
      <c r="D2670" t="str">
        <f>T("136")</f>
        <v>136</v>
      </c>
      <c r="E2670" t="str">
        <f t="shared" si="401"/>
        <v>이동열</v>
      </c>
      <c r="H2670" t="str">
        <f t="shared" si="400"/>
        <v>스토리위즈</v>
      </c>
      <c r="I2670" t="str">
        <f t="shared" si="402"/>
        <v>나 혼자만 일일 보상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/>
      <c r="AQ2670">
        <v>0</v>
      </c>
      <c r="AR2670">
        <v>0</v>
      </c>
      <c r="AT2670">
        <v>0</v>
      </c>
      <c r="AU2670">
        <v>0</v>
      </c>
      <c r="AW2670">
        <v>0</v>
      </c>
      <c r="AX2670">
        <v>0</v>
      </c>
      <c r="AY2670">
        <v>70</v>
      </c>
      <c r="BC2670" t="str">
        <f t="shared" si="403"/>
        <v>9791159286889</v>
      </c>
      <c r="BE2670" t="str">
        <f t="shared" si="404"/>
        <v>판타지 웹소설 &gt; 현대 판타지</v>
      </c>
    </row>
    <row r="2671" spans="1:57" x14ac:dyDescent="0.3">
      <c r="A2671">
        <v>2313002926</v>
      </c>
      <c r="B2671">
        <v>2313003061</v>
      </c>
      <c r="C2671" t="str">
        <f>T("나 혼자만 일일 보상 137화")</f>
        <v>나 혼자만 일일 보상 137화</v>
      </c>
      <c r="D2671" t="str">
        <f>T("137")</f>
        <v>137</v>
      </c>
      <c r="E2671" t="str">
        <f t="shared" si="401"/>
        <v>이동열</v>
      </c>
      <c r="H2671" t="str">
        <f t="shared" si="400"/>
        <v>스토리위즈</v>
      </c>
      <c r="I2671" t="str">
        <f t="shared" si="402"/>
        <v>나 혼자만 일일 보상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/>
      <c r="AQ2671">
        <v>0</v>
      </c>
      <c r="AR2671">
        <v>0</v>
      </c>
      <c r="AT2671">
        <v>0</v>
      </c>
      <c r="AU2671">
        <v>0</v>
      </c>
      <c r="AW2671">
        <v>0</v>
      </c>
      <c r="AX2671">
        <v>0</v>
      </c>
      <c r="AY2671">
        <v>70</v>
      </c>
      <c r="BC2671" t="str">
        <f t="shared" si="403"/>
        <v>9791159286889</v>
      </c>
      <c r="BE2671" t="str">
        <f t="shared" si="404"/>
        <v>판타지 웹소설 &gt; 현대 판타지</v>
      </c>
    </row>
    <row r="2672" spans="1:57" x14ac:dyDescent="0.3">
      <c r="A2672">
        <v>2313002926</v>
      </c>
      <c r="B2672">
        <v>2313003062</v>
      </c>
      <c r="C2672" t="str">
        <f>T("나 혼자만 일일 보상 138화")</f>
        <v>나 혼자만 일일 보상 138화</v>
      </c>
      <c r="D2672" t="str">
        <f>T("138")</f>
        <v>138</v>
      </c>
      <c r="E2672" t="str">
        <f t="shared" si="401"/>
        <v>이동열</v>
      </c>
      <c r="H2672" t="str">
        <f t="shared" si="400"/>
        <v>스토리위즈</v>
      </c>
      <c r="I2672" t="str">
        <f t="shared" si="402"/>
        <v>나 혼자만 일일 보상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/>
      <c r="AQ2672">
        <v>0</v>
      </c>
      <c r="AR2672">
        <v>0</v>
      </c>
      <c r="AT2672">
        <v>0</v>
      </c>
      <c r="AU2672">
        <v>0</v>
      </c>
      <c r="AW2672">
        <v>0</v>
      </c>
      <c r="AX2672">
        <v>0</v>
      </c>
      <c r="AY2672">
        <v>70</v>
      </c>
      <c r="BC2672" t="str">
        <f t="shared" si="403"/>
        <v>9791159286889</v>
      </c>
      <c r="BE2672" t="str">
        <f t="shared" si="404"/>
        <v>판타지 웹소설 &gt; 현대 판타지</v>
      </c>
    </row>
    <row r="2673" spans="1:57" x14ac:dyDescent="0.3">
      <c r="A2673">
        <v>2313002926</v>
      </c>
      <c r="B2673">
        <v>2313003063</v>
      </c>
      <c r="C2673" t="str">
        <f>T("나 혼자만 일일 보상 139화")</f>
        <v>나 혼자만 일일 보상 139화</v>
      </c>
      <c r="D2673" t="str">
        <f>T("139")</f>
        <v>139</v>
      </c>
      <c r="E2673" t="str">
        <f t="shared" si="401"/>
        <v>이동열</v>
      </c>
      <c r="H2673" t="str">
        <f t="shared" si="400"/>
        <v>스토리위즈</v>
      </c>
      <c r="I2673" t="str">
        <f t="shared" si="402"/>
        <v>나 혼자만 일일 보상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/>
      <c r="AQ2673">
        <v>0</v>
      </c>
      <c r="AR2673">
        <v>0</v>
      </c>
      <c r="AT2673">
        <v>0</v>
      </c>
      <c r="AU2673">
        <v>0</v>
      </c>
      <c r="AW2673">
        <v>0</v>
      </c>
      <c r="AX2673">
        <v>0</v>
      </c>
      <c r="AY2673">
        <v>70</v>
      </c>
      <c r="BC2673" t="str">
        <f t="shared" si="403"/>
        <v>9791159286889</v>
      </c>
      <c r="BE2673" t="str">
        <f t="shared" si="404"/>
        <v>판타지 웹소설 &gt; 현대 판타지</v>
      </c>
    </row>
    <row r="2674" spans="1:57" x14ac:dyDescent="0.3">
      <c r="A2674">
        <v>2313002926</v>
      </c>
      <c r="B2674">
        <v>2313003064</v>
      </c>
      <c r="C2674" t="str">
        <f>T("나 혼자만 일일 보상 140화")</f>
        <v>나 혼자만 일일 보상 140화</v>
      </c>
      <c r="D2674" t="str">
        <f>T("140")</f>
        <v>140</v>
      </c>
      <c r="E2674" t="str">
        <f t="shared" si="401"/>
        <v>이동열</v>
      </c>
      <c r="H2674" t="str">
        <f t="shared" si="400"/>
        <v>스토리위즈</v>
      </c>
      <c r="I2674" t="str">
        <f t="shared" si="402"/>
        <v>나 혼자만 일일 보상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/>
      <c r="AQ2674">
        <v>0</v>
      </c>
      <c r="AR2674">
        <v>0</v>
      </c>
      <c r="AT2674">
        <v>0</v>
      </c>
      <c r="AU2674">
        <v>0</v>
      </c>
      <c r="AW2674">
        <v>0</v>
      </c>
      <c r="AX2674">
        <v>0</v>
      </c>
      <c r="AY2674">
        <v>70</v>
      </c>
      <c r="BC2674" t="str">
        <f t="shared" si="403"/>
        <v>9791159286889</v>
      </c>
      <c r="BE2674" t="str">
        <f t="shared" si="404"/>
        <v>판타지 웹소설 &gt; 현대 판타지</v>
      </c>
    </row>
    <row r="2675" spans="1:57" x14ac:dyDescent="0.3">
      <c r="A2675">
        <v>2313002926</v>
      </c>
      <c r="B2675">
        <v>2313003065</v>
      </c>
      <c r="C2675" t="str">
        <f>T("나 혼자만 일일 보상 141화")</f>
        <v>나 혼자만 일일 보상 141화</v>
      </c>
      <c r="D2675" t="str">
        <f>T("141")</f>
        <v>141</v>
      </c>
      <c r="E2675" t="str">
        <f t="shared" si="401"/>
        <v>이동열</v>
      </c>
      <c r="H2675" t="str">
        <f t="shared" si="400"/>
        <v>스토리위즈</v>
      </c>
      <c r="I2675" t="str">
        <f t="shared" si="402"/>
        <v>나 혼자만 일일 보상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/>
      <c r="AQ2675">
        <v>0</v>
      </c>
      <c r="AR2675">
        <v>0</v>
      </c>
      <c r="AT2675">
        <v>0</v>
      </c>
      <c r="AU2675">
        <v>0</v>
      </c>
      <c r="AW2675">
        <v>0</v>
      </c>
      <c r="AX2675">
        <v>0</v>
      </c>
      <c r="AY2675">
        <v>70</v>
      </c>
      <c r="BC2675" t="str">
        <f t="shared" si="403"/>
        <v>9791159286889</v>
      </c>
      <c r="BE2675" t="str">
        <f t="shared" si="404"/>
        <v>판타지 웹소설 &gt; 현대 판타지</v>
      </c>
    </row>
    <row r="2676" spans="1:57" x14ac:dyDescent="0.3">
      <c r="A2676">
        <v>2313002926</v>
      </c>
      <c r="B2676">
        <v>2313003066</v>
      </c>
      <c r="C2676" t="str">
        <f>T("나 혼자만 일일 보상 142화")</f>
        <v>나 혼자만 일일 보상 142화</v>
      </c>
      <c r="D2676" t="str">
        <f>T("142")</f>
        <v>142</v>
      </c>
      <c r="E2676" t="str">
        <f t="shared" si="401"/>
        <v>이동열</v>
      </c>
      <c r="H2676" t="str">
        <f t="shared" si="400"/>
        <v>스토리위즈</v>
      </c>
      <c r="I2676" t="str">
        <f t="shared" si="402"/>
        <v>나 혼자만 일일 보상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/>
      <c r="AQ2676">
        <v>0</v>
      </c>
      <c r="AR2676">
        <v>0</v>
      </c>
      <c r="AT2676">
        <v>0</v>
      </c>
      <c r="AU2676">
        <v>0</v>
      </c>
      <c r="AW2676">
        <v>0</v>
      </c>
      <c r="AX2676">
        <v>0</v>
      </c>
      <c r="AY2676">
        <v>70</v>
      </c>
      <c r="BC2676" t="str">
        <f t="shared" si="403"/>
        <v>9791159286889</v>
      </c>
      <c r="BE2676" t="str">
        <f t="shared" si="404"/>
        <v>판타지 웹소설 &gt; 현대 판타지</v>
      </c>
    </row>
    <row r="2677" spans="1:57" x14ac:dyDescent="0.3">
      <c r="A2677">
        <v>2313002926</v>
      </c>
      <c r="B2677">
        <v>2313003067</v>
      </c>
      <c r="C2677" t="str">
        <f>T("나 혼자만 일일 보상 143화")</f>
        <v>나 혼자만 일일 보상 143화</v>
      </c>
      <c r="D2677" t="str">
        <f>T("143")</f>
        <v>143</v>
      </c>
      <c r="E2677" t="str">
        <f t="shared" si="401"/>
        <v>이동열</v>
      </c>
      <c r="H2677" t="str">
        <f t="shared" si="400"/>
        <v>스토리위즈</v>
      </c>
      <c r="I2677" t="str">
        <f t="shared" si="402"/>
        <v>나 혼자만 일일 보상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/>
      <c r="AQ2677">
        <v>0</v>
      </c>
      <c r="AR2677">
        <v>0</v>
      </c>
      <c r="AT2677">
        <v>0</v>
      </c>
      <c r="AU2677">
        <v>0</v>
      </c>
      <c r="AW2677">
        <v>0</v>
      </c>
      <c r="AX2677">
        <v>0</v>
      </c>
      <c r="AY2677">
        <v>70</v>
      </c>
      <c r="BC2677" t="str">
        <f t="shared" si="403"/>
        <v>9791159286889</v>
      </c>
      <c r="BE2677" t="str">
        <f t="shared" si="404"/>
        <v>판타지 웹소설 &gt; 현대 판타지</v>
      </c>
    </row>
    <row r="2678" spans="1:57" x14ac:dyDescent="0.3">
      <c r="A2678">
        <v>2313002926</v>
      </c>
      <c r="B2678">
        <v>2313003068</v>
      </c>
      <c r="C2678" t="str">
        <f>T("나 혼자만 일일 보상 144화")</f>
        <v>나 혼자만 일일 보상 144화</v>
      </c>
      <c r="D2678" t="str">
        <f>T("144")</f>
        <v>144</v>
      </c>
      <c r="E2678" t="str">
        <f t="shared" si="401"/>
        <v>이동열</v>
      </c>
      <c r="H2678" t="str">
        <f t="shared" si="400"/>
        <v>스토리위즈</v>
      </c>
      <c r="I2678" t="str">
        <f t="shared" si="402"/>
        <v>나 혼자만 일일 보상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/>
      <c r="AQ2678">
        <v>0</v>
      </c>
      <c r="AR2678">
        <v>0</v>
      </c>
      <c r="AT2678">
        <v>0</v>
      </c>
      <c r="AU2678">
        <v>0</v>
      </c>
      <c r="AW2678">
        <v>0</v>
      </c>
      <c r="AX2678">
        <v>0</v>
      </c>
      <c r="AY2678">
        <v>70</v>
      </c>
      <c r="BC2678" t="str">
        <f t="shared" si="403"/>
        <v>9791159286889</v>
      </c>
      <c r="BE2678" t="str">
        <f t="shared" si="404"/>
        <v>판타지 웹소설 &gt; 현대 판타지</v>
      </c>
    </row>
    <row r="2679" spans="1:57" x14ac:dyDescent="0.3">
      <c r="A2679">
        <v>2313002926</v>
      </c>
      <c r="B2679">
        <v>2313003069</v>
      </c>
      <c r="C2679" t="str">
        <f>T("나 혼자만 일일 보상 145화")</f>
        <v>나 혼자만 일일 보상 145화</v>
      </c>
      <c r="D2679" t="str">
        <f>T("145")</f>
        <v>145</v>
      </c>
      <c r="E2679" t="str">
        <f t="shared" si="401"/>
        <v>이동열</v>
      </c>
      <c r="H2679" t="str">
        <f t="shared" si="400"/>
        <v>스토리위즈</v>
      </c>
      <c r="I2679" t="str">
        <f t="shared" si="402"/>
        <v>나 혼자만 일일 보상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/>
      <c r="AQ2679">
        <v>0</v>
      </c>
      <c r="AR2679">
        <v>0</v>
      </c>
      <c r="AT2679">
        <v>0</v>
      </c>
      <c r="AU2679">
        <v>0</v>
      </c>
      <c r="AW2679">
        <v>0</v>
      </c>
      <c r="AX2679">
        <v>0</v>
      </c>
      <c r="AY2679">
        <v>70</v>
      </c>
      <c r="BC2679" t="str">
        <f t="shared" si="403"/>
        <v>9791159286889</v>
      </c>
      <c r="BE2679" t="str">
        <f t="shared" si="404"/>
        <v>판타지 웹소설 &gt; 현대 판타지</v>
      </c>
    </row>
    <row r="2680" spans="1:57" x14ac:dyDescent="0.3">
      <c r="A2680">
        <v>2313002926</v>
      </c>
      <c r="B2680">
        <v>2313003070</v>
      </c>
      <c r="C2680" t="str">
        <f>T("나 혼자만 일일 보상 146화")</f>
        <v>나 혼자만 일일 보상 146화</v>
      </c>
      <c r="D2680" t="str">
        <f>T("146")</f>
        <v>146</v>
      </c>
      <c r="E2680" t="str">
        <f t="shared" si="401"/>
        <v>이동열</v>
      </c>
      <c r="H2680" t="str">
        <f t="shared" ref="H2680:H2743" si="405">T("스토리위즈")</f>
        <v>스토리위즈</v>
      </c>
      <c r="I2680" t="str">
        <f t="shared" si="402"/>
        <v>나 혼자만 일일 보상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/>
      <c r="AQ2680">
        <v>0</v>
      </c>
      <c r="AR2680">
        <v>0</v>
      </c>
      <c r="AT2680">
        <v>0</v>
      </c>
      <c r="AU2680">
        <v>0</v>
      </c>
      <c r="AW2680">
        <v>0</v>
      </c>
      <c r="AX2680">
        <v>0</v>
      </c>
      <c r="AY2680">
        <v>70</v>
      </c>
      <c r="BC2680" t="str">
        <f t="shared" si="403"/>
        <v>9791159286889</v>
      </c>
      <c r="BE2680" t="str">
        <f t="shared" si="404"/>
        <v>판타지 웹소설 &gt; 현대 판타지</v>
      </c>
    </row>
    <row r="2681" spans="1:57" x14ac:dyDescent="0.3">
      <c r="A2681">
        <v>2313002926</v>
      </c>
      <c r="B2681">
        <v>2313003071</v>
      </c>
      <c r="C2681" t="str">
        <f>T("나 혼자만 일일 보상 147화")</f>
        <v>나 혼자만 일일 보상 147화</v>
      </c>
      <c r="D2681" t="str">
        <f>T("147")</f>
        <v>147</v>
      </c>
      <c r="E2681" t="str">
        <f t="shared" si="401"/>
        <v>이동열</v>
      </c>
      <c r="H2681" t="str">
        <f t="shared" si="405"/>
        <v>스토리위즈</v>
      </c>
      <c r="I2681" t="str">
        <f t="shared" si="402"/>
        <v>나 혼자만 일일 보상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/>
      <c r="AQ2681">
        <v>0</v>
      </c>
      <c r="AR2681">
        <v>0</v>
      </c>
      <c r="AT2681">
        <v>0</v>
      </c>
      <c r="AU2681">
        <v>0</v>
      </c>
      <c r="AW2681">
        <v>0</v>
      </c>
      <c r="AX2681">
        <v>0</v>
      </c>
      <c r="AY2681">
        <v>70</v>
      </c>
      <c r="BC2681" t="str">
        <f t="shared" si="403"/>
        <v>9791159286889</v>
      </c>
      <c r="BE2681" t="str">
        <f t="shared" si="404"/>
        <v>판타지 웹소설 &gt; 현대 판타지</v>
      </c>
    </row>
    <row r="2682" spans="1:57" x14ac:dyDescent="0.3">
      <c r="A2682">
        <v>2313002926</v>
      </c>
      <c r="B2682">
        <v>2313003072</v>
      </c>
      <c r="C2682" t="str">
        <f>T("나 혼자만 일일 보상 148화")</f>
        <v>나 혼자만 일일 보상 148화</v>
      </c>
      <c r="D2682" t="str">
        <f>T("148")</f>
        <v>148</v>
      </c>
      <c r="E2682" t="str">
        <f t="shared" si="401"/>
        <v>이동열</v>
      </c>
      <c r="H2682" t="str">
        <f t="shared" si="405"/>
        <v>스토리위즈</v>
      </c>
      <c r="I2682" t="str">
        <f t="shared" si="402"/>
        <v>나 혼자만 일일 보상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/>
      <c r="AQ2682">
        <v>0</v>
      </c>
      <c r="AR2682">
        <v>0</v>
      </c>
      <c r="AT2682">
        <v>0</v>
      </c>
      <c r="AU2682">
        <v>0</v>
      </c>
      <c r="AW2682">
        <v>0</v>
      </c>
      <c r="AX2682">
        <v>0</v>
      </c>
      <c r="AY2682">
        <v>70</v>
      </c>
      <c r="BC2682" t="str">
        <f t="shared" si="403"/>
        <v>9791159286889</v>
      </c>
      <c r="BE2682" t="str">
        <f t="shared" si="404"/>
        <v>판타지 웹소설 &gt; 현대 판타지</v>
      </c>
    </row>
    <row r="2683" spans="1:57" x14ac:dyDescent="0.3">
      <c r="A2683">
        <v>2313002926</v>
      </c>
      <c r="B2683">
        <v>2313003073</v>
      </c>
      <c r="C2683" t="str">
        <f>T("나 혼자만 일일 보상 149화")</f>
        <v>나 혼자만 일일 보상 149화</v>
      </c>
      <c r="D2683" t="str">
        <f>T("149")</f>
        <v>149</v>
      </c>
      <c r="E2683" t="str">
        <f t="shared" si="401"/>
        <v>이동열</v>
      </c>
      <c r="H2683" t="str">
        <f t="shared" si="405"/>
        <v>스토리위즈</v>
      </c>
      <c r="I2683" t="str">
        <f t="shared" si="402"/>
        <v>나 혼자만 일일 보상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/>
      <c r="AQ2683">
        <v>0</v>
      </c>
      <c r="AR2683">
        <v>0</v>
      </c>
      <c r="AT2683">
        <v>0</v>
      </c>
      <c r="AU2683">
        <v>0</v>
      </c>
      <c r="AW2683">
        <v>0</v>
      </c>
      <c r="AX2683">
        <v>0</v>
      </c>
      <c r="AY2683">
        <v>70</v>
      </c>
      <c r="BC2683" t="str">
        <f t="shared" si="403"/>
        <v>9791159286889</v>
      </c>
      <c r="BE2683" t="str">
        <f t="shared" si="404"/>
        <v>판타지 웹소설 &gt; 현대 판타지</v>
      </c>
    </row>
    <row r="2684" spans="1:57" x14ac:dyDescent="0.3">
      <c r="A2684">
        <v>2313002926</v>
      </c>
      <c r="B2684">
        <v>2313003074</v>
      </c>
      <c r="C2684" t="str">
        <f>T("나 혼자만 일일 보상 150화")</f>
        <v>나 혼자만 일일 보상 150화</v>
      </c>
      <c r="D2684" t="str">
        <f>T("150")</f>
        <v>150</v>
      </c>
      <c r="E2684" t="str">
        <f t="shared" si="401"/>
        <v>이동열</v>
      </c>
      <c r="H2684" t="str">
        <f t="shared" si="405"/>
        <v>스토리위즈</v>
      </c>
      <c r="I2684" t="str">
        <f t="shared" si="402"/>
        <v>나 혼자만 일일 보상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/>
      <c r="AQ2684">
        <v>0</v>
      </c>
      <c r="AR2684">
        <v>0</v>
      </c>
      <c r="AT2684">
        <v>0</v>
      </c>
      <c r="AU2684">
        <v>0</v>
      </c>
      <c r="AW2684">
        <v>0</v>
      </c>
      <c r="AX2684">
        <v>0</v>
      </c>
      <c r="AY2684">
        <v>70</v>
      </c>
      <c r="BC2684" t="str">
        <f t="shared" si="403"/>
        <v>9791159286889</v>
      </c>
      <c r="BE2684" t="str">
        <f t="shared" si="404"/>
        <v>판타지 웹소설 &gt; 현대 판타지</v>
      </c>
    </row>
    <row r="2685" spans="1:57" x14ac:dyDescent="0.3">
      <c r="A2685">
        <v>2313002926</v>
      </c>
      <c r="B2685">
        <v>2313003075</v>
      </c>
      <c r="C2685" t="str">
        <f>T("나 혼자만 일일 보상 151화")</f>
        <v>나 혼자만 일일 보상 151화</v>
      </c>
      <c r="D2685" t="str">
        <f>T("151")</f>
        <v>151</v>
      </c>
      <c r="E2685" t="str">
        <f t="shared" si="401"/>
        <v>이동열</v>
      </c>
      <c r="H2685" t="str">
        <f t="shared" si="405"/>
        <v>스토리위즈</v>
      </c>
      <c r="I2685" t="str">
        <f t="shared" si="402"/>
        <v>나 혼자만 일일 보상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/>
      <c r="AQ2685">
        <v>0</v>
      </c>
      <c r="AR2685">
        <v>0</v>
      </c>
      <c r="AT2685">
        <v>0</v>
      </c>
      <c r="AU2685">
        <v>0</v>
      </c>
      <c r="AW2685">
        <v>0</v>
      </c>
      <c r="AX2685">
        <v>0</v>
      </c>
      <c r="AY2685">
        <v>70</v>
      </c>
      <c r="BC2685" t="str">
        <f t="shared" si="403"/>
        <v>9791159286889</v>
      </c>
      <c r="BE2685" t="str">
        <f t="shared" si="404"/>
        <v>판타지 웹소설 &gt; 현대 판타지</v>
      </c>
    </row>
    <row r="2686" spans="1:57" x14ac:dyDescent="0.3">
      <c r="A2686">
        <v>2313002926</v>
      </c>
      <c r="B2686">
        <v>2313003076</v>
      </c>
      <c r="C2686" t="str">
        <f>T("나 혼자만 일일 보상 152화")</f>
        <v>나 혼자만 일일 보상 152화</v>
      </c>
      <c r="D2686" t="str">
        <f>T("152")</f>
        <v>152</v>
      </c>
      <c r="E2686" t="str">
        <f t="shared" si="401"/>
        <v>이동열</v>
      </c>
      <c r="H2686" t="str">
        <f t="shared" si="405"/>
        <v>스토리위즈</v>
      </c>
      <c r="I2686" t="str">
        <f t="shared" si="402"/>
        <v>나 혼자만 일일 보상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/>
      <c r="AQ2686">
        <v>0</v>
      </c>
      <c r="AR2686">
        <v>0</v>
      </c>
      <c r="AT2686">
        <v>0</v>
      </c>
      <c r="AU2686">
        <v>0</v>
      </c>
      <c r="AW2686">
        <v>0</v>
      </c>
      <c r="AX2686">
        <v>0</v>
      </c>
      <c r="AY2686">
        <v>70</v>
      </c>
      <c r="BC2686" t="str">
        <f t="shared" si="403"/>
        <v>9791159286889</v>
      </c>
      <c r="BE2686" t="str">
        <f t="shared" si="404"/>
        <v>판타지 웹소설 &gt; 현대 판타지</v>
      </c>
    </row>
    <row r="2687" spans="1:57" x14ac:dyDescent="0.3">
      <c r="A2687">
        <v>2313002926</v>
      </c>
      <c r="B2687">
        <v>2313003077</v>
      </c>
      <c r="C2687" t="str">
        <f>T("나 혼자만 일일 보상 153화")</f>
        <v>나 혼자만 일일 보상 153화</v>
      </c>
      <c r="D2687" t="str">
        <f>T("153")</f>
        <v>153</v>
      </c>
      <c r="E2687" t="str">
        <f t="shared" si="401"/>
        <v>이동열</v>
      </c>
      <c r="H2687" t="str">
        <f t="shared" si="405"/>
        <v>스토리위즈</v>
      </c>
      <c r="I2687" t="str">
        <f t="shared" si="402"/>
        <v>나 혼자만 일일 보상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/>
      <c r="AQ2687">
        <v>0</v>
      </c>
      <c r="AR2687">
        <v>0</v>
      </c>
      <c r="AT2687">
        <v>0</v>
      </c>
      <c r="AU2687">
        <v>0</v>
      </c>
      <c r="AW2687">
        <v>0</v>
      </c>
      <c r="AX2687">
        <v>0</v>
      </c>
      <c r="AY2687">
        <v>70</v>
      </c>
      <c r="BC2687" t="str">
        <f t="shared" si="403"/>
        <v>9791159286889</v>
      </c>
      <c r="BE2687" t="str">
        <f t="shared" si="404"/>
        <v>판타지 웹소설 &gt; 현대 판타지</v>
      </c>
    </row>
    <row r="2688" spans="1:57" x14ac:dyDescent="0.3">
      <c r="A2688">
        <v>2313002926</v>
      </c>
      <c r="B2688">
        <v>2313003078</v>
      </c>
      <c r="C2688" t="str">
        <f>T("나 혼자만 일일 보상 154화")</f>
        <v>나 혼자만 일일 보상 154화</v>
      </c>
      <c r="D2688" t="str">
        <f>T("154")</f>
        <v>154</v>
      </c>
      <c r="E2688" t="str">
        <f t="shared" si="401"/>
        <v>이동열</v>
      </c>
      <c r="H2688" t="str">
        <f t="shared" si="405"/>
        <v>스토리위즈</v>
      </c>
      <c r="I2688" t="str">
        <f t="shared" si="402"/>
        <v>나 혼자만 일일 보상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/>
      <c r="AQ2688">
        <v>0</v>
      </c>
      <c r="AR2688">
        <v>0</v>
      </c>
      <c r="AT2688">
        <v>0</v>
      </c>
      <c r="AU2688">
        <v>0</v>
      </c>
      <c r="AW2688">
        <v>0</v>
      </c>
      <c r="AX2688">
        <v>0</v>
      </c>
      <c r="AY2688">
        <v>70</v>
      </c>
      <c r="BC2688" t="str">
        <f t="shared" si="403"/>
        <v>9791159286889</v>
      </c>
      <c r="BE2688" t="str">
        <f t="shared" si="404"/>
        <v>판타지 웹소설 &gt; 현대 판타지</v>
      </c>
    </row>
    <row r="2689" spans="1:57" x14ac:dyDescent="0.3">
      <c r="A2689">
        <v>2313002926</v>
      </c>
      <c r="B2689">
        <v>2313003079</v>
      </c>
      <c r="C2689" t="str">
        <f>T("나 혼자만 일일 보상 155화")</f>
        <v>나 혼자만 일일 보상 155화</v>
      </c>
      <c r="D2689" t="str">
        <f>T("155")</f>
        <v>155</v>
      </c>
      <c r="E2689" t="str">
        <f t="shared" ref="E2689:E2710" si="406">T("이동열")</f>
        <v>이동열</v>
      </c>
      <c r="H2689" t="str">
        <f t="shared" si="405"/>
        <v>스토리위즈</v>
      </c>
      <c r="I2689" t="str">
        <f t="shared" ref="I2689:I2710" si="407">T("나 혼자만 일일 보상")</f>
        <v>나 혼자만 일일 보상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/>
      <c r="AQ2689">
        <v>0</v>
      </c>
      <c r="AR2689">
        <v>0</v>
      </c>
      <c r="AT2689">
        <v>0</v>
      </c>
      <c r="AU2689">
        <v>0</v>
      </c>
      <c r="AW2689">
        <v>0</v>
      </c>
      <c r="AX2689">
        <v>0</v>
      </c>
      <c r="AY2689">
        <v>70</v>
      </c>
      <c r="BC2689" t="str">
        <f t="shared" ref="BC2689:BC2710" si="408">T("9791159286889")</f>
        <v>9791159286889</v>
      </c>
      <c r="BE2689" t="str">
        <f t="shared" ref="BE2689:BE2752" si="409">T("판타지 웹소설 &gt; 현대 판타지")</f>
        <v>판타지 웹소설 &gt; 현대 판타지</v>
      </c>
    </row>
    <row r="2690" spans="1:57" x14ac:dyDescent="0.3">
      <c r="A2690">
        <v>2313002926</v>
      </c>
      <c r="B2690">
        <v>2313003080</v>
      </c>
      <c r="C2690" t="str">
        <f>T("나 혼자만 일일 보상 156화")</f>
        <v>나 혼자만 일일 보상 156화</v>
      </c>
      <c r="D2690" t="str">
        <f>T("156")</f>
        <v>156</v>
      </c>
      <c r="E2690" t="str">
        <f t="shared" si="406"/>
        <v>이동열</v>
      </c>
      <c r="H2690" t="str">
        <f t="shared" si="405"/>
        <v>스토리위즈</v>
      </c>
      <c r="I2690" t="str">
        <f t="shared" si="407"/>
        <v>나 혼자만 일일 보상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/>
      <c r="AQ2690">
        <v>0</v>
      </c>
      <c r="AR2690">
        <v>0</v>
      </c>
      <c r="AT2690">
        <v>0</v>
      </c>
      <c r="AU2690">
        <v>0</v>
      </c>
      <c r="AW2690">
        <v>0</v>
      </c>
      <c r="AX2690">
        <v>0</v>
      </c>
      <c r="AY2690">
        <v>70</v>
      </c>
      <c r="BC2690" t="str">
        <f t="shared" si="408"/>
        <v>9791159286889</v>
      </c>
      <c r="BE2690" t="str">
        <f t="shared" si="409"/>
        <v>판타지 웹소설 &gt; 현대 판타지</v>
      </c>
    </row>
    <row r="2691" spans="1:57" x14ac:dyDescent="0.3">
      <c r="A2691">
        <v>2313002926</v>
      </c>
      <c r="B2691">
        <v>2313003081</v>
      </c>
      <c r="C2691" t="str">
        <f>T("나 혼자만 일일 보상 157화")</f>
        <v>나 혼자만 일일 보상 157화</v>
      </c>
      <c r="D2691" t="str">
        <f>T("157")</f>
        <v>157</v>
      </c>
      <c r="E2691" t="str">
        <f t="shared" si="406"/>
        <v>이동열</v>
      </c>
      <c r="H2691" t="str">
        <f t="shared" si="405"/>
        <v>스토리위즈</v>
      </c>
      <c r="I2691" t="str">
        <f t="shared" si="407"/>
        <v>나 혼자만 일일 보상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/>
      <c r="AQ2691">
        <v>0</v>
      </c>
      <c r="AR2691">
        <v>0</v>
      </c>
      <c r="AT2691">
        <v>0</v>
      </c>
      <c r="AU2691">
        <v>0</v>
      </c>
      <c r="AW2691">
        <v>0</v>
      </c>
      <c r="AX2691">
        <v>0</v>
      </c>
      <c r="AY2691">
        <v>70</v>
      </c>
      <c r="BC2691" t="str">
        <f t="shared" si="408"/>
        <v>9791159286889</v>
      </c>
      <c r="BE2691" t="str">
        <f t="shared" si="409"/>
        <v>판타지 웹소설 &gt; 현대 판타지</v>
      </c>
    </row>
    <row r="2692" spans="1:57" x14ac:dyDescent="0.3">
      <c r="A2692">
        <v>2313002926</v>
      </c>
      <c r="B2692">
        <v>2313003082</v>
      </c>
      <c r="C2692" t="str">
        <f>T("나 혼자만 일일 보상 158화")</f>
        <v>나 혼자만 일일 보상 158화</v>
      </c>
      <c r="D2692" t="str">
        <f>T("158")</f>
        <v>158</v>
      </c>
      <c r="E2692" t="str">
        <f t="shared" si="406"/>
        <v>이동열</v>
      </c>
      <c r="H2692" t="str">
        <f t="shared" si="405"/>
        <v>스토리위즈</v>
      </c>
      <c r="I2692" t="str">
        <f t="shared" si="407"/>
        <v>나 혼자만 일일 보상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/>
      <c r="AQ2692">
        <v>0</v>
      </c>
      <c r="AR2692">
        <v>0</v>
      </c>
      <c r="AT2692">
        <v>0</v>
      </c>
      <c r="AU2692">
        <v>0</v>
      </c>
      <c r="AW2692">
        <v>0</v>
      </c>
      <c r="AX2692">
        <v>0</v>
      </c>
      <c r="AY2692">
        <v>70</v>
      </c>
      <c r="BC2692" t="str">
        <f t="shared" si="408"/>
        <v>9791159286889</v>
      </c>
      <c r="BE2692" t="str">
        <f t="shared" si="409"/>
        <v>판타지 웹소설 &gt; 현대 판타지</v>
      </c>
    </row>
    <row r="2693" spans="1:57" x14ac:dyDescent="0.3">
      <c r="A2693">
        <v>2313002926</v>
      </c>
      <c r="B2693">
        <v>2313003083</v>
      </c>
      <c r="C2693" t="str">
        <f>T("나 혼자만 일일 보상 159화")</f>
        <v>나 혼자만 일일 보상 159화</v>
      </c>
      <c r="D2693" t="str">
        <f>T("159")</f>
        <v>159</v>
      </c>
      <c r="E2693" t="str">
        <f t="shared" si="406"/>
        <v>이동열</v>
      </c>
      <c r="H2693" t="str">
        <f t="shared" si="405"/>
        <v>스토리위즈</v>
      </c>
      <c r="I2693" t="str">
        <f t="shared" si="407"/>
        <v>나 혼자만 일일 보상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/>
      <c r="AQ2693">
        <v>0</v>
      </c>
      <c r="AR2693">
        <v>0</v>
      </c>
      <c r="AT2693">
        <v>0</v>
      </c>
      <c r="AU2693">
        <v>0</v>
      </c>
      <c r="AW2693">
        <v>0</v>
      </c>
      <c r="AX2693">
        <v>0</v>
      </c>
      <c r="AY2693">
        <v>70</v>
      </c>
      <c r="BC2693" t="str">
        <f t="shared" si="408"/>
        <v>9791159286889</v>
      </c>
      <c r="BE2693" t="str">
        <f t="shared" si="409"/>
        <v>판타지 웹소설 &gt; 현대 판타지</v>
      </c>
    </row>
    <row r="2694" spans="1:57" x14ac:dyDescent="0.3">
      <c r="A2694">
        <v>2313002926</v>
      </c>
      <c r="B2694">
        <v>2313003084</v>
      </c>
      <c r="C2694" t="str">
        <f>T("나 혼자만 일일 보상 160화")</f>
        <v>나 혼자만 일일 보상 160화</v>
      </c>
      <c r="D2694" t="str">
        <f>T("160")</f>
        <v>160</v>
      </c>
      <c r="E2694" t="str">
        <f t="shared" si="406"/>
        <v>이동열</v>
      </c>
      <c r="H2694" t="str">
        <f t="shared" si="405"/>
        <v>스토리위즈</v>
      </c>
      <c r="I2694" t="str">
        <f t="shared" si="407"/>
        <v>나 혼자만 일일 보상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/>
      <c r="AQ2694">
        <v>0</v>
      </c>
      <c r="AR2694">
        <v>0</v>
      </c>
      <c r="AT2694">
        <v>0</v>
      </c>
      <c r="AU2694">
        <v>0</v>
      </c>
      <c r="AW2694">
        <v>0</v>
      </c>
      <c r="AX2694">
        <v>0</v>
      </c>
      <c r="AY2694">
        <v>70</v>
      </c>
      <c r="BC2694" t="str">
        <f t="shared" si="408"/>
        <v>9791159286889</v>
      </c>
      <c r="BE2694" t="str">
        <f t="shared" si="409"/>
        <v>판타지 웹소설 &gt; 현대 판타지</v>
      </c>
    </row>
    <row r="2695" spans="1:57" x14ac:dyDescent="0.3">
      <c r="A2695">
        <v>2313002926</v>
      </c>
      <c r="B2695">
        <v>2313003085</v>
      </c>
      <c r="C2695" t="str">
        <f>T("나 혼자만 일일 보상 34화")</f>
        <v>나 혼자만 일일 보상 34화</v>
      </c>
      <c r="D2695" t="str">
        <f>T("34")</f>
        <v>34</v>
      </c>
      <c r="E2695" t="str">
        <f t="shared" si="406"/>
        <v>이동열</v>
      </c>
      <c r="H2695" t="str">
        <f t="shared" si="405"/>
        <v>스토리위즈</v>
      </c>
      <c r="I2695" t="str">
        <f t="shared" si="407"/>
        <v>나 혼자만 일일 보상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/>
      <c r="AQ2695">
        <v>0</v>
      </c>
      <c r="AR2695">
        <v>0</v>
      </c>
      <c r="AT2695">
        <v>0</v>
      </c>
      <c r="AU2695">
        <v>0</v>
      </c>
      <c r="AW2695">
        <v>0</v>
      </c>
      <c r="AX2695">
        <v>0</v>
      </c>
      <c r="AY2695">
        <v>70</v>
      </c>
      <c r="BC2695" t="str">
        <f t="shared" si="408"/>
        <v>9791159286889</v>
      </c>
      <c r="BE2695" t="str">
        <f t="shared" si="409"/>
        <v>판타지 웹소설 &gt; 현대 판타지</v>
      </c>
    </row>
    <row r="2696" spans="1:57" x14ac:dyDescent="0.3">
      <c r="A2696">
        <v>2313002926</v>
      </c>
      <c r="B2696">
        <v>2313003086</v>
      </c>
      <c r="C2696" t="str">
        <f>T("나 혼자만 일일 보상 161화")</f>
        <v>나 혼자만 일일 보상 161화</v>
      </c>
      <c r="D2696" t="str">
        <f>T("161")</f>
        <v>161</v>
      </c>
      <c r="E2696" t="str">
        <f t="shared" si="406"/>
        <v>이동열</v>
      </c>
      <c r="H2696" t="str">
        <f t="shared" si="405"/>
        <v>스토리위즈</v>
      </c>
      <c r="I2696" t="str">
        <f t="shared" si="407"/>
        <v>나 혼자만 일일 보상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/>
      <c r="AQ2696">
        <v>0</v>
      </c>
      <c r="AR2696">
        <v>0</v>
      </c>
      <c r="AT2696">
        <v>0</v>
      </c>
      <c r="AU2696">
        <v>0</v>
      </c>
      <c r="AW2696">
        <v>0</v>
      </c>
      <c r="AX2696">
        <v>0</v>
      </c>
      <c r="AY2696">
        <v>70</v>
      </c>
      <c r="BC2696" t="str">
        <f t="shared" si="408"/>
        <v>9791159286889</v>
      </c>
      <c r="BE2696" t="str">
        <f t="shared" si="409"/>
        <v>판타지 웹소설 &gt; 현대 판타지</v>
      </c>
    </row>
    <row r="2697" spans="1:57" x14ac:dyDescent="0.3">
      <c r="A2697">
        <v>2313002926</v>
      </c>
      <c r="B2697">
        <v>2313003087</v>
      </c>
      <c r="C2697" t="str">
        <f>T("나 혼자만 일일 보상 162화")</f>
        <v>나 혼자만 일일 보상 162화</v>
      </c>
      <c r="D2697" t="str">
        <f>T("162")</f>
        <v>162</v>
      </c>
      <c r="E2697" t="str">
        <f t="shared" si="406"/>
        <v>이동열</v>
      </c>
      <c r="H2697" t="str">
        <f t="shared" si="405"/>
        <v>스토리위즈</v>
      </c>
      <c r="I2697" t="str">
        <f t="shared" si="407"/>
        <v>나 혼자만 일일 보상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/>
      <c r="AQ2697">
        <v>0</v>
      </c>
      <c r="AR2697">
        <v>0</v>
      </c>
      <c r="AT2697">
        <v>0</v>
      </c>
      <c r="AU2697">
        <v>0</v>
      </c>
      <c r="AW2697">
        <v>0</v>
      </c>
      <c r="AX2697">
        <v>0</v>
      </c>
      <c r="AY2697">
        <v>70</v>
      </c>
      <c r="BC2697" t="str">
        <f t="shared" si="408"/>
        <v>9791159286889</v>
      </c>
      <c r="BE2697" t="str">
        <f t="shared" si="409"/>
        <v>판타지 웹소설 &gt; 현대 판타지</v>
      </c>
    </row>
    <row r="2698" spans="1:57" x14ac:dyDescent="0.3">
      <c r="A2698">
        <v>2313002926</v>
      </c>
      <c r="B2698">
        <v>2313003088</v>
      </c>
      <c r="C2698" t="str">
        <f>T("나 혼자만 일일 보상 163화")</f>
        <v>나 혼자만 일일 보상 163화</v>
      </c>
      <c r="D2698" t="str">
        <f>T("163")</f>
        <v>163</v>
      </c>
      <c r="E2698" t="str">
        <f t="shared" si="406"/>
        <v>이동열</v>
      </c>
      <c r="H2698" t="str">
        <f t="shared" si="405"/>
        <v>스토리위즈</v>
      </c>
      <c r="I2698" t="str">
        <f t="shared" si="407"/>
        <v>나 혼자만 일일 보상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/>
      <c r="AQ2698">
        <v>0</v>
      </c>
      <c r="AR2698">
        <v>0</v>
      </c>
      <c r="AT2698">
        <v>0</v>
      </c>
      <c r="AU2698">
        <v>0</v>
      </c>
      <c r="AW2698">
        <v>0</v>
      </c>
      <c r="AX2698">
        <v>0</v>
      </c>
      <c r="AY2698">
        <v>70</v>
      </c>
      <c r="BC2698" t="str">
        <f t="shared" si="408"/>
        <v>9791159286889</v>
      </c>
      <c r="BE2698" t="str">
        <f t="shared" si="409"/>
        <v>판타지 웹소설 &gt; 현대 판타지</v>
      </c>
    </row>
    <row r="2699" spans="1:57" x14ac:dyDescent="0.3">
      <c r="A2699">
        <v>2313002926</v>
      </c>
      <c r="B2699">
        <v>2313003089</v>
      </c>
      <c r="C2699" t="str">
        <f>T("나 혼자만 일일 보상 164화")</f>
        <v>나 혼자만 일일 보상 164화</v>
      </c>
      <c r="D2699" t="str">
        <f>T("164")</f>
        <v>164</v>
      </c>
      <c r="E2699" t="str">
        <f t="shared" si="406"/>
        <v>이동열</v>
      </c>
      <c r="H2699" t="str">
        <f t="shared" si="405"/>
        <v>스토리위즈</v>
      </c>
      <c r="I2699" t="str">
        <f t="shared" si="407"/>
        <v>나 혼자만 일일 보상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/>
      <c r="AQ2699">
        <v>0</v>
      </c>
      <c r="AR2699">
        <v>0</v>
      </c>
      <c r="AT2699">
        <v>0</v>
      </c>
      <c r="AU2699">
        <v>0</v>
      </c>
      <c r="AW2699">
        <v>0</v>
      </c>
      <c r="AX2699">
        <v>0</v>
      </c>
      <c r="AY2699">
        <v>70</v>
      </c>
      <c r="BC2699" t="str">
        <f t="shared" si="408"/>
        <v>9791159286889</v>
      </c>
      <c r="BE2699" t="str">
        <f t="shared" si="409"/>
        <v>판타지 웹소설 &gt; 현대 판타지</v>
      </c>
    </row>
    <row r="2700" spans="1:57" x14ac:dyDescent="0.3">
      <c r="A2700">
        <v>2313002926</v>
      </c>
      <c r="B2700">
        <v>2313003090</v>
      </c>
      <c r="C2700" t="str">
        <f>T("나 혼자만 일일 보상 165화")</f>
        <v>나 혼자만 일일 보상 165화</v>
      </c>
      <c r="D2700" t="str">
        <f>T("165")</f>
        <v>165</v>
      </c>
      <c r="E2700" t="str">
        <f t="shared" si="406"/>
        <v>이동열</v>
      </c>
      <c r="H2700" t="str">
        <f t="shared" si="405"/>
        <v>스토리위즈</v>
      </c>
      <c r="I2700" t="str">
        <f t="shared" si="407"/>
        <v>나 혼자만 일일 보상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/>
      <c r="AQ2700">
        <v>0</v>
      </c>
      <c r="AR2700">
        <v>0</v>
      </c>
      <c r="AT2700">
        <v>0</v>
      </c>
      <c r="AU2700">
        <v>0</v>
      </c>
      <c r="AW2700">
        <v>0</v>
      </c>
      <c r="AX2700">
        <v>0</v>
      </c>
      <c r="AY2700">
        <v>70</v>
      </c>
      <c r="BC2700" t="str">
        <f t="shared" si="408"/>
        <v>9791159286889</v>
      </c>
      <c r="BE2700" t="str">
        <f t="shared" si="409"/>
        <v>판타지 웹소설 &gt; 현대 판타지</v>
      </c>
    </row>
    <row r="2701" spans="1:57" x14ac:dyDescent="0.3">
      <c r="A2701">
        <v>2313002926</v>
      </c>
      <c r="B2701">
        <v>2313003091</v>
      </c>
      <c r="C2701" t="str">
        <f>T("나 혼자만 일일 보상 166화")</f>
        <v>나 혼자만 일일 보상 166화</v>
      </c>
      <c r="D2701" t="str">
        <f>T("166")</f>
        <v>166</v>
      </c>
      <c r="E2701" t="str">
        <f t="shared" si="406"/>
        <v>이동열</v>
      </c>
      <c r="H2701" t="str">
        <f t="shared" si="405"/>
        <v>스토리위즈</v>
      </c>
      <c r="I2701" t="str">
        <f t="shared" si="407"/>
        <v>나 혼자만 일일 보상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/>
      <c r="AQ2701">
        <v>0</v>
      </c>
      <c r="AR2701">
        <v>0</v>
      </c>
      <c r="AT2701">
        <v>0</v>
      </c>
      <c r="AU2701">
        <v>0</v>
      </c>
      <c r="AW2701">
        <v>0</v>
      </c>
      <c r="AX2701">
        <v>0</v>
      </c>
      <c r="AY2701">
        <v>70</v>
      </c>
      <c r="BC2701" t="str">
        <f t="shared" si="408"/>
        <v>9791159286889</v>
      </c>
      <c r="BE2701" t="str">
        <f t="shared" si="409"/>
        <v>판타지 웹소설 &gt; 현대 판타지</v>
      </c>
    </row>
    <row r="2702" spans="1:57" x14ac:dyDescent="0.3">
      <c r="A2702">
        <v>2313002926</v>
      </c>
      <c r="B2702">
        <v>2313003092</v>
      </c>
      <c r="C2702" t="str">
        <f>T("나 혼자만 일일 보상 167화")</f>
        <v>나 혼자만 일일 보상 167화</v>
      </c>
      <c r="D2702" t="str">
        <f>T("167")</f>
        <v>167</v>
      </c>
      <c r="E2702" t="str">
        <f t="shared" si="406"/>
        <v>이동열</v>
      </c>
      <c r="H2702" t="str">
        <f t="shared" si="405"/>
        <v>스토리위즈</v>
      </c>
      <c r="I2702" t="str">
        <f t="shared" si="407"/>
        <v>나 혼자만 일일 보상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/>
      <c r="AQ2702">
        <v>0</v>
      </c>
      <c r="AR2702">
        <v>0</v>
      </c>
      <c r="AT2702">
        <v>0</v>
      </c>
      <c r="AU2702">
        <v>0</v>
      </c>
      <c r="AW2702">
        <v>0</v>
      </c>
      <c r="AX2702">
        <v>0</v>
      </c>
      <c r="AY2702">
        <v>70</v>
      </c>
      <c r="BC2702" t="str">
        <f t="shared" si="408"/>
        <v>9791159286889</v>
      </c>
      <c r="BE2702" t="str">
        <f t="shared" si="409"/>
        <v>판타지 웹소설 &gt; 현대 판타지</v>
      </c>
    </row>
    <row r="2703" spans="1:57" x14ac:dyDescent="0.3">
      <c r="A2703">
        <v>2313002926</v>
      </c>
      <c r="B2703">
        <v>2313003093</v>
      </c>
      <c r="C2703" t="str">
        <f>T("나 혼자만 일일 보상 168화")</f>
        <v>나 혼자만 일일 보상 168화</v>
      </c>
      <c r="D2703" t="str">
        <f>T("168")</f>
        <v>168</v>
      </c>
      <c r="E2703" t="str">
        <f t="shared" si="406"/>
        <v>이동열</v>
      </c>
      <c r="H2703" t="str">
        <f t="shared" si="405"/>
        <v>스토리위즈</v>
      </c>
      <c r="I2703" t="str">
        <f t="shared" si="407"/>
        <v>나 혼자만 일일 보상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/>
      <c r="AQ2703">
        <v>0</v>
      </c>
      <c r="AR2703">
        <v>0</v>
      </c>
      <c r="AT2703">
        <v>0</v>
      </c>
      <c r="AU2703">
        <v>0</v>
      </c>
      <c r="AW2703">
        <v>0</v>
      </c>
      <c r="AX2703">
        <v>0</v>
      </c>
      <c r="AY2703">
        <v>70</v>
      </c>
      <c r="BC2703" t="str">
        <f t="shared" si="408"/>
        <v>9791159286889</v>
      </c>
      <c r="BE2703" t="str">
        <f t="shared" si="409"/>
        <v>판타지 웹소설 &gt; 현대 판타지</v>
      </c>
    </row>
    <row r="2704" spans="1:57" x14ac:dyDescent="0.3">
      <c r="A2704">
        <v>2313002926</v>
      </c>
      <c r="B2704">
        <v>2313003094</v>
      </c>
      <c r="C2704" t="str">
        <f>T("나 혼자만 일일 보상 169화")</f>
        <v>나 혼자만 일일 보상 169화</v>
      </c>
      <c r="D2704" t="str">
        <f>T("169")</f>
        <v>169</v>
      </c>
      <c r="E2704" t="str">
        <f t="shared" si="406"/>
        <v>이동열</v>
      </c>
      <c r="H2704" t="str">
        <f t="shared" si="405"/>
        <v>스토리위즈</v>
      </c>
      <c r="I2704" t="str">
        <f t="shared" si="407"/>
        <v>나 혼자만 일일 보상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/>
      <c r="AQ2704">
        <v>0</v>
      </c>
      <c r="AR2704">
        <v>0</v>
      </c>
      <c r="AT2704">
        <v>0</v>
      </c>
      <c r="AU2704">
        <v>0</v>
      </c>
      <c r="AW2704">
        <v>0</v>
      </c>
      <c r="AX2704">
        <v>0</v>
      </c>
      <c r="AY2704">
        <v>70</v>
      </c>
      <c r="BC2704" t="str">
        <f t="shared" si="408"/>
        <v>9791159286889</v>
      </c>
      <c r="BE2704" t="str">
        <f t="shared" si="409"/>
        <v>판타지 웹소설 &gt; 현대 판타지</v>
      </c>
    </row>
    <row r="2705" spans="1:57" x14ac:dyDescent="0.3">
      <c r="A2705">
        <v>2313002926</v>
      </c>
      <c r="B2705">
        <v>2313003095</v>
      </c>
      <c r="C2705" t="str">
        <f>T("나 혼자만 일일 보상 170화")</f>
        <v>나 혼자만 일일 보상 170화</v>
      </c>
      <c r="D2705" t="str">
        <f>T("170")</f>
        <v>170</v>
      </c>
      <c r="E2705" t="str">
        <f t="shared" si="406"/>
        <v>이동열</v>
      </c>
      <c r="H2705" t="str">
        <f t="shared" si="405"/>
        <v>스토리위즈</v>
      </c>
      <c r="I2705" t="str">
        <f t="shared" si="407"/>
        <v>나 혼자만 일일 보상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/>
      <c r="AQ2705">
        <v>0</v>
      </c>
      <c r="AR2705">
        <v>0</v>
      </c>
      <c r="AT2705">
        <v>0</v>
      </c>
      <c r="AU2705">
        <v>0</v>
      </c>
      <c r="AW2705">
        <v>0</v>
      </c>
      <c r="AX2705">
        <v>0</v>
      </c>
      <c r="AY2705">
        <v>70</v>
      </c>
      <c r="BC2705" t="str">
        <f t="shared" si="408"/>
        <v>9791159286889</v>
      </c>
      <c r="BE2705" t="str">
        <f t="shared" si="409"/>
        <v>판타지 웹소설 &gt; 현대 판타지</v>
      </c>
    </row>
    <row r="2706" spans="1:57" x14ac:dyDescent="0.3">
      <c r="A2706">
        <v>2313002926</v>
      </c>
      <c r="B2706">
        <v>2313003096</v>
      </c>
      <c r="C2706" t="str">
        <f>T("나 혼자만 일일 보상 171화")</f>
        <v>나 혼자만 일일 보상 171화</v>
      </c>
      <c r="D2706" t="str">
        <f>T("171")</f>
        <v>171</v>
      </c>
      <c r="E2706" t="str">
        <f t="shared" si="406"/>
        <v>이동열</v>
      </c>
      <c r="H2706" t="str">
        <f t="shared" si="405"/>
        <v>스토리위즈</v>
      </c>
      <c r="I2706" t="str">
        <f t="shared" si="407"/>
        <v>나 혼자만 일일 보상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/>
      <c r="AQ2706">
        <v>0</v>
      </c>
      <c r="AR2706">
        <v>0</v>
      </c>
      <c r="AT2706">
        <v>0</v>
      </c>
      <c r="AU2706">
        <v>0</v>
      </c>
      <c r="AW2706">
        <v>0</v>
      </c>
      <c r="AX2706">
        <v>0</v>
      </c>
      <c r="AY2706">
        <v>70</v>
      </c>
      <c r="BC2706" t="str">
        <f t="shared" si="408"/>
        <v>9791159286889</v>
      </c>
      <c r="BE2706" t="str">
        <f t="shared" si="409"/>
        <v>판타지 웹소설 &gt; 현대 판타지</v>
      </c>
    </row>
    <row r="2707" spans="1:57" x14ac:dyDescent="0.3">
      <c r="A2707">
        <v>2313002926</v>
      </c>
      <c r="B2707">
        <v>2313003097</v>
      </c>
      <c r="C2707" t="str">
        <f>T("나 혼자만 일일 보상 172화")</f>
        <v>나 혼자만 일일 보상 172화</v>
      </c>
      <c r="D2707" t="str">
        <f>T("172")</f>
        <v>172</v>
      </c>
      <c r="E2707" t="str">
        <f t="shared" si="406"/>
        <v>이동열</v>
      </c>
      <c r="H2707" t="str">
        <f t="shared" si="405"/>
        <v>스토리위즈</v>
      </c>
      <c r="I2707" t="str">
        <f t="shared" si="407"/>
        <v>나 혼자만 일일 보상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/>
      <c r="AQ2707">
        <v>0</v>
      </c>
      <c r="AR2707">
        <v>0</v>
      </c>
      <c r="AT2707">
        <v>0</v>
      </c>
      <c r="AU2707">
        <v>0</v>
      </c>
      <c r="AW2707">
        <v>0</v>
      </c>
      <c r="AX2707">
        <v>0</v>
      </c>
      <c r="AY2707">
        <v>70</v>
      </c>
      <c r="BC2707" t="str">
        <f t="shared" si="408"/>
        <v>9791159286889</v>
      </c>
      <c r="BE2707" t="str">
        <f t="shared" si="409"/>
        <v>판타지 웹소설 &gt; 현대 판타지</v>
      </c>
    </row>
    <row r="2708" spans="1:57" x14ac:dyDescent="0.3">
      <c r="A2708">
        <v>2313002926</v>
      </c>
      <c r="B2708">
        <v>2313003098</v>
      </c>
      <c r="C2708" t="str">
        <f>T("나 혼자만 일일 보상 173화")</f>
        <v>나 혼자만 일일 보상 173화</v>
      </c>
      <c r="D2708" t="str">
        <f>T("173")</f>
        <v>173</v>
      </c>
      <c r="E2708" t="str">
        <f t="shared" si="406"/>
        <v>이동열</v>
      </c>
      <c r="H2708" t="str">
        <f t="shared" si="405"/>
        <v>스토리위즈</v>
      </c>
      <c r="I2708" t="str">
        <f t="shared" si="407"/>
        <v>나 혼자만 일일 보상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/>
      <c r="AQ2708">
        <v>0</v>
      </c>
      <c r="AR2708">
        <v>0</v>
      </c>
      <c r="AT2708">
        <v>0</v>
      </c>
      <c r="AU2708">
        <v>0</v>
      </c>
      <c r="AW2708">
        <v>0</v>
      </c>
      <c r="AX2708">
        <v>0</v>
      </c>
      <c r="AY2708">
        <v>70</v>
      </c>
      <c r="BC2708" t="str">
        <f t="shared" si="408"/>
        <v>9791159286889</v>
      </c>
      <c r="BE2708" t="str">
        <f t="shared" si="409"/>
        <v>판타지 웹소설 &gt; 현대 판타지</v>
      </c>
    </row>
    <row r="2709" spans="1:57" x14ac:dyDescent="0.3">
      <c r="A2709">
        <v>2313002926</v>
      </c>
      <c r="B2709">
        <v>2313003099</v>
      </c>
      <c r="C2709" t="str">
        <f>T("나 혼자만 일일 보상 174화")</f>
        <v>나 혼자만 일일 보상 174화</v>
      </c>
      <c r="D2709" t="str">
        <f>T("174")</f>
        <v>174</v>
      </c>
      <c r="E2709" t="str">
        <f t="shared" si="406"/>
        <v>이동열</v>
      </c>
      <c r="H2709" t="str">
        <f t="shared" si="405"/>
        <v>스토리위즈</v>
      </c>
      <c r="I2709" t="str">
        <f t="shared" si="407"/>
        <v>나 혼자만 일일 보상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/>
      <c r="AQ2709">
        <v>0</v>
      </c>
      <c r="AR2709">
        <v>0</v>
      </c>
      <c r="AT2709">
        <v>0</v>
      </c>
      <c r="AU2709">
        <v>0</v>
      </c>
      <c r="AW2709">
        <v>0</v>
      </c>
      <c r="AX2709">
        <v>0</v>
      </c>
      <c r="AY2709">
        <v>70</v>
      </c>
      <c r="BC2709" t="str">
        <f t="shared" si="408"/>
        <v>9791159286889</v>
      </c>
      <c r="BE2709" t="str">
        <f t="shared" si="409"/>
        <v>판타지 웹소설 &gt; 현대 판타지</v>
      </c>
    </row>
    <row r="2710" spans="1:57" x14ac:dyDescent="0.3">
      <c r="A2710">
        <v>2313002926</v>
      </c>
      <c r="B2710">
        <v>2313003100</v>
      </c>
      <c r="C2710" t="str">
        <f>T("나 혼자만 일일 보상 175화")</f>
        <v>나 혼자만 일일 보상 175화</v>
      </c>
      <c r="D2710" t="str">
        <f>T("175")</f>
        <v>175</v>
      </c>
      <c r="E2710" t="str">
        <f t="shared" si="406"/>
        <v>이동열</v>
      </c>
      <c r="H2710" t="str">
        <f t="shared" si="405"/>
        <v>스토리위즈</v>
      </c>
      <c r="I2710" t="str">
        <f t="shared" si="407"/>
        <v>나 혼자만 일일 보상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/>
      <c r="AQ2710">
        <v>0</v>
      </c>
      <c r="AR2710">
        <v>0</v>
      </c>
      <c r="AT2710">
        <v>0</v>
      </c>
      <c r="AU2710">
        <v>0</v>
      </c>
      <c r="AW2710">
        <v>0</v>
      </c>
      <c r="AX2710">
        <v>0</v>
      </c>
      <c r="AY2710">
        <v>70</v>
      </c>
      <c r="BC2710" t="str">
        <f t="shared" si="408"/>
        <v>9791159286889</v>
      </c>
      <c r="BE2710" t="str">
        <f t="shared" si="409"/>
        <v>판타지 웹소설 &gt; 현대 판타지</v>
      </c>
    </row>
    <row r="2711" spans="1:57" x14ac:dyDescent="0.3">
      <c r="A2711">
        <v>2313003101</v>
      </c>
      <c r="B2711">
        <v>2313003124</v>
      </c>
      <c r="C2711" t="str">
        <f>T("로드 오브 머니 24화")</f>
        <v>로드 오브 머니 24화</v>
      </c>
      <c r="D2711" t="str">
        <f>T("24")</f>
        <v>24</v>
      </c>
      <c r="E2711" t="str">
        <f t="shared" ref="E2711:E2760" si="410">T("무장")</f>
        <v>무장</v>
      </c>
      <c r="H2711" t="str">
        <f t="shared" si="405"/>
        <v>스토리위즈</v>
      </c>
      <c r="I2711" t="str">
        <f t="shared" ref="I2711:I2760" si="411">T("로드 오브 머니")</f>
        <v>로드 오브 머니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/>
      <c r="AQ2711">
        <v>0</v>
      </c>
      <c r="AR2711">
        <v>0</v>
      </c>
      <c r="AT2711">
        <v>0</v>
      </c>
      <c r="AU2711">
        <v>0</v>
      </c>
      <c r="AW2711">
        <v>0</v>
      </c>
      <c r="AX2711">
        <v>0</v>
      </c>
      <c r="AY2711">
        <v>70</v>
      </c>
      <c r="BC2711" t="str">
        <f t="shared" ref="BC2711:BC2760" si="412">T("9791188630066")</f>
        <v>9791188630066</v>
      </c>
      <c r="BE2711" t="str">
        <f t="shared" si="409"/>
        <v>판타지 웹소설 &gt; 현대 판타지</v>
      </c>
    </row>
    <row r="2712" spans="1:57" x14ac:dyDescent="0.3">
      <c r="A2712">
        <v>2313003101</v>
      </c>
      <c r="B2712">
        <v>2313003125</v>
      </c>
      <c r="C2712" t="str">
        <f>T("로드 오브 머니 25화")</f>
        <v>로드 오브 머니 25화</v>
      </c>
      <c r="D2712" t="str">
        <f>T("25")</f>
        <v>25</v>
      </c>
      <c r="E2712" t="str">
        <f t="shared" si="410"/>
        <v>무장</v>
      </c>
      <c r="H2712" t="str">
        <f t="shared" si="405"/>
        <v>스토리위즈</v>
      </c>
      <c r="I2712" t="str">
        <f t="shared" si="411"/>
        <v>로드 오브 머니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/>
      <c r="AQ2712">
        <v>0</v>
      </c>
      <c r="AR2712">
        <v>0</v>
      </c>
      <c r="AT2712">
        <v>0</v>
      </c>
      <c r="AU2712">
        <v>0</v>
      </c>
      <c r="AW2712">
        <v>0</v>
      </c>
      <c r="AX2712">
        <v>0</v>
      </c>
      <c r="AY2712">
        <v>70</v>
      </c>
      <c r="BC2712" t="str">
        <f t="shared" si="412"/>
        <v>9791188630066</v>
      </c>
      <c r="BE2712" t="str">
        <f t="shared" si="409"/>
        <v>판타지 웹소설 &gt; 현대 판타지</v>
      </c>
    </row>
    <row r="2713" spans="1:57" x14ac:dyDescent="0.3">
      <c r="A2713">
        <v>2313003101</v>
      </c>
      <c r="B2713">
        <v>2313003126</v>
      </c>
      <c r="C2713" t="str">
        <f>T("로드 오브 머니 26화")</f>
        <v>로드 오브 머니 26화</v>
      </c>
      <c r="D2713" t="str">
        <f>T("26")</f>
        <v>26</v>
      </c>
      <c r="E2713" t="str">
        <f t="shared" si="410"/>
        <v>무장</v>
      </c>
      <c r="H2713" t="str">
        <f t="shared" si="405"/>
        <v>스토리위즈</v>
      </c>
      <c r="I2713" t="str">
        <f t="shared" si="411"/>
        <v>로드 오브 머니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/>
      <c r="AQ2713">
        <v>0</v>
      </c>
      <c r="AR2713">
        <v>0</v>
      </c>
      <c r="AT2713">
        <v>0</v>
      </c>
      <c r="AU2713">
        <v>0</v>
      </c>
      <c r="AW2713">
        <v>0</v>
      </c>
      <c r="AX2713">
        <v>0</v>
      </c>
      <c r="AY2713">
        <v>70</v>
      </c>
      <c r="BC2713" t="str">
        <f t="shared" si="412"/>
        <v>9791188630066</v>
      </c>
      <c r="BE2713" t="str">
        <f t="shared" si="409"/>
        <v>판타지 웹소설 &gt; 현대 판타지</v>
      </c>
    </row>
    <row r="2714" spans="1:57" x14ac:dyDescent="0.3">
      <c r="A2714">
        <v>2313003101</v>
      </c>
      <c r="B2714">
        <v>2313003143</v>
      </c>
      <c r="C2714" t="str">
        <f>T("로드 오브 머니 43화")</f>
        <v>로드 오브 머니 43화</v>
      </c>
      <c r="D2714" t="str">
        <f>T("43")</f>
        <v>43</v>
      </c>
      <c r="E2714" t="str">
        <f t="shared" si="410"/>
        <v>무장</v>
      </c>
      <c r="H2714" t="str">
        <f t="shared" si="405"/>
        <v>스토리위즈</v>
      </c>
      <c r="I2714" t="str">
        <f t="shared" si="411"/>
        <v>로드 오브 머니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/>
      <c r="AQ2714">
        <v>0</v>
      </c>
      <c r="AR2714">
        <v>0</v>
      </c>
      <c r="AT2714">
        <v>0</v>
      </c>
      <c r="AU2714">
        <v>0</v>
      </c>
      <c r="AW2714">
        <v>0</v>
      </c>
      <c r="AX2714">
        <v>0</v>
      </c>
      <c r="AY2714">
        <v>70</v>
      </c>
      <c r="BC2714" t="str">
        <f t="shared" si="412"/>
        <v>9791188630066</v>
      </c>
      <c r="BE2714" t="str">
        <f t="shared" si="409"/>
        <v>판타지 웹소설 &gt; 현대 판타지</v>
      </c>
    </row>
    <row r="2715" spans="1:57" x14ac:dyDescent="0.3">
      <c r="A2715">
        <v>2313003101</v>
      </c>
      <c r="B2715">
        <v>2313003144</v>
      </c>
      <c r="C2715" t="str">
        <f>T("로드 오브 머니 44화")</f>
        <v>로드 오브 머니 44화</v>
      </c>
      <c r="D2715" t="str">
        <f>T("44")</f>
        <v>44</v>
      </c>
      <c r="E2715" t="str">
        <f t="shared" si="410"/>
        <v>무장</v>
      </c>
      <c r="H2715" t="str">
        <f t="shared" si="405"/>
        <v>스토리위즈</v>
      </c>
      <c r="I2715" t="str">
        <f t="shared" si="411"/>
        <v>로드 오브 머니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/>
      <c r="AQ2715">
        <v>0</v>
      </c>
      <c r="AR2715">
        <v>0</v>
      </c>
      <c r="AT2715">
        <v>0</v>
      </c>
      <c r="AU2715">
        <v>0</v>
      </c>
      <c r="AW2715">
        <v>0</v>
      </c>
      <c r="AX2715">
        <v>0</v>
      </c>
      <c r="AY2715">
        <v>70</v>
      </c>
      <c r="BC2715" t="str">
        <f t="shared" si="412"/>
        <v>9791188630066</v>
      </c>
      <c r="BE2715" t="str">
        <f t="shared" si="409"/>
        <v>판타지 웹소설 &gt; 현대 판타지</v>
      </c>
    </row>
    <row r="2716" spans="1:57" x14ac:dyDescent="0.3">
      <c r="A2716">
        <v>2313003101</v>
      </c>
      <c r="B2716">
        <v>2313003145</v>
      </c>
      <c r="C2716" t="str">
        <f>T("로드 오브 머니 45화")</f>
        <v>로드 오브 머니 45화</v>
      </c>
      <c r="D2716" t="str">
        <f>T("45")</f>
        <v>45</v>
      </c>
      <c r="E2716" t="str">
        <f t="shared" si="410"/>
        <v>무장</v>
      </c>
      <c r="H2716" t="str">
        <f t="shared" si="405"/>
        <v>스토리위즈</v>
      </c>
      <c r="I2716" t="str">
        <f t="shared" si="411"/>
        <v>로드 오브 머니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/>
      <c r="AQ2716">
        <v>0</v>
      </c>
      <c r="AR2716">
        <v>0</v>
      </c>
      <c r="AT2716">
        <v>0</v>
      </c>
      <c r="AU2716">
        <v>0</v>
      </c>
      <c r="AW2716">
        <v>0</v>
      </c>
      <c r="AX2716">
        <v>0</v>
      </c>
      <c r="AY2716">
        <v>70</v>
      </c>
      <c r="BC2716" t="str">
        <f t="shared" si="412"/>
        <v>9791188630066</v>
      </c>
      <c r="BE2716" t="str">
        <f t="shared" si="409"/>
        <v>판타지 웹소설 &gt; 현대 판타지</v>
      </c>
    </row>
    <row r="2717" spans="1:57" x14ac:dyDescent="0.3">
      <c r="A2717">
        <v>2313003101</v>
      </c>
      <c r="B2717">
        <v>2313003146</v>
      </c>
      <c r="C2717" t="str">
        <f>T("로드 오브 머니 46화")</f>
        <v>로드 오브 머니 46화</v>
      </c>
      <c r="D2717" t="str">
        <f>T("46")</f>
        <v>46</v>
      </c>
      <c r="E2717" t="str">
        <f t="shared" si="410"/>
        <v>무장</v>
      </c>
      <c r="H2717" t="str">
        <f t="shared" si="405"/>
        <v>스토리위즈</v>
      </c>
      <c r="I2717" t="str">
        <f t="shared" si="411"/>
        <v>로드 오브 머니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/>
      <c r="AQ2717">
        <v>0</v>
      </c>
      <c r="AR2717">
        <v>0</v>
      </c>
      <c r="AT2717">
        <v>0</v>
      </c>
      <c r="AU2717">
        <v>0</v>
      </c>
      <c r="AW2717">
        <v>0</v>
      </c>
      <c r="AX2717">
        <v>0</v>
      </c>
      <c r="AY2717">
        <v>70</v>
      </c>
      <c r="BC2717" t="str">
        <f t="shared" si="412"/>
        <v>9791188630066</v>
      </c>
      <c r="BE2717" t="str">
        <f t="shared" si="409"/>
        <v>판타지 웹소설 &gt; 현대 판타지</v>
      </c>
    </row>
    <row r="2718" spans="1:57" x14ac:dyDescent="0.3">
      <c r="A2718">
        <v>2313003101</v>
      </c>
      <c r="B2718">
        <v>2313003147</v>
      </c>
      <c r="C2718" t="str">
        <f>T("로드 오브 머니 47화")</f>
        <v>로드 오브 머니 47화</v>
      </c>
      <c r="D2718" t="str">
        <f>T("47")</f>
        <v>47</v>
      </c>
      <c r="E2718" t="str">
        <f t="shared" si="410"/>
        <v>무장</v>
      </c>
      <c r="H2718" t="str">
        <f t="shared" si="405"/>
        <v>스토리위즈</v>
      </c>
      <c r="I2718" t="str">
        <f t="shared" si="411"/>
        <v>로드 오브 머니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/>
      <c r="AQ2718">
        <v>0</v>
      </c>
      <c r="AR2718">
        <v>0</v>
      </c>
      <c r="AT2718">
        <v>0</v>
      </c>
      <c r="AU2718">
        <v>0</v>
      </c>
      <c r="AW2718">
        <v>0</v>
      </c>
      <c r="AX2718">
        <v>0</v>
      </c>
      <c r="AY2718">
        <v>70</v>
      </c>
      <c r="BC2718" t="str">
        <f t="shared" si="412"/>
        <v>9791188630066</v>
      </c>
      <c r="BE2718" t="str">
        <f t="shared" si="409"/>
        <v>판타지 웹소설 &gt; 현대 판타지</v>
      </c>
    </row>
    <row r="2719" spans="1:57" x14ac:dyDescent="0.3">
      <c r="A2719">
        <v>2313003101</v>
      </c>
      <c r="B2719">
        <v>2313003148</v>
      </c>
      <c r="C2719" t="str">
        <f>T("로드 오브 머니 48화")</f>
        <v>로드 오브 머니 48화</v>
      </c>
      <c r="D2719" t="str">
        <f>T("48")</f>
        <v>48</v>
      </c>
      <c r="E2719" t="str">
        <f t="shared" si="410"/>
        <v>무장</v>
      </c>
      <c r="H2719" t="str">
        <f t="shared" si="405"/>
        <v>스토리위즈</v>
      </c>
      <c r="I2719" t="str">
        <f t="shared" si="411"/>
        <v>로드 오브 머니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/>
      <c r="AQ2719">
        <v>0</v>
      </c>
      <c r="AR2719">
        <v>0</v>
      </c>
      <c r="AT2719">
        <v>0</v>
      </c>
      <c r="AU2719">
        <v>0</v>
      </c>
      <c r="AW2719">
        <v>0</v>
      </c>
      <c r="AX2719">
        <v>0</v>
      </c>
      <c r="AY2719">
        <v>70</v>
      </c>
      <c r="BC2719" t="str">
        <f t="shared" si="412"/>
        <v>9791188630066</v>
      </c>
      <c r="BE2719" t="str">
        <f t="shared" si="409"/>
        <v>판타지 웹소설 &gt; 현대 판타지</v>
      </c>
    </row>
    <row r="2720" spans="1:57" x14ac:dyDescent="0.3">
      <c r="A2720">
        <v>2313003101</v>
      </c>
      <c r="B2720">
        <v>2313003149</v>
      </c>
      <c r="C2720" t="str">
        <f>T("로드 오브 머니 49화")</f>
        <v>로드 오브 머니 49화</v>
      </c>
      <c r="D2720" t="str">
        <f>T("49")</f>
        <v>49</v>
      </c>
      <c r="E2720" t="str">
        <f t="shared" si="410"/>
        <v>무장</v>
      </c>
      <c r="H2720" t="str">
        <f t="shared" si="405"/>
        <v>스토리위즈</v>
      </c>
      <c r="I2720" t="str">
        <f t="shared" si="411"/>
        <v>로드 오브 머니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/>
      <c r="AQ2720">
        <v>0</v>
      </c>
      <c r="AR2720">
        <v>0</v>
      </c>
      <c r="AT2720">
        <v>0</v>
      </c>
      <c r="AU2720">
        <v>0</v>
      </c>
      <c r="AW2720">
        <v>0</v>
      </c>
      <c r="AX2720">
        <v>0</v>
      </c>
      <c r="AY2720">
        <v>70</v>
      </c>
      <c r="BC2720" t="str">
        <f t="shared" si="412"/>
        <v>9791188630066</v>
      </c>
      <c r="BE2720" t="str">
        <f t="shared" si="409"/>
        <v>판타지 웹소설 &gt; 현대 판타지</v>
      </c>
    </row>
    <row r="2721" spans="1:57" x14ac:dyDescent="0.3">
      <c r="A2721">
        <v>2313003101</v>
      </c>
      <c r="B2721">
        <v>2313003150</v>
      </c>
      <c r="C2721" t="str">
        <f>T("로드 오브 머니 50화")</f>
        <v>로드 오브 머니 50화</v>
      </c>
      <c r="D2721" t="str">
        <f>T("50")</f>
        <v>50</v>
      </c>
      <c r="E2721" t="str">
        <f t="shared" si="410"/>
        <v>무장</v>
      </c>
      <c r="H2721" t="str">
        <f t="shared" si="405"/>
        <v>스토리위즈</v>
      </c>
      <c r="I2721" t="str">
        <f t="shared" si="411"/>
        <v>로드 오브 머니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/>
      <c r="AQ2721">
        <v>0</v>
      </c>
      <c r="AR2721">
        <v>0</v>
      </c>
      <c r="AT2721">
        <v>0</v>
      </c>
      <c r="AU2721">
        <v>0</v>
      </c>
      <c r="AW2721">
        <v>0</v>
      </c>
      <c r="AX2721">
        <v>0</v>
      </c>
      <c r="AY2721">
        <v>70</v>
      </c>
      <c r="BC2721" t="str">
        <f t="shared" si="412"/>
        <v>9791188630066</v>
      </c>
      <c r="BE2721" t="str">
        <f t="shared" si="409"/>
        <v>판타지 웹소설 &gt; 현대 판타지</v>
      </c>
    </row>
    <row r="2722" spans="1:57" x14ac:dyDescent="0.3">
      <c r="A2722">
        <v>2313003101</v>
      </c>
      <c r="B2722">
        <v>2313003151</v>
      </c>
      <c r="C2722" t="str">
        <f>T("로드 오브 머니 51화")</f>
        <v>로드 오브 머니 51화</v>
      </c>
      <c r="D2722" t="str">
        <f>T("51")</f>
        <v>51</v>
      </c>
      <c r="E2722" t="str">
        <f t="shared" si="410"/>
        <v>무장</v>
      </c>
      <c r="H2722" t="str">
        <f t="shared" si="405"/>
        <v>스토리위즈</v>
      </c>
      <c r="I2722" t="str">
        <f t="shared" si="411"/>
        <v>로드 오브 머니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/>
      <c r="AQ2722">
        <v>0</v>
      </c>
      <c r="AR2722">
        <v>0</v>
      </c>
      <c r="AT2722">
        <v>0</v>
      </c>
      <c r="AU2722">
        <v>0</v>
      </c>
      <c r="AW2722">
        <v>0</v>
      </c>
      <c r="AX2722">
        <v>0</v>
      </c>
      <c r="AY2722">
        <v>70</v>
      </c>
      <c r="BC2722" t="str">
        <f t="shared" si="412"/>
        <v>9791188630066</v>
      </c>
      <c r="BE2722" t="str">
        <f t="shared" si="409"/>
        <v>판타지 웹소설 &gt; 현대 판타지</v>
      </c>
    </row>
    <row r="2723" spans="1:57" x14ac:dyDescent="0.3">
      <c r="A2723">
        <v>2313003101</v>
      </c>
      <c r="B2723">
        <v>2313003152</v>
      </c>
      <c r="C2723" t="str">
        <f>T("로드 오브 머니 52화")</f>
        <v>로드 오브 머니 52화</v>
      </c>
      <c r="D2723" t="str">
        <f>T("52")</f>
        <v>52</v>
      </c>
      <c r="E2723" t="str">
        <f t="shared" si="410"/>
        <v>무장</v>
      </c>
      <c r="H2723" t="str">
        <f t="shared" si="405"/>
        <v>스토리위즈</v>
      </c>
      <c r="I2723" t="str">
        <f t="shared" si="411"/>
        <v>로드 오브 머니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/>
      <c r="AQ2723">
        <v>0</v>
      </c>
      <c r="AR2723">
        <v>0</v>
      </c>
      <c r="AT2723">
        <v>0</v>
      </c>
      <c r="AU2723">
        <v>0</v>
      </c>
      <c r="AW2723">
        <v>0</v>
      </c>
      <c r="AX2723">
        <v>0</v>
      </c>
      <c r="AY2723">
        <v>70</v>
      </c>
      <c r="BC2723" t="str">
        <f t="shared" si="412"/>
        <v>9791188630066</v>
      </c>
      <c r="BE2723" t="str">
        <f t="shared" si="409"/>
        <v>판타지 웹소설 &gt; 현대 판타지</v>
      </c>
    </row>
    <row r="2724" spans="1:57" x14ac:dyDescent="0.3">
      <c r="A2724">
        <v>2313003101</v>
      </c>
      <c r="B2724">
        <v>2313003153</v>
      </c>
      <c r="C2724" t="str">
        <f>T("로드 오브 머니 53화")</f>
        <v>로드 오브 머니 53화</v>
      </c>
      <c r="D2724" t="str">
        <f>T("53")</f>
        <v>53</v>
      </c>
      <c r="E2724" t="str">
        <f t="shared" si="410"/>
        <v>무장</v>
      </c>
      <c r="H2724" t="str">
        <f t="shared" si="405"/>
        <v>스토리위즈</v>
      </c>
      <c r="I2724" t="str">
        <f t="shared" si="411"/>
        <v>로드 오브 머니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/>
      <c r="AQ2724">
        <v>0</v>
      </c>
      <c r="AR2724">
        <v>0</v>
      </c>
      <c r="AT2724">
        <v>0</v>
      </c>
      <c r="AU2724">
        <v>0</v>
      </c>
      <c r="AW2724">
        <v>0</v>
      </c>
      <c r="AX2724">
        <v>0</v>
      </c>
      <c r="AY2724">
        <v>70</v>
      </c>
      <c r="BC2724" t="str">
        <f t="shared" si="412"/>
        <v>9791188630066</v>
      </c>
      <c r="BE2724" t="str">
        <f t="shared" si="409"/>
        <v>판타지 웹소설 &gt; 현대 판타지</v>
      </c>
    </row>
    <row r="2725" spans="1:57" x14ac:dyDescent="0.3">
      <c r="A2725">
        <v>2313003101</v>
      </c>
      <c r="B2725">
        <v>2313003154</v>
      </c>
      <c r="C2725" t="str">
        <f>T("로드 오브 머니 54화")</f>
        <v>로드 오브 머니 54화</v>
      </c>
      <c r="D2725" t="str">
        <f>T("54")</f>
        <v>54</v>
      </c>
      <c r="E2725" t="str">
        <f t="shared" si="410"/>
        <v>무장</v>
      </c>
      <c r="H2725" t="str">
        <f t="shared" si="405"/>
        <v>스토리위즈</v>
      </c>
      <c r="I2725" t="str">
        <f t="shared" si="411"/>
        <v>로드 오브 머니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/>
      <c r="AQ2725">
        <v>0</v>
      </c>
      <c r="AR2725">
        <v>0</v>
      </c>
      <c r="AT2725">
        <v>0</v>
      </c>
      <c r="AU2725">
        <v>0</v>
      </c>
      <c r="AW2725">
        <v>0</v>
      </c>
      <c r="AX2725">
        <v>0</v>
      </c>
      <c r="AY2725">
        <v>70</v>
      </c>
      <c r="BC2725" t="str">
        <f t="shared" si="412"/>
        <v>9791188630066</v>
      </c>
      <c r="BE2725" t="str">
        <f t="shared" si="409"/>
        <v>판타지 웹소설 &gt; 현대 판타지</v>
      </c>
    </row>
    <row r="2726" spans="1:57" x14ac:dyDescent="0.3">
      <c r="A2726">
        <v>2313003101</v>
      </c>
      <c r="B2726">
        <v>2313003155</v>
      </c>
      <c r="C2726" t="str">
        <f>T("로드 오브 머니 55화")</f>
        <v>로드 오브 머니 55화</v>
      </c>
      <c r="D2726" t="str">
        <f>T("55")</f>
        <v>55</v>
      </c>
      <c r="E2726" t="str">
        <f t="shared" si="410"/>
        <v>무장</v>
      </c>
      <c r="H2726" t="str">
        <f t="shared" si="405"/>
        <v>스토리위즈</v>
      </c>
      <c r="I2726" t="str">
        <f t="shared" si="411"/>
        <v>로드 오브 머니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/>
      <c r="AQ2726">
        <v>0</v>
      </c>
      <c r="AR2726">
        <v>0</v>
      </c>
      <c r="AT2726">
        <v>0</v>
      </c>
      <c r="AU2726">
        <v>0</v>
      </c>
      <c r="AW2726">
        <v>0</v>
      </c>
      <c r="AX2726">
        <v>0</v>
      </c>
      <c r="AY2726">
        <v>70</v>
      </c>
      <c r="BC2726" t="str">
        <f t="shared" si="412"/>
        <v>9791188630066</v>
      </c>
      <c r="BE2726" t="str">
        <f t="shared" si="409"/>
        <v>판타지 웹소설 &gt; 현대 판타지</v>
      </c>
    </row>
    <row r="2727" spans="1:57" x14ac:dyDescent="0.3">
      <c r="A2727">
        <v>2313003101</v>
      </c>
      <c r="B2727">
        <v>2313003156</v>
      </c>
      <c r="C2727" t="str">
        <f>T("로드 오브 머니 56화")</f>
        <v>로드 오브 머니 56화</v>
      </c>
      <c r="D2727" t="str">
        <f>T("56")</f>
        <v>56</v>
      </c>
      <c r="E2727" t="str">
        <f t="shared" si="410"/>
        <v>무장</v>
      </c>
      <c r="H2727" t="str">
        <f t="shared" si="405"/>
        <v>스토리위즈</v>
      </c>
      <c r="I2727" t="str">
        <f t="shared" si="411"/>
        <v>로드 오브 머니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/>
      <c r="AQ2727">
        <v>0</v>
      </c>
      <c r="AR2727">
        <v>0</v>
      </c>
      <c r="AT2727">
        <v>0</v>
      </c>
      <c r="AU2727">
        <v>0</v>
      </c>
      <c r="AW2727">
        <v>0</v>
      </c>
      <c r="AX2727">
        <v>0</v>
      </c>
      <c r="AY2727">
        <v>70</v>
      </c>
      <c r="BC2727" t="str">
        <f t="shared" si="412"/>
        <v>9791188630066</v>
      </c>
      <c r="BE2727" t="str">
        <f t="shared" si="409"/>
        <v>판타지 웹소설 &gt; 현대 판타지</v>
      </c>
    </row>
    <row r="2728" spans="1:57" x14ac:dyDescent="0.3">
      <c r="A2728">
        <v>2313003101</v>
      </c>
      <c r="B2728">
        <v>2313003157</v>
      </c>
      <c r="C2728" t="str">
        <f>T("로드 오브 머니 57화")</f>
        <v>로드 오브 머니 57화</v>
      </c>
      <c r="D2728" t="str">
        <f>T("57")</f>
        <v>57</v>
      </c>
      <c r="E2728" t="str">
        <f t="shared" si="410"/>
        <v>무장</v>
      </c>
      <c r="H2728" t="str">
        <f t="shared" si="405"/>
        <v>스토리위즈</v>
      </c>
      <c r="I2728" t="str">
        <f t="shared" si="411"/>
        <v>로드 오브 머니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/>
      <c r="AQ2728">
        <v>0</v>
      </c>
      <c r="AR2728">
        <v>0</v>
      </c>
      <c r="AT2728">
        <v>0</v>
      </c>
      <c r="AU2728">
        <v>0</v>
      </c>
      <c r="AW2728">
        <v>0</v>
      </c>
      <c r="AX2728">
        <v>0</v>
      </c>
      <c r="AY2728">
        <v>70</v>
      </c>
      <c r="BC2728" t="str">
        <f t="shared" si="412"/>
        <v>9791188630066</v>
      </c>
      <c r="BE2728" t="str">
        <f t="shared" si="409"/>
        <v>판타지 웹소설 &gt; 현대 판타지</v>
      </c>
    </row>
    <row r="2729" spans="1:57" x14ac:dyDescent="0.3">
      <c r="A2729">
        <v>2313003101</v>
      </c>
      <c r="B2729">
        <v>2313003158</v>
      </c>
      <c r="C2729" t="str">
        <f>T("로드 오브 머니 58화")</f>
        <v>로드 오브 머니 58화</v>
      </c>
      <c r="D2729" t="str">
        <f>T("58")</f>
        <v>58</v>
      </c>
      <c r="E2729" t="str">
        <f t="shared" si="410"/>
        <v>무장</v>
      </c>
      <c r="H2729" t="str">
        <f t="shared" si="405"/>
        <v>스토리위즈</v>
      </c>
      <c r="I2729" t="str">
        <f t="shared" si="411"/>
        <v>로드 오브 머니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/>
      <c r="AQ2729">
        <v>0</v>
      </c>
      <c r="AR2729">
        <v>0</v>
      </c>
      <c r="AT2729">
        <v>0</v>
      </c>
      <c r="AU2729">
        <v>0</v>
      </c>
      <c r="AW2729">
        <v>0</v>
      </c>
      <c r="AX2729">
        <v>0</v>
      </c>
      <c r="AY2729">
        <v>70</v>
      </c>
      <c r="BC2729" t="str">
        <f t="shared" si="412"/>
        <v>9791188630066</v>
      </c>
      <c r="BE2729" t="str">
        <f t="shared" si="409"/>
        <v>판타지 웹소설 &gt; 현대 판타지</v>
      </c>
    </row>
    <row r="2730" spans="1:57" x14ac:dyDescent="0.3">
      <c r="A2730">
        <v>2313003101</v>
      </c>
      <c r="B2730">
        <v>2313003159</v>
      </c>
      <c r="C2730" t="str">
        <f>T("로드 오브 머니 59화")</f>
        <v>로드 오브 머니 59화</v>
      </c>
      <c r="D2730" t="str">
        <f>T("59")</f>
        <v>59</v>
      </c>
      <c r="E2730" t="str">
        <f t="shared" si="410"/>
        <v>무장</v>
      </c>
      <c r="H2730" t="str">
        <f t="shared" si="405"/>
        <v>스토리위즈</v>
      </c>
      <c r="I2730" t="str">
        <f t="shared" si="411"/>
        <v>로드 오브 머니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/>
      <c r="AQ2730">
        <v>0</v>
      </c>
      <c r="AR2730">
        <v>0</v>
      </c>
      <c r="AT2730">
        <v>0</v>
      </c>
      <c r="AU2730">
        <v>0</v>
      </c>
      <c r="AW2730">
        <v>0</v>
      </c>
      <c r="AX2730">
        <v>0</v>
      </c>
      <c r="AY2730">
        <v>70</v>
      </c>
      <c r="BC2730" t="str">
        <f t="shared" si="412"/>
        <v>9791188630066</v>
      </c>
      <c r="BE2730" t="str">
        <f t="shared" si="409"/>
        <v>판타지 웹소설 &gt; 현대 판타지</v>
      </c>
    </row>
    <row r="2731" spans="1:57" x14ac:dyDescent="0.3">
      <c r="A2731">
        <v>2313003101</v>
      </c>
      <c r="B2731">
        <v>2313003160</v>
      </c>
      <c r="C2731" t="str">
        <f>T("로드 오브 머니 60화")</f>
        <v>로드 오브 머니 60화</v>
      </c>
      <c r="D2731" t="str">
        <f>T("60")</f>
        <v>60</v>
      </c>
      <c r="E2731" t="str">
        <f t="shared" si="410"/>
        <v>무장</v>
      </c>
      <c r="H2731" t="str">
        <f t="shared" si="405"/>
        <v>스토리위즈</v>
      </c>
      <c r="I2731" t="str">
        <f t="shared" si="411"/>
        <v>로드 오브 머니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/>
      <c r="AQ2731">
        <v>0</v>
      </c>
      <c r="AR2731">
        <v>0</v>
      </c>
      <c r="AT2731">
        <v>0</v>
      </c>
      <c r="AU2731">
        <v>0</v>
      </c>
      <c r="AW2731">
        <v>0</v>
      </c>
      <c r="AX2731">
        <v>0</v>
      </c>
      <c r="AY2731">
        <v>70</v>
      </c>
      <c r="BC2731" t="str">
        <f t="shared" si="412"/>
        <v>9791188630066</v>
      </c>
      <c r="BE2731" t="str">
        <f t="shared" si="409"/>
        <v>판타지 웹소설 &gt; 현대 판타지</v>
      </c>
    </row>
    <row r="2732" spans="1:57" x14ac:dyDescent="0.3">
      <c r="A2732">
        <v>2313003101</v>
      </c>
      <c r="B2732">
        <v>2313003161</v>
      </c>
      <c r="C2732" t="str">
        <f>T("로드 오브 머니 61화")</f>
        <v>로드 오브 머니 61화</v>
      </c>
      <c r="D2732" t="str">
        <f>T("61")</f>
        <v>61</v>
      </c>
      <c r="E2732" t="str">
        <f t="shared" si="410"/>
        <v>무장</v>
      </c>
      <c r="H2732" t="str">
        <f t="shared" si="405"/>
        <v>스토리위즈</v>
      </c>
      <c r="I2732" t="str">
        <f t="shared" si="411"/>
        <v>로드 오브 머니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/>
      <c r="AQ2732">
        <v>0</v>
      </c>
      <c r="AR2732">
        <v>0</v>
      </c>
      <c r="AT2732">
        <v>0</v>
      </c>
      <c r="AU2732">
        <v>0</v>
      </c>
      <c r="AW2732">
        <v>0</v>
      </c>
      <c r="AX2732">
        <v>0</v>
      </c>
      <c r="AY2732">
        <v>70</v>
      </c>
      <c r="BC2732" t="str">
        <f t="shared" si="412"/>
        <v>9791188630066</v>
      </c>
      <c r="BE2732" t="str">
        <f t="shared" si="409"/>
        <v>판타지 웹소설 &gt; 현대 판타지</v>
      </c>
    </row>
    <row r="2733" spans="1:57" x14ac:dyDescent="0.3">
      <c r="A2733">
        <v>2313003101</v>
      </c>
      <c r="B2733">
        <v>2313003162</v>
      </c>
      <c r="C2733" t="str">
        <f>T("로드 오브 머니 62화")</f>
        <v>로드 오브 머니 62화</v>
      </c>
      <c r="D2733" t="str">
        <f>T("62")</f>
        <v>62</v>
      </c>
      <c r="E2733" t="str">
        <f t="shared" si="410"/>
        <v>무장</v>
      </c>
      <c r="H2733" t="str">
        <f t="shared" si="405"/>
        <v>스토리위즈</v>
      </c>
      <c r="I2733" t="str">
        <f t="shared" si="411"/>
        <v>로드 오브 머니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/>
      <c r="AQ2733">
        <v>0</v>
      </c>
      <c r="AR2733">
        <v>0</v>
      </c>
      <c r="AT2733">
        <v>0</v>
      </c>
      <c r="AU2733">
        <v>0</v>
      </c>
      <c r="AW2733">
        <v>0</v>
      </c>
      <c r="AX2733">
        <v>0</v>
      </c>
      <c r="AY2733">
        <v>70</v>
      </c>
      <c r="BC2733" t="str">
        <f t="shared" si="412"/>
        <v>9791188630066</v>
      </c>
      <c r="BE2733" t="str">
        <f t="shared" si="409"/>
        <v>판타지 웹소설 &gt; 현대 판타지</v>
      </c>
    </row>
    <row r="2734" spans="1:57" x14ac:dyDescent="0.3">
      <c r="A2734">
        <v>2313003101</v>
      </c>
      <c r="B2734">
        <v>2313003250</v>
      </c>
      <c r="C2734" t="str">
        <f>T("로드 오브 머니 150화")</f>
        <v>로드 오브 머니 150화</v>
      </c>
      <c r="D2734" t="str">
        <f>T("150")</f>
        <v>150</v>
      </c>
      <c r="E2734" t="str">
        <f t="shared" si="410"/>
        <v>무장</v>
      </c>
      <c r="H2734" t="str">
        <f t="shared" si="405"/>
        <v>스토리위즈</v>
      </c>
      <c r="I2734" t="str">
        <f t="shared" si="411"/>
        <v>로드 오브 머니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/>
      <c r="AQ2734">
        <v>0</v>
      </c>
      <c r="AR2734">
        <v>0</v>
      </c>
      <c r="AT2734">
        <v>0</v>
      </c>
      <c r="AU2734">
        <v>0</v>
      </c>
      <c r="AW2734">
        <v>0</v>
      </c>
      <c r="AX2734">
        <v>0</v>
      </c>
      <c r="AY2734">
        <v>70</v>
      </c>
      <c r="BC2734" t="str">
        <f t="shared" si="412"/>
        <v>9791188630066</v>
      </c>
      <c r="BE2734" t="str">
        <f t="shared" si="409"/>
        <v>판타지 웹소설 &gt; 현대 판타지</v>
      </c>
    </row>
    <row r="2735" spans="1:57" x14ac:dyDescent="0.3">
      <c r="A2735">
        <v>2313003101</v>
      </c>
      <c r="B2735">
        <v>2313003251</v>
      </c>
      <c r="C2735" t="str">
        <f>T("로드 오브 머니 151화")</f>
        <v>로드 오브 머니 151화</v>
      </c>
      <c r="D2735" t="str">
        <f>T("151")</f>
        <v>151</v>
      </c>
      <c r="E2735" t="str">
        <f t="shared" si="410"/>
        <v>무장</v>
      </c>
      <c r="H2735" t="str">
        <f t="shared" si="405"/>
        <v>스토리위즈</v>
      </c>
      <c r="I2735" t="str">
        <f t="shared" si="411"/>
        <v>로드 오브 머니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/>
      <c r="AQ2735">
        <v>0</v>
      </c>
      <c r="AR2735">
        <v>0</v>
      </c>
      <c r="AT2735">
        <v>0</v>
      </c>
      <c r="AU2735">
        <v>0</v>
      </c>
      <c r="AW2735">
        <v>0</v>
      </c>
      <c r="AX2735">
        <v>0</v>
      </c>
      <c r="AY2735">
        <v>70</v>
      </c>
      <c r="BC2735" t="str">
        <f t="shared" si="412"/>
        <v>9791188630066</v>
      </c>
      <c r="BE2735" t="str">
        <f t="shared" si="409"/>
        <v>판타지 웹소설 &gt; 현대 판타지</v>
      </c>
    </row>
    <row r="2736" spans="1:57" x14ac:dyDescent="0.3">
      <c r="A2736">
        <v>2313003101</v>
      </c>
      <c r="B2736">
        <v>2313003252</v>
      </c>
      <c r="C2736" t="str">
        <f>T("로드 오브 머니 152화")</f>
        <v>로드 오브 머니 152화</v>
      </c>
      <c r="D2736" t="str">
        <f>T("152")</f>
        <v>152</v>
      </c>
      <c r="E2736" t="str">
        <f t="shared" si="410"/>
        <v>무장</v>
      </c>
      <c r="H2736" t="str">
        <f t="shared" si="405"/>
        <v>스토리위즈</v>
      </c>
      <c r="I2736" t="str">
        <f t="shared" si="411"/>
        <v>로드 오브 머니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/>
      <c r="AQ2736">
        <v>0</v>
      </c>
      <c r="AR2736">
        <v>0</v>
      </c>
      <c r="AT2736">
        <v>0</v>
      </c>
      <c r="AU2736">
        <v>0</v>
      </c>
      <c r="AW2736">
        <v>0</v>
      </c>
      <c r="AX2736">
        <v>0</v>
      </c>
      <c r="AY2736">
        <v>70</v>
      </c>
      <c r="BC2736" t="str">
        <f t="shared" si="412"/>
        <v>9791188630066</v>
      </c>
      <c r="BE2736" t="str">
        <f t="shared" si="409"/>
        <v>판타지 웹소설 &gt; 현대 판타지</v>
      </c>
    </row>
    <row r="2737" spans="1:57" x14ac:dyDescent="0.3">
      <c r="A2737">
        <v>2313003101</v>
      </c>
      <c r="B2737">
        <v>2313003253</v>
      </c>
      <c r="C2737" t="str">
        <f>T("로드 오브 머니 153화")</f>
        <v>로드 오브 머니 153화</v>
      </c>
      <c r="D2737" t="str">
        <f>T("153")</f>
        <v>153</v>
      </c>
      <c r="E2737" t="str">
        <f t="shared" si="410"/>
        <v>무장</v>
      </c>
      <c r="H2737" t="str">
        <f t="shared" si="405"/>
        <v>스토리위즈</v>
      </c>
      <c r="I2737" t="str">
        <f t="shared" si="411"/>
        <v>로드 오브 머니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/>
      <c r="AQ2737">
        <v>0</v>
      </c>
      <c r="AR2737">
        <v>0</v>
      </c>
      <c r="AT2737">
        <v>0</v>
      </c>
      <c r="AU2737">
        <v>0</v>
      </c>
      <c r="AW2737">
        <v>0</v>
      </c>
      <c r="AX2737">
        <v>0</v>
      </c>
      <c r="AY2737">
        <v>70</v>
      </c>
      <c r="BC2737" t="str">
        <f t="shared" si="412"/>
        <v>9791188630066</v>
      </c>
      <c r="BE2737" t="str">
        <f t="shared" si="409"/>
        <v>판타지 웹소설 &gt; 현대 판타지</v>
      </c>
    </row>
    <row r="2738" spans="1:57" x14ac:dyDescent="0.3">
      <c r="A2738">
        <v>2313003101</v>
      </c>
      <c r="B2738">
        <v>2313003254</v>
      </c>
      <c r="C2738" t="str">
        <f>T("로드 오브 머니 154화")</f>
        <v>로드 오브 머니 154화</v>
      </c>
      <c r="D2738" t="str">
        <f>T("154")</f>
        <v>154</v>
      </c>
      <c r="E2738" t="str">
        <f t="shared" si="410"/>
        <v>무장</v>
      </c>
      <c r="H2738" t="str">
        <f t="shared" si="405"/>
        <v>스토리위즈</v>
      </c>
      <c r="I2738" t="str">
        <f t="shared" si="411"/>
        <v>로드 오브 머니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/>
      <c r="AQ2738">
        <v>0</v>
      </c>
      <c r="AR2738">
        <v>0</v>
      </c>
      <c r="AT2738">
        <v>0</v>
      </c>
      <c r="AU2738">
        <v>0</v>
      </c>
      <c r="AW2738">
        <v>0</v>
      </c>
      <c r="AX2738">
        <v>0</v>
      </c>
      <c r="AY2738">
        <v>70</v>
      </c>
      <c r="BC2738" t="str">
        <f t="shared" si="412"/>
        <v>9791188630066</v>
      </c>
      <c r="BE2738" t="str">
        <f t="shared" si="409"/>
        <v>판타지 웹소설 &gt; 현대 판타지</v>
      </c>
    </row>
    <row r="2739" spans="1:57" x14ac:dyDescent="0.3">
      <c r="A2739">
        <v>2313003101</v>
      </c>
      <c r="B2739">
        <v>2313003255</v>
      </c>
      <c r="C2739" t="str">
        <f>T("로드 오브 머니 155화")</f>
        <v>로드 오브 머니 155화</v>
      </c>
      <c r="D2739" t="str">
        <f>T("155")</f>
        <v>155</v>
      </c>
      <c r="E2739" t="str">
        <f t="shared" si="410"/>
        <v>무장</v>
      </c>
      <c r="H2739" t="str">
        <f t="shared" si="405"/>
        <v>스토리위즈</v>
      </c>
      <c r="I2739" t="str">
        <f t="shared" si="411"/>
        <v>로드 오브 머니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/>
      <c r="AQ2739">
        <v>0</v>
      </c>
      <c r="AR2739">
        <v>0</v>
      </c>
      <c r="AT2739">
        <v>0</v>
      </c>
      <c r="AU2739">
        <v>0</v>
      </c>
      <c r="AW2739">
        <v>0</v>
      </c>
      <c r="AX2739">
        <v>0</v>
      </c>
      <c r="AY2739">
        <v>70</v>
      </c>
      <c r="BC2739" t="str">
        <f t="shared" si="412"/>
        <v>9791188630066</v>
      </c>
      <c r="BE2739" t="str">
        <f t="shared" si="409"/>
        <v>판타지 웹소설 &gt; 현대 판타지</v>
      </c>
    </row>
    <row r="2740" spans="1:57" x14ac:dyDescent="0.3">
      <c r="A2740">
        <v>2313003101</v>
      </c>
      <c r="B2740">
        <v>2313003256</v>
      </c>
      <c r="C2740" t="str">
        <f>T("로드 오브 머니 156화")</f>
        <v>로드 오브 머니 156화</v>
      </c>
      <c r="D2740" t="str">
        <f>T("156")</f>
        <v>156</v>
      </c>
      <c r="E2740" t="str">
        <f t="shared" si="410"/>
        <v>무장</v>
      </c>
      <c r="H2740" t="str">
        <f t="shared" si="405"/>
        <v>스토리위즈</v>
      </c>
      <c r="I2740" t="str">
        <f t="shared" si="411"/>
        <v>로드 오브 머니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/>
      <c r="AQ2740">
        <v>0</v>
      </c>
      <c r="AR2740">
        <v>0</v>
      </c>
      <c r="AT2740">
        <v>0</v>
      </c>
      <c r="AU2740">
        <v>0</v>
      </c>
      <c r="AW2740">
        <v>0</v>
      </c>
      <c r="AX2740">
        <v>0</v>
      </c>
      <c r="AY2740">
        <v>70</v>
      </c>
      <c r="BC2740" t="str">
        <f t="shared" si="412"/>
        <v>9791188630066</v>
      </c>
      <c r="BE2740" t="str">
        <f t="shared" si="409"/>
        <v>판타지 웹소설 &gt; 현대 판타지</v>
      </c>
    </row>
    <row r="2741" spans="1:57" x14ac:dyDescent="0.3">
      <c r="A2741">
        <v>2313003101</v>
      </c>
      <c r="B2741">
        <v>2313003257</v>
      </c>
      <c r="C2741" t="str">
        <f>T("로드 오브 머니 157화")</f>
        <v>로드 오브 머니 157화</v>
      </c>
      <c r="D2741" t="str">
        <f>T("157")</f>
        <v>157</v>
      </c>
      <c r="E2741" t="str">
        <f t="shared" si="410"/>
        <v>무장</v>
      </c>
      <c r="H2741" t="str">
        <f t="shared" si="405"/>
        <v>스토리위즈</v>
      </c>
      <c r="I2741" t="str">
        <f t="shared" si="411"/>
        <v>로드 오브 머니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/>
      <c r="AQ2741">
        <v>0</v>
      </c>
      <c r="AR2741">
        <v>0</v>
      </c>
      <c r="AT2741">
        <v>0</v>
      </c>
      <c r="AU2741">
        <v>0</v>
      </c>
      <c r="AW2741">
        <v>0</v>
      </c>
      <c r="AX2741">
        <v>0</v>
      </c>
      <c r="AY2741">
        <v>70</v>
      </c>
      <c r="BC2741" t="str">
        <f t="shared" si="412"/>
        <v>9791188630066</v>
      </c>
      <c r="BE2741" t="str">
        <f t="shared" si="409"/>
        <v>판타지 웹소설 &gt; 현대 판타지</v>
      </c>
    </row>
    <row r="2742" spans="1:57" x14ac:dyDescent="0.3">
      <c r="A2742">
        <v>2313003101</v>
      </c>
      <c r="B2742">
        <v>2313003258</v>
      </c>
      <c r="C2742" t="str">
        <f>T("로드 오브 머니 158화")</f>
        <v>로드 오브 머니 158화</v>
      </c>
      <c r="D2742" t="str">
        <f>T("158")</f>
        <v>158</v>
      </c>
      <c r="E2742" t="str">
        <f t="shared" si="410"/>
        <v>무장</v>
      </c>
      <c r="H2742" t="str">
        <f t="shared" si="405"/>
        <v>스토리위즈</v>
      </c>
      <c r="I2742" t="str">
        <f t="shared" si="411"/>
        <v>로드 오브 머니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/>
      <c r="AQ2742">
        <v>0</v>
      </c>
      <c r="AR2742">
        <v>0</v>
      </c>
      <c r="AT2742">
        <v>0</v>
      </c>
      <c r="AU2742">
        <v>0</v>
      </c>
      <c r="AW2742">
        <v>0</v>
      </c>
      <c r="AX2742">
        <v>0</v>
      </c>
      <c r="AY2742">
        <v>70</v>
      </c>
      <c r="BC2742" t="str">
        <f t="shared" si="412"/>
        <v>9791188630066</v>
      </c>
      <c r="BE2742" t="str">
        <f t="shared" si="409"/>
        <v>판타지 웹소설 &gt; 현대 판타지</v>
      </c>
    </row>
    <row r="2743" spans="1:57" x14ac:dyDescent="0.3">
      <c r="A2743">
        <v>2313003101</v>
      </c>
      <c r="B2743">
        <v>2313003259</v>
      </c>
      <c r="C2743" t="str">
        <f>T("로드 오브 머니 159화")</f>
        <v>로드 오브 머니 159화</v>
      </c>
      <c r="D2743" t="str">
        <f>T("159")</f>
        <v>159</v>
      </c>
      <c r="E2743" t="str">
        <f t="shared" si="410"/>
        <v>무장</v>
      </c>
      <c r="H2743" t="str">
        <f t="shared" si="405"/>
        <v>스토리위즈</v>
      </c>
      <c r="I2743" t="str">
        <f t="shared" si="411"/>
        <v>로드 오브 머니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/>
      <c r="AQ2743">
        <v>0</v>
      </c>
      <c r="AR2743">
        <v>0</v>
      </c>
      <c r="AT2743">
        <v>0</v>
      </c>
      <c r="AU2743">
        <v>0</v>
      </c>
      <c r="AW2743">
        <v>0</v>
      </c>
      <c r="AX2743">
        <v>0</v>
      </c>
      <c r="AY2743">
        <v>70</v>
      </c>
      <c r="BC2743" t="str">
        <f t="shared" si="412"/>
        <v>9791188630066</v>
      </c>
      <c r="BE2743" t="str">
        <f t="shared" si="409"/>
        <v>판타지 웹소설 &gt; 현대 판타지</v>
      </c>
    </row>
    <row r="2744" spans="1:57" x14ac:dyDescent="0.3">
      <c r="A2744">
        <v>2313003101</v>
      </c>
      <c r="B2744">
        <v>2313003260</v>
      </c>
      <c r="C2744" t="str">
        <f>T("로드 오브 머니 160화")</f>
        <v>로드 오브 머니 160화</v>
      </c>
      <c r="D2744" t="str">
        <f>T("160")</f>
        <v>160</v>
      </c>
      <c r="E2744" t="str">
        <f t="shared" si="410"/>
        <v>무장</v>
      </c>
      <c r="H2744" t="str">
        <f t="shared" ref="H2744:H2807" si="413">T("스토리위즈")</f>
        <v>스토리위즈</v>
      </c>
      <c r="I2744" t="str">
        <f t="shared" si="411"/>
        <v>로드 오브 머니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/>
      <c r="AQ2744">
        <v>0</v>
      </c>
      <c r="AR2744">
        <v>0</v>
      </c>
      <c r="AT2744">
        <v>0</v>
      </c>
      <c r="AU2744">
        <v>0</v>
      </c>
      <c r="AW2744">
        <v>0</v>
      </c>
      <c r="AX2744">
        <v>0</v>
      </c>
      <c r="AY2744">
        <v>70</v>
      </c>
      <c r="BC2744" t="str">
        <f t="shared" si="412"/>
        <v>9791188630066</v>
      </c>
      <c r="BE2744" t="str">
        <f t="shared" si="409"/>
        <v>판타지 웹소설 &gt; 현대 판타지</v>
      </c>
    </row>
    <row r="2745" spans="1:57" x14ac:dyDescent="0.3">
      <c r="A2745">
        <v>2313003101</v>
      </c>
      <c r="B2745">
        <v>2313003261</v>
      </c>
      <c r="C2745" t="str">
        <f>T("로드 오브 머니 161화")</f>
        <v>로드 오브 머니 161화</v>
      </c>
      <c r="D2745" t="str">
        <f>T("161")</f>
        <v>161</v>
      </c>
      <c r="E2745" t="str">
        <f t="shared" si="410"/>
        <v>무장</v>
      </c>
      <c r="H2745" t="str">
        <f t="shared" si="413"/>
        <v>스토리위즈</v>
      </c>
      <c r="I2745" t="str">
        <f t="shared" si="411"/>
        <v>로드 오브 머니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/>
      <c r="AQ2745">
        <v>0</v>
      </c>
      <c r="AR2745">
        <v>0</v>
      </c>
      <c r="AT2745">
        <v>0</v>
      </c>
      <c r="AU2745">
        <v>0</v>
      </c>
      <c r="AW2745">
        <v>0</v>
      </c>
      <c r="AX2745">
        <v>0</v>
      </c>
      <c r="AY2745">
        <v>70</v>
      </c>
      <c r="BC2745" t="str">
        <f t="shared" si="412"/>
        <v>9791188630066</v>
      </c>
      <c r="BE2745" t="str">
        <f t="shared" si="409"/>
        <v>판타지 웹소설 &gt; 현대 판타지</v>
      </c>
    </row>
    <row r="2746" spans="1:57" x14ac:dyDescent="0.3">
      <c r="A2746">
        <v>2313003101</v>
      </c>
      <c r="B2746">
        <v>2313003262</v>
      </c>
      <c r="C2746" t="str">
        <f>T("로드 오브 머니 162화")</f>
        <v>로드 오브 머니 162화</v>
      </c>
      <c r="D2746" t="str">
        <f>T("162")</f>
        <v>162</v>
      </c>
      <c r="E2746" t="str">
        <f t="shared" si="410"/>
        <v>무장</v>
      </c>
      <c r="H2746" t="str">
        <f t="shared" si="413"/>
        <v>스토리위즈</v>
      </c>
      <c r="I2746" t="str">
        <f t="shared" si="411"/>
        <v>로드 오브 머니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/>
      <c r="AQ2746">
        <v>0</v>
      </c>
      <c r="AR2746">
        <v>0</v>
      </c>
      <c r="AT2746">
        <v>0</v>
      </c>
      <c r="AU2746">
        <v>0</v>
      </c>
      <c r="AW2746">
        <v>0</v>
      </c>
      <c r="AX2746">
        <v>0</v>
      </c>
      <c r="AY2746">
        <v>70</v>
      </c>
      <c r="BC2746" t="str">
        <f t="shared" si="412"/>
        <v>9791188630066</v>
      </c>
      <c r="BE2746" t="str">
        <f t="shared" si="409"/>
        <v>판타지 웹소설 &gt; 현대 판타지</v>
      </c>
    </row>
    <row r="2747" spans="1:57" x14ac:dyDescent="0.3">
      <c r="A2747">
        <v>2313003101</v>
      </c>
      <c r="B2747">
        <v>2313003263</v>
      </c>
      <c r="C2747" t="str">
        <f>T("로드 오브 머니 163화")</f>
        <v>로드 오브 머니 163화</v>
      </c>
      <c r="D2747" t="str">
        <f>T("163")</f>
        <v>163</v>
      </c>
      <c r="E2747" t="str">
        <f t="shared" si="410"/>
        <v>무장</v>
      </c>
      <c r="H2747" t="str">
        <f t="shared" si="413"/>
        <v>스토리위즈</v>
      </c>
      <c r="I2747" t="str">
        <f t="shared" si="411"/>
        <v>로드 오브 머니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/>
      <c r="AQ2747">
        <v>0</v>
      </c>
      <c r="AR2747">
        <v>0</v>
      </c>
      <c r="AT2747">
        <v>0</v>
      </c>
      <c r="AU2747">
        <v>0</v>
      </c>
      <c r="AW2747">
        <v>0</v>
      </c>
      <c r="AX2747">
        <v>0</v>
      </c>
      <c r="AY2747">
        <v>70</v>
      </c>
      <c r="BC2747" t="str">
        <f t="shared" si="412"/>
        <v>9791188630066</v>
      </c>
      <c r="BE2747" t="str">
        <f t="shared" si="409"/>
        <v>판타지 웹소설 &gt; 현대 판타지</v>
      </c>
    </row>
    <row r="2748" spans="1:57" x14ac:dyDescent="0.3">
      <c r="A2748">
        <v>2313003101</v>
      </c>
      <c r="B2748">
        <v>2313003264</v>
      </c>
      <c r="C2748" t="str">
        <f>T("로드 오브 머니 164화")</f>
        <v>로드 오브 머니 164화</v>
      </c>
      <c r="D2748" t="str">
        <f>T("164")</f>
        <v>164</v>
      </c>
      <c r="E2748" t="str">
        <f t="shared" si="410"/>
        <v>무장</v>
      </c>
      <c r="H2748" t="str">
        <f t="shared" si="413"/>
        <v>스토리위즈</v>
      </c>
      <c r="I2748" t="str">
        <f t="shared" si="411"/>
        <v>로드 오브 머니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/>
      <c r="AQ2748">
        <v>0</v>
      </c>
      <c r="AR2748">
        <v>0</v>
      </c>
      <c r="AT2748">
        <v>0</v>
      </c>
      <c r="AU2748">
        <v>0</v>
      </c>
      <c r="AW2748">
        <v>0</v>
      </c>
      <c r="AX2748">
        <v>0</v>
      </c>
      <c r="AY2748">
        <v>70</v>
      </c>
      <c r="BC2748" t="str">
        <f t="shared" si="412"/>
        <v>9791188630066</v>
      </c>
      <c r="BE2748" t="str">
        <f t="shared" si="409"/>
        <v>판타지 웹소설 &gt; 현대 판타지</v>
      </c>
    </row>
    <row r="2749" spans="1:57" x14ac:dyDescent="0.3">
      <c r="A2749">
        <v>2313003101</v>
      </c>
      <c r="B2749">
        <v>2313003265</v>
      </c>
      <c r="C2749" t="str">
        <f>T("로드 오브 머니 165화")</f>
        <v>로드 오브 머니 165화</v>
      </c>
      <c r="D2749" t="str">
        <f>T("165")</f>
        <v>165</v>
      </c>
      <c r="E2749" t="str">
        <f t="shared" si="410"/>
        <v>무장</v>
      </c>
      <c r="H2749" t="str">
        <f t="shared" si="413"/>
        <v>스토리위즈</v>
      </c>
      <c r="I2749" t="str">
        <f t="shared" si="411"/>
        <v>로드 오브 머니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/>
      <c r="AQ2749">
        <v>0</v>
      </c>
      <c r="AR2749">
        <v>0</v>
      </c>
      <c r="AT2749">
        <v>0</v>
      </c>
      <c r="AU2749">
        <v>0</v>
      </c>
      <c r="AW2749">
        <v>0</v>
      </c>
      <c r="AX2749">
        <v>0</v>
      </c>
      <c r="AY2749">
        <v>70</v>
      </c>
      <c r="BC2749" t="str">
        <f t="shared" si="412"/>
        <v>9791188630066</v>
      </c>
      <c r="BE2749" t="str">
        <f t="shared" si="409"/>
        <v>판타지 웹소설 &gt; 현대 판타지</v>
      </c>
    </row>
    <row r="2750" spans="1:57" x14ac:dyDescent="0.3">
      <c r="A2750">
        <v>2313003101</v>
      </c>
      <c r="B2750">
        <v>2313003266</v>
      </c>
      <c r="C2750" t="str">
        <f>T("로드 오브 머니 166화")</f>
        <v>로드 오브 머니 166화</v>
      </c>
      <c r="D2750" t="str">
        <f>T("166")</f>
        <v>166</v>
      </c>
      <c r="E2750" t="str">
        <f t="shared" si="410"/>
        <v>무장</v>
      </c>
      <c r="H2750" t="str">
        <f t="shared" si="413"/>
        <v>스토리위즈</v>
      </c>
      <c r="I2750" t="str">
        <f t="shared" si="411"/>
        <v>로드 오브 머니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/>
      <c r="AQ2750">
        <v>0</v>
      </c>
      <c r="AR2750">
        <v>0</v>
      </c>
      <c r="AT2750">
        <v>0</v>
      </c>
      <c r="AU2750">
        <v>0</v>
      </c>
      <c r="AW2750">
        <v>0</v>
      </c>
      <c r="AX2750">
        <v>0</v>
      </c>
      <c r="AY2750">
        <v>70</v>
      </c>
      <c r="BC2750" t="str">
        <f t="shared" si="412"/>
        <v>9791188630066</v>
      </c>
      <c r="BE2750" t="str">
        <f t="shared" si="409"/>
        <v>판타지 웹소설 &gt; 현대 판타지</v>
      </c>
    </row>
    <row r="2751" spans="1:57" x14ac:dyDescent="0.3">
      <c r="A2751">
        <v>2313003101</v>
      </c>
      <c r="B2751">
        <v>2313003267</v>
      </c>
      <c r="C2751" t="str">
        <f>T("로드 오브 머니 167화")</f>
        <v>로드 오브 머니 167화</v>
      </c>
      <c r="D2751" t="str">
        <f>T("167")</f>
        <v>167</v>
      </c>
      <c r="E2751" t="str">
        <f t="shared" si="410"/>
        <v>무장</v>
      </c>
      <c r="H2751" t="str">
        <f t="shared" si="413"/>
        <v>스토리위즈</v>
      </c>
      <c r="I2751" t="str">
        <f t="shared" si="411"/>
        <v>로드 오브 머니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/>
      <c r="AQ2751">
        <v>0</v>
      </c>
      <c r="AR2751">
        <v>0</v>
      </c>
      <c r="AT2751">
        <v>0</v>
      </c>
      <c r="AU2751">
        <v>0</v>
      </c>
      <c r="AW2751">
        <v>0</v>
      </c>
      <c r="AX2751">
        <v>0</v>
      </c>
      <c r="AY2751">
        <v>70</v>
      </c>
      <c r="BC2751" t="str">
        <f t="shared" si="412"/>
        <v>9791188630066</v>
      </c>
      <c r="BE2751" t="str">
        <f t="shared" si="409"/>
        <v>판타지 웹소설 &gt; 현대 판타지</v>
      </c>
    </row>
    <row r="2752" spans="1:57" x14ac:dyDescent="0.3">
      <c r="A2752">
        <v>2313003101</v>
      </c>
      <c r="B2752">
        <v>2313003268</v>
      </c>
      <c r="C2752" t="str">
        <f>T("로드 오브 머니 168화")</f>
        <v>로드 오브 머니 168화</v>
      </c>
      <c r="D2752" t="str">
        <f>T("168")</f>
        <v>168</v>
      </c>
      <c r="E2752" t="str">
        <f t="shared" si="410"/>
        <v>무장</v>
      </c>
      <c r="H2752" t="str">
        <f t="shared" si="413"/>
        <v>스토리위즈</v>
      </c>
      <c r="I2752" t="str">
        <f t="shared" si="411"/>
        <v>로드 오브 머니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/>
      <c r="AQ2752">
        <v>0</v>
      </c>
      <c r="AR2752">
        <v>0</v>
      </c>
      <c r="AT2752">
        <v>0</v>
      </c>
      <c r="AU2752">
        <v>0</v>
      </c>
      <c r="AW2752">
        <v>0</v>
      </c>
      <c r="AX2752">
        <v>0</v>
      </c>
      <c r="AY2752">
        <v>70</v>
      </c>
      <c r="BC2752" t="str">
        <f t="shared" si="412"/>
        <v>9791188630066</v>
      </c>
      <c r="BE2752" t="str">
        <f t="shared" si="409"/>
        <v>판타지 웹소설 &gt; 현대 판타지</v>
      </c>
    </row>
    <row r="2753" spans="1:57" x14ac:dyDescent="0.3">
      <c r="A2753">
        <v>2313003101</v>
      </c>
      <c r="B2753">
        <v>2313003269</v>
      </c>
      <c r="C2753" t="str">
        <f>T("로드 오브 머니 169화")</f>
        <v>로드 오브 머니 169화</v>
      </c>
      <c r="D2753" t="str">
        <f>T("169")</f>
        <v>169</v>
      </c>
      <c r="E2753" t="str">
        <f t="shared" si="410"/>
        <v>무장</v>
      </c>
      <c r="H2753" t="str">
        <f t="shared" si="413"/>
        <v>스토리위즈</v>
      </c>
      <c r="I2753" t="str">
        <f t="shared" si="411"/>
        <v>로드 오브 머니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/>
      <c r="AQ2753">
        <v>0</v>
      </c>
      <c r="AR2753">
        <v>0</v>
      </c>
      <c r="AT2753">
        <v>0</v>
      </c>
      <c r="AU2753">
        <v>0</v>
      </c>
      <c r="AW2753">
        <v>0</v>
      </c>
      <c r="AX2753">
        <v>0</v>
      </c>
      <c r="AY2753">
        <v>70</v>
      </c>
      <c r="BC2753" t="str">
        <f t="shared" si="412"/>
        <v>9791188630066</v>
      </c>
      <c r="BE2753" t="str">
        <f t="shared" ref="BE2753:BE2816" si="414">T("판타지 웹소설 &gt; 현대 판타지")</f>
        <v>판타지 웹소설 &gt; 현대 판타지</v>
      </c>
    </row>
    <row r="2754" spans="1:57" x14ac:dyDescent="0.3">
      <c r="A2754">
        <v>2313003101</v>
      </c>
      <c r="B2754">
        <v>2313003270</v>
      </c>
      <c r="C2754" t="str">
        <f>T("로드 오브 머니 170화")</f>
        <v>로드 오브 머니 170화</v>
      </c>
      <c r="D2754" t="str">
        <f>T("170")</f>
        <v>170</v>
      </c>
      <c r="E2754" t="str">
        <f t="shared" si="410"/>
        <v>무장</v>
      </c>
      <c r="H2754" t="str">
        <f t="shared" si="413"/>
        <v>스토리위즈</v>
      </c>
      <c r="I2754" t="str">
        <f t="shared" si="411"/>
        <v>로드 오브 머니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/>
      <c r="AQ2754">
        <v>0</v>
      </c>
      <c r="AR2754">
        <v>0</v>
      </c>
      <c r="AT2754">
        <v>0</v>
      </c>
      <c r="AU2754">
        <v>0</v>
      </c>
      <c r="AW2754">
        <v>0</v>
      </c>
      <c r="AX2754">
        <v>0</v>
      </c>
      <c r="AY2754">
        <v>70</v>
      </c>
      <c r="BC2754" t="str">
        <f t="shared" si="412"/>
        <v>9791188630066</v>
      </c>
      <c r="BE2754" t="str">
        <f t="shared" si="414"/>
        <v>판타지 웹소설 &gt; 현대 판타지</v>
      </c>
    </row>
    <row r="2755" spans="1:57" x14ac:dyDescent="0.3">
      <c r="A2755">
        <v>2313003101</v>
      </c>
      <c r="B2755">
        <v>2313003271</v>
      </c>
      <c r="C2755" t="str">
        <f>T("로드 오브 머니 171화")</f>
        <v>로드 오브 머니 171화</v>
      </c>
      <c r="D2755" t="str">
        <f>T("171")</f>
        <v>171</v>
      </c>
      <c r="E2755" t="str">
        <f t="shared" si="410"/>
        <v>무장</v>
      </c>
      <c r="H2755" t="str">
        <f t="shared" si="413"/>
        <v>스토리위즈</v>
      </c>
      <c r="I2755" t="str">
        <f t="shared" si="411"/>
        <v>로드 오브 머니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/>
      <c r="AQ2755">
        <v>0</v>
      </c>
      <c r="AR2755">
        <v>0</v>
      </c>
      <c r="AT2755">
        <v>0</v>
      </c>
      <c r="AU2755">
        <v>0</v>
      </c>
      <c r="AW2755">
        <v>0</v>
      </c>
      <c r="AX2755">
        <v>0</v>
      </c>
      <c r="AY2755">
        <v>70</v>
      </c>
      <c r="BC2755" t="str">
        <f t="shared" si="412"/>
        <v>9791188630066</v>
      </c>
      <c r="BE2755" t="str">
        <f t="shared" si="414"/>
        <v>판타지 웹소설 &gt; 현대 판타지</v>
      </c>
    </row>
    <row r="2756" spans="1:57" x14ac:dyDescent="0.3">
      <c r="A2756">
        <v>2313003101</v>
      </c>
      <c r="B2756">
        <v>2313003272</v>
      </c>
      <c r="C2756" t="str">
        <f>T("로드 오브 머니 172화")</f>
        <v>로드 오브 머니 172화</v>
      </c>
      <c r="D2756" t="str">
        <f>T("172")</f>
        <v>172</v>
      </c>
      <c r="E2756" t="str">
        <f t="shared" si="410"/>
        <v>무장</v>
      </c>
      <c r="H2756" t="str">
        <f t="shared" si="413"/>
        <v>스토리위즈</v>
      </c>
      <c r="I2756" t="str">
        <f t="shared" si="411"/>
        <v>로드 오브 머니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/>
      <c r="AQ2756">
        <v>0</v>
      </c>
      <c r="AR2756">
        <v>0</v>
      </c>
      <c r="AT2756">
        <v>0</v>
      </c>
      <c r="AU2756">
        <v>0</v>
      </c>
      <c r="AW2756">
        <v>0</v>
      </c>
      <c r="AX2756">
        <v>0</v>
      </c>
      <c r="AY2756">
        <v>70</v>
      </c>
      <c r="BC2756" t="str">
        <f t="shared" si="412"/>
        <v>9791188630066</v>
      </c>
      <c r="BE2756" t="str">
        <f t="shared" si="414"/>
        <v>판타지 웹소설 &gt; 현대 판타지</v>
      </c>
    </row>
    <row r="2757" spans="1:57" x14ac:dyDescent="0.3">
      <c r="A2757">
        <v>2313003101</v>
      </c>
      <c r="B2757">
        <v>2313003273</v>
      </c>
      <c r="C2757" t="str">
        <f>T("로드 오브 머니 173화")</f>
        <v>로드 오브 머니 173화</v>
      </c>
      <c r="D2757" t="str">
        <f>T("173")</f>
        <v>173</v>
      </c>
      <c r="E2757" t="str">
        <f t="shared" si="410"/>
        <v>무장</v>
      </c>
      <c r="H2757" t="str">
        <f t="shared" si="413"/>
        <v>스토리위즈</v>
      </c>
      <c r="I2757" t="str">
        <f t="shared" si="411"/>
        <v>로드 오브 머니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/>
      <c r="AQ2757">
        <v>0</v>
      </c>
      <c r="AR2757">
        <v>0</v>
      </c>
      <c r="AT2757">
        <v>0</v>
      </c>
      <c r="AU2757">
        <v>0</v>
      </c>
      <c r="AW2757">
        <v>0</v>
      </c>
      <c r="AX2757">
        <v>0</v>
      </c>
      <c r="AY2757">
        <v>70</v>
      </c>
      <c r="BC2757" t="str">
        <f t="shared" si="412"/>
        <v>9791188630066</v>
      </c>
      <c r="BE2757" t="str">
        <f t="shared" si="414"/>
        <v>판타지 웹소설 &gt; 현대 판타지</v>
      </c>
    </row>
    <row r="2758" spans="1:57" x14ac:dyDescent="0.3">
      <c r="A2758">
        <v>2313003101</v>
      </c>
      <c r="B2758">
        <v>2313003274</v>
      </c>
      <c r="C2758" t="str">
        <f>T("로드 오브 머니 174화")</f>
        <v>로드 오브 머니 174화</v>
      </c>
      <c r="D2758" t="str">
        <f>T("174")</f>
        <v>174</v>
      </c>
      <c r="E2758" t="str">
        <f t="shared" si="410"/>
        <v>무장</v>
      </c>
      <c r="H2758" t="str">
        <f t="shared" si="413"/>
        <v>스토리위즈</v>
      </c>
      <c r="I2758" t="str">
        <f t="shared" si="411"/>
        <v>로드 오브 머니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/>
      <c r="AQ2758">
        <v>0</v>
      </c>
      <c r="AR2758">
        <v>0</v>
      </c>
      <c r="AT2758">
        <v>0</v>
      </c>
      <c r="AU2758">
        <v>0</v>
      </c>
      <c r="AW2758">
        <v>0</v>
      </c>
      <c r="AX2758">
        <v>0</v>
      </c>
      <c r="AY2758">
        <v>70</v>
      </c>
      <c r="BC2758" t="str">
        <f t="shared" si="412"/>
        <v>9791188630066</v>
      </c>
      <c r="BE2758" t="str">
        <f t="shared" si="414"/>
        <v>판타지 웹소설 &gt; 현대 판타지</v>
      </c>
    </row>
    <row r="2759" spans="1:57" x14ac:dyDescent="0.3">
      <c r="A2759">
        <v>2313003101</v>
      </c>
      <c r="B2759">
        <v>2313003300</v>
      </c>
      <c r="C2759" t="str">
        <f>T("로드 오브 머니 200화")</f>
        <v>로드 오브 머니 200화</v>
      </c>
      <c r="D2759" t="str">
        <f>T("200")</f>
        <v>200</v>
      </c>
      <c r="E2759" t="str">
        <f t="shared" si="410"/>
        <v>무장</v>
      </c>
      <c r="H2759" t="str">
        <f t="shared" si="413"/>
        <v>스토리위즈</v>
      </c>
      <c r="I2759" t="str">
        <f t="shared" si="411"/>
        <v>로드 오브 머니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/>
      <c r="AQ2759">
        <v>0</v>
      </c>
      <c r="AR2759">
        <v>0</v>
      </c>
      <c r="AT2759">
        <v>0</v>
      </c>
      <c r="AU2759">
        <v>0</v>
      </c>
      <c r="AW2759">
        <v>0</v>
      </c>
      <c r="AX2759">
        <v>0</v>
      </c>
      <c r="AY2759">
        <v>70</v>
      </c>
      <c r="BC2759" t="str">
        <f t="shared" si="412"/>
        <v>9791188630066</v>
      </c>
      <c r="BE2759" t="str">
        <f t="shared" si="414"/>
        <v>판타지 웹소설 &gt; 현대 판타지</v>
      </c>
    </row>
    <row r="2760" spans="1:57" x14ac:dyDescent="0.3">
      <c r="A2760">
        <v>2313003101</v>
      </c>
      <c r="B2760">
        <v>2313003350</v>
      </c>
      <c r="C2760" t="str">
        <f>T("로드 오브 머니 250화")</f>
        <v>로드 오브 머니 250화</v>
      </c>
      <c r="D2760" t="str">
        <f>T("250")</f>
        <v>250</v>
      </c>
      <c r="E2760" t="str">
        <f t="shared" si="410"/>
        <v>무장</v>
      </c>
      <c r="H2760" t="str">
        <f t="shared" si="413"/>
        <v>스토리위즈</v>
      </c>
      <c r="I2760" t="str">
        <f t="shared" si="411"/>
        <v>로드 오브 머니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/>
      <c r="AQ2760">
        <v>0</v>
      </c>
      <c r="AR2760">
        <v>0</v>
      </c>
      <c r="AT2760">
        <v>0</v>
      </c>
      <c r="AU2760">
        <v>0</v>
      </c>
      <c r="AW2760">
        <v>0</v>
      </c>
      <c r="AX2760">
        <v>0</v>
      </c>
      <c r="AY2760">
        <v>70</v>
      </c>
      <c r="BC2760" t="str">
        <f t="shared" si="412"/>
        <v>9791188630066</v>
      </c>
      <c r="BE2760" t="str">
        <f t="shared" si="414"/>
        <v>판타지 웹소설 &gt; 현대 판타지</v>
      </c>
    </row>
    <row r="2761" spans="1:57" x14ac:dyDescent="0.3">
      <c r="A2761">
        <v>2313002926</v>
      </c>
      <c r="B2761">
        <v>2313003416</v>
      </c>
      <c r="C2761" t="str">
        <f>T("나 혼자만 일일 보상 176화")</f>
        <v>나 혼자만 일일 보상 176화</v>
      </c>
      <c r="D2761" t="str">
        <f>T("176")</f>
        <v>176</v>
      </c>
      <c r="E2761" t="str">
        <f t="shared" ref="E2761:E2824" si="415">T("이동열")</f>
        <v>이동열</v>
      </c>
      <c r="H2761" t="str">
        <f t="shared" si="413"/>
        <v>스토리위즈</v>
      </c>
      <c r="I2761" t="str">
        <f t="shared" ref="I2761:I2824" si="416">T("나 혼자만 일일 보상")</f>
        <v>나 혼자만 일일 보상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/>
      <c r="AQ2761">
        <v>0</v>
      </c>
      <c r="AR2761">
        <v>0</v>
      </c>
      <c r="AT2761">
        <v>0</v>
      </c>
      <c r="AU2761">
        <v>0</v>
      </c>
      <c r="AW2761">
        <v>0</v>
      </c>
      <c r="AX2761">
        <v>0</v>
      </c>
      <c r="AY2761">
        <v>70</v>
      </c>
      <c r="BC2761" t="str">
        <f t="shared" ref="BC2761:BC2798" si="417">T("9791159286889")</f>
        <v>9791159286889</v>
      </c>
      <c r="BE2761" t="str">
        <f t="shared" si="414"/>
        <v>판타지 웹소설 &gt; 현대 판타지</v>
      </c>
    </row>
    <row r="2762" spans="1:57" x14ac:dyDescent="0.3">
      <c r="A2762">
        <v>2313002926</v>
      </c>
      <c r="B2762">
        <v>2313003417</v>
      </c>
      <c r="C2762" t="str">
        <f>T("나 혼자만 일일 보상 177화")</f>
        <v>나 혼자만 일일 보상 177화</v>
      </c>
      <c r="D2762" t="str">
        <f>T("177")</f>
        <v>177</v>
      </c>
      <c r="E2762" t="str">
        <f t="shared" si="415"/>
        <v>이동열</v>
      </c>
      <c r="H2762" t="str">
        <f t="shared" si="413"/>
        <v>스토리위즈</v>
      </c>
      <c r="I2762" t="str">
        <f t="shared" si="416"/>
        <v>나 혼자만 일일 보상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/>
      <c r="AQ2762">
        <v>0</v>
      </c>
      <c r="AR2762">
        <v>0</v>
      </c>
      <c r="AT2762">
        <v>0</v>
      </c>
      <c r="AU2762">
        <v>0</v>
      </c>
      <c r="AW2762">
        <v>0</v>
      </c>
      <c r="AX2762">
        <v>0</v>
      </c>
      <c r="AY2762">
        <v>70</v>
      </c>
      <c r="BC2762" t="str">
        <f t="shared" si="417"/>
        <v>9791159286889</v>
      </c>
      <c r="BE2762" t="str">
        <f t="shared" si="414"/>
        <v>판타지 웹소설 &gt; 현대 판타지</v>
      </c>
    </row>
    <row r="2763" spans="1:57" x14ac:dyDescent="0.3">
      <c r="A2763">
        <v>2313002926</v>
      </c>
      <c r="B2763">
        <v>2313003418</v>
      </c>
      <c r="C2763" t="str">
        <f>T("나 혼자만 일일 보상 178화")</f>
        <v>나 혼자만 일일 보상 178화</v>
      </c>
      <c r="D2763" t="str">
        <f>T("178")</f>
        <v>178</v>
      </c>
      <c r="E2763" t="str">
        <f t="shared" si="415"/>
        <v>이동열</v>
      </c>
      <c r="H2763" t="str">
        <f t="shared" si="413"/>
        <v>스토리위즈</v>
      </c>
      <c r="I2763" t="str">
        <f t="shared" si="416"/>
        <v>나 혼자만 일일 보상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/>
      <c r="AQ2763">
        <v>0</v>
      </c>
      <c r="AR2763">
        <v>0</v>
      </c>
      <c r="AT2763">
        <v>0</v>
      </c>
      <c r="AU2763">
        <v>0</v>
      </c>
      <c r="AW2763">
        <v>0</v>
      </c>
      <c r="AX2763">
        <v>0</v>
      </c>
      <c r="AY2763">
        <v>70</v>
      </c>
      <c r="BC2763" t="str">
        <f t="shared" si="417"/>
        <v>9791159286889</v>
      </c>
      <c r="BE2763" t="str">
        <f t="shared" si="414"/>
        <v>판타지 웹소설 &gt; 현대 판타지</v>
      </c>
    </row>
    <row r="2764" spans="1:57" x14ac:dyDescent="0.3">
      <c r="A2764">
        <v>2313002926</v>
      </c>
      <c r="B2764">
        <v>2313003419</v>
      </c>
      <c r="C2764" t="str">
        <f>T("나 혼자만 일일 보상 179화")</f>
        <v>나 혼자만 일일 보상 179화</v>
      </c>
      <c r="D2764" t="str">
        <f>T("179")</f>
        <v>179</v>
      </c>
      <c r="E2764" t="str">
        <f t="shared" si="415"/>
        <v>이동열</v>
      </c>
      <c r="H2764" t="str">
        <f t="shared" si="413"/>
        <v>스토리위즈</v>
      </c>
      <c r="I2764" t="str">
        <f t="shared" si="416"/>
        <v>나 혼자만 일일 보상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/>
      <c r="AQ2764">
        <v>0</v>
      </c>
      <c r="AR2764">
        <v>0</v>
      </c>
      <c r="AT2764">
        <v>0</v>
      </c>
      <c r="AU2764">
        <v>0</v>
      </c>
      <c r="AW2764">
        <v>0</v>
      </c>
      <c r="AX2764">
        <v>0</v>
      </c>
      <c r="AY2764">
        <v>70</v>
      </c>
      <c r="BC2764" t="str">
        <f t="shared" si="417"/>
        <v>9791159286889</v>
      </c>
      <c r="BE2764" t="str">
        <f t="shared" si="414"/>
        <v>판타지 웹소설 &gt; 현대 판타지</v>
      </c>
    </row>
    <row r="2765" spans="1:57" x14ac:dyDescent="0.3">
      <c r="A2765">
        <v>2313002926</v>
      </c>
      <c r="B2765">
        <v>2313003420</v>
      </c>
      <c r="C2765" t="str">
        <f>T("나 혼자만 일일 보상 180화")</f>
        <v>나 혼자만 일일 보상 180화</v>
      </c>
      <c r="D2765" t="str">
        <f>T("180")</f>
        <v>180</v>
      </c>
      <c r="E2765" t="str">
        <f t="shared" si="415"/>
        <v>이동열</v>
      </c>
      <c r="H2765" t="str">
        <f t="shared" si="413"/>
        <v>스토리위즈</v>
      </c>
      <c r="I2765" t="str">
        <f t="shared" si="416"/>
        <v>나 혼자만 일일 보상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/>
      <c r="AQ2765">
        <v>0</v>
      </c>
      <c r="AR2765">
        <v>0</v>
      </c>
      <c r="AT2765">
        <v>0</v>
      </c>
      <c r="AU2765">
        <v>0</v>
      </c>
      <c r="AW2765">
        <v>0</v>
      </c>
      <c r="AX2765">
        <v>0</v>
      </c>
      <c r="AY2765">
        <v>70</v>
      </c>
      <c r="BC2765" t="str">
        <f t="shared" si="417"/>
        <v>9791159286889</v>
      </c>
      <c r="BE2765" t="str">
        <f t="shared" si="414"/>
        <v>판타지 웹소설 &gt; 현대 판타지</v>
      </c>
    </row>
    <row r="2766" spans="1:57" x14ac:dyDescent="0.3">
      <c r="A2766">
        <v>2313002926</v>
      </c>
      <c r="B2766">
        <v>2313003421</v>
      </c>
      <c r="C2766" t="str">
        <f>T("나 혼자만 일일 보상 181화")</f>
        <v>나 혼자만 일일 보상 181화</v>
      </c>
      <c r="D2766" t="str">
        <f>T("181")</f>
        <v>181</v>
      </c>
      <c r="E2766" t="str">
        <f t="shared" si="415"/>
        <v>이동열</v>
      </c>
      <c r="H2766" t="str">
        <f t="shared" si="413"/>
        <v>스토리위즈</v>
      </c>
      <c r="I2766" t="str">
        <f t="shared" si="416"/>
        <v>나 혼자만 일일 보상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/>
      <c r="AQ2766">
        <v>0</v>
      </c>
      <c r="AR2766">
        <v>0</v>
      </c>
      <c r="AT2766">
        <v>0</v>
      </c>
      <c r="AU2766">
        <v>0</v>
      </c>
      <c r="AW2766">
        <v>0</v>
      </c>
      <c r="AX2766">
        <v>0</v>
      </c>
      <c r="AY2766">
        <v>70</v>
      </c>
      <c r="BC2766" t="str">
        <f t="shared" si="417"/>
        <v>9791159286889</v>
      </c>
      <c r="BE2766" t="str">
        <f t="shared" si="414"/>
        <v>판타지 웹소설 &gt; 현대 판타지</v>
      </c>
    </row>
    <row r="2767" spans="1:57" x14ac:dyDescent="0.3">
      <c r="A2767">
        <v>2313002926</v>
      </c>
      <c r="B2767">
        <v>2313003422</v>
      </c>
      <c r="C2767" t="str">
        <f>T("나 혼자만 일일 보상 182화")</f>
        <v>나 혼자만 일일 보상 182화</v>
      </c>
      <c r="D2767" t="str">
        <f>T("182")</f>
        <v>182</v>
      </c>
      <c r="E2767" t="str">
        <f t="shared" si="415"/>
        <v>이동열</v>
      </c>
      <c r="H2767" t="str">
        <f t="shared" si="413"/>
        <v>스토리위즈</v>
      </c>
      <c r="I2767" t="str">
        <f t="shared" si="416"/>
        <v>나 혼자만 일일 보상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/>
      <c r="AQ2767">
        <v>0</v>
      </c>
      <c r="AR2767">
        <v>0</v>
      </c>
      <c r="AT2767">
        <v>0</v>
      </c>
      <c r="AU2767">
        <v>0</v>
      </c>
      <c r="AW2767">
        <v>0</v>
      </c>
      <c r="AX2767">
        <v>0</v>
      </c>
      <c r="AY2767">
        <v>70</v>
      </c>
      <c r="BC2767" t="str">
        <f t="shared" si="417"/>
        <v>9791159286889</v>
      </c>
      <c r="BE2767" t="str">
        <f t="shared" si="414"/>
        <v>판타지 웹소설 &gt; 현대 판타지</v>
      </c>
    </row>
    <row r="2768" spans="1:57" x14ac:dyDescent="0.3">
      <c r="A2768">
        <v>2313002926</v>
      </c>
      <c r="B2768">
        <v>2313003423</v>
      </c>
      <c r="C2768" t="str">
        <f>T("나 혼자만 일일 보상 183화")</f>
        <v>나 혼자만 일일 보상 183화</v>
      </c>
      <c r="D2768" t="str">
        <f>T("183")</f>
        <v>183</v>
      </c>
      <c r="E2768" t="str">
        <f t="shared" si="415"/>
        <v>이동열</v>
      </c>
      <c r="H2768" t="str">
        <f t="shared" si="413"/>
        <v>스토리위즈</v>
      </c>
      <c r="I2768" t="str">
        <f t="shared" si="416"/>
        <v>나 혼자만 일일 보상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/>
      <c r="AQ2768">
        <v>0</v>
      </c>
      <c r="AR2768">
        <v>0</v>
      </c>
      <c r="AT2768">
        <v>0</v>
      </c>
      <c r="AU2768">
        <v>0</v>
      </c>
      <c r="AW2768">
        <v>0</v>
      </c>
      <c r="AX2768">
        <v>0</v>
      </c>
      <c r="AY2768">
        <v>70</v>
      </c>
      <c r="BC2768" t="str">
        <f t="shared" si="417"/>
        <v>9791159286889</v>
      </c>
      <c r="BE2768" t="str">
        <f t="shared" si="414"/>
        <v>판타지 웹소설 &gt; 현대 판타지</v>
      </c>
    </row>
    <row r="2769" spans="1:57" x14ac:dyDescent="0.3">
      <c r="A2769">
        <v>2313002926</v>
      </c>
      <c r="B2769">
        <v>2313003424</v>
      </c>
      <c r="C2769" t="str">
        <f>T("나 혼자만 일일 보상 184화")</f>
        <v>나 혼자만 일일 보상 184화</v>
      </c>
      <c r="D2769" t="str">
        <f>T("184")</f>
        <v>184</v>
      </c>
      <c r="E2769" t="str">
        <f t="shared" si="415"/>
        <v>이동열</v>
      </c>
      <c r="H2769" t="str">
        <f t="shared" si="413"/>
        <v>스토리위즈</v>
      </c>
      <c r="I2769" t="str">
        <f t="shared" si="416"/>
        <v>나 혼자만 일일 보상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/>
      <c r="AQ2769">
        <v>0</v>
      </c>
      <c r="AR2769">
        <v>0</v>
      </c>
      <c r="AT2769">
        <v>0</v>
      </c>
      <c r="AU2769">
        <v>0</v>
      </c>
      <c r="AW2769">
        <v>0</v>
      </c>
      <c r="AX2769">
        <v>0</v>
      </c>
      <c r="AY2769">
        <v>70</v>
      </c>
      <c r="BC2769" t="str">
        <f t="shared" si="417"/>
        <v>9791159286889</v>
      </c>
      <c r="BE2769" t="str">
        <f t="shared" si="414"/>
        <v>판타지 웹소설 &gt; 현대 판타지</v>
      </c>
    </row>
    <row r="2770" spans="1:57" x14ac:dyDescent="0.3">
      <c r="A2770">
        <v>2313002926</v>
      </c>
      <c r="B2770">
        <v>2313003425</v>
      </c>
      <c r="C2770" t="str">
        <f>T("나 혼자만 일일 보상 185화")</f>
        <v>나 혼자만 일일 보상 185화</v>
      </c>
      <c r="D2770" t="str">
        <f>T("185")</f>
        <v>185</v>
      </c>
      <c r="E2770" t="str">
        <f t="shared" si="415"/>
        <v>이동열</v>
      </c>
      <c r="H2770" t="str">
        <f t="shared" si="413"/>
        <v>스토리위즈</v>
      </c>
      <c r="I2770" t="str">
        <f t="shared" si="416"/>
        <v>나 혼자만 일일 보상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/>
      <c r="AQ2770">
        <v>0</v>
      </c>
      <c r="AR2770">
        <v>0</v>
      </c>
      <c r="AT2770">
        <v>0</v>
      </c>
      <c r="AU2770">
        <v>0</v>
      </c>
      <c r="AW2770">
        <v>0</v>
      </c>
      <c r="AX2770">
        <v>0</v>
      </c>
      <c r="AY2770">
        <v>70</v>
      </c>
      <c r="BC2770" t="str">
        <f t="shared" si="417"/>
        <v>9791159286889</v>
      </c>
      <c r="BE2770" t="str">
        <f t="shared" si="414"/>
        <v>판타지 웹소설 &gt; 현대 판타지</v>
      </c>
    </row>
    <row r="2771" spans="1:57" x14ac:dyDescent="0.3">
      <c r="A2771">
        <v>2313002926</v>
      </c>
      <c r="B2771">
        <v>2313003426</v>
      </c>
      <c r="C2771" t="str">
        <f>T("나 혼자만 일일 보상 186화")</f>
        <v>나 혼자만 일일 보상 186화</v>
      </c>
      <c r="D2771" t="str">
        <f>T("186")</f>
        <v>186</v>
      </c>
      <c r="E2771" t="str">
        <f t="shared" si="415"/>
        <v>이동열</v>
      </c>
      <c r="H2771" t="str">
        <f t="shared" si="413"/>
        <v>스토리위즈</v>
      </c>
      <c r="I2771" t="str">
        <f t="shared" si="416"/>
        <v>나 혼자만 일일 보상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/>
      <c r="AQ2771">
        <v>0</v>
      </c>
      <c r="AR2771">
        <v>0</v>
      </c>
      <c r="AT2771">
        <v>0</v>
      </c>
      <c r="AU2771">
        <v>0</v>
      </c>
      <c r="AW2771">
        <v>0</v>
      </c>
      <c r="AX2771">
        <v>0</v>
      </c>
      <c r="AY2771">
        <v>70</v>
      </c>
      <c r="BC2771" t="str">
        <f t="shared" si="417"/>
        <v>9791159286889</v>
      </c>
      <c r="BE2771" t="str">
        <f t="shared" si="414"/>
        <v>판타지 웹소설 &gt; 현대 판타지</v>
      </c>
    </row>
    <row r="2772" spans="1:57" x14ac:dyDescent="0.3">
      <c r="A2772">
        <v>2313002926</v>
      </c>
      <c r="B2772">
        <v>2313003427</v>
      </c>
      <c r="C2772" t="str">
        <f>T("나 혼자만 일일 보상 187화")</f>
        <v>나 혼자만 일일 보상 187화</v>
      </c>
      <c r="D2772" t="str">
        <f>T("187")</f>
        <v>187</v>
      </c>
      <c r="E2772" t="str">
        <f t="shared" si="415"/>
        <v>이동열</v>
      </c>
      <c r="H2772" t="str">
        <f t="shared" si="413"/>
        <v>스토리위즈</v>
      </c>
      <c r="I2772" t="str">
        <f t="shared" si="416"/>
        <v>나 혼자만 일일 보상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/>
      <c r="AQ2772">
        <v>0</v>
      </c>
      <c r="AR2772">
        <v>0</v>
      </c>
      <c r="AT2772">
        <v>0</v>
      </c>
      <c r="AU2772">
        <v>0</v>
      </c>
      <c r="AW2772">
        <v>0</v>
      </c>
      <c r="AX2772">
        <v>0</v>
      </c>
      <c r="AY2772">
        <v>70</v>
      </c>
      <c r="BC2772" t="str">
        <f t="shared" si="417"/>
        <v>9791159286889</v>
      </c>
      <c r="BE2772" t="str">
        <f t="shared" si="414"/>
        <v>판타지 웹소설 &gt; 현대 판타지</v>
      </c>
    </row>
    <row r="2773" spans="1:57" x14ac:dyDescent="0.3">
      <c r="A2773">
        <v>2313002926</v>
      </c>
      <c r="B2773">
        <v>2313003428</v>
      </c>
      <c r="C2773" t="str">
        <f>T("나 혼자만 일일 보상 188화")</f>
        <v>나 혼자만 일일 보상 188화</v>
      </c>
      <c r="D2773" t="str">
        <f>T("188")</f>
        <v>188</v>
      </c>
      <c r="E2773" t="str">
        <f t="shared" si="415"/>
        <v>이동열</v>
      </c>
      <c r="H2773" t="str">
        <f t="shared" si="413"/>
        <v>스토리위즈</v>
      </c>
      <c r="I2773" t="str">
        <f t="shared" si="416"/>
        <v>나 혼자만 일일 보상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/>
      <c r="AQ2773">
        <v>0</v>
      </c>
      <c r="AR2773">
        <v>0</v>
      </c>
      <c r="AT2773">
        <v>0</v>
      </c>
      <c r="AU2773">
        <v>0</v>
      </c>
      <c r="AW2773">
        <v>0</v>
      </c>
      <c r="AX2773">
        <v>0</v>
      </c>
      <c r="AY2773">
        <v>70</v>
      </c>
      <c r="BC2773" t="str">
        <f t="shared" si="417"/>
        <v>9791159286889</v>
      </c>
      <c r="BE2773" t="str">
        <f t="shared" si="414"/>
        <v>판타지 웹소설 &gt; 현대 판타지</v>
      </c>
    </row>
    <row r="2774" spans="1:57" x14ac:dyDescent="0.3">
      <c r="A2774">
        <v>2313002926</v>
      </c>
      <c r="B2774">
        <v>2313003429</v>
      </c>
      <c r="C2774" t="str">
        <f>T("나 혼자만 일일 보상 189화")</f>
        <v>나 혼자만 일일 보상 189화</v>
      </c>
      <c r="D2774" t="str">
        <f>T("189")</f>
        <v>189</v>
      </c>
      <c r="E2774" t="str">
        <f t="shared" si="415"/>
        <v>이동열</v>
      </c>
      <c r="H2774" t="str">
        <f t="shared" si="413"/>
        <v>스토리위즈</v>
      </c>
      <c r="I2774" t="str">
        <f t="shared" si="416"/>
        <v>나 혼자만 일일 보상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/>
      <c r="AQ2774">
        <v>0</v>
      </c>
      <c r="AR2774">
        <v>0</v>
      </c>
      <c r="AT2774">
        <v>0</v>
      </c>
      <c r="AU2774">
        <v>0</v>
      </c>
      <c r="AW2774">
        <v>0</v>
      </c>
      <c r="AX2774">
        <v>0</v>
      </c>
      <c r="AY2774">
        <v>70</v>
      </c>
      <c r="BC2774" t="str">
        <f t="shared" si="417"/>
        <v>9791159286889</v>
      </c>
      <c r="BE2774" t="str">
        <f t="shared" si="414"/>
        <v>판타지 웹소설 &gt; 현대 판타지</v>
      </c>
    </row>
    <row r="2775" spans="1:57" x14ac:dyDescent="0.3">
      <c r="A2775">
        <v>2313002926</v>
      </c>
      <c r="B2775">
        <v>2313003430</v>
      </c>
      <c r="C2775" t="str">
        <f>T("나 혼자만 일일 보상 190화")</f>
        <v>나 혼자만 일일 보상 190화</v>
      </c>
      <c r="D2775" t="str">
        <f>T("190")</f>
        <v>190</v>
      </c>
      <c r="E2775" t="str">
        <f t="shared" si="415"/>
        <v>이동열</v>
      </c>
      <c r="H2775" t="str">
        <f t="shared" si="413"/>
        <v>스토리위즈</v>
      </c>
      <c r="I2775" t="str">
        <f t="shared" si="416"/>
        <v>나 혼자만 일일 보상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/>
      <c r="AQ2775">
        <v>0</v>
      </c>
      <c r="AR2775">
        <v>0</v>
      </c>
      <c r="AT2775">
        <v>0</v>
      </c>
      <c r="AU2775">
        <v>0</v>
      </c>
      <c r="AW2775">
        <v>0</v>
      </c>
      <c r="AX2775">
        <v>0</v>
      </c>
      <c r="AY2775">
        <v>70</v>
      </c>
      <c r="BC2775" t="str">
        <f t="shared" si="417"/>
        <v>9791159286889</v>
      </c>
      <c r="BE2775" t="str">
        <f t="shared" si="414"/>
        <v>판타지 웹소설 &gt; 현대 판타지</v>
      </c>
    </row>
    <row r="2776" spans="1:57" x14ac:dyDescent="0.3">
      <c r="A2776">
        <v>2313002926</v>
      </c>
      <c r="B2776">
        <v>2313003431</v>
      </c>
      <c r="C2776" t="str">
        <f>T("나 혼자만 일일 보상 191화")</f>
        <v>나 혼자만 일일 보상 191화</v>
      </c>
      <c r="D2776" t="str">
        <f>T("191")</f>
        <v>191</v>
      </c>
      <c r="E2776" t="str">
        <f t="shared" si="415"/>
        <v>이동열</v>
      </c>
      <c r="H2776" t="str">
        <f t="shared" si="413"/>
        <v>스토리위즈</v>
      </c>
      <c r="I2776" t="str">
        <f t="shared" si="416"/>
        <v>나 혼자만 일일 보상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/>
      <c r="AQ2776">
        <v>0</v>
      </c>
      <c r="AR2776">
        <v>0</v>
      </c>
      <c r="AT2776">
        <v>0</v>
      </c>
      <c r="AU2776">
        <v>0</v>
      </c>
      <c r="AW2776">
        <v>0</v>
      </c>
      <c r="AX2776">
        <v>0</v>
      </c>
      <c r="AY2776">
        <v>70</v>
      </c>
      <c r="BC2776" t="str">
        <f t="shared" si="417"/>
        <v>9791159286889</v>
      </c>
      <c r="BE2776" t="str">
        <f t="shared" si="414"/>
        <v>판타지 웹소설 &gt; 현대 판타지</v>
      </c>
    </row>
    <row r="2777" spans="1:57" x14ac:dyDescent="0.3">
      <c r="A2777">
        <v>2313002926</v>
      </c>
      <c r="B2777">
        <v>2313003432</v>
      </c>
      <c r="C2777" t="str">
        <f>T("나 혼자만 일일 보상 192화")</f>
        <v>나 혼자만 일일 보상 192화</v>
      </c>
      <c r="D2777" t="str">
        <f>T("192")</f>
        <v>192</v>
      </c>
      <c r="E2777" t="str">
        <f t="shared" si="415"/>
        <v>이동열</v>
      </c>
      <c r="H2777" t="str">
        <f t="shared" si="413"/>
        <v>스토리위즈</v>
      </c>
      <c r="I2777" t="str">
        <f t="shared" si="416"/>
        <v>나 혼자만 일일 보상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/>
      <c r="AQ2777">
        <v>0</v>
      </c>
      <c r="AR2777">
        <v>0</v>
      </c>
      <c r="AT2777">
        <v>0</v>
      </c>
      <c r="AU2777">
        <v>0</v>
      </c>
      <c r="AW2777">
        <v>0</v>
      </c>
      <c r="AX2777">
        <v>0</v>
      </c>
      <c r="AY2777">
        <v>70</v>
      </c>
      <c r="BC2777" t="str">
        <f t="shared" si="417"/>
        <v>9791159286889</v>
      </c>
      <c r="BE2777" t="str">
        <f t="shared" si="414"/>
        <v>판타지 웹소설 &gt; 현대 판타지</v>
      </c>
    </row>
    <row r="2778" spans="1:57" x14ac:dyDescent="0.3">
      <c r="A2778">
        <v>2313002926</v>
      </c>
      <c r="B2778">
        <v>2313003433</v>
      </c>
      <c r="C2778" t="str">
        <f>T("나 혼자만 일일 보상 193화")</f>
        <v>나 혼자만 일일 보상 193화</v>
      </c>
      <c r="D2778" t="str">
        <f>T("193")</f>
        <v>193</v>
      </c>
      <c r="E2778" t="str">
        <f t="shared" si="415"/>
        <v>이동열</v>
      </c>
      <c r="H2778" t="str">
        <f t="shared" si="413"/>
        <v>스토리위즈</v>
      </c>
      <c r="I2778" t="str">
        <f t="shared" si="416"/>
        <v>나 혼자만 일일 보상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/>
      <c r="AQ2778">
        <v>0</v>
      </c>
      <c r="AR2778">
        <v>0</v>
      </c>
      <c r="AT2778">
        <v>0</v>
      </c>
      <c r="AU2778">
        <v>0</v>
      </c>
      <c r="AW2778">
        <v>0</v>
      </c>
      <c r="AX2778">
        <v>0</v>
      </c>
      <c r="AY2778">
        <v>70</v>
      </c>
      <c r="BC2778" t="str">
        <f t="shared" si="417"/>
        <v>9791159286889</v>
      </c>
      <c r="BE2778" t="str">
        <f t="shared" si="414"/>
        <v>판타지 웹소설 &gt; 현대 판타지</v>
      </c>
    </row>
    <row r="2779" spans="1:57" x14ac:dyDescent="0.3">
      <c r="A2779">
        <v>2313002926</v>
      </c>
      <c r="B2779">
        <v>2313003434</v>
      </c>
      <c r="C2779" t="str">
        <f>T("나 혼자만 일일 보상 194화")</f>
        <v>나 혼자만 일일 보상 194화</v>
      </c>
      <c r="D2779" t="str">
        <f>T("194")</f>
        <v>194</v>
      </c>
      <c r="E2779" t="str">
        <f t="shared" si="415"/>
        <v>이동열</v>
      </c>
      <c r="H2779" t="str">
        <f t="shared" si="413"/>
        <v>스토리위즈</v>
      </c>
      <c r="I2779" t="str">
        <f t="shared" si="416"/>
        <v>나 혼자만 일일 보상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/>
      <c r="AQ2779">
        <v>0</v>
      </c>
      <c r="AR2779">
        <v>0</v>
      </c>
      <c r="AT2779">
        <v>0</v>
      </c>
      <c r="AU2779">
        <v>0</v>
      </c>
      <c r="AW2779">
        <v>0</v>
      </c>
      <c r="AX2779">
        <v>0</v>
      </c>
      <c r="AY2779">
        <v>70</v>
      </c>
      <c r="BC2779" t="str">
        <f t="shared" si="417"/>
        <v>9791159286889</v>
      </c>
      <c r="BE2779" t="str">
        <f t="shared" si="414"/>
        <v>판타지 웹소설 &gt; 현대 판타지</v>
      </c>
    </row>
    <row r="2780" spans="1:57" x14ac:dyDescent="0.3">
      <c r="A2780">
        <v>2313002926</v>
      </c>
      <c r="B2780">
        <v>2313003435</v>
      </c>
      <c r="C2780" t="str">
        <f>T("나 혼자만 일일 보상 195화")</f>
        <v>나 혼자만 일일 보상 195화</v>
      </c>
      <c r="D2780" t="str">
        <f>T("195")</f>
        <v>195</v>
      </c>
      <c r="E2780" t="str">
        <f t="shared" si="415"/>
        <v>이동열</v>
      </c>
      <c r="H2780" t="str">
        <f t="shared" si="413"/>
        <v>스토리위즈</v>
      </c>
      <c r="I2780" t="str">
        <f t="shared" si="416"/>
        <v>나 혼자만 일일 보상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/>
      <c r="AQ2780">
        <v>0</v>
      </c>
      <c r="AR2780">
        <v>0</v>
      </c>
      <c r="AT2780">
        <v>0</v>
      </c>
      <c r="AU2780">
        <v>0</v>
      </c>
      <c r="AW2780">
        <v>0</v>
      </c>
      <c r="AX2780">
        <v>0</v>
      </c>
      <c r="AY2780">
        <v>70</v>
      </c>
      <c r="BC2780" t="str">
        <f t="shared" si="417"/>
        <v>9791159286889</v>
      </c>
      <c r="BE2780" t="str">
        <f t="shared" si="414"/>
        <v>판타지 웹소설 &gt; 현대 판타지</v>
      </c>
    </row>
    <row r="2781" spans="1:57" x14ac:dyDescent="0.3">
      <c r="A2781">
        <v>2313002926</v>
      </c>
      <c r="B2781">
        <v>2313003436</v>
      </c>
      <c r="C2781" t="str">
        <f>T("나 혼자만 일일 보상 196화")</f>
        <v>나 혼자만 일일 보상 196화</v>
      </c>
      <c r="D2781" t="str">
        <f>T("196")</f>
        <v>196</v>
      </c>
      <c r="E2781" t="str">
        <f t="shared" si="415"/>
        <v>이동열</v>
      </c>
      <c r="H2781" t="str">
        <f t="shared" si="413"/>
        <v>스토리위즈</v>
      </c>
      <c r="I2781" t="str">
        <f t="shared" si="416"/>
        <v>나 혼자만 일일 보상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/>
      <c r="AQ2781">
        <v>0</v>
      </c>
      <c r="AR2781">
        <v>0</v>
      </c>
      <c r="AT2781">
        <v>0</v>
      </c>
      <c r="AU2781">
        <v>0</v>
      </c>
      <c r="AW2781">
        <v>0</v>
      </c>
      <c r="AX2781">
        <v>0</v>
      </c>
      <c r="AY2781">
        <v>70</v>
      </c>
      <c r="BC2781" t="str">
        <f t="shared" si="417"/>
        <v>9791159286889</v>
      </c>
      <c r="BE2781" t="str">
        <f t="shared" si="414"/>
        <v>판타지 웹소설 &gt; 현대 판타지</v>
      </c>
    </row>
    <row r="2782" spans="1:57" x14ac:dyDescent="0.3">
      <c r="A2782">
        <v>2313002926</v>
      </c>
      <c r="B2782">
        <v>2313003437</v>
      </c>
      <c r="C2782" t="str">
        <f>T("나 혼자만 일일 보상 197화")</f>
        <v>나 혼자만 일일 보상 197화</v>
      </c>
      <c r="D2782" t="str">
        <f>T("197")</f>
        <v>197</v>
      </c>
      <c r="E2782" t="str">
        <f t="shared" si="415"/>
        <v>이동열</v>
      </c>
      <c r="H2782" t="str">
        <f t="shared" si="413"/>
        <v>스토리위즈</v>
      </c>
      <c r="I2782" t="str">
        <f t="shared" si="416"/>
        <v>나 혼자만 일일 보상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/>
      <c r="AQ2782">
        <v>0</v>
      </c>
      <c r="AR2782">
        <v>0</v>
      </c>
      <c r="AT2782">
        <v>0</v>
      </c>
      <c r="AU2782">
        <v>0</v>
      </c>
      <c r="AW2782">
        <v>0</v>
      </c>
      <c r="AX2782">
        <v>0</v>
      </c>
      <c r="AY2782">
        <v>70</v>
      </c>
      <c r="BC2782" t="str">
        <f t="shared" si="417"/>
        <v>9791159286889</v>
      </c>
      <c r="BE2782" t="str">
        <f t="shared" si="414"/>
        <v>판타지 웹소설 &gt; 현대 판타지</v>
      </c>
    </row>
    <row r="2783" spans="1:57" x14ac:dyDescent="0.3">
      <c r="A2783">
        <v>2313002926</v>
      </c>
      <c r="B2783">
        <v>2313003438</v>
      </c>
      <c r="C2783" t="str">
        <f>T("나 혼자만 일일 보상 198화")</f>
        <v>나 혼자만 일일 보상 198화</v>
      </c>
      <c r="D2783" t="str">
        <f>T("198")</f>
        <v>198</v>
      </c>
      <c r="E2783" t="str">
        <f t="shared" si="415"/>
        <v>이동열</v>
      </c>
      <c r="H2783" t="str">
        <f t="shared" si="413"/>
        <v>스토리위즈</v>
      </c>
      <c r="I2783" t="str">
        <f t="shared" si="416"/>
        <v>나 혼자만 일일 보상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/>
      <c r="AQ2783">
        <v>0</v>
      </c>
      <c r="AR2783">
        <v>0</v>
      </c>
      <c r="AT2783">
        <v>0</v>
      </c>
      <c r="AU2783">
        <v>0</v>
      </c>
      <c r="AW2783">
        <v>0</v>
      </c>
      <c r="AX2783">
        <v>0</v>
      </c>
      <c r="AY2783">
        <v>70</v>
      </c>
      <c r="BC2783" t="str">
        <f t="shared" si="417"/>
        <v>9791159286889</v>
      </c>
      <c r="BE2783" t="str">
        <f t="shared" si="414"/>
        <v>판타지 웹소설 &gt; 현대 판타지</v>
      </c>
    </row>
    <row r="2784" spans="1:57" x14ac:dyDescent="0.3">
      <c r="A2784">
        <v>2313002926</v>
      </c>
      <c r="B2784">
        <v>2313003439</v>
      </c>
      <c r="C2784" t="str">
        <f>T("나 혼자만 일일 보상 199화")</f>
        <v>나 혼자만 일일 보상 199화</v>
      </c>
      <c r="D2784" t="str">
        <f>T("199")</f>
        <v>199</v>
      </c>
      <c r="E2784" t="str">
        <f t="shared" si="415"/>
        <v>이동열</v>
      </c>
      <c r="H2784" t="str">
        <f t="shared" si="413"/>
        <v>스토리위즈</v>
      </c>
      <c r="I2784" t="str">
        <f t="shared" si="416"/>
        <v>나 혼자만 일일 보상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/>
      <c r="AQ2784">
        <v>0</v>
      </c>
      <c r="AR2784">
        <v>0</v>
      </c>
      <c r="AT2784">
        <v>0</v>
      </c>
      <c r="AU2784">
        <v>0</v>
      </c>
      <c r="AW2784">
        <v>0</v>
      </c>
      <c r="AX2784">
        <v>0</v>
      </c>
      <c r="AY2784">
        <v>70</v>
      </c>
      <c r="BC2784" t="str">
        <f t="shared" si="417"/>
        <v>9791159286889</v>
      </c>
      <c r="BE2784" t="str">
        <f t="shared" si="414"/>
        <v>판타지 웹소설 &gt; 현대 판타지</v>
      </c>
    </row>
    <row r="2785" spans="1:57" x14ac:dyDescent="0.3">
      <c r="A2785">
        <v>2313002926</v>
      </c>
      <c r="B2785">
        <v>2313003440</v>
      </c>
      <c r="C2785" t="str">
        <f>T("나 혼자만 일일 보상 200화")</f>
        <v>나 혼자만 일일 보상 200화</v>
      </c>
      <c r="D2785" t="str">
        <f>T("200")</f>
        <v>200</v>
      </c>
      <c r="E2785" t="str">
        <f t="shared" si="415"/>
        <v>이동열</v>
      </c>
      <c r="H2785" t="str">
        <f t="shared" si="413"/>
        <v>스토리위즈</v>
      </c>
      <c r="I2785" t="str">
        <f t="shared" si="416"/>
        <v>나 혼자만 일일 보상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/>
      <c r="AQ2785">
        <v>0</v>
      </c>
      <c r="AR2785">
        <v>0</v>
      </c>
      <c r="AT2785">
        <v>0</v>
      </c>
      <c r="AU2785">
        <v>0</v>
      </c>
      <c r="AW2785">
        <v>0</v>
      </c>
      <c r="AX2785">
        <v>0</v>
      </c>
      <c r="AY2785">
        <v>70</v>
      </c>
      <c r="BC2785" t="str">
        <f t="shared" si="417"/>
        <v>9791159286889</v>
      </c>
      <c r="BE2785" t="str">
        <f t="shared" si="414"/>
        <v>판타지 웹소설 &gt; 현대 판타지</v>
      </c>
    </row>
    <row r="2786" spans="1:57" x14ac:dyDescent="0.3">
      <c r="A2786">
        <v>2313002926</v>
      </c>
      <c r="B2786">
        <v>2313003441</v>
      </c>
      <c r="C2786" t="str">
        <f>T("나 혼자만 일일 보상 201화")</f>
        <v>나 혼자만 일일 보상 201화</v>
      </c>
      <c r="D2786" t="str">
        <f>T("201")</f>
        <v>201</v>
      </c>
      <c r="E2786" t="str">
        <f t="shared" si="415"/>
        <v>이동열</v>
      </c>
      <c r="H2786" t="str">
        <f t="shared" si="413"/>
        <v>스토리위즈</v>
      </c>
      <c r="I2786" t="str">
        <f t="shared" si="416"/>
        <v>나 혼자만 일일 보상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/>
      <c r="AQ2786">
        <v>0</v>
      </c>
      <c r="AR2786">
        <v>0</v>
      </c>
      <c r="AT2786">
        <v>0</v>
      </c>
      <c r="AU2786">
        <v>0</v>
      </c>
      <c r="AW2786">
        <v>0</v>
      </c>
      <c r="AX2786">
        <v>0</v>
      </c>
      <c r="AY2786">
        <v>70</v>
      </c>
      <c r="BC2786" t="str">
        <f t="shared" si="417"/>
        <v>9791159286889</v>
      </c>
      <c r="BE2786" t="str">
        <f t="shared" si="414"/>
        <v>판타지 웹소설 &gt; 현대 판타지</v>
      </c>
    </row>
    <row r="2787" spans="1:57" x14ac:dyDescent="0.3">
      <c r="A2787">
        <v>2313002926</v>
      </c>
      <c r="B2787">
        <v>2313003442</v>
      </c>
      <c r="C2787" t="str">
        <f>T("나 혼자만 일일 보상 202화")</f>
        <v>나 혼자만 일일 보상 202화</v>
      </c>
      <c r="D2787" t="str">
        <f>T("202")</f>
        <v>202</v>
      </c>
      <c r="E2787" t="str">
        <f t="shared" si="415"/>
        <v>이동열</v>
      </c>
      <c r="H2787" t="str">
        <f t="shared" si="413"/>
        <v>스토리위즈</v>
      </c>
      <c r="I2787" t="str">
        <f t="shared" si="416"/>
        <v>나 혼자만 일일 보상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/>
      <c r="AQ2787">
        <v>0</v>
      </c>
      <c r="AR2787">
        <v>0</v>
      </c>
      <c r="AT2787">
        <v>0</v>
      </c>
      <c r="AU2787">
        <v>0</v>
      </c>
      <c r="AW2787">
        <v>0</v>
      </c>
      <c r="AX2787">
        <v>0</v>
      </c>
      <c r="AY2787">
        <v>70</v>
      </c>
      <c r="BC2787" t="str">
        <f t="shared" si="417"/>
        <v>9791159286889</v>
      </c>
      <c r="BE2787" t="str">
        <f t="shared" si="414"/>
        <v>판타지 웹소설 &gt; 현대 판타지</v>
      </c>
    </row>
    <row r="2788" spans="1:57" x14ac:dyDescent="0.3">
      <c r="A2788">
        <v>2313002926</v>
      </c>
      <c r="B2788">
        <v>2313003443</v>
      </c>
      <c r="C2788" t="str">
        <f>T("나 혼자만 일일 보상 203화")</f>
        <v>나 혼자만 일일 보상 203화</v>
      </c>
      <c r="D2788" t="str">
        <f>T("203")</f>
        <v>203</v>
      </c>
      <c r="E2788" t="str">
        <f t="shared" si="415"/>
        <v>이동열</v>
      </c>
      <c r="H2788" t="str">
        <f t="shared" si="413"/>
        <v>스토리위즈</v>
      </c>
      <c r="I2788" t="str">
        <f t="shared" si="416"/>
        <v>나 혼자만 일일 보상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/>
      <c r="AQ2788">
        <v>0</v>
      </c>
      <c r="AR2788">
        <v>0</v>
      </c>
      <c r="AT2788">
        <v>0</v>
      </c>
      <c r="AU2788">
        <v>0</v>
      </c>
      <c r="AW2788">
        <v>0</v>
      </c>
      <c r="AX2788">
        <v>0</v>
      </c>
      <c r="AY2788">
        <v>70</v>
      </c>
      <c r="BC2788" t="str">
        <f t="shared" si="417"/>
        <v>9791159286889</v>
      </c>
      <c r="BE2788" t="str">
        <f t="shared" si="414"/>
        <v>판타지 웹소설 &gt; 현대 판타지</v>
      </c>
    </row>
    <row r="2789" spans="1:57" x14ac:dyDescent="0.3">
      <c r="A2789">
        <v>2313002926</v>
      </c>
      <c r="B2789">
        <v>2313003444</v>
      </c>
      <c r="C2789" t="str">
        <f>T("나 혼자만 일일 보상 204화")</f>
        <v>나 혼자만 일일 보상 204화</v>
      </c>
      <c r="D2789" t="str">
        <f>T("204")</f>
        <v>204</v>
      </c>
      <c r="E2789" t="str">
        <f t="shared" si="415"/>
        <v>이동열</v>
      </c>
      <c r="H2789" t="str">
        <f t="shared" si="413"/>
        <v>스토리위즈</v>
      </c>
      <c r="I2789" t="str">
        <f t="shared" si="416"/>
        <v>나 혼자만 일일 보상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/>
      <c r="AQ2789">
        <v>0</v>
      </c>
      <c r="AR2789">
        <v>0</v>
      </c>
      <c r="AT2789">
        <v>0</v>
      </c>
      <c r="AU2789">
        <v>0</v>
      </c>
      <c r="AW2789">
        <v>0</v>
      </c>
      <c r="AX2789">
        <v>0</v>
      </c>
      <c r="AY2789">
        <v>70</v>
      </c>
      <c r="BC2789" t="str">
        <f t="shared" si="417"/>
        <v>9791159286889</v>
      </c>
      <c r="BE2789" t="str">
        <f t="shared" si="414"/>
        <v>판타지 웹소설 &gt; 현대 판타지</v>
      </c>
    </row>
    <row r="2790" spans="1:57" x14ac:dyDescent="0.3">
      <c r="A2790">
        <v>2313002926</v>
      </c>
      <c r="B2790">
        <v>2313003445</v>
      </c>
      <c r="C2790" t="str">
        <f>T("나 혼자만 일일 보상 205화")</f>
        <v>나 혼자만 일일 보상 205화</v>
      </c>
      <c r="D2790" t="str">
        <f>T("205")</f>
        <v>205</v>
      </c>
      <c r="E2790" t="str">
        <f t="shared" si="415"/>
        <v>이동열</v>
      </c>
      <c r="H2790" t="str">
        <f t="shared" si="413"/>
        <v>스토리위즈</v>
      </c>
      <c r="I2790" t="str">
        <f t="shared" si="416"/>
        <v>나 혼자만 일일 보상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/>
      <c r="AQ2790">
        <v>0</v>
      </c>
      <c r="AR2790">
        <v>0</v>
      </c>
      <c r="AT2790">
        <v>0</v>
      </c>
      <c r="AU2790">
        <v>0</v>
      </c>
      <c r="AW2790">
        <v>0</v>
      </c>
      <c r="AX2790">
        <v>0</v>
      </c>
      <c r="AY2790">
        <v>70</v>
      </c>
      <c r="BC2790" t="str">
        <f t="shared" si="417"/>
        <v>9791159286889</v>
      </c>
      <c r="BE2790" t="str">
        <f t="shared" si="414"/>
        <v>판타지 웹소설 &gt; 현대 판타지</v>
      </c>
    </row>
    <row r="2791" spans="1:57" x14ac:dyDescent="0.3">
      <c r="A2791">
        <v>2313002926</v>
      </c>
      <c r="B2791">
        <v>2313003446</v>
      </c>
      <c r="C2791" t="str">
        <f>T("나 혼자만 일일 보상 206화")</f>
        <v>나 혼자만 일일 보상 206화</v>
      </c>
      <c r="D2791" t="str">
        <f>T("206")</f>
        <v>206</v>
      </c>
      <c r="E2791" t="str">
        <f t="shared" si="415"/>
        <v>이동열</v>
      </c>
      <c r="H2791" t="str">
        <f t="shared" si="413"/>
        <v>스토리위즈</v>
      </c>
      <c r="I2791" t="str">
        <f t="shared" si="416"/>
        <v>나 혼자만 일일 보상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/>
      <c r="AQ2791">
        <v>0</v>
      </c>
      <c r="AR2791">
        <v>0</v>
      </c>
      <c r="AT2791">
        <v>0</v>
      </c>
      <c r="AU2791">
        <v>0</v>
      </c>
      <c r="AW2791">
        <v>0</v>
      </c>
      <c r="AX2791">
        <v>0</v>
      </c>
      <c r="AY2791">
        <v>70</v>
      </c>
      <c r="BC2791" t="str">
        <f t="shared" si="417"/>
        <v>9791159286889</v>
      </c>
      <c r="BE2791" t="str">
        <f t="shared" si="414"/>
        <v>판타지 웹소설 &gt; 현대 판타지</v>
      </c>
    </row>
    <row r="2792" spans="1:57" x14ac:dyDescent="0.3">
      <c r="A2792">
        <v>2313002926</v>
      </c>
      <c r="B2792">
        <v>2313003447</v>
      </c>
      <c r="C2792" t="str">
        <f>T("나 혼자만 일일 보상 207화")</f>
        <v>나 혼자만 일일 보상 207화</v>
      </c>
      <c r="D2792" t="str">
        <f>T("207")</f>
        <v>207</v>
      </c>
      <c r="E2792" t="str">
        <f t="shared" si="415"/>
        <v>이동열</v>
      </c>
      <c r="H2792" t="str">
        <f t="shared" si="413"/>
        <v>스토리위즈</v>
      </c>
      <c r="I2792" t="str">
        <f t="shared" si="416"/>
        <v>나 혼자만 일일 보상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/>
      <c r="AQ2792">
        <v>0</v>
      </c>
      <c r="AR2792">
        <v>0</v>
      </c>
      <c r="AT2792">
        <v>0</v>
      </c>
      <c r="AU2792">
        <v>0</v>
      </c>
      <c r="AW2792">
        <v>0</v>
      </c>
      <c r="AX2792">
        <v>0</v>
      </c>
      <c r="AY2792">
        <v>70</v>
      </c>
      <c r="BC2792" t="str">
        <f t="shared" si="417"/>
        <v>9791159286889</v>
      </c>
      <c r="BE2792" t="str">
        <f t="shared" si="414"/>
        <v>판타지 웹소설 &gt; 현대 판타지</v>
      </c>
    </row>
    <row r="2793" spans="1:57" x14ac:dyDescent="0.3">
      <c r="A2793">
        <v>2313002926</v>
      </c>
      <c r="B2793">
        <v>2313003448</v>
      </c>
      <c r="C2793" t="str">
        <f>T("나 혼자만 일일 보상 208화")</f>
        <v>나 혼자만 일일 보상 208화</v>
      </c>
      <c r="D2793" t="str">
        <f>T("208")</f>
        <v>208</v>
      </c>
      <c r="E2793" t="str">
        <f t="shared" si="415"/>
        <v>이동열</v>
      </c>
      <c r="H2793" t="str">
        <f t="shared" si="413"/>
        <v>스토리위즈</v>
      </c>
      <c r="I2793" t="str">
        <f t="shared" si="416"/>
        <v>나 혼자만 일일 보상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/>
      <c r="AQ2793">
        <v>0</v>
      </c>
      <c r="AR2793">
        <v>0</v>
      </c>
      <c r="AT2793">
        <v>0</v>
      </c>
      <c r="AU2793">
        <v>0</v>
      </c>
      <c r="AW2793">
        <v>0</v>
      </c>
      <c r="AX2793">
        <v>0</v>
      </c>
      <c r="AY2793">
        <v>70</v>
      </c>
      <c r="BC2793" t="str">
        <f t="shared" si="417"/>
        <v>9791159286889</v>
      </c>
      <c r="BE2793" t="str">
        <f t="shared" si="414"/>
        <v>판타지 웹소설 &gt; 현대 판타지</v>
      </c>
    </row>
    <row r="2794" spans="1:57" x14ac:dyDescent="0.3">
      <c r="A2794">
        <v>2313002926</v>
      </c>
      <c r="B2794">
        <v>2313003449</v>
      </c>
      <c r="C2794" t="str">
        <f>T("나 혼자만 일일 보상 209화")</f>
        <v>나 혼자만 일일 보상 209화</v>
      </c>
      <c r="D2794" t="str">
        <f>T("209")</f>
        <v>209</v>
      </c>
      <c r="E2794" t="str">
        <f t="shared" si="415"/>
        <v>이동열</v>
      </c>
      <c r="H2794" t="str">
        <f t="shared" si="413"/>
        <v>스토리위즈</v>
      </c>
      <c r="I2794" t="str">
        <f t="shared" si="416"/>
        <v>나 혼자만 일일 보상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/>
      <c r="AQ2794">
        <v>0</v>
      </c>
      <c r="AR2794">
        <v>0</v>
      </c>
      <c r="AT2794">
        <v>0</v>
      </c>
      <c r="AU2794">
        <v>0</v>
      </c>
      <c r="AW2794">
        <v>0</v>
      </c>
      <c r="AX2794">
        <v>0</v>
      </c>
      <c r="AY2794">
        <v>70</v>
      </c>
      <c r="BC2794" t="str">
        <f t="shared" si="417"/>
        <v>9791159286889</v>
      </c>
      <c r="BE2794" t="str">
        <f t="shared" si="414"/>
        <v>판타지 웹소설 &gt; 현대 판타지</v>
      </c>
    </row>
    <row r="2795" spans="1:57" x14ac:dyDescent="0.3">
      <c r="A2795">
        <v>2313002926</v>
      </c>
      <c r="B2795">
        <v>2313003450</v>
      </c>
      <c r="C2795" t="str">
        <f>T("나 혼자만 일일 보상 210화")</f>
        <v>나 혼자만 일일 보상 210화</v>
      </c>
      <c r="D2795" t="str">
        <f>T("210")</f>
        <v>210</v>
      </c>
      <c r="E2795" t="str">
        <f t="shared" si="415"/>
        <v>이동열</v>
      </c>
      <c r="H2795" t="str">
        <f t="shared" si="413"/>
        <v>스토리위즈</v>
      </c>
      <c r="I2795" t="str">
        <f t="shared" si="416"/>
        <v>나 혼자만 일일 보상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/>
      <c r="AQ2795">
        <v>0</v>
      </c>
      <c r="AR2795">
        <v>0</v>
      </c>
      <c r="AT2795">
        <v>0</v>
      </c>
      <c r="AU2795">
        <v>0</v>
      </c>
      <c r="AW2795">
        <v>0</v>
      </c>
      <c r="AX2795">
        <v>0</v>
      </c>
      <c r="AY2795">
        <v>70</v>
      </c>
      <c r="BC2795" t="str">
        <f t="shared" si="417"/>
        <v>9791159286889</v>
      </c>
      <c r="BE2795" t="str">
        <f t="shared" si="414"/>
        <v>판타지 웹소설 &gt; 현대 판타지</v>
      </c>
    </row>
    <row r="2796" spans="1:57" x14ac:dyDescent="0.3">
      <c r="A2796">
        <v>2313002926</v>
      </c>
      <c r="B2796">
        <v>2313003451</v>
      </c>
      <c r="C2796" t="str">
        <f>T("나 혼자만 일일 보상 211화")</f>
        <v>나 혼자만 일일 보상 211화</v>
      </c>
      <c r="D2796" t="str">
        <f>T("211")</f>
        <v>211</v>
      </c>
      <c r="E2796" t="str">
        <f t="shared" si="415"/>
        <v>이동열</v>
      </c>
      <c r="H2796" t="str">
        <f t="shared" si="413"/>
        <v>스토리위즈</v>
      </c>
      <c r="I2796" t="str">
        <f t="shared" si="416"/>
        <v>나 혼자만 일일 보상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/>
      <c r="AQ2796">
        <v>0</v>
      </c>
      <c r="AR2796">
        <v>0</v>
      </c>
      <c r="AT2796">
        <v>0</v>
      </c>
      <c r="AU2796">
        <v>0</v>
      </c>
      <c r="AW2796">
        <v>0</v>
      </c>
      <c r="AX2796">
        <v>0</v>
      </c>
      <c r="AY2796">
        <v>70</v>
      </c>
      <c r="BC2796" t="str">
        <f t="shared" si="417"/>
        <v>9791159286889</v>
      </c>
      <c r="BE2796" t="str">
        <f t="shared" si="414"/>
        <v>판타지 웹소설 &gt; 현대 판타지</v>
      </c>
    </row>
    <row r="2797" spans="1:57" x14ac:dyDescent="0.3">
      <c r="A2797">
        <v>2313002926</v>
      </c>
      <c r="B2797">
        <v>2313003452</v>
      </c>
      <c r="C2797" t="str">
        <f>T("나 혼자만 일일 보상 212화")</f>
        <v>나 혼자만 일일 보상 212화</v>
      </c>
      <c r="D2797" t="str">
        <f>T("212")</f>
        <v>212</v>
      </c>
      <c r="E2797" t="str">
        <f t="shared" si="415"/>
        <v>이동열</v>
      </c>
      <c r="H2797" t="str">
        <f t="shared" si="413"/>
        <v>스토리위즈</v>
      </c>
      <c r="I2797" t="str">
        <f t="shared" si="416"/>
        <v>나 혼자만 일일 보상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/>
      <c r="AQ2797">
        <v>0</v>
      </c>
      <c r="AR2797">
        <v>0</v>
      </c>
      <c r="AT2797">
        <v>0</v>
      </c>
      <c r="AU2797">
        <v>0</v>
      </c>
      <c r="AW2797">
        <v>0</v>
      </c>
      <c r="AX2797">
        <v>0</v>
      </c>
      <c r="AY2797">
        <v>70</v>
      </c>
      <c r="BC2797" t="str">
        <f t="shared" si="417"/>
        <v>9791159286889</v>
      </c>
      <c r="BE2797" t="str">
        <f t="shared" si="414"/>
        <v>판타지 웹소설 &gt; 현대 판타지</v>
      </c>
    </row>
    <row r="2798" spans="1:57" x14ac:dyDescent="0.3">
      <c r="A2798">
        <v>2313002926</v>
      </c>
      <c r="B2798">
        <v>2313003453</v>
      </c>
      <c r="C2798" t="str">
        <f>T("나 혼자만 일일 보상 213화")</f>
        <v>나 혼자만 일일 보상 213화</v>
      </c>
      <c r="D2798" t="str">
        <f>T("213")</f>
        <v>213</v>
      </c>
      <c r="E2798" t="str">
        <f t="shared" si="415"/>
        <v>이동열</v>
      </c>
      <c r="H2798" t="str">
        <f t="shared" si="413"/>
        <v>스토리위즈</v>
      </c>
      <c r="I2798" t="str">
        <f t="shared" si="416"/>
        <v>나 혼자만 일일 보상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/>
      <c r="AQ2798">
        <v>0</v>
      </c>
      <c r="AR2798">
        <v>0</v>
      </c>
      <c r="AT2798">
        <v>0</v>
      </c>
      <c r="AU2798">
        <v>0</v>
      </c>
      <c r="AW2798">
        <v>0</v>
      </c>
      <c r="AX2798">
        <v>0</v>
      </c>
      <c r="AY2798">
        <v>70</v>
      </c>
      <c r="BC2798" t="str">
        <f t="shared" si="417"/>
        <v>9791159286889</v>
      </c>
      <c r="BE2798" t="str">
        <f t="shared" si="414"/>
        <v>판타지 웹소설 &gt; 현대 판타지</v>
      </c>
    </row>
    <row r="2799" spans="1:57" x14ac:dyDescent="0.3">
      <c r="A2799">
        <v>2313002926</v>
      </c>
      <c r="B2799">
        <v>2313003454</v>
      </c>
      <c r="C2799" t="str">
        <f>T("나 혼자만 일일 보상 214화")</f>
        <v>나 혼자만 일일 보상 214화</v>
      </c>
      <c r="D2799" t="str">
        <f>T("214")</f>
        <v>214</v>
      </c>
      <c r="E2799" t="str">
        <f t="shared" si="415"/>
        <v>이동열</v>
      </c>
      <c r="H2799" t="str">
        <f t="shared" si="413"/>
        <v>스토리위즈</v>
      </c>
      <c r="I2799" t="str">
        <f t="shared" si="416"/>
        <v>나 혼자만 일일 보상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/>
      <c r="AQ2799">
        <v>0</v>
      </c>
      <c r="AR2799">
        <v>0</v>
      </c>
      <c r="AT2799">
        <v>0</v>
      </c>
      <c r="AU2799">
        <v>0</v>
      </c>
      <c r="AW2799">
        <v>0</v>
      </c>
      <c r="AX2799">
        <v>0</v>
      </c>
      <c r="AY2799">
        <v>70</v>
      </c>
      <c r="BC2799" t="str">
        <f>T("9791159287503")</f>
        <v>9791159287503</v>
      </c>
      <c r="BE2799" t="str">
        <f t="shared" si="414"/>
        <v>판타지 웹소설 &gt; 현대 판타지</v>
      </c>
    </row>
    <row r="2800" spans="1:57" x14ac:dyDescent="0.3">
      <c r="A2800">
        <v>2313002926</v>
      </c>
      <c r="B2800">
        <v>2313003455</v>
      </c>
      <c r="C2800" t="str">
        <f>T("나 혼자만 일일 보상 215화")</f>
        <v>나 혼자만 일일 보상 215화</v>
      </c>
      <c r="D2800" t="str">
        <f>T("215")</f>
        <v>215</v>
      </c>
      <c r="E2800" t="str">
        <f t="shared" si="415"/>
        <v>이동열</v>
      </c>
      <c r="H2800" t="str">
        <f t="shared" si="413"/>
        <v>스토리위즈</v>
      </c>
      <c r="I2800" t="str">
        <f t="shared" si="416"/>
        <v>나 혼자만 일일 보상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/>
      <c r="AQ2800">
        <v>0</v>
      </c>
      <c r="AR2800">
        <v>0</v>
      </c>
      <c r="AT2800">
        <v>0</v>
      </c>
      <c r="AU2800">
        <v>0</v>
      </c>
      <c r="AW2800">
        <v>0</v>
      </c>
      <c r="AX2800">
        <v>0</v>
      </c>
      <c r="AY2800">
        <v>70</v>
      </c>
      <c r="BC2800" t="str">
        <f>T("9791159287503")</f>
        <v>9791159287503</v>
      </c>
      <c r="BE2800" t="str">
        <f t="shared" si="414"/>
        <v>판타지 웹소설 &gt; 현대 판타지</v>
      </c>
    </row>
    <row r="2801" spans="1:57" x14ac:dyDescent="0.3">
      <c r="A2801">
        <v>2313002926</v>
      </c>
      <c r="B2801">
        <v>2313003456</v>
      </c>
      <c r="C2801" t="str">
        <f>T("나 혼자만 일일 보상 216화")</f>
        <v>나 혼자만 일일 보상 216화</v>
      </c>
      <c r="D2801" t="str">
        <f>T("216")</f>
        <v>216</v>
      </c>
      <c r="E2801" t="str">
        <f t="shared" si="415"/>
        <v>이동열</v>
      </c>
      <c r="H2801" t="str">
        <f t="shared" si="413"/>
        <v>스토리위즈</v>
      </c>
      <c r="I2801" t="str">
        <f t="shared" si="416"/>
        <v>나 혼자만 일일 보상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/>
      <c r="AQ2801">
        <v>0</v>
      </c>
      <c r="AR2801">
        <v>0</v>
      </c>
      <c r="AT2801">
        <v>0</v>
      </c>
      <c r="AU2801">
        <v>0</v>
      </c>
      <c r="AW2801">
        <v>0</v>
      </c>
      <c r="AX2801">
        <v>0</v>
      </c>
      <c r="AY2801">
        <v>70</v>
      </c>
      <c r="BC2801" t="str">
        <f>T("9791159287503")</f>
        <v>9791159287503</v>
      </c>
      <c r="BE2801" t="str">
        <f t="shared" si="414"/>
        <v>판타지 웹소설 &gt; 현대 판타지</v>
      </c>
    </row>
    <row r="2802" spans="1:57" x14ac:dyDescent="0.3">
      <c r="A2802">
        <v>2313002926</v>
      </c>
      <c r="B2802">
        <v>2313003457</v>
      </c>
      <c r="C2802" t="str">
        <f>T("나 혼자만 일일 보상 217화")</f>
        <v>나 혼자만 일일 보상 217화</v>
      </c>
      <c r="D2802" t="str">
        <f>T("217")</f>
        <v>217</v>
      </c>
      <c r="E2802" t="str">
        <f t="shared" si="415"/>
        <v>이동열</v>
      </c>
      <c r="H2802" t="str">
        <f t="shared" si="413"/>
        <v>스토리위즈</v>
      </c>
      <c r="I2802" t="str">
        <f t="shared" si="416"/>
        <v>나 혼자만 일일 보상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/>
      <c r="AQ2802">
        <v>0</v>
      </c>
      <c r="AR2802">
        <v>0</v>
      </c>
      <c r="AT2802">
        <v>0</v>
      </c>
      <c r="AU2802">
        <v>0</v>
      </c>
      <c r="AW2802">
        <v>0</v>
      </c>
      <c r="AX2802">
        <v>0</v>
      </c>
      <c r="AY2802">
        <v>70</v>
      </c>
      <c r="BC2802" t="str">
        <f>T("9791159286889")</f>
        <v>9791159286889</v>
      </c>
      <c r="BE2802" t="str">
        <f t="shared" si="414"/>
        <v>판타지 웹소설 &gt; 현대 판타지</v>
      </c>
    </row>
    <row r="2803" spans="1:57" x14ac:dyDescent="0.3">
      <c r="A2803">
        <v>2313002926</v>
      </c>
      <c r="B2803">
        <v>2313003458</v>
      </c>
      <c r="C2803" t="str">
        <f>T("나 혼자만 일일 보상 218화")</f>
        <v>나 혼자만 일일 보상 218화</v>
      </c>
      <c r="D2803" t="str">
        <f>T("218")</f>
        <v>218</v>
      </c>
      <c r="E2803" t="str">
        <f t="shared" si="415"/>
        <v>이동열</v>
      </c>
      <c r="H2803" t="str">
        <f t="shared" si="413"/>
        <v>스토리위즈</v>
      </c>
      <c r="I2803" t="str">
        <f t="shared" si="416"/>
        <v>나 혼자만 일일 보상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/>
      <c r="AQ2803">
        <v>0</v>
      </c>
      <c r="AR2803">
        <v>0</v>
      </c>
      <c r="AT2803">
        <v>0</v>
      </c>
      <c r="AU2803">
        <v>0</v>
      </c>
      <c r="AW2803">
        <v>0</v>
      </c>
      <c r="AX2803">
        <v>0</v>
      </c>
      <c r="AY2803">
        <v>70</v>
      </c>
      <c r="BC2803" t="str">
        <f>T("9791159287503")</f>
        <v>9791159287503</v>
      </c>
      <c r="BE2803" t="str">
        <f t="shared" si="414"/>
        <v>판타지 웹소설 &gt; 현대 판타지</v>
      </c>
    </row>
    <row r="2804" spans="1:57" x14ac:dyDescent="0.3">
      <c r="A2804">
        <v>2313002926</v>
      </c>
      <c r="B2804">
        <v>2313003459</v>
      </c>
      <c r="C2804" t="str">
        <f>T("나 혼자만 일일 보상 219화")</f>
        <v>나 혼자만 일일 보상 219화</v>
      </c>
      <c r="D2804" t="str">
        <f>T("219")</f>
        <v>219</v>
      </c>
      <c r="E2804" t="str">
        <f t="shared" si="415"/>
        <v>이동열</v>
      </c>
      <c r="H2804" t="str">
        <f t="shared" si="413"/>
        <v>스토리위즈</v>
      </c>
      <c r="I2804" t="str">
        <f t="shared" si="416"/>
        <v>나 혼자만 일일 보상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/>
      <c r="AQ2804">
        <v>0</v>
      </c>
      <c r="AR2804">
        <v>0</v>
      </c>
      <c r="AT2804">
        <v>0</v>
      </c>
      <c r="AU2804">
        <v>0</v>
      </c>
      <c r="AW2804">
        <v>0</v>
      </c>
      <c r="AX2804">
        <v>0</v>
      </c>
      <c r="AY2804">
        <v>70</v>
      </c>
      <c r="BC2804" t="str">
        <f>T("9791159286889")</f>
        <v>9791159286889</v>
      </c>
      <c r="BE2804" t="str">
        <f t="shared" si="414"/>
        <v>판타지 웹소설 &gt; 현대 판타지</v>
      </c>
    </row>
    <row r="2805" spans="1:57" x14ac:dyDescent="0.3">
      <c r="A2805">
        <v>2313002926</v>
      </c>
      <c r="B2805">
        <v>2313003460</v>
      </c>
      <c r="C2805" t="str">
        <f>T("나 혼자만 일일 보상 220화")</f>
        <v>나 혼자만 일일 보상 220화</v>
      </c>
      <c r="D2805" t="str">
        <f>T("220")</f>
        <v>220</v>
      </c>
      <c r="E2805" t="str">
        <f t="shared" si="415"/>
        <v>이동열</v>
      </c>
      <c r="H2805" t="str">
        <f t="shared" si="413"/>
        <v>스토리위즈</v>
      </c>
      <c r="I2805" t="str">
        <f t="shared" si="416"/>
        <v>나 혼자만 일일 보상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/>
      <c r="AQ2805">
        <v>0</v>
      </c>
      <c r="AR2805">
        <v>0</v>
      </c>
      <c r="AT2805">
        <v>0</v>
      </c>
      <c r="AU2805">
        <v>0</v>
      </c>
      <c r="AW2805">
        <v>0</v>
      </c>
      <c r="AX2805">
        <v>0</v>
      </c>
      <c r="AY2805">
        <v>70</v>
      </c>
      <c r="BC2805" t="str">
        <f>T("9791159287503")</f>
        <v>9791159287503</v>
      </c>
      <c r="BE2805" t="str">
        <f t="shared" si="414"/>
        <v>판타지 웹소설 &gt; 현대 판타지</v>
      </c>
    </row>
    <row r="2806" spans="1:57" x14ac:dyDescent="0.3">
      <c r="A2806">
        <v>2313002926</v>
      </c>
      <c r="B2806">
        <v>2313003461</v>
      </c>
      <c r="C2806" t="str">
        <f>T("나 혼자만 일일 보상 221화")</f>
        <v>나 혼자만 일일 보상 221화</v>
      </c>
      <c r="D2806" t="str">
        <f>T("221")</f>
        <v>221</v>
      </c>
      <c r="E2806" t="str">
        <f t="shared" si="415"/>
        <v>이동열</v>
      </c>
      <c r="H2806" t="str">
        <f t="shared" si="413"/>
        <v>스토리위즈</v>
      </c>
      <c r="I2806" t="str">
        <f t="shared" si="416"/>
        <v>나 혼자만 일일 보상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/>
      <c r="AQ2806">
        <v>0</v>
      </c>
      <c r="AR2806">
        <v>0</v>
      </c>
      <c r="AT2806">
        <v>0</v>
      </c>
      <c r="AU2806">
        <v>0</v>
      </c>
      <c r="AW2806">
        <v>0</v>
      </c>
      <c r="AX2806">
        <v>0</v>
      </c>
      <c r="AY2806">
        <v>70</v>
      </c>
      <c r="BC2806" t="str">
        <f>T("9791159287503")</f>
        <v>9791159287503</v>
      </c>
      <c r="BE2806" t="str">
        <f t="shared" si="414"/>
        <v>판타지 웹소설 &gt; 현대 판타지</v>
      </c>
    </row>
    <row r="2807" spans="1:57" x14ac:dyDescent="0.3">
      <c r="A2807">
        <v>2313002926</v>
      </c>
      <c r="B2807">
        <v>2313003462</v>
      </c>
      <c r="C2807" t="str">
        <f>T("나 혼자만 일일 보상 222화")</f>
        <v>나 혼자만 일일 보상 222화</v>
      </c>
      <c r="D2807" t="str">
        <f>T("222")</f>
        <v>222</v>
      </c>
      <c r="E2807" t="str">
        <f t="shared" si="415"/>
        <v>이동열</v>
      </c>
      <c r="H2807" t="str">
        <f t="shared" si="413"/>
        <v>스토리위즈</v>
      </c>
      <c r="I2807" t="str">
        <f t="shared" si="416"/>
        <v>나 혼자만 일일 보상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/>
      <c r="AQ2807">
        <v>0</v>
      </c>
      <c r="AR2807">
        <v>0</v>
      </c>
      <c r="AT2807">
        <v>0</v>
      </c>
      <c r="AU2807">
        <v>0</v>
      </c>
      <c r="AW2807">
        <v>0</v>
      </c>
      <c r="AX2807">
        <v>0</v>
      </c>
      <c r="AY2807">
        <v>70</v>
      </c>
      <c r="BC2807" t="str">
        <f>T("9791159287503")</f>
        <v>9791159287503</v>
      </c>
      <c r="BE2807" t="str">
        <f t="shared" si="414"/>
        <v>판타지 웹소설 &gt; 현대 판타지</v>
      </c>
    </row>
    <row r="2808" spans="1:57" x14ac:dyDescent="0.3">
      <c r="A2808">
        <v>2313002926</v>
      </c>
      <c r="B2808">
        <v>2313003463</v>
      </c>
      <c r="C2808" t="str">
        <f>T("나 혼자만 일일 보상 223화")</f>
        <v>나 혼자만 일일 보상 223화</v>
      </c>
      <c r="D2808" t="str">
        <f>T("223")</f>
        <v>223</v>
      </c>
      <c r="E2808" t="str">
        <f t="shared" si="415"/>
        <v>이동열</v>
      </c>
      <c r="H2808" t="str">
        <f t="shared" ref="H2808:H2871" si="418">T("스토리위즈")</f>
        <v>스토리위즈</v>
      </c>
      <c r="I2808" t="str">
        <f t="shared" si="416"/>
        <v>나 혼자만 일일 보상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/>
      <c r="AQ2808">
        <v>0</v>
      </c>
      <c r="AR2808">
        <v>0</v>
      </c>
      <c r="AT2808">
        <v>0</v>
      </c>
      <c r="AU2808">
        <v>0</v>
      </c>
      <c r="AW2808">
        <v>0</v>
      </c>
      <c r="AX2808">
        <v>0</v>
      </c>
      <c r="AY2808">
        <v>70</v>
      </c>
      <c r="BC2808" t="str">
        <f>T("9791159287503")</f>
        <v>9791159287503</v>
      </c>
      <c r="BE2808" t="str">
        <f t="shared" si="414"/>
        <v>판타지 웹소설 &gt; 현대 판타지</v>
      </c>
    </row>
    <row r="2809" spans="1:57" x14ac:dyDescent="0.3">
      <c r="A2809">
        <v>2313002926</v>
      </c>
      <c r="B2809">
        <v>2313003464</v>
      </c>
      <c r="C2809" t="str">
        <f>T("나 혼자만 일일 보상 224화")</f>
        <v>나 혼자만 일일 보상 224화</v>
      </c>
      <c r="D2809" t="str">
        <f>T("224")</f>
        <v>224</v>
      </c>
      <c r="E2809" t="str">
        <f t="shared" si="415"/>
        <v>이동열</v>
      </c>
      <c r="H2809" t="str">
        <f t="shared" si="418"/>
        <v>스토리위즈</v>
      </c>
      <c r="I2809" t="str">
        <f t="shared" si="416"/>
        <v>나 혼자만 일일 보상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/>
      <c r="AQ2809">
        <v>0</v>
      </c>
      <c r="AR2809">
        <v>0</v>
      </c>
      <c r="AT2809">
        <v>0</v>
      </c>
      <c r="AU2809">
        <v>0</v>
      </c>
      <c r="AW2809">
        <v>0</v>
      </c>
      <c r="AX2809">
        <v>0</v>
      </c>
      <c r="AY2809">
        <v>70</v>
      </c>
      <c r="BC2809" t="str">
        <f>T("9791159287503")</f>
        <v>9791159287503</v>
      </c>
      <c r="BE2809" t="str">
        <f t="shared" si="414"/>
        <v>판타지 웹소설 &gt; 현대 판타지</v>
      </c>
    </row>
    <row r="2810" spans="1:57" x14ac:dyDescent="0.3">
      <c r="A2810">
        <v>2313002926</v>
      </c>
      <c r="B2810">
        <v>2313003465</v>
      </c>
      <c r="C2810" t="str">
        <f>T("나 혼자만 일일 보상 225화 (외전 1)")</f>
        <v>나 혼자만 일일 보상 225화 (외전 1)</v>
      </c>
      <c r="D2810" t="str">
        <f>T("225")</f>
        <v>225</v>
      </c>
      <c r="E2810" t="str">
        <f t="shared" si="415"/>
        <v>이동열</v>
      </c>
      <c r="H2810" t="str">
        <f t="shared" si="418"/>
        <v>스토리위즈</v>
      </c>
      <c r="I2810" t="str">
        <f t="shared" si="416"/>
        <v>나 혼자만 일일 보상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/>
      <c r="AQ2810">
        <v>0</v>
      </c>
      <c r="AR2810">
        <v>0</v>
      </c>
      <c r="AT2810">
        <v>0</v>
      </c>
      <c r="AU2810">
        <v>0</v>
      </c>
      <c r="AW2810">
        <v>0</v>
      </c>
      <c r="AX2810">
        <v>0</v>
      </c>
      <c r="AY2810">
        <v>70</v>
      </c>
      <c r="BC2810" t="str">
        <f t="shared" ref="BC2810:BC2834" si="419">T("9791159286889")</f>
        <v>9791159286889</v>
      </c>
      <c r="BE2810" t="str">
        <f t="shared" si="414"/>
        <v>판타지 웹소설 &gt; 현대 판타지</v>
      </c>
    </row>
    <row r="2811" spans="1:57" x14ac:dyDescent="0.3">
      <c r="A2811">
        <v>2313002926</v>
      </c>
      <c r="B2811">
        <v>2313003466</v>
      </c>
      <c r="C2811" t="str">
        <f>T("나 혼자만 일일 보상 226화 (외전 2)")</f>
        <v>나 혼자만 일일 보상 226화 (외전 2)</v>
      </c>
      <c r="D2811" t="str">
        <f>T("226")</f>
        <v>226</v>
      </c>
      <c r="E2811" t="str">
        <f t="shared" si="415"/>
        <v>이동열</v>
      </c>
      <c r="H2811" t="str">
        <f t="shared" si="418"/>
        <v>스토리위즈</v>
      </c>
      <c r="I2811" t="str">
        <f t="shared" si="416"/>
        <v>나 혼자만 일일 보상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/>
      <c r="AQ2811">
        <v>0</v>
      </c>
      <c r="AR2811">
        <v>0</v>
      </c>
      <c r="AT2811">
        <v>0</v>
      </c>
      <c r="AU2811">
        <v>0</v>
      </c>
      <c r="AW2811">
        <v>0</v>
      </c>
      <c r="AX2811">
        <v>0</v>
      </c>
      <c r="AY2811">
        <v>70</v>
      </c>
      <c r="BC2811" t="str">
        <f t="shared" si="419"/>
        <v>9791159286889</v>
      </c>
      <c r="BE2811" t="str">
        <f t="shared" si="414"/>
        <v>판타지 웹소설 &gt; 현대 판타지</v>
      </c>
    </row>
    <row r="2812" spans="1:57" x14ac:dyDescent="0.3">
      <c r="A2812">
        <v>2313002926</v>
      </c>
      <c r="B2812">
        <v>2313003467</v>
      </c>
      <c r="C2812" t="str">
        <f>T("나 혼자만 일일 보상 227화 (외전 3)")</f>
        <v>나 혼자만 일일 보상 227화 (외전 3)</v>
      </c>
      <c r="D2812" t="str">
        <f>T("227")</f>
        <v>227</v>
      </c>
      <c r="E2812" t="str">
        <f t="shared" si="415"/>
        <v>이동열</v>
      </c>
      <c r="H2812" t="str">
        <f t="shared" si="418"/>
        <v>스토리위즈</v>
      </c>
      <c r="I2812" t="str">
        <f t="shared" si="416"/>
        <v>나 혼자만 일일 보상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/>
      <c r="AQ2812">
        <v>0</v>
      </c>
      <c r="AR2812">
        <v>0</v>
      </c>
      <c r="AT2812">
        <v>0</v>
      </c>
      <c r="AU2812">
        <v>0</v>
      </c>
      <c r="AW2812">
        <v>0</v>
      </c>
      <c r="AX2812">
        <v>0</v>
      </c>
      <c r="AY2812">
        <v>70</v>
      </c>
      <c r="BC2812" t="str">
        <f t="shared" si="419"/>
        <v>9791159286889</v>
      </c>
      <c r="BE2812" t="str">
        <f t="shared" si="414"/>
        <v>판타지 웹소설 &gt; 현대 판타지</v>
      </c>
    </row>
    <row r="2813" spans="1:57" x14ac:dyDescent="0.3">
      <c r="A2813">
        <v>2313002926</v>
      </c>
      <c r="B2813">
        <v>2313003468</v>
      </c>
      <c r="C2813" t="str">
        <f>T("나 혼자만 일일 보상 228화 (외전 4)")</f>
        <v>나 혼자만 일일 보상 228화 (외전 4)</v>
      </c>
      <c r="D2813" t="str">
        <f>T("228")</f>
        <v>228</v>
      </c>
      <c r="E2813" t="str">
        <f t="shared" si="415"/>
        <v>이동열</v>
      </c>
      <c r="H2813" t="str">
        <f t="shared" si="418"/>
        <v>스토리위즈</v>
      </c>
      <c r="I2813" t="str">
        <f t="shared" si="416"/>
        <v>나 혼자만 일일 보상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/>
      <c r="AQ2813">
        <v>0</v>
      </c>
      <c r="AR2813">
        <v>0</v>
      </c>
      <c r="AT2813">
        <v>0</v>
      </c>
      <c r="AU2813">
        <v>0</v>
      </c>
      <c r="AW2813">
        <v>0</v>
      </c>
      <c r="AX2813">
        <v>0</v>
      </c>
      <c r="AY2813">
        <v>70</v>
      </c>
      <c r="BC2813" t="str">
        <f t="shared" si="419"/>
        <v>9791159286889</v>
      </c>
      <c r="BE2813" t="str">
        <f t="shared" si="414"/>
        <v>판타지 웹소설 &gt; 현대 판타지</v>
      </c>
    </row>
    <row r="2814" spans="1:57" x14ac:dyDescent="0.3">
      <c r="A2814">
        <v>2313002926</v>
      </c>
      <c r="B2814">
        <v>2313003469</v>
      </c>
      <c r="C2814" t="str">
        <f>T("나 혼자만 일일 보상 229화 (외전 5)")</f>
        <v>나 혼자만 일일 보상 229화 (외전 5)</v>
      </c>
      <c r="D2814" t="str">
        <f>T("229")</f>
        <v>229</v>
      </c>
      <c r="E2814" t="str">
        <f t="shared" si="415"/>
        <v>이동열</v>
      </c>
      <c r="H2814" t="str">
        <f t="shared" si="418"/>
        <v>스토리위즈</v>
      </c>
      <c r="I2814" t="str">
        <f t="shared" si="416"/>
        <v>나 혼자만 일일 보상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/>
      <c r="AQ2814">
        <v>0</v>
      </c>
      <c r="AR2814">
        <v>0</v>
      </c>
      <c r="AT2814">
        <v>0</v>
      </c>
      <c r="AU2814">
        <v>0</v>
      </c>
      <c r="AW2814">
        <v>0</v>
      </c>
      <c r="AX2814">
        <v>0</v>
      </c>
      <c r="AY2814">
        <v>70</v>
      </c>
      <c r="BC2814" t="str">
        <f t="shared" si="419"/>
        <v>9791159286889</v>
      </c>
      <c r="BE2814" t="str">
        <f t="shared" si="414"/>
        <v>판타지 웹소설 &gt; 현대 판타지</v>
      </c>
    </row>
    <row r="2815" spans="1:57" x14ac:dyDescent="0.3">
      <c r="A2815">
        <v>2313002926</v>
      </c>
      <c r="B2815">
        <v>2313003470</v>
      </c>
      <c r="C2815" t="str">
        <f>T("나 혼자만 일일 보상 230화 (외전 6)")</f>
        <v>나 혼자만 일일 보상 230화 (외전 6)</v>
      </c>
      <c r="D2815" t="str">
        <f>T("230")</f>
        <v>230</v>
      </c>
      <c r="E2815" t="str">
        <f t="shared" si="415"/>
        <v>이동열</v>
      </c>
      <c r="H2815" t="str">
        <f t="shared" si="418"/>
        <v>스토리위즈</v>
      </c>
      <c r="I2815" t="str">
        <f t="shared" si="416"/>
        <v>나 혼자만 일일 보상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/>
      <c r="AQ2815">
        <v>0</v>
      </c>
      <c r="AR2815">
        <v>0</v>
      </c>
      <c r="AT2815">
        <v>0</v>
      </c>
      <c r="AU2815">
        <v>0</v>
      </c>
      <c r="AW2815">
        <v>0</v>
      </c>
      <c r="AX2815">
        <v>0</v>
      </c>
      <c r="AY2815">
        <v>70</v>
      </c>
      <c r="BC2815" t="str">
        <f t="shared" si="419"/>
        <v>9791159286889</v>
      </c>
      <c r="BE2815" t="str">
        <f t="shared" si="414"/>
        <v>판타지 웹소설 &gt; 현대 판타지</v>
      </c>
    </row>
    <row r="2816" spans="1:57" x14ac:dyDescent="0.3">
      <c r="A2816">
        <v>2313002926</v>
      </c>
      <c r="B2816">
        <v>2313003471</v>
      </c>
      <c r="C2816" t="str">
        <f>T("나 혼자만 일일 보상 231화 (외전 7)")</f>
        <v>나 혼자만 일일 보상 231화 (외전 7)</v>
      </c>
      <c r="D2816" t="str">
        <f>T("231")</f>
        <v>231</v>
      </c>
      <c r="E2816" t="str">
        <f t="shared" si="415"/>
        <v>이동열</v>
      </c>
      <c r="H2816" t="str">
        <f t="shared" si="418"/>
        <v>스토리위즈</v>
      </c>
      <c r="I2816" t="str">
        <f t="shared" si="416"/>
        <v>나 혼자만 일일 보상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/>
      <c r="AQ2816">
        <v>0</v>
      </c>
      <c r="AR2816">
        <v>0</v>
      </c>
      <c r="AT2816">
        <v>0</v>
      </c>
      <c r="AU2816">
        <v>0</v>
      </c>
      <c r="AW2816">
        <v>0</v>
      </c>
      <c r="AX2816">
        <v>0</v>
      </c>
      <c r="AY2816">
        <v>70</v>
      </c>
      <c r="BC2816" t="str">
        <f t="shared" si="419"/>
        <v>9791159286889</v>
      </c>
      <c r="BE2816" t="str">
        <f t="shared" si="414"/>
        <v>판타지 웹소설 &gt; 현대 판타지</v>
      </c>
    </row>
    <row r="2817" spans="1:57" x14ac:dyDescent="0.3">
      <c r="A2817">
        <v>2313002926</v>
      </c>
      <c r="B2817">
        <v>2313003472</v>
      </c>
      <c r="C2817" t="str">
        <f>T("나 혼자만 일일 보상 232화 (외전 8)")</f>
        <v>나 혼자만 일일 보상 232화 (외전 8)</v>
      </c>
      <c r="D2817" t="str">
        <f>T("232")</f>
        <v>232</v>
      </c>
      <c r="E2817" t="str">
        <f t="shared" si="415"/>
        <v>이동열</v>
      </c>
      <c r="H2817" t="str">
        <f t="shared" si="418"/>
        <v>스토리위즈</v>
      </c>
      <c r="I2817" t="str">
        <f t="shared" si="416"/>
        <v>나 혼자만 일일 보상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/>
      <c r="AQ2817">
        <v>0</v>
      </c>
      <c r="AR2817">
        <v>0</v>
      </c>
      <c r="AT2817">
        <v>0</v>
      </c>
      <c r="AU2817">
        <v>0</v>
      </c>
      <c r="AW2817">
        <v>0</v>
      </c>
      <c r="AX2817">
        <v>0</v>
      </c>
      <c r="AY2817">
        <v>70</v>
      </c>
      <c r="BC2817" t="str">
        <f t="shared" si="419"/>
        <v>9791159286889</v>
      </c>
      <c r="BE2817" t="str">
        <f t="shared" ref="BE2817:BE2834" si="420">T("판타지 웹소설 &gt; 현대 판타지")</f>
        <v>판타지 웹소설 &gt; 현대 판타지</v>
      </c>
    </row>
    <row r="2818" spans="1:57" x14ac:dyDescent="0.3">
      <c r="A2818">
        <v>2313002926</v>
      </c>
      <c r="B2818">
        <v>2313003473</v>
      </c>
      <c r="C2818" t="str">
        <f>T("나 혼자만 일일 보상 233화 (외전 9)")</f>
        <v>나 혼자만 일일 보상 233화 (외전 9)</v>
      </c>
      <c r="D2818" t="str">
        <f>T("233")</f>
        <v>233</v>
      </c>
      <c r="E2818" t="str">
        <f t="shared" si="415"/>
        <v>이동열</v>
      </c>
      <c r="H2818" t="str">
        <f t="shared" si="418"/>
        <v>스토리위즈</v>
      </c>
      <c r="I2818" t="str">
        <f t="shared" si="416"/>
        <v>나 혼자만 일일 보상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/>
      <c r="AQ2818">
        <v>0</v>
      </c>
      <c r="AR2818">
        <v>0</v>
      </c>
      <c r="AT2818">
        <v>0</v>
      </c>
      <c r="AU2818">
        <v>0</v>
      </c>
      <c r="AW2818">
        <v>0</v>
      </c>
      <c r="AX2818">
        <v>0</v>
      </c>
      <c r="AY2818">
        <v>70</v>
      </c>
      <c r="BC2818" t="str">
        <f t="shared" si="419"/>
        <v>9791159286889</v>
      </c>
      <c r="BE2818" t="str">
        <f t="shared" si="420"/>
        <v>판타지 웹소설 &gt; 현대 판타지</v>
      </c>
    </row>
    <row r="2819" spans="1:57" x14ac:dyDescent="0.3">
      <c r="A2819">
        <v>2313002926</v>
      </c>
      <c r="B2819">
        <v>2313003474</v>
      </c>
      <c r="C2819" t="str">
        <f>T("나 혼자만 일일 보상 234화 (외전 10)")</f>
        <v>나 혼자만 일일 보상 234화 (외전 10)</v>
      </c>
      <c r="D2819" t="str">
        <f>T("234")</f>
        <v>234</v>
      </c>
      <c r="E2819" t="str">
        <f t="shared" si="415"/>
        <v>이동열</v>
      </c>
      <c r="H2819" t="str">
        <f t="shared" si="418"/>
        <v>스토리위즈</v>
      </c>
      <c r="I2819" t="str">
        <f t="shared" si="416"/>
        <v>나 혼자만 일일 보상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/>
      <c r="AQ2819">
        <v>0</v>
      </c>
      <c r="AR2819">
        <v>0</v>
      </c>
      <c r="AT2819">
        <v>0</v>
      </c>
      <c r="AU2819">
        <v>0</v>
      </c>
      <c r="AW2819">
        <v>0</v>
      </c>
      <c r="AX2819">
        <v>0</v>
      </c>
      <c r="AY2819">
        <v>70</v>
      </c>
      <c r="BC2819" t="str">
        <f t="shared" si="419"/>
        <v>9791159286889</v>
      </c>
      <c r="BE2819" t="str">
        <f t="shared" si="420"/>
        <v>판타지 웹소설 &gt; 현대 판타지</v>
      </c>
    </row>
    <row r="2820" spans="1:57" x14ac:dyDescent="0.3">
      <c r="A2820">
        <v>2313002926</v>
      </c>
      <c r="B2820">
        <v>2313003475</v>
      </c>
      <c r="C2820" t="str">
        <f>T("나 혼자만 일일 보상 235화 (외전 11)")</f>
        <v>나 혼자만 일일 보상 235화 (외전 11)</v>
      </c>
      <c r="D2820" t="str">
        <f>T("235")</f>
        <v>235</v>
      </c>
      <c r="E2820" t="str">
        <f t="shared" si="415"/>
        <v>이동열</v>
      </c>
      <c r="H2820" t="str">
        <f t="shared" si="418"/>
        <v>스토리위즈</v>
      </c>
      <c r="I2820" t="str">
        <f t="shared" si="416"/>
        <v>나 혼자만 일일 보상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/>
      <c r="AQ2820">
        <v>0</v>
      </c>
      <c r="AR2820">
        <v>0</v>
      </c>
      <c r="AT2820">
        <v>0</v>
      </c>
      <c r="AU2820">
        <v>0</v>
      </c>
      <c r="AW2820">
        <v>0</v>
      </c>
      <c r="AX2820">
        <v>0</v>
      </c>
      <c r="AY2820">
        <v>70</v>
      </c>
      <c r="BC2820" t="str">
        <f t="shared" si="419"/>
        <v>9791159286889</v>
      </c>
      <c r="BE2820" t="str">
        <f t="shared" si="420"/>
        <v>판타지 웹소설 &gt; 현대 판타지</v>
      </c>
    </row>
    <row r="2821" spans="1:57" x14ac:dyDescent="0.3">
      <c r="A2821">
        <v>2313002926</v>
      </c>
      <c r="B2821">
        <v>2313003476</v>
      </c>
      <c r="C2821" t="str">
        <f>T("나 혼자만 일일 보상 236화 (외전 12)")</f>
        <v>나 혼자만 일일 보상 236화 (외전 12)</v>
      </c>
      <c r="D2821" t="str">
        <f>T("236")</f>
        <v>236</v>
      </c>
      <c r="E2821" t="str">
        <f t="shared" si="415"/>
        <v>이동열</v>
      </c>
      <c r="H2821" t="str">
        <f t="shared" si="418"/>
        <v>스토리위즈</v>
      </c>
      <c r="I2821" t="str">
        <f t="shared" si="416"/>
        <v>나 혼자만 일일 보상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/>
      <c r="AQ2821">
        <v>0</v>
      </c>
      <c r="AR2821">
        <v>0</v>
      </c>
      <c r="AT2821">
        <v>0</v>
      </c>
      <c r="AU2821">
        <v>0</v>
      </c>
      <c r="AW2821">
        <v>0</v>
      </c>
      <c r="AX2821">
        <v>0</v>
      </c>
      <c r="AY2821">
        <v>70</v>
      </c>
      <c r="BC2821" t="str">
        <f t="shared" si="419"/>
        <v>9791159286889</v>
      </c>
      <c r="BE2821" t="str">
        <f t="shared" si="420"/>
        <v>판타지 웹소설 &gt; 현대 판타지</v>
      </c>
    </row>
    <row r="2822" spans="1:57" x14ac:dyDescent="0.3">
      <c r="A2822">
        <v>2313002926</v>
      </c>
      <c r="B2822">
        <v>2313003477</v>
      </c>
      <c r="C2822" t="str">
        <f>T("나 혼자만 일일 보상 237화 (외전 13)")</f>
        <v>나 혼자만 일일 보상 237화 (외전 13)</v>
      </c>
      <c r="D2822" t="str">
        <f>T("237")</f>
        <v>237</v>
      </c>
      <c r="E2822" t="str">
        <f t="shared" si="415"/>
        <v>이동열</v>
      </c>
      <c r="H2822" t="str">
        <f t="shared" si="418"/>
        <v>스토리위즈</v>
      </c>
      <c r="I2822" t="str">
        <f t="shared" si="416"/>
        <v>나 혼자만 일일 보상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/>
      <c r="AQ2822">
        <v>0</v>
      </c>
      <c r="AR2822">
        <v>0</v>
      </c>
      <c r="AT2822">
        <v>0</v>
      </c>
      <c r="AU2822">
        <v>0</v>
      </c>
      <c r="AW2822">
        <v>0</v>
      </c>
      <c r="AX2822">
        <v>0</v>
      </c>
      <c r="AY2822">
        <v>70</v>
      </c>
      <c r="BC2822" t="str">
        <f t="shared" si="419"/>
        <v>9791159286889</v>
      </c>
      <c r="BE2822" t="str">
        <f t="shared" si="420"/>
        <v>판타지 웹소설 &gt; 현대 판타지</v>
      </c>
    </row>
    <row r="2823" spans="1:57" x14ac:dyDescent="0.3">
      <c r="A2823">
        <v>2313002926</v>
      </c>
      <c r="B2823">
        <v>2313003478</v>
      </c>
      <c r="C2823" t="str">
        <f>T("나 혼자만 일일 보상 238화 (외전 14)")</f>
        <v>나 혼자만 일일 보상 238화 (외전 14)</v>
      </c>
      <c r="D2823" t="str">
        <f>T("238")</f>
        <v>238</v>
      </c>
      <c r="E2823" t="str">
        <f t="shared" si="415"/>
        <v>이동열</v>
      </c>
      <c r="H2823" t="str">
        <f t="shared" si="418"/>
        <v>스토리위즈</v>
      </c>
      <c r="I2823" t="str">
        <f t="shared" si="416"/>
        <v>나 혼자만 일일 보상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/>
      <c r="AQ2823">
        <v>0</v>
      </c>
      <c r="AR2823">
        <v>0</v>
      </c>
      <c r="AT2823">
        <v>0</v>
      </c>
      <c r="AU2823">
        <v>0</v>
      </c>
      <c r="AW2823">
        <v>0</v>
      </c>
      <c r="AX2823">
        <v>0</v>
      </c>
      <c r="AY2823">
        <v>70</v>
      </c>
      <c r="BC2823" t="str">
        <f t="shared" si="419"/>
        <v>9791159286889</v>
      </c>
      <c r="BE2823" t="str">
        <f t="shared" si="420"/>
        <v>판타지 웹소설 &gt; 현대 판타지</v>
      </c>
    </row>
    <row r="2824" spans="1:57" x14ac:dyDescent="0.3">
      <c r="A2824">
        <v>2313002926</v>
      </c>
      <c r="B2824">
        <v>2313003479</v>
      </c>
      <c r="C2824" t="str">
        <f>T("나 혼자만 일일 보상 239화 (외전 15)")</f>
        <v>나 혼자만 일일 보상 239화 (외전 15)</v>
      </c>
      <c r="D2824" t="str">
        <f>T("239")</f>
        <v>239</v>
      </c>
      <c r="E2824" t="str">
        <f t="shared" si="415"/>
        <v>이동열</v>
      </c>
      <c r="H2824" t="str">
        <f t="shared" si="418"/>
        <v>스토리위즈</v>
      </c>
      <c r="I2824" t="str">
        <f t="shared" si="416"/>
        <v>나 혼자만 일일 보상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/>
      <c r="AQ2824">
        <v>0</v>
      </c>
      <c r="AR2824">
        <v>0</v>
      </c>
      <c r="AT2824">
        <v>0</v>
      </c>
      <c r="AU2824">
        <v>0</v>
      </c>
      <c r="AW2824">
        <v>0</v>
      </c>
      <c r="AX2824">
        <v>0</v>
      </c>
      <c r="AY2824">
        <v>70</v>
      </c>
      <c r="BC2824" t="str">
        <f t="shared" si="419"/>
        <v>9791159286889</v>
      </c>
      <c r="BE2824" t="str">
        <f t="shared" si="420"/>
        <v>판타지 웹소설 &gt; 현대 판타지</v>
      </c>
    </row>
    <row r="2825" spans="1:57" x14ac:dyDescent="0.3">
      <c r="A2825">
        <v>2313002926</v>
      </c>
      <c r="B2825">
        <v>2313003480</v>
      </c>
      <c r="C2825" t="str">
        <f>T("나 혼자만 일일 보상 239화 (외전 16)")</f>
        <v>나 혼자만 일일 보상 239화 (외전 16)</v>
      </c>
      <c r="D2825" t="str">
        <f>T("240")</f>
        <v>240</v>
      </c>
      <c r="E2825" t="str">
        <f t="shared" ref="E2825:E2834" si="421">T("이동열")</f>
        <v>이동열</v>
      </c>
      <c r="H2825" t="str">
        <f t="shared" si="418"/>
        <v>스토리위즈</v>
      </c>
      <c r="I2825" t="str">
        <f t="shared" ref="I2825:I2834" si="422">T("나 혼자만 일일 보상")</f>
        <v>나 혼자만 일일 보상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/>
      <c r="AQ2825">
        <v>0</v>
      </c>
      <c r="AR2825">
        <v>0</v>
      </c>
      <c r="AT2825">
        <v>0</v>
      </c>
      <c r="AU2825">
        <v>0</v>
      </c>
      <c r="AW2825">
        <v>0</v>
      </c>
      <c r="AX2825">
        <v>0</v>
      </c>
      <c r="AY2825">
        <v>70</v>
      </c>
      <c r="BC2825" t="str">
        <f t="shared" si="419"/>
        <v>9791159286889</v>
      </c>
      <c r="BE2825" t="str">
        <f t="shared" si="420"/>
        <v>판타지 웹소설 &gt; 현대 판타지</v>
      </c>
    </row>
    <row r="2826" spans="1:57" x14ac:dyDescent="0.3">
      <c r="A2826">
        <v>2313002926</v>
      </c>
      <c r="B2826">
        <v>2313003481</v>
      </c>
      <c r="C2826" t="str">
        <f>T("나 혼자만 일일 보상 240화 (외전 17)")</f>
        <v>나 혼자만 일일 보상 240화 (외전 17)</v>
      </c>
      <c r="D2826" t="str">
        <f>T("241")</f>
        <v>241</v>
      </c>
      <c r="E2826" t="str">
        <f t="shared" si="421"/>
        <v>이동열</v>
      </c>
      <c r="H2826" t="str">
        <f t="shared" si="418"/>
        <v>스토리위즈</v>
      </c>
      <c r="I2826" t="str">
        <f t="shared" si="422"/>
        <v>나 혼자만 일일 보상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/>
      <c r="AQ2826">
        <v>0</v>
      </c>
      <c r="AR2826">
        <v>0</v>
      </c>
      <c r="AT2826">
        <v>0</v>
      </c>
      <c r="AU2826">
        <v>0</v>
      </c>
      <c r="AW2826">
        <v>0</v>
      </c>
      <c r="AX2826">
        <v>0</v>
      </c>
      <c r="AY2826">
        <v>70</v>
      </c>
      <c r="BC2826" t="str">
        <f t="shared" si="419"/>
        <v>9791159286889</v>
      </c>
      <c r="BE2826" t="str">
        <f t="shared" si="420"/>
        <v>판타지 웹소설 &gt; 현대 판타지</v>
      </c>
    </row>
    <row r="2827" spans="1:57" x14ac:dyDescent="0.3">
      <c r="A2827">
        <v>2313002926</v>
      </c>
      <c r="B2827">
        <v>2313003482</v>
      </c>
      <c r="C2827" t="str">
        <f>T("나 혼자만 일일 보상 241화 (외전 18)")</f>
        <v>나 혼자만 일일 보상 241화 (외전 18)</v>
      </c>
      <c r="D2827" t="str">
        <f>T("242")</f>
        <v>242</v>
      </c>
      <c r="E2827" t="str">
        <f t="shared" si="421"/>
        <v>이동열</v>
      </c>
      <c r="H2827" t="str">
        <f t="shared" si="418"/>
        <v>스토리위즈</v>
      </c>
      <c r="I2827" t="str">
        <f t="shared" si="422"/>
        <v>나 혼자만 일일 보상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/>
      <c r="AQ2827">
        <v>0</v>
      </c>
      <c r="AR2827">
        <v>0</v>
      </c>
      <c r="AT2827">
        <v>0</v>
      </c>
      <c r="AU2827">
        <v>0</v>
      </c>
      <c r="AW2827">
        <v>0</v>
      </c>
      <c r="AX2827">
        <v>0</v>
      </c>
      <c r="AY2827">
        <v>70</v>
      </c>
      <c r="BC2827" t="str">
        <f t="shared" si="419"/>
        <v>9791159286889</v>
      </c>
      <c r="BE2827" t="str">
        <f t="shared" si="420"/>
        <v>판타지 웹소설 &gt; 현대 판타지</v>
      </c>
    </row>
    <row r="2828" spans="1:57" x14ac:dyDescent="0.3">
      <c r="A2828">
        <v>2313002926</v>
      </c>
      <c r="B2828">
        <v>2313003483</v>
      </c>
      <c r="C2828" t="str">
        <f>T("나 혼자만 일일 보상 242화 (외전 19)")</f>
        <v>나 혼자만 일일 보상 242화 (외전 19)</v>
      </c>
      <c r="D2828" t="str">
        <f>T("243")</f>
        <v>243</v>
      </c>
      <c r="E2828" t="str">
        <f t="shared" si="421"/>
        <v>이동열</v>
      </c>
      <c r="H2828" t="str">
        <f t="shared" si="418"/>
        <v>스토리위즈</v>
      </c>
      <c r="I2828" t="str">
        <f t="shared" si="422"/>
        <v>나 혼자만 일일 보상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/>
      <c r="AQ2828">
        <v>0</v>
      </c>
      <c r="AR2828">
        <v>0</v>
      </c>
      <c r="AT2828">
        <v>0</v>
      </c>
      <c r="AU2828">
        <v>0</v>
      </c>
      <c r="AW2828">
        <v>0</v>
      </c>
      <c r="AX2828">
        <v>0</v>
      </c>
      <c r="AY2828">
        <v>70</v>
      </c>
      <c r="BC2828" t="str">
        <f t="shared" si="419"/>
        <v>9791159286889</v>
      </c>
      <c r="BE2828" t="str">
        <f t="shared" si="420"/>
        <v>판타지 웹소설 &gt; 현대 판타지</v>
      </c>
    </row>
    <row r="2829" spans="1:57" x14ac:dyDescent="0.3">
      <c r="A2829">
        <v>2313002926</v>
      </c>
      <c r="B2829">
        <v>2313003484</v>
      </c>
      <c r="C2829" t="str">
        <f>T("나 혼자만 일일 보상 243화 (외전 20)")</f>
        <v>나 혼자만 일일 보상 243화 (외전 20)</v>
      </c>
      <c r="D2829" t="str">
        <f>T("244")</f>
        <v>244</v>
      </c>
      <c r="E2829" t="str">
        <f t="shared" si="421"/>
        <v>이동열</v>
      </c>
      <c r="H2829" t="str">
        <f t="shared" si="418"/>
        <v>스토리위즈</v>
      </c>
      <c r="I2829" t="str">
        <f t="shared" si="422"/>
        <v>나 혼자만 일일 보상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/>
      <c r="AQ2829">
        <v>0</v>
      </c>
      <c r="AR2829">
        <v>0</v>
      </c>
      <c r="AT2829">
        <v>0</v>
      </c>
      <c r="AU2829">
        <v>0</v>
      </c>
      <c r="AW2829">
        <v>0</v>
      </c>
      <c r="AX2829">
        <v>0</v>
      </c>
      <c r="AY2829">
        <v>70</v>
      </c>
      <c r="BC2829" t="str">
        <f t="shared" si="419"/>
        <v>9791159286889</v>
      </c>
      <c r="BE2829" t="str">
        <f t="shared" si="420"/>
        <v>판타지 웹소설 &gt; 현대 판타지</v>
      </c>
    </row>
    <row r="2830" spans="1:57" x14ac:dyDescent="0.3">
      <c r="A2830">
        <v>2313002926</v>
      </c>
      <c r="B2830">
        <v>2313003485</v>
      </c>
      <c r="C2830" t="str">
        <f>T("나 혼자만 일일 보상 244화 (외전 21)")</f>
        <v>나 혼자만 일일 보상 244화 (외전 21)</v>
      </c>
      <c r="D2830" t="str">
        <f>T("245")</f>
        <v>245</v>
      </c>
      <c r="E2830" t="str">
        <f t="shared" si="421"/>
        <v>이동열</v>
      </c>
      <c r="H2830" t="str">
        <f t="shared" si="418"/>
        <v>스토리위즈</v>
      </c>
      <c r="I2830" t="str">
        <f t="shared" si="422"/>
        <v>나 혼자만 일일 보상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/>
      <c r="AQ2830">
        <v>0</v>
      </c>
      <c r="AR2830">
        <v>0</v>
      </c>
      <c r="AT2830">
        <v>0</v>
      </c>
      <c r="AU2830">
        <v>0</v>
      </c>
      <c r="AW2830">
        <v>0</v>
      </c>
      <c r="AX2830">
        <v>0</v>
      </c>
      <c r="AY2830">
        <v>70</v>
      </c>
      <c r="BC2830" t="str">
        <f t="shared" si="419"/>
        <v>9791159286889</v>
      </c>
      <c r="BE2830" t="str">
        <f t="shared" si="420"/>
        <v>판타지 웹소설 &gt; 현대 판타지</v>
      </c>
    </row>
    <row r="2831" spans="1:57" x14ac:dyDescent="0.3">
      <c r="A2831">
        <v>2313002926</v>
      </c>
      <c r="B2831">
        <v>2313003486</v>
      </c>
      <c r="C2831" t="str">
        <f>T("나 혼자만 일일 보상 245화 (외전 22)")</f>
        <v>나 혼자만 일일 보상 245화 (외전 22)</v>
      </c>
      <c r="D2831" t="str">
        <f>T("246")</f>
        <v>246</v>
      </c>
      <c r="E2831" t="str">
        <f t="shared" si="421"/>
        <v>이동열</v>
      </c>
      <c r="H2831" t="str">
        <f t="shared" si="418"/>
        <v>스토리위즈</v>
      </c>
      <c r="I2831" t="str">
        <f t="shared" si="422"/>
        <v>나 혼자만 일일 보상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/>
      <c r="AQ2831">
        <v>0</v>
      </c>
      <c r="AR2831">
        <v>0</v>
      </c>
      <c r="AT2831">
        <v>0</v>
      </c>
      <c r="AU2831">
        <v>0</v>
      </c>
      <c r="AW2831">
        <v>0</v>
      </c>
      <c r="AX2831">
        <v>0</v>
      </c>
      <c r="AY2831">
        <v>70</v>
      </c>
      <c r="BC2831" t="str">
        <f t="shared" si="419"/>
        <v>9791159286889</v>
      </c>
      <c r="BE2831" t="str">
        <f t="shared" si="420"/>
        <v>판타지 웹소설 &gt; 현대 판타지</v>
      </c>
    </row>
    <row r="2832" spans="1:57" x14ac:dyDescent="0.3">
      <c r="A2832">
        <v>2313002926</v>
      </c>
      <c r="B2832">
        <v>2313003487</v>
      </c>
      <c r="C2832" t="str">
        <f>T("나 혼자만 일일 보상 246화 (외전 23)")</f>
        <v>나 혼자만 일일 보상 246화 (외전 23)</v>
      </c>
      <c r="D2832" t="str">
        <f>T("247")</f>
        <v>247</v>
      </c>
      <c r="E2832" t="str">
        <f t="shared" si="421"/>
        <v>이동열</v>
      </c>
      <c r="H2832" t="str">
        <f t="shared" si="418"/>
        <v>스토리위즈</v>
      </c>
      <c r="I2832" t="str">
        <f t="shared" si="422"/>
        <v>나 혼자만 일일 보상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/>
      <c r="AQ2832">
        <v>0</v>
      </c>
      <c r="AR2832">
        <v>0</v>
      </c>
      <c r="AT2832">
        <v>0</v>
      </c>
      <c r="AU2832">
        <v>0</v>
      </c>
      <c r="AW2832">
        <v>0</v>
      </c>
      <c r="AX2832">
        <v>0</v>
      </c>
      <c r="AY2832">
        <v>70</v>
      </c>
      <c r="BC2832" t="str">
        <f t="shared" si="419"/>
        <v>9791159286889</v>
      </c>
      <c r="BE2832" t="str">
        <f t="shared" si="420"/>
        <v>판타지 웹소설 &gt; 현대 판타지</v>
      </c>
    </row>
    <row r="2833" spans="1:57" x14ac:dyDescent="0.3">
      <c r="A2833">
        <v>2313002926</v>
      </c>
      <c r="B2833">
        <v>2313003488</v>
      </c>
      <c r="C2833" t="str">
        <f>T("나 혼자만 일일 보상 247화 (외전 24)")</f>
        <v>나 혼자만 일일 보상 247화 (외전 24)</v>
      </c>
      <c r="D2833" t="str">
        <f>T("248")</f>
        <v>248</v>
      </c>
      <c r="E2833" t="str">
        <f t="shared" si="421"/>
        <v>이동열</v>
      </c>
      <c r="H2833" t="str">
        <f t="shared" si="418"/>
        <v>스토리위즈</v>
      </c>
      <c r="I2833" t="str">
        <f t="shared" si="422"/>
        <v>나 혼자만 일일 보상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/>
      <c r="AQ2833">
        <v>0</v>
      </c>
      <c r="AR2833">
        <v>0</v>
      </c>
      <c r="AT2833">
        <v>0</v>
      </c>
      <c r="AU2833">
        <v>0</v>
      </c>
      <c r="AW2833">
        <v>0</v>
      </c>
      <c r="AX2833">
        <v>0</v>
      </c>
      <c r="AY2833">
        <v>70</v>
      </c>
      <c r="BC2833" t="str">
        <f t="shared" si="419"/>
        <v>9791159286889</v>
      </c>
      <c r="BE2833" t="str">
        <f t="shared" si="420"/>
        <v>판타지 웹소설 &gt; 현대 판타지</v>
      </c>
    </row>
    <row r="2834" spans="1:57" x14ac:dyDescent="0.3">
      <c r="A2834">
        <v>2313002926</v>
      </c>
      <c r="B2834">
        <v>2313003489</v>
      </c>
      <c r="C2834" t="str">
        <f>T("나 혼자만 일일 보상 248화 (외전 25) (완결)")</f>
        <v>나 혼자만 일일 보상 248화 (외전 25) (완결)</v>
      </c>
      <c r="D2834" t="str">
        <f>T("249")</f>
        <v>249</v>
      </c>
      <c r="E2834" t="str">
        <f t="shared" si="421"/>
        <v>이동열</v>
      </c>
      <c r="H2834" t="str">
        <f t="shared" si="418"/>
        <v>스토리위즈</v>
      </c>
      <c r="I2834" t="str">
        <f t="shared" si="422"/>
        <v>나 혼자만 일일 보상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/>
      <c r="AQ2834">
        <v>0</v>
      </c>
      <c r="AR2834">
        <v>0</v>
      </c>
      <c r="AT2834">
        <v>0</v>
      </c>
      <c r="AU2834">
        <v>0</v>
      </c>
      <c r="AW2834">
        <v>0</v>
      </c>
      <c r="AX2834">
        <v>0</v>
      </c>
      <c r="AY2834">
        <v>70</v>
      </c>
      <c r="BC2834" t="str">
        <f t="shared" si="419"/>
        <v>9791159286889</v>
      </c>
      <c r="BE2834" t="str">
        <f t="shared" si="420"/>
        <v>판타지 웹소설 &gt; 현대 판타지</v>
      </c>
    </row>
    <row r="2835" spans="1:57" x14ac:dyDescent="0.3">
      <c r="A2835">
        <v>2313004289</v>
      </c>
      <c r="B2835">
        <v>2313004356</v>
      </c>
      <c r="C2835" t="str">
        <f>T("SSS급 마왕의 귀환 68화")</f>
        <v>SSS급 마왕의 귀환 68화</v>
      </c>
      <c r="D2835" t="str">
        <f>T("68")</f>
        <v>68</v>
      </c>
      <c r="E2835" t="str">
        <f t="shared" ref="E2835:E2883" si="423">T("구유")</f>
        <v>구유</v>
      </c>
      <c r="H2835" t="str">
        <f t="shared" si="418"/>
        <v>스토리위즈</v>
      </c>
      <c r="I2835" t="str">
        <f t="shared" ref="I2835:I2883" si="424">T("SSS급 마왕의 귀환")</f>
        <v>SSS급 마왕의 귀환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/>
      <c r="AQ2835">
        <v>0</v>
      </c>
      <c r="AR2835">
        <v>0</v>
      </c>
      <c r="AT2835">
        <v>0</v>
      </c>
      <c r="AU2835">
        <v>0</v>
      </c>
      <c r="AW2835">
        <v>0</v>
      </c>
      <c r="AX2835">
        <v>0</v>
      </c>
      <c r="AY2835">
        <v>70</v>
      </c>
      <c r="BC2835" t="str">
        <f t="shared" ref="BC2835:BC2883" si="425">T("9791159289057")</f>
        <v>9791159289057</v>
      </c>
      <c r="BE2835" t="str">
        <f t="shared" ref="BE2835:BE2883" si="426">T("판타지 웹소설 &gt; 퓨전 판타지")</f>
        <v>판타지 웹소설 &gt; 퓨전 판타지</v>
      </c>
    </row>
    <row r="2836" spans="1:57" x14ac:dyDescent="0.3">
      <c r="A2836">
        <v>2313004289</v>
      </c>
      <c r="B2836">
        <v>2313004357</v>
      </c>
      <c r="C2836" t="str">
        <f>T("SSS급 마왕의 귀환 69화")</f>
        <v>SSS급 마왕의 귀환 69화</v>
      </c>
      <c r="D2836" t="str">
        <f>T("69")</f>
        <v>69</v>
      </c>
      <c r="E2836" t="str">
        <f t="shared" si="423"/>
        <v>구유</v>
      </c>
      <c r="H2836" t="str">
        <f t="shared" si="418"/>
        <v>스토리위즈</v>
      </c>
      <c r="I2836" t="str">
        <f t="shared" si="424"/>
        <v>SSS급 마왕의 귀환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/>
      <c r="AQ2836">
        <v>0</v>
      </c>
      <c r="AR2836">
        <v>0</v>
      </c>
      <c r="AT2836">
        <v>0</v>
      </c>
      <c r="AU2836">
        <v>0</v>
      </c>
      <c r="AW2836">
        <v>0</v>
      </c>
      <c r="AX2836">
        <v>0</v>
      </c>
      <c r="AY2836">
        <v>70</v>
      </c>
      <c r="BC2836" t="str">
        <f t="shared" si="425"/>
        <v>9791159289057</v>
      </c>
      <c r="BE2836" t="str">
        <f t="shared" si="426"/>
        <v>판타지 웹소설 &gt; 퓨전 판타지</v>
      </c>
    </row>
    <row r="2837" spans="1:57" x14ac:dyDescent="0.3">
      <c r="A2837">
        <v>2313004289</v>
      </c>
      <c r="B2837">
        <v>2313004358</v>
      </c>
      <c r="C2837" t="str">
        <f>T("SSS급 마왕의 귀환 70화")</f>
        <v>SSS급 마왕의 귀환 70화</v>
      </c>
      <c r="D2837" t="str">
        <f>T("70")</f>
        <v>70</v>
      </c>
      <c r="E2837" t="str">
        <f t="shared" si="423"/>
        <v>구유</v>
      </c>
      <c r="H2837" t="str">
        <f t="shared" si="418"/>
        <v>스토리위즈</v>
      </c>
      <c r="I2837" t="str">
        <f t="shared" si="424"/>
        <v>SSS급 마왕의 귀환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/>
      <c r="AQ2837">
        <v>0</v>
      </c>
      <c r="AR2837">
        <v>0</v>
      </c>
      <c r="AT2837">
        <v>0</v>
      </c>
      <c r="AU2837">
        <v>0</v>
      </c>
      <c r="AW2837">
        <v>0</v>
      </c>
      <c r="AX2837">
        <v>0</v>
      </c>
      <c r="AY2837">
        <v>70</v>
      </c>
      <c r="BC2837" t="str">
        <f t="shared" si="425"/>
        <v>9791159289057</v>
      </c>
      <c r="BE2837" t="str">
        <f t="shared" si="426"/>
        <v>판타지 웹소설 &gt; 퓨전 판타지</v>
      </c>
    </row>
    <row r="2838" spans="1:57" x14ac:dyDescent="0.3">
      <c r="A2838">
        <v>2313004289</v>
      </c>
      <c r="B2838">
        <v>2313004359</v>
      </c>
      <c r="C2838" t="str">
        <f>T("SSS급 마왕의 귀환 71화")</f>
        <v>SSS급 마왕의 귀환 71화</v>
      </c>
      <c r="D2838" t="str">
        <f>T("71")</f>
        <v>71</v>
      </c>
      <c r="E2838" t="str">
        <f t="shared" si="423"/>
        <v>구유</v>
      </c>
      <c r="H2838" t="str">
        <f t="shared" si="418"/>
        <v>스토리위즈</v>
      </c>
      <c r="I2838" t="str">
        <f t="shared" si="424"/>
        <v>SSS급 마왕의 귀환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/>
      <c r="AQ2838">
        <v>0</v>
      </c>
      <c r="AR2838">
        <v>0</v>
      </c>
      <c r="AT2838">
        <v>0</v>
      </c>
      <c r="AU2838">
        <v>0</v>
      </c>
      <c r="AW2838">
        <v>0</v>
      </c>
      <c r="AX2838">
        <v>0</v>
      </c>
      <c r="AY2838">
        <v>70</v>
      </c>
      <c r="BC2838" t="str">
        <f t="shared" si="425"/>
        <v>9791159289057</v>
      </c>
      <c r="BE2838" t="str">
        <f t="shared" si="426"/>
        <v>판타지 웹소설 &gt; 퓨전 판타지</v>
      </c>
    </row>
    <row r="2839" spans="1:57" x14ac:dyDescent="0.3">
      <c r="A2839">
        <v>2313004289</v>
      </c>
      <c r="B2839">
        <v>2313004360</v>
      </c>
      <c r="C2839" t="str">
        <f>T("SSS급 마왕의 귀환 72화")</f>
        <v>SSS급 마왕의 귀환 72화</v>
      </c>
      <c r="D2839" t="str">
        <f>T("72")</f>
        <v>72</v>
      </c>
      <c r="E2839" t="str">
        <f t="shared" si="423"/>
        <v>구유</v>
      </c>
      <c r="H2839" t="str">
        <f t="shared" si="418"/>
        <v>스토리위즈</v>
      </c>
      <c r="I2839" t="str">
        <f t="shared" si="424"/>
        <v>SSS급 마왕의 귀환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/>
      <c r="AQ2839">
        <v>0</v>
      </c>
      <c r="AR2839">
        <v>0</v>
      </c>
      <c r="AT2839">
        <v>0</v>
      </c>
      <c r="AU2839">
        <v>0</v>
      </c>
      <c r="AW2839">
        <v>0</v>
      </c>
      <c r="AX2839">
        <v>0</v>
      </c>
      <c r="AY2839">
        <v>70</v>
      </c>
      <c r="BC2839" t="str">
        <f t="shared" si="425"/>
        <v>9791159289057</v>
      </c>
      <c r="BE2839" t="str">
        <f t="shared" si="426"/>
        <v>판타지 웹소설 &gt; 퓨전 판타지</v>
      </c>
    </row>
    <row r="2840" spans="1:57" x14ac:dyDescent="0.3">
      <c r="A2840">
        <v>2313004289</v>
      </c>
      <c r="B2840">
        <v>2313004361</v>
      </c>
      <c r="C2840" t="str">
        <f>T("SSS급 마왕의 귀환 73화")</f>
        <v>SSS급 마왕의 귀환 73화</v>
      </c>
      <c r="D2840" t="str">
        <f>T("73")</f>
        <v>73</v>
      </c>
      <c r="E2840" t="str">
        <f t="shared" si="423"/>
        <v>구유</v>
      </c>
      <c r="H2840" t="str">
        <f t="shared" si="418"/>
        <v>스토리위즈</v>
      </c>
      <c r="I2840" t="str">
        <f t="shared" si="424"/>
        <v>SSS급 마왕의 귀환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/>
      <c r="AQ2840">
        <v>0</v>
      </c>
      <c r="AR2840">
        <v>0</v>
      </c>
      <c r="AT2840">
        <v>0</v>
      </c>
      <c r="AU2840">
        <v>0</v>
      </c>
      <c r="AW2840">
        <v>0</v>
      </c>
      <c r="AX2840">
        <v>0</v>
      </c>
      <c r="AY2840">
        <v>70</v>
      </c>
      <c r="BC2840" t="str">
        <f t="shared" si="425"/>
        <v>9791159289057</v>
      </c>
      <c r="BE2840" t="str">
        <f t="shared" si="426"/>
        <v>판타지 웹소설 &gt; 퓨전 판타지</v>
      </c>
    </row>
    <row r="2841" spans="1:57" x14ac:dyDescent="0.3">
      <c r="A2841">
        <v>2313004289</v>
      </c>
      <c r="B2841">
        <v>2313004362</v>
      </c>
      <c r="C2841" t="str">
        <f>T("SSS급 마왕의 귀환 74화")</f>
        <v>SSS급 마왕의 귀환 74화</v>
      </c>
      <c r="D2841" t="str">
        <f>T("74")</f>
        <v>74</v>
      </c>
      <c r="E2841" t="str">
        <f t="shared" si="423"/>
        <v>구유</v>
      </c>
      <c r="H2841" t="str">
        <f t="shared" si="418"/>
        <v>스토리위즈</v>
      </c>
      <c r="I2841" t="str">
        <f t="shared" si="424"/>
        <v>SSS급 마왕의 귀환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/>
      <c r="AQ2841">
        <v>0</v>
      </c>
      <c r="AR2841">
        <v>0</v>
      </c>
      <c r="AT2841">
        <v>0</v>
      </c>
      <c r="AU2841">
        <v>0</v>
      </c>
      <c r="AW2841">
        <v>0</v>
      </c>
      <c r="AX2841">
        <v>0</v>
      </c>
      <c r="AY2841">
        <v>70</v>
      </c>
      <c r="BC2841" t="str">
        <f t="shared" si="425"/>
        <v>9791159289057</v>
      </c>
      <c r="BE2841" t="str">
        <f t="shared" si="426"/>
        <v>판타지 웹소설 &gt; 퓨전 판타지</v>
      </c>
    </row>
    <row r="2842" spans="1:57" x14ac:dyDescent="0.3">
      <c r="A2842">
        <v>2313004289</v>
      </c>
      <c r="B2842">
        <v>2313004363</v>
      </c>
      <c r="C2842" t="str">
        <f>T("SSS급 마왕의 귀환 75화")</f>
        <v>SSS급 마왕의 귀환 75화</v>
      </c>
      <c r="D2842" t="str">
        <f>T("75")</f>
        <v>75</v>
      </c>
      <c r="E2842" t="str">
        <f t="shared" si="423"/>
        <v>구유</v>
      </c>
      <c r="H2842" t="str">
        <f t="shared" si="418"/>
        <v>스토리위즈</v>
      </c>
      <c r="I2842" t="str">
        <f t="shared" si="424"/>
        <v>SSS급 마왕의 귀환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/>
      <c r="AQ2842">
        <v>0</v>
      </c>
      <c r="AR2842">
        <v>0</v>
      </c>
      <c r="AT2842">
        <v>0</v>
      </c>
      <c r="AU2842">
        <v>0</v>
      </c>
      <c r="AW2842">
        <v>0</v>
      </c>
      <c r="AX2842">
        <v>0</v>
      </c>
      <c r="AY2842">
        <v>70</v>
      </c>
      <c r="BC2842" t="str">
        <f t="shared" si="425"/>
        <v>9791159289057</v>
      </c>
      <c r="BE2842" t="str">
        <f t="shared" si="426"/>
        <v>판타지 웹소설 &gt; 퓨전 판타지</v>
      </c>
    </row>
    <row r="2843" spans="1:57" x14ac:dyDescent="0.3">
      <c r="A2843">
        <v>2313004289</v>
      </c>
      <c r="B2843">
        <v>2313004364</v>
      </c>
      <c r="C2843" t="str">
        <f>T("SSS급 마왕의 귀환 76화")</f>
        <v>SSS급 마왕의 귀환 76화</v>
      </c>
      <c r="D2843" t="str">
        <f>T("76")</f>
        <v>76</v>
      </c>
      <c r="E2843" t="str">
        <f t="shared" si="423"/>
        <v>구유</v>
      </c>
      <c r="H2843" t="str">
        <f t="shared" si="418"/>
        <v>스토리위즈</v>
      </c>
      <c r="I2843" t="str">
        <f t="shared" si="424"/>
        <v>SSS급 마왕의 귀환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/>
      <c r="AQ2843">
        <v>0</v>
      </c>
      <c r="AR2843">
        <v>0</v>
      </c>
      <c r="AT2843">
        <v>0</v>
      </c>
      <c r="AU2843">
        <v>0</v>
      </c>
      <c r="AW2843">
        <v>0</v>
      </c>
      <c r="AX2843">
        <v>0</v>
      </c>
      <c r="AY2843">
        <v>70</v>
      </c>
      <c r="BC2843" t="str">
        <f t="shared" si="425"/>
        <v>9791159289057</v>
      </c>
      <c r="BE2843" t="str">
        <f t="shared" si="426"/>
        <v>판타지 웹소설 &gt; 퓨전 판타지</v>
      </c>
    </row>
    <row r="2844" spans="1:57" x14ac:dyDescent="0.3">
      <c r="A2844">
        <v>2313004289</v>
      </c>
      <c r="B2844">
        <v>2313004365</v>
      </c>
      <c r="C2844" t="str">
        <f>T("SSS급 마왕의 귀환 77화")</f>
        <v>SSS급 마왕의 귀환 77화</v>
      </c>
      <c r="D2844" t="str">
        <f>T("77")</f>
        <v>77</v>
      </c>
      <c r="E2844" t="str">
        <f t="shared" si="423"/>
        <v>구유</v>
      </c>
      <c r="H2844" t="str">
        <f t="shared" si="418"/>
        <v>스토리위즈</v>
      </c>
      <c r="I2844" t="str">
        <f t="shared" si="424"/>
        <v>SSS급 마왕의 귀환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/>
      <c r="AQ2844">
        <v>0</v>
      </c>
      <c r="AR2844">
        <v>0</v>
      </c>
      <c r="AT2844">
        <v>0</v>
      </c>
      <c r="AU2844">
        <v>0</v>
      </c>
      <c r="AW2844">
        <v>0</v>
      </c>
      <c r="AX2844">
        <v>0</v>
      </c>
      <c r="AY2844">
        <v>70</v>
      </c>
      <c r="BC2844" t="str">
        <f t="shared" si="425"/>
        <v>9791159289057</v>
      </c>
      <c r="BE2844" t="str">
        <f t="shared" si="426"/>
        <v>판타지 웹소설 &gt; 퓨전 판타지</v>
      </c>
    </row>
    <row r="2845" spans="1:57" x14ac:dyDescent="0.3">
      <c r="A2845">
        <v>2313004289</v>
      </c>
      <c r="B2845">
        <v>2313004366</v>
      </c>
      <c r="C2845" t="str">
        <f>T("SSS급 마왕의 귀환 78화")</f>
        <v>SSS급 마왕의 귀환 78화</v>
      </c>
      <c r="D2845" t="str">
        <f>T("78")</f>
        <v>78</v>
      </c>
      <c r="E2845" t="str">
        <f t="shared" si="423"/>
        <v>구유</v>
      </c>
      <c r="H2845" t="str">
        <f t="shared" si="418"/>
        <v>스토리위즈</v>
      </c>
      <c r="I2845" t="str">
        <f t="shared" si="424"/>
        <v>SSS급 마왕의 귀환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/>
      <c r="AQ2845">
        <v>0</v>
      </c>
      <c r="AR2845">
        <v>0</v>
      </c>
      <c r="AT2845">
        <v>0</v>
      </c>
      <c r="AU2845">
        <v>0</v>
      </c>
      <c r="AW2845">
        <v>0</v>
      </c>
      <c r="AX2845">
        <v>0</v>
      </c>
      <c r="AY2845">
        <v>70</v>
      </c>
      <c r="BC2845" t="str">
        <f t="shared" si="425"/>
        <v>9791159289057</v>
      </c>
      <c r="BE2845" t="str">
        <f t="shared" si="426"/>
        <v>판타지 웹소설 &gt; 퓨전 판타지</v>
      </c>
    </row>
    <row r="2846" spans="1:57" x14ac:dyDescent="0.3">
      <c r="A2846">
        <v>2313004289</v>
      </c>
      <c r="B2846">
        <v>2313004367</v>
      </c>
      <c r="C2846" t="str">
        <f>T("SSS급 마왕의 귀환 79화")</f>
        <v>SSS급 마왕의 귀환 79화</v>
      </c>
      <c r="D2846" t="str">
        <f>T("79")</f>
        <v>79</v>
      </c>
      <c r="E2846" t="str">
        <f t="shared" si="423"/>
        <v>구유</v>
      </c>
      <c r="H2846" t="str">
        <f t="shared" si="418"/>
        <v>스토리위즈</v>
      </c>
      <c r="I2846" t="str">
        <f t="shared" si="424"/>
        <v>SSS급 마왕의 귀환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/>
      <c r="AQ2846">
        <v>0</v>
      </c>
      <c r="AR2846">
        <v>0</v>
      </c>
      <c r="AT2846">
        <v>0</v>
      </c>
      <c r="AU2846">
        <v>0</v>
      </c>
      <c r="AW2846">
        <v>0</v>
      </c>
      <c r="AX2846">
        <v>0</v>
      </c>
      <c r="AY2846">
        <v>70</v>
      </c>
      <c r="BC2846" t="str">
        <f t="shared" si="425"/>
        <v>9791159289057</v>
      </c>
      <c r="BE2846" t="str">
        <f t="shared" si="426"/>
        <v>판타지 웹소설 &gt; 퓨전 판타지</v>
      </c>
    </row>
    <row r="2847" spans="1:57" x14ac:dyDescent="0.3">
      <c r="A2847">
        <v>2313004289</v>
      </c>
      <c r="B2847">
        <v>2313004368</v>
      </c>
      <c r="C2847" t="str">
        <f>T("SSS급 마왕의 귀환 80화")</f>
        <v>SSS급 마왕의 귀환 80화</v>
      </c>
      <c r="D2847" t="str">
        <f>T("80")</f>
        <v>80</v>
      </c>
      <c r="E2847" t="str">
        <f t="shared" si="423"/>
        <v>구유</v>
      </c>
      <c r="H2847" t="str">
        <f t="shared" si="418"/>
        <v>스토리위즈</v>
      </c>
      <c r="I2847" t="str">
        <f t="shared" si="424"/>
        <v>SSS급 마왕의 귀환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/>
      <c r="AQ2847">
        <v>0</v>
      </c>
      <c r="AR2847">
        <v>0</v>
      </c>
      <c r="AT2847">
        <v>0</v>
      </c>
      <c r="AU2847">
        <v>0</v>
      </c>
      <c r="AW2847">
        <v>0</v>
      </c>
      <c r="AX2847">
        <v>0</v>
      </c>
      <c r="AY2847">
        <v>70</v>
      </c>
      <c r="BC2847" t="str">
        <f t="shared" si="425"/>
        <v>9791159289057</v>
      </c>
      <c r="BE2847" t="str">
        <f t="shared" si="426"/>
        <v>판타지 웹소설 &gt; 퓨전 판타지</v>
      </c>
    </row>
    <row r="2848" spans="1:57" x14ac:dyDescent="0.3">
      <c r="A2848">
        <v>2313004289</v>
      </c>
      <c r="B2848">
        <v>2313004369</v>
      </c>
      <c r="C2848" t="str">
        <f>T("SSS급 마왕의 귀환 81화")</f>
        <v>SSS급 마왕의 귀환 81화</v>
      </c>
      <c r="D2848" t="str">
        <f>T("81")</f>
        <v>81</v>
      </c>
      <c r="E2848" t="str">
        <f t="shared" si="423"/>
        <v>구유</v>
      </c>
      <c r="H2848" t="str">
        <f t="shared" si="418"/>
        <v>스토리위즈</v>
      </c>
      <c r="I2848" t="str">
        <f t="shared" si="424"/>
        <v>SSS급 마왕의 귀환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/>
      <c r="AQ2848">
        <v>0</v>
      </c>
      <c r="AR2848">
        <v>0</v>
      </c>
      <c r="AT2848">
        <v>0</v>
      </c>
      <c r="AU2848">
        <v>0</v>
      </c>
      <c r="AW2848">
        <v>0</v>
      </c>
      <c r="AX2848">
        <v>0</v>
      </c>
      <c r="AY2848">
        <v>70</v>
      </c>
      <c r="BC2848" t="str">
        <f t="shared" si="425"/>
        <v>9791159289057</v>
      </c>
      <c r="BE2848" t="str">
        <f t="shared" si="426"/>
        <v>판타지 웹소설 &gt; 퓨전 판타지</v>
      </c>
    </row>
    <row r="2849" spans="1:57" x14ac:dyDescent="0.3">
      <c r="A2849">
        <v>2313004289</v>
      </c>
      <c r="B2849">
        <v>2313004370</v>
      </c>
      <c r="C2849" t="str">
        <f>T("SSS급 마왕의 귀환 82화")</f>
        <v>SSS급 마왕의 귀환 82화</v>
      </c>
      <c r="D2849" t="str">
        <f>T("82")</f>
        <v>82</v>
      </c>
      <c r="E2849" t="str">
        <f t="shared" si="423"/>
        <v>구유</v>
      </c>
      <c r="H2849" t="str">
        <f t="shared" si="418"/>
        <v>스토리위즈</v>
      </c>
      <c r="I2849" t="str">
        <f t="shared" si="424"/>
        <v>SSS급 마왕의 귀환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/>
      <c r="AQ2849">
        <v>0</v>
      </c>
      <c r="AR2849">
        <v>0</v>
      </c>
      <c r="AT2849">
        <v>0</v>
      </c>
      <c r="AU2849">
        <v>0</v>
      </c>
      <c r="AW2849">
        <v>0</v>
      </c>
      <c r="AX2849">
        <v>0</v>
      </c>
      <c r="AY2849">
        <v>70</v>
      </c>
      <c r="BC2849" t="str">
        <f t="shared" si="425"/>
        <v>9791159289057</v>
      </c>
      <c r="BE2849" t="str">
        <f t="shared" si="426"/>
        <v>판타지 웹소설 &gt; 퓨전 판타지</v>
      </c>
    </row>
    <row r="2850" spans="1:57" x14ac:dyDescent="0.3">
      <c r="A2850">
        <v>2313004289</v>
      </c>
      <c r="B2850">
        <v>2313004371</v>
      </c>
      <c r="C2850" t="str">
        <f>T("SSS급 마왕의 귀환 83화")</f>
        <v>SSS급 마왕의 귀환 83화</v>
      </c>
      <c r="D2850" t="str">
        <f>T("83")</f>
        <v>83</v>
      </c>
      <c r="E2850" t="str">
        <f t="shared" si="423"/>
        <v>구유</v>
      </c>
      <c r="H2850" t="str">
        <f t="shared" si="418"/>
        <v>스토리위즈</v>
      </c>
      <c r="I2850" t="str">
        <f t="shared" si="424"/>
        <v>SSS급 마왕의 귀환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/>
      <c r="AQ2850">
        <v>0</v>
      </c>
      <c r="AR2850">
        <v>0</v>
      </c>
      <c r="AT2850">
        <v>0</v>
      </c>
      <c r="AU2850">
        <v>0</v>
      </c>
      <c r="AW2850">
        <v>0</v>
      </c>
      <c r="AX2850">
        <v>0</v>
      </c>
      <c r="AY2850">
        <v>70</v>
      </c>
      <c r="BC2850" t="str">
        <f t="shared" si="425"/>
        <v>9791159289057</v>
      </c>
      <c r="BE2850" t="str">
        <f t="shared" si="426"/>
        <v>판타지 웹소설 &gt; 퓨전 판타지</v>
      </c>
    </row>
    <row r="2851" spans="1:57" x14ac:dyDescent="0.3">
      <c r="A2851">
        <v>2313004289</v>
      </c>
      <c r="B2851">
        <v>2313004372</v>
      </c>
      <c r="C2851" t="str">
        <f>T("SSS급 마왕의 귀환 84화")</f>
        <v>SSS급 마왕의 귀환 84화</v>
      </c>
      <c r="D2851" t="str">
        <f>T("84")</f>
        <v>84</v>
      </c>
      <c r="E2851" t="str">
        <f t="shared" si="423"/>
        <v>구유</v>
      </c>
      <c r="H2851" t="str">
        <f t="shared" si="418"/>
        <v>스토리위즈</v>
      </c>
      <c r="I2851" t="str">
        <f t="shared" si="424"/>
        <v>SSS급 마왕의 귀환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/>
      <c r="AQ2851">
        <v>0</v>
      </c>
      <c r="AR2851">
        <v>0</v>
      </c>
      <c r="AT2851">
        <v>0</v>
      </c>
      <c r="AU2851">
        <v>0</v>
      </c>
      <c r="AW2851">
        <v>0</v>
      </c>
      <c r="AX2851">
        <v>0</v>
      </c>
      <c r="AY2851">
        <v>70</v>
      </c>
      <c r="BC2851" t="str">
        <f t="shared" si="425"/>
        <v>9791159289057</v>
      </c>
      <c r="BE2851" t="str">
        <f t="shared" si="426"/>
        <v>판타지 웹소설 &gt; 퓨전 판타지</v>
      </c>
    </row>
    <row r="2852" spans="1:57" x14ac:dyDescent="0.3">
      <c r="A2852">
        <v>2313004289</v>
      </c>
      <c r="B2852">
        <v>2313004373</v>
      </c>
      <c r="C2852" t="str">
        <f>T("SSS급 마왕의 귀환 85화")</f>
        <v>SSS급 마왕의 귀환 85화</v>
      </c>
      <c r="D2852" t="str">
        <f>T("85")</f>
        <v>85</v>
      </c>
      <c r="E2852" t="str">
        <f t="shared" si="423"/>
        <v>구유</v>
      </c>
      <c r="H2852" t="str">
        <f t="shared" si="418"/>
        <v>스토리위즈</v>
      </c>
      <c r="I2852" t="str">
        <f t="shared" si="424"/>
        <v>SSS급 마왕의 귀환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/>
      <c r="AQ2852">
        <v>0</v>
      </c>
      <c r="AR2852">
        <v>0</v>
      </c>
      <c r="AT2852">
        <v>0</v>
      </c>
      <c r="AU2852">
        <v>0</v>
      </c>
      <c r="AW2852">
        <v>0</v>
      </c>
      <c r="AX2852">
        <v>0</v>
      </c>
      <c r="AY2852">
        <v>70</v>
      </c>
      <c r="BC2852" t="str">
        <f t="shared" si="425"/>
        <v>9791159289057</v>
      </c>
      <c r="BE2852" t="str">
        <f t="shared" si="426"/>
        <v>판타지 웹소설 &gt; 퓨전 판타지</v>
      </c>
    </row>
    <row r="2853" spans="1:57" x14ac:dyDescent="0.3">
      <c r="A2853">
        <v>2313004289</v>
      </c>
      <c r="B2853">
        <v>2313004374</v>
      </c>
      <c r="C2853" t="str">
        <f>T("SSS급 마왕의 귀환 86화")</f>
        <v>SSS급 마왕의 귀환 86화</v>
      </c>
      <c r="D2853" t="str">
        <f>T("86")</f>
        <v>86</v>
      </c>
      <c r="E2853" t="str">
        <f t="shared" si="423"/>
        <v>구유</v>
      </c>
      <c r="H2853" t="str">
        <f t="shared" si="418"/>
        <v>스토리위즈</v>
      </c>
      <c r="I2853" t="str">
        <f t="shared" si="424"/>
        <v>SSS급 마왕의 귀환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/>
      <c r="AQ2853">
        <v>0</v>
      </c>
      <c r="AR2853">
        <v>0</v>
      </c>
      <c r="AT2853">
        <v>0</v>
      </c>
      <c r="AU2853">
        <v>0</v>
      </c>
      <c r="AW2853">
        <v>0</v>
      </c>
      <c r="AX2853">
        <v>0</v>
      </c>
      <c r="AY2853">
        <v>70</v>
      </c>
      <c r="BC2853" t="str">
        <f t="shared" si="425"/>
        <v>9791159289057</v>
      </c>
      <c r="BE2853" t="str">
        <f t="shared" si="426"/>
        <v>판타지 웹소설 &gt; 퓨전 판타지</v>
      </c>
    </row>
    <row r="2854" spans="1:57" x14ac:dyDescent="0.3">
      <c r="A2854">
        <v>2313004289</v>
      </c>
      <c r="B2854">
        <v>2313004375</v>
      </c>
      <c r="C2854" t="str">
        <f>T("SSS급 마왕의 귀환 87화")</f>
        <v>SSS급 마왕의 귀환 87화</v>
      </c>
      <c r="D2854" t="str">
        <f>T("87")</f>
        <v>87</v>
      </c>
      <c r="E2854" t="str">
        <f t="shared" si="423"/>
        <v>구유</v>
      </c>
      <c r="H2854" t="str">
        <f t="shared" si="418"/>
        <v>스토리위즈</v>
      </c>
      <c r="I2854" t="str">
        <f t="shared" si="424"/>
        <v>SSS급 마왕의 귀환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/>
      <c r="AQ2854">
        <v>0</v>
      </c>
      <c r="AR2854">
        <v>0</v>
      </c>
      <c r="AT2854">
        <v>0</v>
      </c>
      <c r="AU2854">
        <v>0</v>
      </c>
      <c r="AW2854">
        <v>0</v>
      </c>
      <c r="AX2854">
        <v>0</v>
      </c>
      <c r="AY2854">
        <v>70</v>
      </c>
      <c r="BC2854" t="str">
        <f t="shared" si="425"/>
        <v>9791159289057</v>
      </c>
      <c r="BE2854" t="str">
        <f t="shared" si="426"/>
        <v>판타지 웹소설 &gt; 퓨전 판타지</v>
      </c>
    </row>
    <row r="2855" spans="1:57" x14ac:dyDescent="0.3">
      <c r="A2855">
        <v>2313004289</v>
      </c>
      <c r="B2855">
        <v>2313004376</v>
      </c>
      <c r="C2855" t="str">
        <f>T("SSS급 마왕의 귀환 88화")</f>
        <v>SSS급 마왕의 귀환 88화</v>
      </c>
      <c r="D2855" t="str">
        <f>T("88")</f>
        <v>88</v>
      </c>
      <c r="E2855" t="str">
        <f t="shared" si="423"/>
        <v>구유</v>
      </c>
      <c r="H2855" t="str">
        <f t="shared" si="418"/>
        <v>스토리위즈</v>
      </c>
      <c r="I2855" t="str">
        <f t="shared" si="424"/>
        <v>SSS급 마왕의 귀환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/>
      <c r="AQ2855">
        <v>0</v>
      </c>
      <c r="AR2855">
        <v>0</v>
      </c>
      <c r="AT2855">
        <v>0</v>
      </c>
      <c r="AU2855">
        <v>0</v>
      </c>
      <c r="AW2855">
        <v>0</v>
      </c>
      <c r="AX2855">
        <v>0</v>
      </c>
      <c r="AY2855">
        <v>70</v>
      </c>
      <c r="BC2855" t="str">
        <f t="shared" si="425"/>
        <v>9791159289057</v>
      </c>
      <c r="BE2855" t="str">
        <f t="shared" si="426"/>
        <v>판타지 웹소설 &gt; 퓨전 판타지</v>
      </c>
    </row>
    <row r="2856" spans="1:57" x14ac:dyDescent="0.3">
      <c r="A2856">
        <v>2313004289</v>
      </c>
      <c r="B2856">
        <v>2313004377</v>
      </c>
      <c r="C2856" t="str">
        <f>T("SSS급 마왕의 귀환 89화")</f>
        <v>SSS급 마왕의 귀환 89화</v>
      </c>
      <c r="D2856" t="str">
        <f>T("89")</f>
        <v>89</v>
      </c>
      <c r="E2856" t="str">
        <f t="shared" si="423"/>
        <v>구유</v>
      </c>
      <c r="H2856" t="str">
        <f t="shared" si="418"/>
        <v>스토리위즈</v>
      </c>
      <c r="I2856" t="str">
        <f t="shared" si="424"/>
        <v>SSS급 마왕의 귀환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/>
      <c r="AQ2856">
        <v>0</v>
      </c>
      <c r="AR2856">
        <v>0</v>
      </c>
      <c r="AT2856">
        <v>0</v>
      </c>
      <c r="AU2856">
        <v>0</v>
      </c>
      <c r="AW2856">
        <v>0</v>
      </c>
      <c r="AX2856">
        <v>0</v>
      </c>
      <c r="AY2856">
        <v>70</v>
      </c>
      <c r="BC2856" t="str">
        <f t="shared" si="425"/>
        <v>9791159289057</v>
      </c>
      <c r="BE2856" t="str">
        <f t="shared" si="426"/>
        <v>판타지 웹소설 &gt; 퓨전 판타지</v>
      </c>
    </row>
    <row r="2857" spans="1:57" x14ac:dyDescent="0.3">
      <c r="A2857">
        <v>2313004289</v>
      </c>
      <c r="B2857">
        <v>2313004378</v>
      </c>
      <c r="C2857" t="str">
        <f>T("SSS급 마왕의 귀환 90화")</f>
        <v>SSS급 마왕의 귀환 90화</v>
      </c>
      <c r="D2857" t="str">
        <f>T("90")</f>
        <v>90</v>
      </c>
      <c r="E2857" t="str">
        <f t="shared" si="423"/>
        <v>구유</v>
      </c>
      <c r="H2857" t="str">
        <f t="shared" si="418"/>
        <v>스토리위즈</v>
      </c>
      <c r="I2857" t="str">
        <f t="shared" si="424"/>
        <v>SSS급 마왕의 귀환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/>
      <c r="AQ2857">
        <v>0</v>
      </c>
      <c r="AR2857">
        <v>0</v>
      </c>
      <c r="AT2857">
        <v>0</v>
      </c>
      <c r="AU2857">
        <v>0</v>
      </c>
      <c r="AW2857">
        <v>0</v>
      </c>
      <c r="AX2857">
        <v>0</v>
      </c>
      <c r="AY2857">
        <v>70</v>
      </c>
      <c r="BC2857" t="str">
        <f t="shared" si="425"/>
        <v>9791159289057</v>
      </c>
      <c r="BE2857" t="str">
        <f t="shared" si="426"/>
        <v>판타지 웹소설 &gt; 퓨전 판타지</v>
      </c>
    </row>
    <row r="2858" spans="1:57" x14ac:dyDescent="0.3">
      <c r="A2858">
        <v>2313004289</v>
      </c>
      <c r="B2858">
        <v>2313004379</v>
      </c>
      <c r="C2858" t="str">
        <f>T("SSS급 마왕의 귀환 91화")</f>
        <v>SSS급 마왕의 귀환 91화</v>
      </c>
      <c r="D2858" t="str">
        <f>T("91")</f>
        <v>91</v>
      </c>
      <c r="E2858" t="str">
        <f t="shared" si="423"/>
        <v>구유</v>
      </c>
      <c r="H2858" t="str">
        <f t="shared" si="418"/>
        <v>스토리위즈</v>
      </c>
      <c r="I2858" t="str">
        <f t="shared" si="424"/>
        <v>SSS급 마왕의 귀환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/>
      <c r="AQ2858">
        <v>0</v>
      </c>
      <c r="AR2858">
        <v>0</v>
      </c>
      <c r="AT2858">
        <v>0</v>
      </c>
      <c r="AU2858">
        <v>0</v>
      </c>
      <c r="AW2858">
        <v>0</v>
      </c>
      <c r="AX2858">
        <v>0</v>
      </c>
      <c r="AY2858">
        <v>70</v>
      </c>
      <c r="BC2858" t="str">
        <f t="shared" si="425"/>
        <v>9791159289057</v>
      </c>
      <c r="BE2858" t="str">
        <f t="shared" si="426"/>
        <v>판타지 웹소설 &gt; 퓨전 판타지</v>
      </c>
    </row>
    <row r="2859" spans="1:57" x14ac:dyDescent="0.3">
      <c r="A2859">
        <v>2313004289</v>
      </c>
      <c r="B2859">
        <v>2313004380</v>
      </c>
      <c r="C2859" t="str">
        <f>T("SSS급 마왕의 귀환 92화")</f>
        <v>SSS급 마왕의 귀환 92화</v>
      </c>
      <c r="D2859" t="str">
        <f>T("92")</f>
        <v>92</v>
      </c>
      <c r="E2859" t="str">
        <f t="shared" si="423"/>
        <v>구유</v>
      </c>
      <c r="H2859" t="str">
        <f t="shared" si="418"/>
        <v>스토리위즈</v>
      </c>
      <c r="I2859" t="str">
        <f t="shared" si="424"/>
        <v>SSS급 마왕의 귀환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/>
      <c r="AQ2859">
        <v>0</v>
      </c>
      <c r="AR2859">
        <v>0</v>
      </c>
      <c r="AT2859">
        <v>0</v>
      </c>
      <c r="AU2859">
        <v>0</v>
      </c>
      <c r="AW2859">
        <v>0</v>
      </c>
      <c r="AX2859">
        <v>0</v>
      </c>
      <c r="AY2859">
        <v>70</v>
      </c>
      <c r="BC2859" t="str">
        <f t="shared" si="425"/>
        <v>9791159289057</v>
      </c>
      <c r="BE2859" t="str">
        <f t="shared" si="426"/>
        <v>판타지 웹소설 &gt; 퓨전 판타지</v>
      </c>
    </row>
    <row r="2860" spans="1:57" x14ac:dyDescent="0.3">
      <c r="A2860">
        <v>2313004289</v>
      </c>
      <c r="B2860">
        <v>2313004381</v>
      </c>
      <c r="C2860" t="str">
        <f>T("SSS급 마왕의 귀환 93화")</f>
        <v>SSS급 마왕의 귀환 93화</v>
      </c>
      <c r="D2860" t="str">
        <f>T("93")</f>
        <v>93</v>
      </c>
      <c r="E2860" t="str">
        <f t="shared" si="423"/>
        <v>구유</v>
      </c>
      <c r="H2860" t="str">
        <f t="shared" si="418"/>
        <v>스토리위즈</v>
      </c>
      <c r="I2860" t="str">
        <f t="shared" si="424"/>
        <v>SSS급 마왕의 귀환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/>
      <c r="AQ2860">
        <v>0</v>
      </c>
      <c r="AR2860">
        <v>0</v>
      </c>
      <c r="AT2860">
        <v>0</v>
      </c>
      <c r="AU2860">
        <v>0</v>
      </c>
      <c r="AW2860">
        <v>0</v>
      </c>
      <c r="AX2860">
        <v>0</v>
      </c>
      <c r="AY2860">
        <v>70</v>
      </c>
      <c r="BC2860" t="str">
        <f t="shared" si="425"/>
        <v>9791159289057</v>
      </c>
      <c r="BE2860" t="str">
        <f t="shared" si="426"/>
        <v>판타지 웹소설 &gt; 퓨전 판타지</v>
      </c>
    </row>
    <row r="2861" spans="1:57" x14ac:dyDescent="0.3">
      <c r="A2861">
        <v>2313004289</v>
      </c>
      <c r="B2861">
        <v>2313004382</v>
      </c>
      <c r="C2861" t="str">
        <f>T("SSS급 마왕의 귀환 94화")</f>
        <v>SSS급 마왕의 귀환 94화</v>
      </c>
      <c r="D2861" t="str">
        <f>T("94")</f>
        <v>94</v>
      </c>
      <c r="E2861" t="str">
        <f t="shared" si="423"/>
        <v>구유</v>
      </c>
      <c r="H2861" t="str">
        <f t="shared" si="418"/>
        <v>스토리위즈</v>
      </c>
      <c r="I2861" t="str">
        <f t="shared" si="424"/>
        <v>SSS급 마왕의 귀환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/>
      <c r="AQ2861">
        <v>0</v>
      </c>
      <c r="AR2861">
        <v>0</v>
      </c>
      <c r="AT2861">
        <v>0</v>
      </c>
      <c r="AU2861">
        <v>0</v>
      </c>
      <c r="AW2861">
        <v>0</v>
      </c>
      <c r="AX2861">
        <v>0</v>
      </c>
      <c r="AY2861">
        <v>70</v>
      </c>
      <c r="BC2861" t="str">
        <f t="shared" si="425"/>
        <v>9791159289057</v>
      </c>
      <c r="BE2861" t="str">
        <f t="shared" si="426"/>
        <v>판타지 웹소설 &gt; 퓨전 판타지</v>
      </c>
    </row>
    <row r="2862" spans="1:57" x14ac:dyDescent="0.3">
      <c r="A2862">
        <v>2313004289</v>
      </c>
      <c r="B2862">
        <v>2313004383</v>
      </c>
      <c r="C2862" t="str">
        <f>T("SSS급 마왕의 귀환 95화")</f>
        <v>SSS급 마왕의 귀환 95화</v>
      </c>
      <c r="D2862" t="str">
        <f>T("95")</f>
        <v>95</v>
      </c>
      <c r="E2862" t="str">
        <f t="shared" si="423"/>
        <v>구유</v>
      </c>
      <c r="H2862" t="str">
        <f t="shared" si="418"/>
        <v>스토리위즈</v>
      </c>
      <c r="I2862" t="str">
        <f t="shared" si="424"/>
        <v>SSS급 마왕의 귀환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/>
      <c r="AQ2862">
        <v>0</v>
      </c>
      <c r="AR2862">
        <v>0</v>
      </c>
      <c r="AT2862">
        <v>0</v>
      </c>
      <c r="AU2862">
        <v>0</v>
      </c>
      <c r="AW2862">
        <v>0</v>
      </c>
      <c r="AX2862">
        <v>0</v>
      </c>
      <c r="AY2862">
        <v>70</v>
      </c>
      <c r="BC2862" t="str">
        <f t="shared" si="425"/>
        <v>9791159289057</v>
      </c>
      <c r="BE2862" t="str">
        <f t="shared" si="426"/>
        <v>판타지 웹소설 &gt; 퓨전 판타지</v>
      </c>
    </row>
    <row r="2863" spans="1:57" x14ac:dyDescent="0.3">
      <c r="A2863">
        <v>2313004289</v>
      </c>
      <c r="B2863">
        <v>2313004384</v>
      </c>
      <c r="C2863" t="str">
        <f>T("SSS급 마왕의 귀환 96화")</f>
        <v>SSS급 마왕의 귀환 96화</v>
      </c>
      <c r="D2863" t="str">
        <f>T("96")</f>
        <v>96</v>
      </c>
      <c r="E2863" t="str">
        <f t="shared" si="423"/>
        <v>구유</v>
      </c>
      <c r="H2863" t="str">
        <f t="shared" si="418"/>
        <v>스토리위즈</v>
      </c>
      <c r="I2863" t="str">
        <f t="shared" si="424"/>
        <v>SSS급 마왕의 귀환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/>
      <c r="AQ2863">
        <v>0</v>
      </c>
      <c r="AR2863">
        <v>0</v>
      </c>
      <c r="AT2863">
        <v>0</v>
      </c>
      <c r="AU2863">
        <v>0</v>
      </c>
      <c r="AW2863">
        <v>0</v>
      </c>
      <c r="AX2863">
        <v>0</v>
      </c>
      <c r="AY2863">
        <v>70</v>
      </c>
      <c r="BC2863" t="str">
        <f t="shared" si="425"/>
        <v>9791159289057</v>
      </c>
      <c r="BE2863" t="str">
        <f t="shared" si="426"/>
        <v>판타지 웹소설 &gt; 퓨전 판타지</v>
      </c>
    </row>
    <row r="2864" spans="1:57" x14ac:dyDescent="0.3">
      <c r="A2864">
        <v>2313004289</v>
      </c>
      <c r="B2864">
        <v>2313004385</v>
      </c>
      <c r="C2864" t="str">
        <f>T("SSS급 마왕의 귀환 97화")</f>
        <v>SSS급 마왕의 귀환 97화</v>
      </c>
      <c r="D2864" t="str">
        <f>T("97")</f>
        <v>97</v>
      </c>
      <c r="E2864" t="str">
        <f t="shared" si="423"/>
        <v>구유</v>
      </c>
      <c r="H2864" t="str">
        <f t="shared" si="418"/>
        <v>스토리위즈</v>
      </c>
      <c r="I2864" t="str">
        <f t="shared" si="424"/>
        <v>SSS급 마왕의 귀환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/>
      <c r="AQ2864">
        <v>0</v>
      </c>
      <c r="AR2864">
        <v>0</v>
      </c>
      <c r="AT2864">
        <v>0</v>
      </c>
      <c r="AU2864">
        <v>0</v>
      </c>
      <c r="AW2864">
        <v>0</v>
      </c>
      <c r="AX2864">
        <v>0</v>
      </c>
      <c r="AY2864">
        <v>70</v>
      </c>
      <c r="BC2864" t="str">
        <f t="shared" si="425"/>
        <v>9791159289057</v>
      </c>
      <c r="BE2864" t="str">
        <f t="shared" si="426"/>
        <v>판타지 웹소설 &gt; 퓨전 판타지</v>
      </c>
    </row>
    <row r="2865" spans="1:57" x14ac:dyDescent="0.3">
      <c r="A2865">
        <v>2313004289</v>
      </c>
      <c r="B2865">
        <v>2313004386</v>
      </c>
      <c r="C2865" t="str">
        <f>T("SSS급 마왕의 귀환 98화")</f>
        <v>SSS급 마왕의 귀환 98화</v>
      </c>
      <c r="D2865" t="str">
        <f>T("98")</f>
        <v>98</v>
      </c>
      <c r="E2865" t="str">
        <f t="shared" si="423"/>
        <v>구유</v>
      </c>
      <c r="H2865" t="str">
        <f t="shared" si="418"/>
        <v>스토리위즈</v>
      </c>
      <c r="I2865" t="str">
        <f t="shared" si="424"/>
        <v>SSS급 마왕의 귀환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/>
      <c r="AQ2865">
        <v>0</v>
      </c>
      <c r="AR2865">
        <v>0</v>
      </c>
      <c r="AT2865">
        <v>0</v>
      </c>
      <c r="AU2865">
        <v>0</v>
      </c>
      <c r="AW2865">
        <v>0</v>
      </c>
      <c r="AX2865">
        <v>0</v>
      </c>
      <c r="AY2865">
        <v>70</v>
      </c>
      <c r="BC2865" t="str">
        <f t="shared" si="425"/>
        <v>9791159289057</v>
      </c>
      <c r="BE2865" t="str">
        <f t="shared" si="426"/>
        <v>판타지 웹소설 &gt; 퓨전 판타지</v>
      </c>
    </row>
    <row r="2866" spans="1:57" x14ac:dyDescent="0.3">
      <c r="A2866">
        <v>2313004289</v>
      </c>
      <c r="B2866">
        <v>2313004387</v>
      </c>
      <c r="C2866" t="str">
        <f>T("SSS급 마왕의 귀환 99화")</f>
        <v>SSS급 마왕의 귀환 99화</v>
      </c>
      <c r="D2866" t="str">
        <f>T("99")</f>
        <v>99</v>
      </c>
      <c r="E2866" t="str">
        <f t="shared" si="423"/>
        <v>구유</v>
      </c>
      <c r="H2866" t="str">
        <f t="shared" si="418"/>
        <v>스토리위즈</v>
      </c>
      <c r="I2866" t="str">
        <f t="shared" si="424"/>
        <v>SSS급 마왕의 귀환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/>
      <c r="AQ2866">
        <v>0</v>
      </c>
      <c r="AR2866">
        <v>0</v>
      </c>
      <c r="AT2866">
        <v>0</v>
      </c>
      <c r="AU2866">
        <v>0</v>
      </c>
      <c r="AW2866">
        <v>0</v>
      </c>
      <c r="AX2866">
        <v>0</v>
      </c>
      <c r="AY2866">
        <v>70</v>
      </c>
      <c r="BC2866" t="str">
        <f t="shared" si="425"/>
        <v>9791159289057</v>
      </c>
      <c r="BE2866" t="str">
        <f t="shared" si="426"/>
        <v>판타지 웹소설 &gt; 퓨전 판타지</v>
      </c>
    </row>
    <row r="2867" spans="1:57" x14ac:dyDescent="0.3">
      <c r="A2867">
        <v>2313004289</v>
      </c>
      <c r="B2867">
        <v>2313004388</v>
      </c>
      <c r="C2867" t="str">
        <f>T("SSS급 마왕의 귀환 100화")</f>
        <v>SSS급 마왕의 귀환 100화</v>
      </c>
      <c r="D2867" t="str">
        <f>T("100")</f>
        <v>100</v>
      </c>
      <c r="E2867" t="str">
        <f t="shared" si="423"/>
        <v>구유</v>
      </c>
      <c r="H2867" t="str">
        <f t="shared" si="418"/>
        <v>스토리위즈</v>
      </c>
      <c r="I2867" t="str">
        <f t="shared" si="424"/>
        <v>SSS급 마왕의 귀환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/>
      <c r="AQ2867">
        <v>0</v>
      </c>
      <c r="AR2867">
        <v>0</v>
      </c>
      <c r="AT2867">
        <v>0</v>
      </c>
      <c r="AU2867">
        <v>0</v>
      </c>
      <c r="AW2867">
        <v>0</v>
      </c>
      <c r="AX2867">
        <v>0</v>
      </c>
      <c r="AY2867">
        <v>70</v>
      </c>
      <c r="BC2867" t="str">
        <f t="shared" si="425"/>
        <v>9791159289057</v>
      </c>
      <c r="BE2867" t="str">
        <f t="shared" si="426"/>
        <v>판타지 웹소설 &gt; 퓨전 판타지</v>
      </c>
    </row>
    <row r="2868" spans="1:57" x14ac:dyDescent="0.3">
      <c r="A2868">
        <v>2313004289</v>
      </c>
      <c r="B2868">
        <v>2313004389</v>
      </c>
      <c r="C2868" t="str">
        <f>T("SSS급 마왕의 귀환 101화")</f>
        <v>SSS급 마왕의 귀환 101화</v>
      </c>
      <c r="D2868" t="str">
        <f>T("101")</f>
        <v>101</v>
      </c>
      <c r="E2868" t="str">
        <f t="shared" si="423"/>
        <v>구유</v>
      </c>
      <c r="H2868" t="str">
        <f t="shared" si="418"/>
        <v>스토리위즈</v>
      </c>
      <c r="I2868" t="str">
        <f t="shared" si="424"/>
        <v>SSS급 마왕의 귀환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/>
      <c r="AQ2868">
        <v>0</v>
      </c>
      <c r="AR2868">
        <v>0</v>
      </c>
      <c r="AT2868">
        <v>0</v>
      </c>
      <c r="AU2868">
        <v>0</v>
      </c>
      <c r="AW2868">
        <v>0</v>
      </c>
      <c r="AX2868">
        <v>0</v>
      </c>
      <c r="AY2868">
        <v>70</v>
      </c>
      <c r="BC2868" t="str">
        <f t="shared" si="425"/>
        <v>9791159289057</v>
      </c>
      <c r="BE2868" t="str">
        <f t="shared" si="426"/>
        <v>판타지 웹소설 &gt; 퓨전 판타지</v>
      </c>
    </row>
    <row r="2869" spans="1:57" x14ac:dyDescent="0.3">
      <c r="A2869">
        <v>2313004289</v>
      </c>
      <c r="B2869">
        <v>2313004390</v>
      </c>
      <c r="C2869" t="str">
        <f>T("SSS급 마왕의 귀환 102화")</f>
        <v>SSS급 마왕의 귀환 102화</v>
      </c>
      <c r="D2869" t="str">
        <f>T("102")</f>
        <v>102</v>
      </c>
      <c r="E2869" t="str">
        <f t="shared" si="423"/>
        <v>구유</v>
      </c>
      <c r="H2869" t="str">
        <f t="shared" si="418"/>
        <v>스토리위즈</v>
      </c>
      <c r="I2869" t="str">
        <f t="shared" si="424"/>
        <v>SSS급 마왕의 귀환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/>
      <c r="AQ2869">
        <v>0</v>
      </c>
      <c r="AR2869">
        <v>0</v>
      </c>
      <c r="AT2869">
        <v>0</v>
      </c>
      <c r="AU2869">
        <v>0</v>
      </c>
      <c r="AW2869">
        <v>0</v>
      </c>
      <c r="AX2869">
        <v>0</v>
      </c>
      <c r="AY2869">
        <v>70</v>
      </c>
      <c r="BC2869" t="str">
        <f t="shared" si="425"/>
        <v>9791159289057</v>
      </c>
      <c r="BE2869" t="str">
        <f t="shared" si="426"/>
        <v>판타지 웹소설 &gt; 퓨전 판타지</v>
      </c>
    </row>
    <row r="2870" spans="1:57" x14ac:dyDescent="0.3">
      <c r="A2870">
        <v>2313004289</v>
      </c>
      <c r="B2870">
        <v>2313004391</v>
      </c>
      <c r="C2870" t="str">
        <f>T("SSS급 마왕의 귀환 103화")</f>
        <v>SSS급 마왕의 귀환 103화</v>
      </c>
      <c r="D2870" t="str">
        <f>T("103")</f>
        <v>103</v>
      </c>
      <c r="E2870" t="str">
        <f t="shared" si="423"/>
        <v>구유</v>
      </c>
      <c r="H2870" t="str">
        <f t="shared" si="418"/>
        <v>스토리위즈</v>
      </c>
      <c r="I2870" t="str">
        <f t="shared" si="424"/>
        <v>SSS급 마왕의 귀환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/>
      <c r="AQ2870">
        <v>0</v>
      </c>
      <c r="AR2870">
        <v>0</v>
      </c>
      <c r="AT2870">
        <v>0</v>
      </c>
      <c r="AU2870">
        <v>0</v>
      </c>
      <c r="AW2870">
        <v>0</v>
      </c>
      <c r="AX2870">
        <v>0</v>
      </c>
      <c r="AY2870">
        <v>70</v>
      </c>
      <c r="BC2870" t="str">
        <f t="shared" si="425"/>
        <v>9791159289057</v>
      </c>
      <c r="BE2870" t="str">
        <f t="shared" si="426"/>
        <v>판타지 웹소설 &gt; 퓨전 판타지</v>
      </c>
    </row>
    <row r="2871" spans="1:57" x14ac:dyDescent="0.3">
      <c r="A2871">
        <v>2313004289</v>
      </c>
      <c r="B2871">
        <v>2313004392</v>
      </c>
      <c r="C2871" t="str">
        <f>T("SSS급 마왕의 귀환 104화")</f>
        <v>SSS급 마왕의 귀환 104화</v>
      </c>
      <c r="D2871" t="str">
        <f>T("104")</f>
        <v>104</v>
      </c>
      <c r="E2871" t="str">
        <f t="shared" si="423"/>
        <v>구유</v>
      </c>
      <c r="H2871" t="str">
        <f t="shared" si="418"/>
        <v>스토리위즈</v>
      </c>
      <c r="I2871" t="str">
        <f t="shared" si="424"/>
        <v>SSS급 마왕의 귀환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/>
      <c r="AQ2871">
        <v>0</v>
      </c>
      <c r="AR2871">
        <v>0</v>
      </c>
      <c r="AT2871">
        <v>0</v>
      </c>
      <c r="AU2871">
        <v>0</v>
      </c>
      <c r="AW2871">
        <v>0</v>
      </c>
      <c r="AX2871">
        <v>0</v>
      </c>
      <c r="AY2871">
        <v>70</v>
      </c>
      <c r="BC2871" t="str">
        <f t="shared" si="425"/>
        <v>9791159289057</v>
      </c>
      <c r="BE2871" t="str">
        <f t="shared" si="426"/>
        <v>판타지 웹소설 &gt; 퓨전 판타지</v>
      </c>
    </row>
    <row r="2872" spans="1:57" x14ac:dyDescent="0.3">
      <c r="A2872">
        <v>2313004289</v>
      </c>
      <c r="B2872">
        <v>2313004393</v>
      </c>
      <c r="C2872" t="str">
        <f>T("SSS급 마왕의 귀환 105화")</f>
        <v>SSS급 마왕의 귀환 105화</v>
      </c>
      <c r="D2872" t="str">
        <f>T("105")</f>
        <v>105</v>
      </c>
      <c r="E2872" t="str">
        <f t="shared" si="423"/>
        <v>구유</v>
      </c>
      <c r="H2872" t="str">
        <f t="shared" ref="H2872:H2935" si="427">T("스토리위즈")</f>
        <v>스토리위즈</v>
      </c>
      <c r="I2872" t="str">
        <f t="shared" si="424"/>
        <v>SSS급 마왕의 귀환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/>
      <c r="AQ2872">
        <v>0</v>
      </c>
      <c r="AR2872">
        <v>0</v>
      </c>
      <c r="AT2872">
        <v>0</v>
      </c>
      <c r="AU2872">
        <v>0</v>
      </c>
      <c r="AW2872">
        <v>0</v>
      </c>
      <c r="AX2872">
        <v>0</v>
      </c>
      <c r="AY2872">
        <v>70</v>
      </c>
      <c r="BC2872" t="str">
        <f t="shared" si="425"/>
        <v>9791159289057</v>
      </c>
      <c r="BE2872" t="str">
        <f t="shared" si="426"/>
        <v>판타지 웹소설 &gt; 퓨전 판타지</v>
      </c>
    </row>
    <row r="2873" spans="1:57" x14ac:dyDescent="0.3">
      <c r="A2873">
        <v>2313004289</v>
      </c>
      <c r="B2873">
        <v>2313004394</v>
      </c>
      <c r="C2873" t="str">
        <f>T("SSS급 마왕의 귀환 106화")</f>
        <v>SSS급 마왕의 귀환 106화</v>
      </c>
      <c r="D2873" t="str">
        <f>T("106")</f>
        <v>106</v>
      </c>
      <c r="E2873" t="str">
        <f t="shared" si="423"/>
        <v>구유</v>
      </c>
      <c r="H2873" t="str">
        <f t="shared" si="427"/>
        <v>스토리위즈</v>
      </c>
      <c r="I2873" t="str">
        <f t="shared" si="424"/>
        <v>SSS급 마왕의 귀환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/>
      <c r="AQ2873">
        <v>0</v>
      </c>
      <c r="AR2873">
        <v>0</v>
      </c>
      <c r="AT2873">
        <v>0</v>
      </c>
      <c r="AU2873">
        <v>0</v>
      </c>
      <c r="AW2873">
        <v>0</v>
      </c>
      <c r="AX2873">
        <v>0</v>
      </c>
      <c r="AY2873">
        <v>70</v>
      </c>
      <c r="BC2873" t="str">
        <f t="shared" si="425"/>
        <v>9791159289057</v>
      </c>
      <c r="BE2873" t="str">
        <f t="shared" si="426"/>
        <v>판타지 웹소설 &gt; 퓨전 판타지</v>
      </c>
    </row>
    <row r="2874" spans="1:57" x14ac:dyDescent="0.3">
      <c r="A2874">
        <v>2313004289</v>
      </c>
      <c r="B2874">
        <v>2313004395</v>
      </c>
      <c r="C2874" t="str">
        <f>T("SSS급 마왕의 귀환 107화")</f>
        <v>SSS급 마왕의 귀환 107화</v>
      </c>
      <c r="D2874" t="str">
        <f>T("107")</f>
        <v>107</v>
      </c>
      <c r="E2874" t="str">
        <f t="shared" si="423"/>
        <v>구유</v>
      </c>
      <c r="H2874" t="str">
        <f t="shared" si="427"/>
        <v>스토리위즈</v>
      </c>
      <c r="I2874" t="str">
        <f t="shared" si="424"/>
        <v>SSS급 마왕의 귀환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/>
      <c r="AQ2874">
        <v>0</v>
      </c>
      <c r="AR2874">
        <v>0</v>
      </c>
      <c r="AT2874">
        <v>0</v>
      </c>
      <c r="AU2874">
        <v>0</v>
      </c>
      <c r="AW2874">
        <v>0</v>
      </c>
      <c r="AX2874">
        <v>0</v>
      </c>
      <c r="AY2874">
        <v>70</v>
      </c>
      <c r="BC2874" t="str">
        <f t="shared" si="425"/>
        <v>9791159289057</v>
      </c>
      <c r="BE2874" t="str">
        <f t="shared" si="426"/>
        <v>판타지 웹소설 &gt; 퓨전 판타지</v>
      </c>
    </row>
    <row r="2875" spans="1:57" x14ac:dyDescent="0.3">
      <c r="A2875">
        <v>2313004289</v>
      </c>
      <c r="B2875">
        <v>2313004396</v>
      </c>
      <c r="C2875" t="str">
        <f>T("SSS급 마왕의 귀환 108화")</f>
        <v>SSS급 마왕의 귀환 108화</v>
      </c>
      <c r="D2875" t="str">
        <f>T("108")</f>
        <v>108</v>
      </c>
      <c r="E2875" t="str">
        <f t="shared" si="423"/>
        <v>구유</v>
      </c>
      <c r="H2875" t="str">
        <f t="shared" si="427"/>
        <v>스토리위즈</v>
      </c>
      <c r="I2875" t="str">
        <f t="shared" si="424"/>
        <v>SSS급 마왕의 귀환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/>
      <c r="AQ2875">
        <v>0</v>
      </c>
      <c r="AR2875">
        <v>0</v>
      </c>
      <c r="AT2875">
        <v>0</v>
      </c>
      <c r="AU2875">
        <v>0</v>
      </c>
      <c r="AW2875">
        <v>0</v>
      </c>
      <c r="AX2875">
        <v>0</v>
      </c>
      <c r="AY2875">
        <v>70</v>
      </c>
      <c r="BC2875" t="str">
        <f t="shared" si="425"/>
        <v>9791159289057</v>
      </c>
      <c r="BE2875" t="str">
        <f t="shared" si="426"/>
        <v>판타지 웹소설 &gt; 퓨전 판타지</v>
      </c>
    </row>
    <row r="2876" spans="1:57" x14ac:dyDescent="0.3">
      <c r="A2876">
        <v>2313004289</v>
      </c>
      <c r="B2876">
        <v>2313004397</v>
      </c>
      <c r="C2876" t="str">
        <f>T("SSS급 마왕의 귀환 109화")</f>
        <v>SSS급 마왕의 귀환 109화</v>
      </c>
      <c r="D2876" t="str">
        <f>T("109")</f>
        <v>109</v>
      </c>
      <c r="E2876" t="str">
        <f t="shared" si="423"/>
        <v>구유</v>
      </c>
      <c r="H2876" t="str">
        <f t="shared" si="427"/>
        <v>스토리위즈</v>
      </c>
      <c r="I2876" t="str">
        <f t="shared" si="424"/>
        <v>SSS급 마왕의 귀환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/>
      <c r="AQ2876">
        <v>0</v>
      </c>
      <c r="AR2876">
        <v>0</v>
      </c>
      <c r="AT2876">
        <v>0</v>
      </c>
      <c r="AU2876">
        <v>0</v>
      </c>
      <c r="AW2876">
        <v>0</v>
      </c>
      <c r="AX2876">
        <v>0</v>
      </c>
      <c r="AY2876">
        <v>70</v>
      </c>
      <c r="BC2876" t="str">
        <f t="shared" si="425"/>
        <v>9791159289057</v>
      </c>
      <c r="BE2876" t="str">
        <f t="shared" si="426"/>
        <v>판타지 웹소설 &gt; 퓨전 판타지</v>
      </c>
    </row>
    <row r="2877" spans="1:57" x14ac:dyDescent="0.3">
      <c r="A2877">
        <v>2313004289</v>
      </c>
      <c r="B2877">
        <v>2313004398</v>
      </c>
      <c r="C2877" t="str">
        <f>T("SSS급 마왕의 귀환 110화")</f>
        <v>SSS급 마왕의 귀환 110화</v>
      </c>
      <c r="D2877" t="str">
        <f>T("110")</f>
        <v>110</v>
      </c>
      <c r="E2877" t="str">
        <f t="shared" si="423"/>
        <v>구유</v>
      </c>
      <c r="H2877" t="str">
        <f t="shared" si="427"/>
        <v>스토리위즈</v>
      </c>
      <c r="I2877" t="str">
        <f t="shared" si="424"/>
        <v>SSS급 마왕의 귀환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/>
      <c r="AQ2877">
        <v>0</v>
      </c>
      <c r="AR2877">
        <v>0</v>
      </c>
      <c r="AT2877">
        <v>0</v>
      </c>
      <c r="AU2877">
        <v>0</v>
      </c>
      <c r="AW2877">
        <v>0</v>
      </c>
      <c r="AX2877">
        <v>0</v>
      </c>
      <c r="AY2877">
        <v>70</v>
      </c>
      <c r="BC2877" t="str">
        <f t="shared" si="425"/>
        <v>9791159289057</v>
      </c>
      <c r="BE2877" t="str">
        <f t="shared" si="426"/>
        <v>판타지 웹소설 &gt; 퓨전 판타지</v>
      </c>
    </row>
    <row r="2878" spans="1:57" x14ac:dyDescent="0.3">
      <c r="A2878">
        <v>2313004289</v>
      </c>
      <c r="B2878">
        <v>2313004399</v>
      </c>
      <c r="C2878" t="str">
        <f>T("SSS급 마왕의 귀환 111화")</f>
        <v>SSS급 마왕의 귀환 111화</v>
      </c>
      <c r="D2878" t="str">
        <f>T("111")</f>
        <v>111</v>
      </c>
      <c r="E2878" t="str">
        <f t="shared" si="423"/>
        <v>구유</v>
      </c>
      <c r="H2878" t="str">
        <f t="shared" si="427"/>
        <v>스토리위즈</v>
      </c>
      <c r="I2878" t="str">
        <f t="shared" si="424"/>
        <v>SSS급 마왕의 귀환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/>
      <c r="AQ2878">
        <v>0</v>
      </c>
      <c r="AR2878">
        <v>0</v>
      </c>
      <c r="AT2878">
        <v>0</v>
      </c>
      <c r="AU2878">
        <v>0</v>
      </c>
      <c r="AW2878">
        <v>0</v>
      </c>
      <c r="AX2878">
        <v>0</v>
      </c>
      <c r="AY2878">
        <v>70</v>
      </c>
      <c r="BC2878" t="str">
        <f t="shared" si="425"/>
        <v>9791159289057</v>
      </c>
      <c r="BE2878" t="str">
        <f t="shared" si="426"/>
        <v>판타지 웹소설 &gt; 퓨전 판타지</v>
      </c>
    </row>
    <row r="2879" spans="1:57" x14ac:dyDescent="0.3">
      <c r="A2879">
        <v>2313004289</v>
      </c>
      <c r="B2879">
        <v>2313004400</v>
      </c>
      <c r="C2879" t="str">
        <f>T("SSS급 마왕의 귀환 112화")</f>
        <v>SSS급 마왕의 귀환 112화</v>
      </c>
      <c r="D2879" t="str">
        <f>T("112")</f>
        <v>112</v>
      </c>
      <c r="E2879" t="str">
        <f t="shared" si="423"/>
        <v>구유</v>
      </c>
      <c r="H2879" t="str">
        <f t="shared" si="427"/>
        <v>스토리위즈</v>
      </c>
      <c r="I2879" t="str">
        <f t="shared" si="424"/>
        <v>SSS급 마왕의 귀환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/>
      <c r="AQ2879">
        <v>0</v>
      </c>
      <c r="AR2879">
        <v>0</v>
      </c>
      <c r="AT2879">
        <v>0</v>
      </c>
      <c r="AU2879">
        <v>0</v>
      </c>
      <c r="AW2879">
        <v>0</v>
      </c>
      <c r="AX2879">
        <v>0</v>
      </c>
      <c r="AY2879">
        <v>70</v>
      </c>
      <c r="BC2879" t="str">
        <f t="shared" si="425"/>
        <v>9791159289057</v>
      </c>
      <c r="BE2879" t="str">
        <f t="shared" si="426"/>
        <v>판타지 웹소설 &gt; 퓨전 판타지</v>
      </c>
    </row>
    <row r="2880" spans="1:57" x14ac:dyDescent="0.3">
      <c r="A2880">
        <v>2313004289</v>
      </c>
      <c r="B2880">
        <v>2313004401</v>
      </c>
      <c r="C2880" t="str">
        <f>T("SSS급 마왕의 귀환 113화")</f>
        <v>SSS급 마왕의 귀환 113화</v>
      </c>
      <c r="D2880" t="str">
        <f>T("113")</f>
        <v>113</v>
      </c>
      <c r="E2880" t="str">
        <f t="shared" si="423"/>
        <v>구유</v>
      </c>
      <c r="H2880" t="str">
        <f t="shared" si="427"/>
        <v>스토리위즈</v>
      </c>
      <c r="I2880" t="str">
        <f t="shared" si="424"/>
        <v>SSS급 마왕의 귀환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/>
      <c r="AQ2880">
        <v>0</v>
      </c>
      <c r="AR2880">
        <v>0</v>
      </c>
      <c r="AT2880">
        <v>0</v>
      </c>
      <c r="AU2880">
        <v>0</v>
      </c>
      <c r="AW2880">
        <v>0</v>
      </c>
      <c r="AX2880">
        <v>0</v>
      </c>
      <c r="AY2880">
        <v>70</v>
      </c>
      <c r="BC2880" t="str">
        <f t="shared" si="425"/>
        <v>9791159289057</v>
      </c>
      <c r="BE2880" t="str">
        <f t="shared" si="426"/>
        <v>판타지 웹소설 &gt; 퓨전 판타지</v>
      </c>
    </row>
    <row r="2881" spans="1:57" x14ac:dyDescent="0.3">
      <c r="A2881">
        <v>2313004289</v>
      </c>
      <c r="B2881">
        <v>2313004402</v>
      </c>
      <c r="C2881" t="str">
        <f>T("SSS급 마왕의 귀환 114화")</f>
        <v>SSS급 마왕의 귀환 114화</v>
      </c>
      <c r="D2881" t="str">
        <f>T("114")</f>
        <v>114</v>
      </c>
      <c r="E2881" t="str">
        <f t="shared" si="423"/>
        <v>구유</v>
      </c>
      <c r="H2881" t="str">
        <f t="shared" si="427"/>
        <v>스토리위즈</v>
      </c>
      <c r="I2881" t="str">
        <f t="shared" si="424"/>
        <v>SSS급 마왕의 귀환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/>
      <c r="AQ2881">
        <v>0</v>
      </c>
      <c r="AR2881">
        <v>0</v>
      </c>
      <c r="AT2881">
        <v>0</v>
      </c>
      <c r="AU2881">
        <v>0</v>
      </c>
      <c r="AW2881">
        <v>0</v>
      </c>
      <c r="AX2881">
        <v>0</v>
      </c>
      <c r="AY2881">
        <v>70</v>
      </c>
      <c r="BC2881" t="str">
        <f t="shared" si="425"/>
        <v>9791159289057</v>
      </c>
      <c r="BE2881" t="str">
        <f t="shared" si="426"/>
        <v>판타지 웹소설 &gt; 퓨전 판타지</v>
      </c>
    </row>
    <row r="2882" spans="1:57" x14ac:dyDescent="0.3">
      <c r="A2882">
        <v>2313004289</v>
      </c>
      <c r="B2882">
        <v>2313004403</v>
      </c>
      <c r="C2882" t="str">
        <f>T("SSS급 마왕의 귀환 115화")</f>
        <v>SSS급 마왕의 귀환 115화</v>
      </c>
      <c r="D2882" t="str">
        <f>T("115")</f>
        <v>115</v>
      </c>
      <c r="E2882" t="str">
        <f t="shared" si="423"/>
        <v>구유</v>
      </c>
      <c r="H2882" t="str">
        <f t="shared" si="427"/>
        <v>스토리위즈</v>
      </c>
      <c r="I2882" t="str">
        <f t="shared" si="424"/>
        <v>SSS급 마왕의 귀환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/>
      <c r="AQ2882">
        <v>0</v>
      </c>
      <c r="AR2882">
        <v>0</v>
      </c>
      <c r="AT2882">
        <v>0</v>
      </c>
      <c r="AU2882">
        <v>0</v>
      </c>
      <c r="AW2882">
        <v>0</v>
      </c>
      <c r="AX2882">
        <v>0</v>
      </c>
      <c r="AY2882">
        <v>70</v>
      </c>
      <c r="BC2882" t="str">
        <f t="shared" si="425"/>
        <v>9791159289057</v>
      </c>
      <c r="BE2882" t="str">
        <f t="shared" si="426"/>
        <v>판타지 웹소설 &gt; 퓨전 판타지</v>
      </c>
    </row>
    <row r="2883" spans="1:57" x14ac:dyDescent="0.3">
      <c r="A2883">
        <v>2313004289</v>
      </c>
      <c r="B2883">
        <v>2313004404</v>
      </c>
      <c r="C2883" t="str">
        <f>T("SSS급 마왕의 귀환 116화")</f>
        <v>SSS급 마왕의 귀환 116화</v>
      </c>
      <c r="D2883" t="str">
        <f>T("116")</f>
        <v>116</v>
      </c>
      <c r="E2883" t="str">
        <f t="shared" si="423"/>
        <v>구유</v>
      </c>
      <c r="H2883" t="str">
        <f t="shared" si="427"/>
        <v>스토리위즈</v>
      </c>
      <c r="I2883" t="str">
        <f t="shared" si="424"/>
        <v>SSS급 마왕의 귀환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/>
      <c r="AQ2883">
        <v>0</v>
      </c>
      <c r="AR2883">
        <v>0</v>
      </c>
      <c r="AT2883">
        <v>0</v>
      </c>
      <c r="AU2883">
        <v>0</v>
      </c>
      <c r="AW2883">
        <v>0</v>
      </c>
      <c r="AX2883">
        <v>0</v>
      </c>
      <c r="AY2883">
        <v>70</v>
      </c>
      <c r="BC2883" t="str">
        <f t="shared" si="425"/>
        <v>9791159289057</v>
      </c>
      <c r="BE2883" t="str">
        <f t="shared" si="426"/>
        <v>판타지 웹소설 &gt; 퓨전 판타지</v>
      </c>
    </row>
    <row r="2884" spans="1:57" x14ac:dyDescent="0.3">
      <c r="A2884">
        <v>2313007167</v>
      </c>
      <c r="B2884">
        <v>2313007193</v>
      </c>
      <c r="C2884" t="str">
        <f>T("이과생 둘이 회귀했다 27화")</f>
        <v>이과생 둘이 회귀했다 27화</v>
      </c>
      <c r="D2884" t="str">
        <f>T("27")</f>
        <v>27</v>
      </c>
      <c r="E2884" t="str">
        <f>T("하이후")</f>
        <v>하이후</v>
      </c>
      <c r="H2884" t="str">
        <f t="shared" si="427"/>
        <v>스토리위즈</v>
      </c>
      <c r="I2884" t="str">
        <f>T("이과생 둘이 회귀했다")</f>
        <v>이과생 둘이 회귀했다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/>
      <c r="AQ2884">
        <v>0</v>
      </c>
      <c r="AR2884">
        <v>0</v>
      </c>
      <c r="AT2884">
        <v>0</v>
      </c>
      <c r="AU2884">
        <v>0</v>
      </c>
      <c r="AW2884">
        <v>0</v>
      </c>
      <c r="AX2884">
        <v>0</v>
      </c>
      <c r="AY2884">
        <v>70</v>
      </c>
      <c r="BC2884" t="str">
        <f>T("9791159284632")</f>
        <v>9791159284632</v>
      </c>
      <c r="BE2884" t="str">
        <f>T("판타지 웹소설 &gt; 현대 판타지")</f>
        <v>판타지 웹소설 &gt; 현대 판타지</v>
      </c>
    </row>
    <row r="2885" spans="1:57" x14ac:dyDescent="0.3">
      <c r="A2885">
        <v>2313007167</v>
      </c>
      <c r="B2885">
        <v>2313007194</v>
      </c>
      <c r="C2885" t="str">
        <f>T("이과생 둘이 회귀했다 28화")</f>
        <v>이과생 둘이 회귀했다 28화</v>
      </c>
      <c r="D2885" t="str">
        <f>T("28")</f>
        <v>28</v>
      </c>
      <c r="E2885" t="str">
        <f>T("하이후")</f>
        <v>하이후</v>
      </c>
      <c r="H2885" t="str">
        <f t="shared" si="427"/>
        <v>스토리위즈</v>
      </c>
      <c r="I2885" t="str">
        <f>T("이과생 둘이 회귀했다")</f>
        <v>이과생 둘이 회귀했다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/>
      <c r="AQ2885">
        <v>0</v>
      </c>
      <c r="AR2885">
        <v>0</v>
      </c>
      <c r="AT2885">
        <v>0</v>
      </c>
      <c r="AU2885">
        <v>0</v>
      </c>
      <c r="AW2885">
        <v>0</v>
      </c>
      <c r="AX2885">
        <v>0</v>
      </c>
      <c r="AY2885">
        <v>70</v>
      </c>
      <c r="BC2885" t="str">
        <f>T("9791159284632")</f>
        <v>9791159284632</v>
      </c>
      <c r="BE2885" t="str">
        <f>T("판타지 웹소설 &gt; 현대 판타지")</f>
        <v>판타지 웹소설 &gt; 현대 판타지</v>
      </c>
    </row>
    <row r="2886" spans="1:57" x14ac:dyDescent="0.3">
      <c r="A2886">
        <v>2313007845</v>
      </c>
      <c r="B2886">
        <v>2313007880</v>
      </c>
      <c r="C2886" t="str">
        <f>T("간신이 나라를 살림 36화")</f>
        <v>간신이 나라를 살림 36화</v>
      </c>
      <c r="D2886" t="str">
        <f>T("36")</f>
        <v>36</v>
      </c>
      <c r="E2886" t="str">
        <f t="shared" ref="E2886:E2921" si="428">T("루이세")</f>
        <v>루이세</v>
      </c>
      <c r="H2886" t="str">
        <f t="shared" si="427"/>
        <v>스토리위즈</v>
      </c>
      <c r="I2886" t="str">
        <f t="shared" ref="I2886:I2921" si="429">T("간신이 나라를 살림")</f>
        <v>간신이 나라를 살림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/>
      <c r="AQ2886">
        <v>0</v>
      </c>
      <c r="AR2886">
        <v>0</v>
      </c>
      <c r="AT2886">
        <v>0</v>
      </c>
      <c r="AU2886">
        <v>0</v>
      </c>
      <c r="AW2886">
        <v>0</v>
      </c>
      <c r="AX2886">
        <v>0</v>
      </c>
      <c r="AY2886">
        <v>70</v>
      </c>
      <c r="BC2886" t="str">
        <f t="shared" ref="BC2886:BC2921" si="430">T("9791159284663")</f>
        <v>9791159284663</v>
      </c>
      <c r="BE2886" t="str">
        <f t="shared" ref="BE2886:BE2949" si="431">T("판타지 웹소설 &gt; 퓨전 판타지")</f>
        <v>판타지 웹소설 &gt; 퓨전 판타지</v>
      </c>
    </row>
    <row r="2887" spans="1:57" x14ac:dyDescent="0.3">
      <c r="A2887">
        <v>2313007845</v>
      </c>
      <c r="B2887">
        <v>2313007887</v>
      </c>
      <c r="C2887" t="str">
        <f>T("간신이 나라를 살림 43화")</f>
        <v>간신이 나라를 살림 43화</v>
      </c>
      <c r="D2887" t="str">
        <f>T("43")</f>
        <v>43</v>
      </c>
      <c r="E2887" t="str">
        <f t="shared" si="428"/>
        <v>루이세</v>
      </c>
      <c r="H2887" t="str">
        <f t="shared" si="427"/>
        <v>스토리위즈</v>
      </c>
      <c r="I2887" t="str">
        <f t="shared" si="429"/>
        <v>간신이 나라를 살림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/>
      <c r="AQ2887">
        <v>0</v>
      </c>
      <c r="AR2887">
        <v>0</v>
      </c>
      <c r="AT2887">
        <v>0</v>
      </c>
      <c r="AU2887">
        <v>0</v>
      </c>
      <c r="AW2887">
        <v>0</v>
      </c>
      <c r="AX2887">
        <v>0</v>
      </c>
      <c r="AY2887">
        <v>70</v>
      </c>
      <c r="BC2887" t="str">
        <f t="shared" si="430"/>
        <v>9791159284663</v>
      </c>
      <c r="BE2887" t="str">
        <f t="shared" si="431"/>
        <v>판타지 웹소설 &gt; 퓨전 판타지</v>
      </c>
    </row>
    <row r="2888" spans="1:57" x14ac:dyDescent="0.3">
      <c r="A2888">
        <v>2313007845</v>
      </c>
      <c r="B2888">
        <v>2313007895</v>
      </c>
      <c r="C2888" t="str">
        <f>T("간신이 나라를 살림 51화")</f>
        <v>간신이 나라를 살림 51화</v>
      </c>
      <c r="D2888" t="str">
        <f>T("51")</f>
        <v>51</v>
      </c>
      <c r="E2888" t="str">
        <f t="shared" si="428"/>
        <v>루이세</v>
      </c>
      <c r="H2888" t="str">
        <f t="shared" si="427"/>
        <v>스토리위즈</v>
      </c>
      <c r="I2888" t="str">
        <f t="shared" si="429"/>
        <v>간신이 나라를 살림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/>
      <c r="AQ2888">
        <v>0</v>
      </c>
      <c r="AR2888">
        <v>0</v>
      </c>
      <c r="AT2888">
        <v>0</v>
      </c>
      <c r="AU2888">
        <v>0</v>
      </c>
      <c r="AW2888">
        <v>0</v>
      </c>
      <c r="AX2888">
        <v>0</v>
      </c>
      <c r="AY2888">
        <v>70</v>
      </c>
      <c r="BC2888" t="str">
        <f t="shared" si="430"/>
        <v>9791159284663</v>
      </c>
      <c r="BE2888" t="str">
        <f t="shared" si="431"/>
        <v>판타지 웹소설 &gt; 퓨전 판타지</v>
      </c>
    </row>
    <row r="2889" spans="1:57" x14ac:dyDescent="0.3">
      <c r="A2889">
        <v>2313007845</v>
      </c>
      <c r="B2889">
        <v>2313007898</v>
      </c>
      <c r="C2889" t="str">
        <f>T("간신이 나라를 살림 54화")</f>
        <v>간신이 나라를 살림 54화</v>
      </c>
      <c r="D2889" t="str">
        <f>T("54")</f>
        <v>54</v>
      </c>
      <c r="E2889" t="str">
        <f t="shared" si="428"/>
        <v>루이세</v>
      </c>
      <c r="H2889" t="str">
        <f t="shared" si="427"/>
        <v>스토리위즈</v>
      </c>
      <c r="I2889" t="str">
        <f t="shared" si="429"/>
        <v>간신이 나라를 살림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/>
      <c r="AQ2889">
        <v>0</v>
      </c>
      <c r="AR2889">
        <v>0</v>
      </c>
      <c r="AT2889">
        <v>0</v>
      </c>
      <c r="AU2889">
        <v>0</v>
      </c>
      <c r="AW2889">
        <v>0</v>
      </c>
      <c r="AX2889">
        <v>0</v>
      </c>
      <c r="AY2889">
        <v>70</v>
      </c>
      <c r="BC2889" t="str">
        <f t="shared" si="430"/>
        <v>9791159284663</v>
      </c>
      <c r="BE2889" t="str">
        <f t="shared" si="431"/>
        <v>판타지 웹소설 &gt; 퓨전 판타지</v>
      </c>
    </row>
    <row r="2890" spans="1:57" x14ac:dyDescent="0.3">
      <c r="A2890">
        <v>2313007845</v>
      </c>
      <c r="B2890">
        <v>2313007899</v>
      </c>
      <c r="C2890" t="str">
        <f>T("간신이 나라를 살림 55화")</f>
        <v>간신이 나라를 살림 55화</v>
      </c>
      <c r="D2890" t="str">
        <f>T("55")</f>
        <v>55</v>
      </c>
      <c r="E2890" t="str">
        <f t="shared" si="428"/>
        <v>루이세</v>
      </c>
      <c r="H2890" t="str">
        <f t="shared" si="427"/>
        <v>스토리위즈</v>
      </c>
      <c r="I2890" t="str">
        <f t="shared" si="429"/>
        <v>간신이 나라를 살림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/>
      <c r="AQ2890">
        <v>0</v>
      </c>
      <c r="AR2890">
        <v>0</v>
      </c>
      <c r="AT2890">
        <v>0</v>
      </c>
      <c r="AU2890">
        <v>0</v>
      </c>
      <c r="AW2890">
        <v>0</v>
      </c>
      <c r="AX2890">
        <v>0</v>
      </c>
      <c r="AY2890">
        <v>70</v>
      </c>
      <c r="BC2890" t="str">
        <f t="shared" si="430"/>
        <v>9791159284663</v>
      </c>
      <c r="BE2890" t="str">
        <f t="shared" si="431"/>
        <v>판타지 웹소설 &gt; 퓨전 판타지</v>
      </c>
    </row>
    <row r="2891" spans="1:57" x14ac:dyDescent="0.3">
      <c r="A2891">
        <v>2313007845</v>
      </c>
      <c r="B2891">
        <v>2313007922</v>
      </c>
      <c r="C2891" t="str">
        <f>T("간신이 나라를 살림 78화")</f>
        <v>간신이 나라를 살림 78화</v>
      </c>
      <c r="D2891" t="str">
        <f>T("78")</f>
        <v>78</v>
      </c>
      <c r="E2891" t="str">
        <f t="shared" si="428"/>
        <v>루이세</v>
      </c>
      <c r="H2891" t="str">
        <f t="shared" si="427"/>
        <v>스토리위즈</v>
      </c>
      <c r="I2891" t="str">
        <f t="shared" si="429"/>
        <v>간신이 나라를 살림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/>
      <c r="AQ2891">
        <v>0</v>
      </c>
      <c r="AR2891">
        <v>0</v>
      </c>
      <c r="AT2891">
        <v>0</v>
      </c>
      <c r="AU2891">
        <v>0</v>
      </c>
      <c r="AW2891">
        <v>0</v>
      </c>
      <c r="AX2891">
        <v>0</v>
      </c>
      <c r="AY2891">
        <v>70</v>
      </c>
      <c r="BC2891" t="str">
        <f t="shared" si="430"/>
        <v>9791159284663</v>
      </c>
      <c r="BE2891" t="str">
        <f t="shared" si="431"/>
        <v>판타지 웹소설 &gt; 퓨전 판타지</v>
      </c>
    </row>
    <row r="2892" spans="1:57" x14ac:dyDescent="0.3">
      <c r="A2892">
        <v>2313007845</v>
      </c>
      <c r="B2892">
        <v>2313007923</v>
      </c>
      <c r="C2892" t="str">
        <f>T("간신이 나라를 살림 79화")</f>
        <v>간신이 나라를 살림 79화</v>
      </c>
      <c r="D2892" t="str">
        <f>T("79")</f>
        <v>79</v>
      </c>
      <c r="E2892" t="str">
        <f t="shared" si="428"/>
        <v>루이세</v>
      </c>
      <c r="H2892" t="str">
        <f t="shared" si="427"/>
        <v>스토리위즈</v>
      </c>
      <c r="I2892" t="str">
        <f t="shared" si="429"/>
        <v>간신이 나라를 살림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/>
      <c r="AQ2892">
        <v>0</v>
      </c>
      <c r="AR2892">
        <v>0</v>
      </c>
      <c r="AT2892">
        <v>0</v>
      </c>
      <c r="AU2892">
        <v>0</v>
      </c>
      <c r="AW2892">
        <v>0</v>
      </c>
      <c r="AX2892">
        <v>0</v>
      </c>
      <c r="AY2892">
        <v>70</v>
      </c>
      <c r="BC2892" t="str">
        <f t="shared" si="430"/>
        <v>9791159284663</v>
      </c>
      <c r="BE2892" t="str">
        <f t="shared" si="431"/>
        <v>판타지 웹소설 &gt; 퓨전 판타지</v>
      </c>
    </row>
    <row r="2893" spans="1:57" x14ac:dyDescent="0.3">
      <c r="A2893">
        <v>2313007845</v>
      </c>
      <c r="B2893">
        <v>2313007924</v>
      </c>
      <c r="C2893" t="str">
        <f>T("간신이 나라를 살림 80화")</f>
        <v>간신이 나라를 살림 80화</v>
      </c>
      <c r="D2893" t="str">
        <f>T("80")</f>
        <v>80</v>
      </c>
      <c r="E2893" t="str">
        <f t="shared" si="428"/>
        <v>루이세</v>
      </c>
      <c r="H2893" t="str">
        <f t="shared" si="427"/>
        <v>스토리위즈</v>
      </c>
      <c r="I2893" t="str">
        <f t="shared" si="429"/>
        <v>간신이 나라를 살림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/>
      <c r="AQ2893">
        <v>0</v>
      </c>
      <c r="AR2893">
        <v>0</v>
      </c>
      <c r="AT2893">
        <v>0</v>
      </c>
      <c r="AU2893">
        <v>0</v>
      </c>
      <c r="AW2893">
        <v>0</v>
      </c>
      <c r="AX2893">
        <v>0</v>
      </c>
      <c r="AY2893">
        <v>70</v>
      </c>
      <c r="BC2893" t="str">
        <f t="shared" si="430"/>
        <v>9791159284663</v>
      </c>
      <c r="BE2893" t="str">
        <f t="shared" si="431"/>
        <v>판타지 웹소설 &gt; 퓨전 판타지</v>
      </c>
    </row>
    <row r="2894" spans="1:57" x14ac:dyDescent="0.3">
      <c r="A2894">
        <v>2313007845</v>
      </c>
      <c r="B2894">
        <v>2313007925</v>
      </c>
      <c r="C2894" t="str">
        <f>T("간신이 나라를 살림 81화")</f>
        <v>간신이 나라를 살림 81화</v>
      </c>
      <c r="D2894" t="str">
        <f>T("81")</f>
        <v>81</v>
      </c>
      <c r="E2894" t="str">
        <f t="shared" si="428"/>
        <v>루이세</v>
      </c>
      <c r="H2894" t="str">
        <f t="shared" si="427"/>
        <v>스토리위즈</v>
      </c>
      <c r="I2894" t="str">
        <f t="shared" si="429"/>
        <v>간신이 나라를 살림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/>
      <c r="AQ2894">
        <v>0</v>
      </c>
      <c r="AR2894">
        <v>0</v>
      </c>
      <c r="AT2894">
        <v>0</v>
      </c>
      <c r="AU2894">
        <v>0</v>
      </c>
      <c r="AW2894">
        <v>0</v>
      </c>
      <c r="AX2894">
        <v>0</v>
      </c>
      <c r="AY2894">
        <v>70</v>
      </c>
      <c r="BC2894" t="str">
        <f t="shared" si="430"/>
        <v>9791159284663</v>
      </c>
      <c r="BE2894" t="str">
        <f t="shared" si="431"/>
        <v>판타지 웹소설 &gt; 퓨전 판타지</v>
      </c>
    </row>
    <row r="2895" spans="1:57" x14ac:dyDescent="0.3">
      <c r="A2895">
        <v>2313007845</v>
      </c>
      <c r="B2895">
        <v>2313007927</v>
      </c>
      <c r="C2895" t="str">
        <f>T("간신이 나라를 살림 83화")</f>
        <v>간신이 나라를 살림 83화</v>
      </c>
      <c r="D2895" t="str">
        <f>T("83")</f>
        <v>83</v>
      </c>
      <c r="E2895" t="str">
        <f t="shared" si="428"/>
        <v>루이세</v>
      </c>
      <c r="H2895" t="str">
        <f t="shared" si="427"/>
        <v>스토리위즈</v>
      </c>
      <c r="I2895" t="str">
        <f t="shared" si="429"/>
        <v>간신이 나라를 살림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/>
      <c r="AQ2895">
        <v>0</v>
      </c>
      <c r="AR2895">
        <v>0</v>
      </c>
      <c r="AT2895">
        <v>0</v>
      </c>
      <c r="AU2895">
        <v>0</v>
      </c>
      <c r="AW2895">
        <v>0</v>
      </c>
      <c r="AX2895">
        <v>0</v>
      </c>
      <c r="AY2895">
        <v>70</v>
      </c>
      <c r="BC2895" t="str">
        <f t="shared" si="430"/>
        <v>9791159284663</v>
      </c>
      <c r="BE2895" t="str">
        <f t="shared" si="431"/>
        <v>판타지 웹소설 &gt; 퓨전 판타지</v>
      </c>
    </row>
    <row r="2896" spans="1:57" x14ac:dyDescent="0.3">
      <c r="A2896">
        <v>2313007845</v>
      </c>
      <c r="B2896">
        <v>2313007928</v>
      </c>
      <c r="C2896" t="str">
        <f>T("간신이 나라를 살림 84화")</f>
        <v>간신이 나라를 살림 84화</v>
      </c>
      <c r="D2896" t="str">
        <f>T("84")</f>
        <v>84</v>
      </c>
      <c r="E2896" t="str">
        <f t="shared" si="428"/>
        <v>루이세</v>
      </c>
      <c r="H2896" t="str">
        <f t="shared" si="427"/>
        <v>스토리위즈</v>
      </c>
      <c r="I2896" t="str">
        <f t="shared" si="429"/>
        <v>간신이 나라를 살림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/>
      <c r="AQ2896">
        <v>0</v>
      </c>
      <c r="AR2896">
        <v>0</v>
      </c>
      <c r="AT2896">
        <v>0</v>
      </c>
      <c r="AU2896">
        <v>0</v>
      </c>
      <c r="AW2896">
        <v>0</v>
      </c>
      <c r="AX2896">
        <v>0</v>
      </c>
      <c r="AY2896">
        <v>70</v>
      </c>
      <c r="BC2896" t="str">
        <f t="shared" si="430"/>
        <v>9791159284663</v>
      </c>
      <c r="BE2896" t="str">
        <f t="shared" si="431"/>
        <v>판타지 웹소설 &gt; 퓨전 판타지</v>
      </c>
    </row>
    <row r="2897" spans="1:57" x14ac:dyDescent="0.3">
      <c r="A2897">
        <v>2313007845</v>
      </c>
      <c r="B2897">
        <v>2313007929</v>
      </c>
      <c r="C2897" t="str">
        <f>T("간신이 나라를 살림 85화")</f>
        <v>간신이 나라를 살림 85화</v>
      </c>
      <c r="D2897" t="str">
        <f>T("85")</f>
        <v>85</v>
      </c>
      <c r="E2897" t="str">
        <f t="shared" si="428"/>
        <v>루이세</v>
      </c>
      <c r="H2897" t="str">
        <f t="shared" si="427"/>
        <v>스토리위즈</v>
      </c>
      <c r="I2897" t="str">
        <f t="shared" si="429"/>
        <v>간신이 나라를 살림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/>
      <c r="AQ2897">
        <v>0</v>
      </c>
      <c r="AR2897">
        <v>0</v>
      </c>
      <c r="AT2897">
        <v>0</v>
      </c>
      <c r="AU2897">
        <v>0</v>
      </c>
      <c r="AW2897">
        <v>0</v>
      </c>
      <c r="AX2897">
        <v>0</v>
      </c>
      <c r="AY2897">
        <v>70</v>
      </c>
      <c r="BC2897" t="str">
        <f t="shared" si="430"/>
        <v>9791159284663</v>
      </c>
      <c r="BE2897" t="str">
        <f t="shared" si="431"/>
        <v>판타지 웹소설 &gt; 퓨전 판타지</v>
      </c>
    </row>
    <row r="2898" spans="1:57" x14ac:dyDescent="0.3">
      <c r="A2898">
        <v>2313007845</v>
      </c>
      <c r="B2898">
        <v>2313007930</v>
      </c>
      <c r="C2898" t="str">
        <f>T("간신이 나라를 살림 86화")</f>
        <v>간신이 나라를 살림 86화</v>
      </c>
      <c r="D2898" t="str">
        <f>T("86")</f>
        <v>86</v>
      </c>
      <c r="E2898" t="str">
        <f t="shared" si="428"/>
        <v>루이세</v>
      </c>
      <c r="H2898" t="str">
        <f t="shared" si="427"/>
        <v>스토리위즈</v>
      </c>
      <c r="I2898" t="str">
        <f t="shared" si="429"/>
        <v>간신이 나라를 살림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/>
      <c r="AQ2898">
        <v>0</v>
      </c>
      <c r="AR2898">
        <v>0</v>
      </c>
      <c r="AT2898">
        <v>0</v>
      </c>
      <c r="AU2898">
        <v>0</v>
      </c>
      <c r="AW2898">
        <v>0</v>
      </c>
      <c r="AX2898">
        <v>0</v>
      </c>
      <c r="AY2898">
        <v>70</v>
      </c>
      <c r="BC2898" t="str">
        <f t="shared" si="430"/>
        <v>9791159284663</v>
      </c>
      <c r="BE2898" t="str">
        <f t="shared" si="431"/>
        <v>판타지 웹소설 &gt; 퓨전 판타지</v>
      </c>
    </row>
    <row r="2899" spans="1:57" x14ac:dyDescent="0.3">
      <c r="A2899">
        <v>2313007845</v>
      </c>
      <c r="B2899">
        <v>2313007931</v>
      </c>
      <c r="C2899" t="str">
        <f>T("간신이 나라를 살림 87화")</f>
        <v>간신이 나라를 살림 87화</v>
      </c>
      <c r="D2899" t="str">
        <f>T("87")</f>
        <v>87</v>
      </c>
      <c r="E2899" t="str">
        <f t="shared" si="428"/>
        <v>루이세</v>
      </c>
      <c r="H2899" t="str">
        <f t="shared" si="427"/>
        <v>스토리위즈</v>
      </c>
      <c r="I2899" t="str">
        <f t="shared" si="429"/>
        <v>간신이 나라를 살림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/>
      <c r="AQ2899">
        <v>0</v>
      </c>
      <c r="AR2899">
        <v>0</v>
      </c>
      <c r="AT2899">
        <v>0</v>
      </c>
      <c r="AU2899">
        <v>0</v>
      </c>
      <c r="AW2899">
        <v>0</v>
      </c>
      <c r="AX2899">
        <v>0</v>
      </c>
      <c r="AY2899">
        <v>70</v>
      </c>
      <c r="BC2899" t="str">
        <f t="shared" si="430"/>
        <v>9791159284663</v>
      </c>
      <c r="BE2899" t="str">
        <f t="shared" si="431"/>
        <v>판타지 웹소설 &gt; 퓨전 판타지</v>
      </c>
    </row>
    <row r="2900" spans="1:57" x14ac:dyDescent="0.3">
      <c r="A2900">
        <v>2313007845</v>
      </c>
      <c r="B2900">
        <v>2313007932</v>
      </c>
      <c r="C2900" t="str">
        <f>T("간신이 나라를 살림 88화")</f>
        <v>간신이 나라를 살림 88화</v>
      </c>
      <c r="D2900" t="str">
        <f>T("88")</f>
        <v>88</v>
      </c>
      <c r="E2900" t="str">
        <f t="shared" si="428"/>
        <v>루이세</v>
      </c>
      <c r="H2900" t="str">
        <f t="shared" si="427"/>
        <v>스토리위즈</v>
      </c>
      <c r="I2900" t="str">
        <f t="shared" si="429"/>
        <v>간신이 나라를 살림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/>
      <c r="AQ2900">
        <v>0</v>
      </c>
      <c r="AR2900">
        <v>0</v>
      </c>
      <c r="AT2900">
        <v>0</v>
      </c>
      <c r="AU2900">
        <v>0</v>
      </c>
      <c r="AW2900">
        <v>0</v>
      </c>
      <c r="AX2900">
        <v>0</v>
      </c>
      <c r="AY2900">
        <v>70</v>
      </c>
      <c r="BC2900" t="str">
        <f t="shared" si="430"/>
        <v>9791159284663</v>
      </c>
      <c r="BE2900" t="str">
        <f t="shared" si="431"/>
        <v>판타지 웹소설 &gt; 퓨전 판타지</v>
      </c>
    </row>
    <row r="2901" spans="1:57" x14ac:dyDescent="0.3">
      <c r="A2901">
        <v>2313007845</v>
      </c>
      <c r="B2901">
        <v>2313007933</v>
      </c>
      <c r="C2901" t="str">
        <f>T("간신이 나라를 살림 89화")</f>
        <v>간신이 나라를 살림 89화</v>
      </c>
      <c r="D2901" t="str">
        <f>T("89")</f>
        <v>89</v>
      </c>
      <c r="E2901" t="str">
        <f t="shared" si="428"/>
        <v>루이세</v>
      </c>
      <c r="H2901" t="str">
        <f t="shared" si="427"/>
        <v>스토리위즈</v>
      </c>
      <c r="I2901" t="str">
        <f t="shared" si="429"/>
        <v>간신이 나라를 살림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/>
      <c r="AQ2901">
        <v>0</v>
      </c>
      <c r="AR2901">
        <v>0</v>
      </c>
      <c r="AT2901">
        <v>0</v>
      </c>
      <c r="AU2901">
        <v>0</v>
      </c>
      <c r="AW2901">
        <v>0</v>
      </c>
      <c r="AX2901">
        <v>0</v>
      </c>
      <c r="AY2901">
        <v>70</v>
      </c>
      <c r="BC2901" t="str">
        <f t="shared" si="430"/>
        <v>9791159284663</v>
      </c>
      <c r="BE2901" t="str">
        <f t="shared" si="431"/>
        <v>판타지 웹소설 &gt; 퓨전 판타지</v>
      </c>
    </row>
    <row r="2902" spans="1:57" x14ac:dyDescent="0.3">
      <c r="A2902">
        <v>2313007845</v>
      </c>
      <c r="B2902">
        <v>2313007934</v>
      </c>
      <c r="C2902" t="str">
        <f>T("간신이 나라를 살림 90화")</f>
        <v>간신이 나라를 살림 90화</v>
      </c>
      <c r="D2902" t="str">
        <f>T("90")</f>
        <v>90</v>
      </c>
      <c r="E2902" t="str">
        <f t="shared" si="428"/>
        <v>루이세</v>
      </c>
      <c r="H2902" t="str">
        <f t="shared" si="427"/>
        <v>스토리위즈</v>
      </c>
      <c r="I2902" t="str">
        <f t="shared" si="429"/>
        <v>간신이 나라를 살림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/>
      <c r="AQ2902">
        <v>0</v>
      </c>
      <c r="AR2902">
        <v>0</v>
      </c>
      <c r="AT2902">
        <v>0</v>
      </c>
      <c r="AU2902">
        <v>0</v>
      </c>
      <c r="AW2902">
        <v>0</v>
      </c>
      <c r="AX2902">
        <v>0</v>
      </c>
      <c r="AY2902">
        <v>70</v>
      </c>
      <c r="BC2902" t="str">
        <f t="shared" si="430"/>
        <v>9791159284663</v>
      </c>
      <c r="BE2902" t="str">
        <f t="shared" si="431"/>
        <v>판타지 웹소설 &gt; 퓨전 판타지</v>
      </c>
    </row>
    <row r="2903" spans="1:57" x14ac:dyDescent="0.3">
      <c r="A2903">
        <v>2313007845</v>
      </c>
      <c r="B2903">
        <v>2313007936</v>
      </c>
      <c r="C2903" t="str">
        <f>T("간신이 나라를 살림 92화")</f>
        <v>간신이 나라를 살림 92화</v>
      </c>
      <c r="D2903" t="str">
        <f>T("92")</f>
        <v>92</v>
      </c>
      <c r="E2903" t="str">
        <f t="shared" si="428"/>
        <v>루이세</v>
      </c>
      <c r="H2903" t="str">
        <f t="shared" si="427"/>
        <v>스토리위즈</v>
      </c>
      <c r="I2903" t="str">
        <f t="shared" si="429"/>
        <v>간신이 나라를 살림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/>
      <c r="AQ2903">
        <v>0</v>
      </c>
      <c r="AR2903">
        <v>0</v>
      </c>
      <c r="AT2903">
        <v>0</v>
      </c>
      <c r="AU2903">
        <v>0</v>
      </c>
      <c r="AW2903">
        <v>0</v>
      </c>
      <c r="AX2903">
        <v>0</v>
      </c>
      <c r="AY2903">
        <v>70</v>
      </c>
      <c r="BC2903" t="str">
        <f t="shared" si="430"/>
        <v>9791159284663</v>
      </c>
      <c r="BE2903" t="str">
        <f t="shared" si="431"/>
        <v>판타지 웹소설 &gt; 퓨전 판타지</v>
      </c>
    </row>
    <row r="2904" spans="1:57" x14ac:dyDescent="0.3">
      <c r="A2904">
        <v>2313007845</v>
      </c>
      <c r="B2904">
        <v>2313007937</v>
      </c>
      <c r="C2904" t="str">
        <f>T("간신이 나라를 살림 93화")</f>
        <v>간신이 나라를 살림 93화</v>
      </c>
      <c r="D2904" t="str">
        <f>T("93")</f>
        <v>93</v>
      </c>
      <c r="E2904" t="str">
        <f t="shared" si="428"/>
        <v>루이세</v>
      </c>
      <c r="H2904" t="str">
        <f t="shared" si="427"/>
        <v>스토리위즈</v>
      </c>
      <c r="I2904" t="str">
        <f t="shared" si="429"/>
        <v>간신이 나라를 살림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/>
      <c r="AQ2904">
        <v>0</v>
      </c>
      <c r="AR2904">
        <v>0</v>
      </c>
      <c r="AT2904">
        <v>0</v>
      </c>
      <c r="AU2904">
        <v>0</v>
      </c>
      <c r="AW2904">
        <v>0</v>
      </c>
      <c r="AX2904">
        <v>0</v>
      </c>
      <c r="AY2904">
        <v>70</v>
      </c>
      <c r="BC2904" t="str">
        <f t="shared" si="430"/>
        <v>9791159284663</v>
      </c>
      <c r="BE2904" t="str">
        <f t="shared" si="431"/>
        <v>판타지 웹소설 &gt; 퓨전 판타지</v>
      </c>
    </row>
    <row r="2905" spans="1:57" x14ac:dyDescent="0.3">
      <c r="A2905">
        <v>2313007845</v>
      </c>
      <c r="B2905">
        <v>2313007938</v>
      </c>
      <c r="C2905" t="str">
        <f>T("간신이 나라를 살림 94화")</f>
        <v>간신이 나라를 살림 94화</v>
      </c>
      <c r="D2905" t="str">
        <f>T("94")</f>
        <v>94</v>
      </c>
      <c r="E2905" t="str">
        <f t="shared" si="428"/>
        <v>루이세</v>
      </c>
      <c r="H2905" t="str">
        <f t="shared" si="427"/>
        <v>스토리위즈</v>
      </c>
      <c r="I2905" t="str">
        <f t="shared" si="429"/>
        <v>간신이 나라를 살림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/>
      <c r="AQ2905">
        <v>0</v>
      </c>
      <c r="AR2905">
        <v>0</v>
      </c>
      <c r="AT2905">
        <v>0</v>
      </c>
      <c r="AU2905">
        <v>0</v>
      </c>
      <c r="AW2905">
        <v>0</v>
      </c>
      <c r="AX2905">
        <v>0</v>
      </c>
      <c r="AY2905">
        <v>70</v>
      </c>
      <c r="BC2905" t="str">
        <f t="shared" si="430"/>
        <v>9791159284663</v>
      </c>
      <c r="BE2905" t="str">
        <f t="shared" si="431"/>
        <v>판타지 웹소설 &gt; 퓨전 판타지</v>
      </c>
    </row>
    <row r="2906" spans="1:57" x14ac:dyDescent="0.3">
      <c r="A2906">
        <v>2313007845</v>
      </c>
      <c r="B2906">
        <v>2313007939</v>
      </c>
      <c r="C2906" t="str">
        <f>T("간신이 나라를 살림 95화")</f>
        <v>간신이 나라를 살림 95화</v>
      </c>
      <c r="D2906" t="str">
        <f>T("95")</f>
        <v>95</v>
      </c>
      <c r="E2906" t="str">
        <f t="shared" si="428"/>
        <v>루이세</v>
      </c>
      <c r="H2906" t="str">
        <f t="shared" si="427"/>
        <v>스토리위즈</v>
      </c>
      <c r="I2906" t="str">
        <f t="shared" si="429"/>
        <v>간신이 나라를 살림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/>
      <c r="AQ2906">
        <v>0</v>
      </c>
      <c r="AR2906">
        <v>0</v>
      </c>
      <c r="AT2906">
        <v>0</v>
      </c>
      <c r="AU2906">
        <v>0</v>
      </c>
      <c r="AW2906">
        <v>0</v>
      </c>
      <c r="AX2906">
        <v>0</v>
      </c>
      <c r="AY2906">
        <v>70</v>
      </c>
      <c r="BC2906" t="str">
        <f t="shared" si="430"/>
        <v>9791159284663</v>
      </c>
      <c r="BE2906" t="str">
        <f t="shared" si="431"/>
        <v>판타지 웹소설 &gt; 퓨전 판타지</v>
      </c>
    </row>
    <row r="2907" spans="1:57" x14ac:dyDescent="0.3">
      <c r="A2907">
        <v>2313007845</v>
      </c>
      <c r="B2907">
        <v>2313007940</v>
      </c>
      <c r="C2907" t="str">
        <f>T("간신이 나라를 살림 96화")</f>
        <v>간신이 나라를 살림 96화</v>
      </c>
      <c r="D2907" t="str">
        <f>T("96")</f>
        <v>96</v>
      </c>
      <c r="E2907" t="str">
        <f t="shared" si="428"/>
        <v>루이세</v>
      </c>
      <c r="H2907" t="str">
        <f t="shared" si="427"/>
        <v>스토리위즈</v>
      </c>
      <c r="I2907" t="str">
        <f t="shared" si="429"/>
        <v>간신이 나라를 살림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/>
      <c r="AQ2907">
        <v>0</v>
      </c>
      <c r="AR2907">
        <v>0</v>
      </c>
      <c r="AT2907">
        <v>0</v>
      </c>
      <c r="AU2907">
        <v>0</v>
      </c>
      <c r="AW2907">
        <v>0</v>
      </c>
      <c r="AX2907">
        <v>0</v>
      </c>
      <c r="AY2907">
        <v>70</v>
      </c>
      <c r="BC2907" t="str">
        <f t="shared" si="430"/>
        <v>9791159284663</v>
      </c>
      <c r="BE2907" t="str">
        <f t="shared" si="431"/>
        <v>판타지 웹소설 &gt; 퓨전 판타지</v>
      </c>
    </row>
    <row r="2908" spans="1:57" x14ac:dyDescent="0.3">
      <c r="A2908">
        <v>2313007845</v>
      </c>
      <c r="B2908">
        <v>2313007941</v>
      </c>
      <c r="C2908" t="str">
        <f>T("간신이 나라를 살림 97화")</f>
        <v>간신이 나라를 살림 97화</v>
      </c>
      <c r="D2908" t="str">
        <f>T("97")</f>
        <v>97</v>
      </c>
      <c r="E2908" t="str">
        <f t="shared" si="428"/>
        <v>루이세</v>
      </c>
      <c r="H2908" t="str">
        <f t="shared" si="427"/>
        <v>스토리위즈</v>
      </c>
      <c r="I2908" t="str">
        <f t="shared" si="429"/>
        <v>간신이 나라를 살림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/>
      <c r="AQ2908">
        <v>0</v>
      </c>
      <c r="AR2908">
        <v>0</v>
      </c>
      <c r="AT2908">
        <v>0</v>
      </c>
      <c r="AU2908">
        <v>0</v>
      </c>
      <c r="AW2908">
        <v>0</v>
      </c>
      <c r="AX2908">
        <v>0</v>
      </c>
      <c r="AY2908">
        <v>70</v>
      </c>
      <c r="BC2908" t="str">
        <f t="shared" si="430"/>
        <v>9791159284663</v>
      </c>
      <c r="BE2908" t="str">
        <f t="shared" si="431"/>
        <v>판타지 웹소설 &gt; 퓨전 판타지</v>
      </c>
    </row>
    <row r="2909" spans="1:57" x14ac:dyDescent="0.3">
      <c r="A2909">
        <v>2313007845</v>
      </c>
      <c r="B2909">
        <v>2313007944</v>
      </c>
      <c r="C2909" t="str">
        <f>T("간신이 나라를 살림 100화")</f>
        <v>간신이 나라를 살림 100화</v>
      </c>
      <c r="D2909" t="str">
        <f>T("100")</f>
        <v>100</v>
      </c>
      <c r="E2909" t="str">
        <f t="shared" si="428"/>
        <v>루이세</v>
      </c>
      <c r="H2909" t="str">
        <f t="shared" si="427"/>
        <v>스토리위즈</v>
      </c>
      <c r="I2909" t="str">
        <f t="shared" si="429"/>
        <v>간신이 나라를 살림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/>
      <c r="AQ2909">
        <v>0</v>
      </c>
      <c r="AR2909">
        <v>0</v>
      </c>
      <c r="AT2909">
        <v>0</v>
      </c>
      <c r="AU2909">
        <v>0</v>
      </c>
      <c r="AW2909">
        <v>0</v>
      </c>
      <c r="AX2909">
        <v>0</v>
      </c>
      <c r="AY2909">
        <v>70</v>
      </c>
      <c r="BC2909" t="str">
        <f t="shared" si="430"/>
        <v>9791159284663</v>
      </c>
      <c r="BE2909" t="str">
        <f t="shared" si="431"/>
        <v>판타지 웹소설 &gt; 퓨전 판타지</v>
      </c>
    </row>
    <row r="2910" spans="1:57" x14ac:dyDescent="0.3">
      <c r="A2910">
        <v>2313007845</v>
      </c>
      <c r="B2910">
        <v>2313007945</v>
      </c>
      <c r="C2910" t="str">
        <f>T("간신이 나라를 살림 101화")</f>
        <v>간신이 나라를 살림 101화</v>
      </c>
      <c r="D2910" t="str">
        <f>T("101")</f>
        <v>101</v>
      </c>
      <c r="E2910" t="str">
        <f t="shared" si="428"/>
        <v>루이세</v>
      </c>
      <c r="H2910" t="str">
        <f t="shared" si="427"/>
        <v>스토리위즈</v>
      </c>
      <c r="I2910" t="str">
        <f t="shared" si="429"/>
        <v>간신이 나라를 살림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/>
      <c r="AQ2910">
        <v>0</v>
      </c>
      <c r="AR2910">
        <v>0</v>
      </c>
      <c r="AT2910">
        <v>0</v>
      </c>
      <c r="AU2910">
        <v>0</v>
      </c>
      <c r="AW2910">
        <v>0</v>
      </c>
      <c r="AX2910">
        <v>0</v>
      </c>
      <c r="AY2910">
        <v>70</v>
      </c>
      <c r="BC2910" t="str">
        <f t="shared" si="430"/>
        <v>9791159284663</v>
      </c>
      <c r="BE2910" t="str">
        <f t="shared" si="431"/>
        <v>판타지 웹소설 &gt; 퓨전 판타지</v>
      </c>
    </row>
    <row r="2911" spans="1:57" x14ac:dyDescent="0.3">
      <c r="A2911">
        <v>2313007845</v>
      </c>
      <c r="B2911">
        <v>2313007946</v>
      </c>
      <c r="C2911" t="str">
        <f>T("간신이 나라를 살림 102화")</f>
        <v>간신이 나라를 살림 102화</v>
      </c>
      <c r="D2911" t="str">
        <f>T("102")</f>
        <v>102</v>
      </c>
      <c r="E2911" t="str">
        <f t="shared" si="428"/>
        <v>루이세</v>
      </c>
      <c r="H2911" t="str">
        <f t="shared" si="427"/>
        <v>스토리위즈</v>
      </c>
      <c r="I2911" t="str">
        <f t="shared" si="429"/>
        <v>간신이 나라를 살림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/>
      <c r="AQ2911">
        <v>0</v>
      </c>
      <c r="AR2911">
        <v>0</v>
      </c>
      <c r="AT2911">
        <v>0</v>
      </c>
      <c r="AU2911">
        <v>0</v>
      </c>
      <c r="AW2911">
        <v>0</v>
      </c>
      <c r="AX2911">
        <v>0</v>
      </c>
      <c r="AY2911">
        <v>70</v>
      </c>
      <c r="BC2911" t="str">
        <f t="shared" si="430"/>
        <v>9791159284663</v>
      </c>
      <c r="BE2911" t="str">
        <f t="shared" si="431"/>
        <v>판타지 웹소설 &gt; 퓨전 판타지</v>
      </c>
    </row>
    <row r="2912" spans="1:57" x14ac:dyDescent="0.3">
      <c r="A2912">
        <v>2313007845</v>
      </c>
      <c r="B2912">
        <v>2313007947</v>
      </c>
      <c r="C2912" t="str">
        <f>T("간신이 나라를 살림 103화")</f>
        <v>간신이 나라를 살림 103화</v>
      </c>
      <c r="D2912" t="str">
        <f>T("103")</f>
        <v>103</v>
      </c>
      <c r="E2912" t="str">
        <f t="shared" si="428"/>
        <v>루이세</v>
      </c>
      <c r="H2912" t="str">
        <f t="shared" si="427"/>
        <v>스토리위즈</v>
      </c>
      <c r="I2912" t="str">
        <f t="shared" si="429"/>
        <v>간신이 나라를 살림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/>
      <c r="AQ2912">
        <v>0</v>
      </c>
      <c r="AR2912">
        <v>0</v>
      </c>
      <c r="AT2912">
        <v>0</v>
      </c>
      <c r="AU2912">
        <v>0</v>
      </c>
      <c r="AW2912">
        <v>0</v>
      </c>
      <c r="AX2912">
        <v>0</v>
      </c>
      <c r="AY2912">
        <v>70</v>
      </c>
      <c r="BC2912" t="str">
        <f t="shared" si="430"/>
        <v>9791159284663</v>
      </c>
      <c r="BE2912" t="str">
        <f t="shared" si="431"/>
        <v>판타지 웹소설 &gt; 퓨전 판타지</v>
      </c>
    </row>
    <row r="2913" spans="1:57" x14ac:dyDescent="0.3">
      <c r="A2913">
        <v>2313007845</v>
      </c>
      <c r="B2913">
        <v>2313007948</v>
      </c>
      <c r="C2913" t="str">
        <f>T("간신이 나라를 살림 104화")</f>
        <v>간신이 나라를 살림 104화</v>
      </c>
      <c r="D2913" t="str">
        <f>T("104")</f>
        <v>104</v>
      </c>
      <c r="E2913" t="str">
        <f t="shared" si="428"/>
        <v>루이세</v>
      </c>
      <c r="H2913" t="str">
        <f t="shared" si="427"/>
        <v>스토리위즈</v>
      </c>
      <c r="I2913" t="str">
        <f t="shared" si="429"/>
        <v>간신이 나라를 살림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/>
      <c r="AQ2913">
        <v>0</v>
      </c>
      <c r="AR2913">
        <v>0</v>
      </c>
      <c r="AT2913">
        <v>0</v>
      </c>
      <c r="AU2913">
        <v>0</v>
      </c>
      <c r="AW2913">
        <v>0</v>
      </c>
      <c r="AX2913">
        <v>0</v>
      </c>
      <c r="AY2913">
        <v>70</v>
      </c>
      <c r="BC2913" t="str">
        <f t="shared" si="430"/>
        <v>9791159284663</v>
      </c>
      <c r="BE2913" t="str">
        <f t="shared" si="431"/>
        <v>판타지 웹소설 &gt; 퓨전 판타지</v>
      </c>
    </row>
    <row r="2914" spans="1:57" x14ac:dyDescent="0.3">
      <c r="A2914">
        <v>2313007845</v>
      </c>
      <c r="B2914">
        <v>2313007949</v>
      </c>
      <c r="C2914" t="str">
        <f>T("간신이 나라를 살림 105화")</f>
        <v>간신이 나라를 살림 105화</v>
      </c>
      <c r="D2914" t="str">
        <f>T("105")</f>
        <v>105</v>
      </c>
      <c r="E2914" t="str">
        <f t="shared" si="428"/>
        <v>루이세</v>
      </c>
      <c r="H2914" t="str">
        <f t="shared" si="427"/>
        <v>스토리위즈</v>
      </c>
      <c r="I2914" t="str">
        <f t="shared" si="429"/>
        <v>간신이 나라를 살림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/>
      <c r="AQ2914">
        <v>0</v>
      </c>
      <c r="AR2914">
        <v>0</v>
      </c>
      <c r="AT2914">
        <v>0</v>
      </c>
      <c r="AU2914">
        <v>0</v>
      </c>
      <c r="AW2914">
        <v>0</v>
      </c>
      <c r="AX2914">
        <v>0</v>
      </c>
      <c r="AY2914">
        <v>70</v>
      </c>
      <c r="BC2914" t="str">
        <f t="shared" si="430"/>
        <v>9791159284663</v>
      </c>
      <c r="BE2914" t="str">
        <f t="shared" si="431"/>
        <v>판타지 웹소설 &gt; 퓨전 판타지</v>
      </c>
    </row>
    <row r="2915" spans="1:57" x14ac:dyDescent="0.3">
      <c r="A2915">
        <v>2313007845</v>
      </c>
      <c r="B2915">
        <v>2313007950</v>
      </c>
      <c r="C2915" t="str">
        <f>T("간신이 나라를 살림 106화")</f>
        <v>간신이 나라를 살림 106화</v>
      </c>
      <c r="D2915" t="str">
        <f>T("106")</f>
        <v>106</v>
      </c>
      <c r="E2915" t="str">
        <f t="shared" si="428"/>
        <v>루이세</v>
      </c>
      <c r="H2915" t="str">
        <f t="shared" si="427"/>
        <v>스토리위즈</v>
      </c>
      <c r="I2915" t="str">
        <f t="shared" si="429"/>
        <v>간신이 나라를 살림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/>
      <c r="AQ2915">
        <v>0</v>
      </c>
      <c r="AR2915">
        <v>0</v>
      </c>
      <c r="AT2915">
        <v>0</v>
      </c>
      <c r="AU2915">
        <v>0</v>
      </c>
      <c r="AW2915">
        <v>0</v>
      </c>
      <c r="AX2915">
        <v>0</v>
      </c>
      <c r="AY2915">
        <v>70</v>
      </c>
      <c r="BC2915" t="str">
        <f t="shared" si="430"/>
        <v>9791159284663</v>
      </c>
      <c r="BE2915" t="str">
        <f t="shared" si="431"/>
        <v>판타지 웹소설 &gt; 퓨전 판타지</v>
      </c>
    </row>
    <row r="2916" spans="1:57" x14ac:dyDescent="0.3">
      <c r="A2916">
        <v>2313007845</v>
      </c>
      <c r="B2916">
        <v>2313007951</v>
      </c>
      <c r="C2916" t="str">
        <f>T("간신이 나라를 살림 107화")</f>
        <v>간신이 나라를 살림 107화</v>
      </c>
      <c r="D2916" t="str">
        <f>T("107")</f>
        <v>107</v>
      </c>
      <c r="E2916" t="str">
        <f t="shared" si="428"/>
        <v>루이세</v>
      </c>
      <c r="H2916" t="str">
        <f t="shared" si="427"/>
        <v>스토리위즈</v>
      </c>
      <c r="I2916" t="str">
        <f t="shared" si="429"/>
        <v>간신이 나라를 살림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/>
      <c r="AQ2916">
        <v>0</v>
      </c>
      <c r="AR2916">
        <v>0</v>
      </c>
      <c r="AT2916">
        <v>0</v>
      </c>
      <c r="AU2916">
        <v>0</v>
      </c>
      <c r="AW2916">
        <v>0</v>
      </c>
      <c r="AX2916">
        <v>0</v>
      </c>
      <c r="AY2916">
        <v>70</v>
      </c>
      <c r="BC2916" t="str">
        <f t="shared" si="430"/>
        <v>9791159284663</v>
      </c>
      <c r="BE2916" t="str">
        <f t="shared" si="431"/>
        <v>판타지 웹소설 &gt; 퓨전 판타지</v>
      </c>
    </row>
    <row r="2917" spans="1:57" x14ac:dyDescent="0.3">
      <c r="A2917">
        <v>2313007845</v>
      </c>
      <c r="B2917">
        <v>2313007952</v>
      </c>
      <c r="C2917" t="str">
        <f>T("간신이 나라를 살림 108화")</f>
        <v>간신이 나라를 살림 108화</v>
      </c>
      <c r="D2917" t="str">
        <f>T("108")</f>
        <v>108</v>
      </c>
      <c r="E2917" t="str">
        <f t="shared" si="428"/>
        <v>루이세</v>
      </c>
      <c r="H2917" t="str">
        <f t="shared" si="427"/>
        <v>스토리위즈</v>
      </c>
      <c r="I2917" t="str">
        <f t="shared" si="429"/>
        <v>간신이 나라를 살림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/>
      <c r="AQ2917">
        <v>0</v>
      </c>
      <c r="AR2917">
        <v>0</v>
      </c>
      <c r="AT2917">
        <v>0</v>
      </c>
      <c r="AU2917">
        <v>0</v>
      </c>
      <c r="AW2917">
        <v>0</v>
      </c>
      <c r="AX2917">
        <v>0</v>
      </c>
      <c r="AY2917">
        <v>70</v>
      </c>
      <c r="BC2917" t="str">
        <f t="shared" si="430"/>
        <v>9791159284663</v>
      </c>
      <c r="BE2917" t="str">
        <f t="shared" si="431"/>
        <v>판타지 웹소설 &gt; 퓨전 판타지</v>
      </c>
    </row>
    <row r="2918" spans="1:57" x14ac:dyDescent="0.3">
      <c r="A2918">
        <v>2313007845</v>
      </c>
      <c r="B2918">
        <v>2313007953</v>
      </c>
      <c r="C2918" t="str">
        <f>T("간신이 나라를 살림 109화")</f>
        <v>간신이 나라를 살림 109화</v>
      </c>
      <c r="D2918" t="str">
        <f>T("109")</f>
        <v>109</v>
      </c>
      <c r="E2918" t="str">
        <f t="shared" si="428"/>
        <v>루이세</v>
      </c>
      <c r="H2918" t="str">
        <f t="shared" si="427"/>
        <v>스토리위즈</v>
      </c>
      <c r="I2918" t="str">
        <f t="shared" si="429"/>
        <v>간신이 나라를 살림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/>
      <c r="AQ2918">
        <v>0</v>
      </c>
      <c r="AR2918">
        <v>0</v>
      </c>
      <c r="AT2918">
        <v>0</v>
      </c>
      <c r="AU2918">
        <v>0</v>
      </c>
      <c r="AW2918">
        <v>0</v>
      </c>
      <c r="AX2918">
        <v>0</v>
      </c>
      <c r="AY2918">
        <v>70</v>
      </c>
      <c r="BC2918" t="str">
        <f t="shared" si="430"/>
        <v>9791159284663</v>
      </c>
      <c r="BE2918" t="str">
        <f t="shared" si="431"/>
        <v>판타지 웹소설 &gt; 퓨전 판타지</v>
      </c>
    </row>
    <row r="2919" spans="1:57" x14ac:dyDescent="0.3">
      <c r="A2919">
        <v>2313007845</v>
      </c>
      <c r="B2919">
        <v>2313007954</v>
      </c>
      <c r="C2919" t="str">
        <f>T("간신이 나라를 살림 110화")</f>
        <v>간신이 나라를 살림 110화</v>
      </c>
      <c r="D2919" t="str">
        <f>T("110")</f>
        <v>110</v>
      </c>
      <c r="E2919" t="str">
        <f t="shared" si="428"/>
        <v>루이세</v>
      </c>
      <c r="H2919" t="str">
        <f t="shared" si="427"/>
        <v>스토리위즈</v>
      </c>
      <c r="I2919" t="str">
        <f t="shared" si="429"/>
        <v>간신이 나라를 살림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/>
      <c r="AQ2919">
        <v>0</v>
      </c>
      <c r="AR2919">
        <v>0</v>
      </c>
      <c r="AT2919">
        <v>0</v>
      </c>
      <c r="AU2919">
        <v>0</v>
      </c>
      <c r="AW2919">
        <v>0</v>
      </c>
      <c r="AX2919">
        <v>0</v>
      </c>
      <c r="AY2919">
        <v>70</v>
      </c>
      <c r="BC2919" t="str">
        <f t="shared" si="430"/>
        <v>9791159284663</v>
      </c>
      <c r="BE2919" t="str">
        <f t="shared" si="431"/>
        <v>판타지 웹소설 &gt; 퓨전 판타지</v>
      </c>
    </row>
    <row r="2920" spans="1:57" x14ac:dyDescent="0.3">
      <c r="A2920">
        <v>2313007845</v>
      </c>
      <c r="B2920">
        <v>2313008016</v>
      </c>
      <c r="C2920" t="str">
        <f>T("간신이 나라를 살림 172화")</f>
        <v>간신이 나라를 살림 172화</v>
      </c>
      <c r="D2920" t="str">
        <f>T("172")</f>
        <v>172</v>
      </c>
      <c r="E2920" t="str">
        <f t="shared" si="428"/>
        <v>루이세</v>
      </c>
      <c r="H2920" t="str">
        <f t="shared" si="427"/>
        <v>스토리위즈</v>
      </c>
      <c r="I2920" t="str">
        <f t="shared" si="429"/>
        <v>간신이 나라를 살림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/>
      <c r="AQ2920">
        <v>0</v>
      </c>
      <c r="AR2920">
        <v>0</v>
      </c>
      <c r="AT2920">
        <v>0</v>
      </c>
      <c r="AU2920">
        <v>0</v>
      </c>
      <c r="AW2920">
        <v>0</v>
      </c>
      <c r="AX2920">
        <v>0</v>
      </c>
      <c r="AY2920">
        <v>70</v>
      </c>
      <c r="BC2920" t="str">
        <f t="shared" si="430"/>
        <v>9791159284663</v>
      </c>
      <c r="BE2920" t="str">
        <f t="shared" si="431"/>
        <v>판타지 웹소설 &gt; 퓨전 판타지</v>
      </c>
    </row>
    <row r="2921" spans="1:57" x14ac:dyDescent="0.3">
      <c r="A2921">
        <v>2313007845</v>
      </c>
      <c r="B2921">
        <v>2313008105</v>
      </c>
      <c r="C2921" t="str">
        <f>T("간신이 나라를 살림 261화 (완결)")</f>
        <v>간신이 나라를 살림 261화 (완결)</v>
      </c>
      <c r="D2921" t="str">
        <f>T("261")</f>
        <v>261</v>
      </c>
      <c r="E2921" t="str">
        <f t="shared" si="428"/>
        <v>루이세</v>
      </c>
      <c r="H2921" t="str">
        <f t="shared" si="427"/>
        <v>스토리위즈</v>
      </c>
      <c r="I2921" t="str">
        <f t="shared" si="429"/>
        <v>간신이 나라를 살림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/>
      <c r="AQ2921">
        <v>0</v>
      </c>
      <c r="AR2921">
        <v>0</v>
      </c>
      <c r="AT2921">
        <v>0</v>
      </c>
      <c r="AU2921">
        <v>0</v>
      </c>
      <c r="AW2921">
        <v>0</v>
      </c>
      <c r="AX2921">
        <v>0</v>
      </c>
      <c r="AY2921">
        <v>70</v>
      </c>
      <c r="BC2921" t="str">
        <f t="shared" si="430"/>
        <v>9791159284663</v>
      </c>
      <c r="BE2921" t="str">
        <f t="shared" si="431"/>
        <v>판타지 웹소설 &gt; 퓨전 판타지</v>
      </c>
    </row>
    <row r="2922" spans="1:57" x14ac:dyDescent="0.3">
      <c r="A2922">
        <v>2313008150</v>
      </c>
      <c r="B2922">
        <v>2313008290</v>
      </c>
      <c r="C2922" t="str">
        <f>T("기사가문 망나니는 10클래스 141화")</f>
        <v>기사가문 망나니는 10클래스 141화</v>
      </c>
      <c r="D2922" t="str">
        <f>T("141")</f>
        <v>141</v>
      </c>
      <c r="E2922" t="str">
        <f t="shared" ref="E2922:E2977" si="432">T("예로나")</f>
        <v>예로나</v>
      </c>
      <c r="H2922" t="str">
        <f t="shared" si="427"/>
        <v>스토리위즈</v>
      </c>
      <c r="I2922" t="str">
        <f t="shared" ref="I2922:I2977" si="433">T("기사가문 망나니는 10클래스")</f>
        <v>기사가문 망나니는 10클래스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/>
      <c r="AQ2922">
        <v>0</v>
      </c>
      <c r="AR2922">
        <v>0</v>
      </c>
      <c r="AT2922">
        <v>0</v>
      </c>
      <c r="AU2922">
        <v>0</v>
      </c>
      <c r="AW2922">
        <v>0</v>
      </c>
      <c r="AX2922">
        <v>0</v>
      </c>
      <c r="AY2922">
        <v>70</v>
      </c>
      <c r="BC2922" t="str">
        <f t="shared" ref="BC2922:BC2977" si="434">T("9791165310370")</f>
        <v>9791165310370</v>
      </c>
      <c r="BE2922" t="str">
        <f t="shared" si="431"/>
        <v>판타지 웹소설 &gt; 퓨전 판타지</v>
      </c>
    </row>
    <row r="2923" spans="1:57" x14ac:dyDescent="0.3">
      <c r="A2923">
        <v>2313008150</v>
      </c>
      <c r="B2923">
        <v>2313008291</v>
      </c>
      <c r="C2923" t="str">
        <f>T("기사가문 망나니는 10클래스 142화")</f>
        <v>기사가문 망나니는 10클래스 142화</v>
      </c>
      <c r="D2923" t="str">
        <f>T("142")</f>
        <v>142</v>
      </c>
      <c r="E2923" t="str">
        <f t="shared" si="432"/>
        <v>예로나</v>
      </c>
      <c r="H2923" t="str">
        <f t="shared" si="427"/>
        <v>스토리위즈</v>
      </c>
      <c r="I2923" t="str">
        <f t="shared" si="433"/>
        <v>기사가문 망나니는 10클래스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/>
      <c r="AQ2923">
        <v>0</v>
      </c>
      <c r="AR2923">
        <v>0</v>
      </c>
      <c r="AT2923">
        <v>0</v>
      </c>
      <c r="AU2923">
        <v>0</v>
      </c>
      <c r="AW2923">
        <v>0</v>
      </c>
      <c r="AX2923">
        <v>0</v>
      </c>
      <c r="AY2923">
        <v>70</v>
      </c>
      <c r="BC2923" t="str">
        <f t="shared" si="434"/>
        <v>9791165310370</v>
      </c>
      <c r="BE2923" t="str">
        <f t="shared" si="431"/>
        <v>판타지 웹소설 &gt; 퓨전 판타지</v>
      </c>
    </row>
    <row r="2924" spans="1:57" x14ac:dyDescent="0.3">
      <c r="A2924">
        <v>2313008150</v>
      </c>
      <c r="B2924">
        <v>2313008292</v>
      </c>
      <c r="C2924" t="str">
        <f>T("기사가문 망나니는 10클래스 143화")</f>
        <v>기사가문 망나니는 10클래스 143화</v>
      </c>
      <c r="D2924" t="str">
        <f>T("143")</f>
        <v>143</v>
      </c>
      <c r="E2924" t="str">
        <f t="shared" si="432"/>
        <v>예로나</v>
      </c>
      <c r="H2924" t="str">
        <f t="shared" si="427"/>
        <v>스토리위즈</v>
      </c>
      <c r="I2924" t="str">
        <f t="shared" si="433"/>
        <v>기사가문 망나니는 10클래스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/>
      <c r="AQ2924">
        <v>0</v>
      </c>
      <c r="AR2924">
        <v>0</v>
      </c>
      <c r="AT2924">
        <v>0</v>
      </c>
      <c r="AU2924">
        <v>0</v>
      </c>
      <c r="AW2924">
        <v>0</v>
      </c>
      <c r="AX2924">
        <v>0</v>
      </c>
      <c r="AY2924">
        <v>70</v>
      </c>
      <c r="BC2924" t="str">
        <f t="shared" si="434"/>
        <v>9791165310370</v>
      </c>
      <c r="BE2924" t="str">
        <f t="shared" si="431"/>
        <v>판타지 웹소설 &gt; 퓨전 판타지</v>
      </c>
    </row>
    <row r="2925" spans="1:57" x14ac:dyDescent="0.3">
      <c r="A2925">
        <v>2313008150</v>
      </c>
      <c r="B2925">
        <v>2313008293</v>
      </c>
      <c r="C2925" t="str">
        <f>T("기사가문 망나니는 10클래스 144화")</f>
        <v>기사가문 망나니는 10클래스 144화</v>
      </c>
      <c r="D2925" t="str">
        <f>T("144")</f>
        <v>144</v>
      </c>
      <c r="E2925" t="str">
        <f t="shared" si="432"/>
        <v>예로나</v>
      </c>
      <c r="H2925" t="str">
        <f t="shared" si="427"/>
        <v>스토리위즈</v>
      </c>
      <c r="I2925" t="str">
        <f t="shared" si="433"/>
        <v>기사가문 망나니는 10클래스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/>
      <c r="AQ2925">
        <v>0</v>
      </c>
      <c r="AR2925">
        <v>0</v>
      </c>
      <c r="AT2925">
        <v>0</v>
      </c>
      <c r="AU2925">
        <v>0</v>
      </c>
      <c r="AW2925">
        <v>0</v>
      </c>
      <c r="AX2925">
        <v>0</v>
      </c>
      <c r="AY2925">
        <v>70</v>
      </c>
      <c r="BC2925" t="str">
        <f t="shared" si="434"/>
        <v>9791165310370</v>
      </c>
      <c r="BE2925" t="str">
        <f t="shared" si="431"/>
        <v>판타지 웹소설 &gt; 퓨전 판타지</v>
      </c>
    </row>
    <row r="2926" spans="1:57" x14ac:dyDescent="0.3">
      <c r="A2926">
        <v>2313008150</v>
      </c>
      <c r="B2926">
        <v>2313008294</v>
      </c>
      <c r="C2926" t="str">
        <f>T("기사가문 망나니는 10클래스 145화")</f>
        <v>기사가문 망나니는 10클래스 145화</v>
      </c>
      <c r="D2926" t="str">
        <f>T("145")</f>
        <v>145</v>
      </c>
      <c r="E2926" t="str">
        <f t="shared" si="432"/>
        <v>예로나</v>
      </c>
      <c r="H2926" t="str">
        <f t="shared" si="427"/>
        <v>스토리위즈</v>
      </c>
      <c r="I2926" t="str">
        <f t="shared" si="433"/>
        <v>기사가문 망나니는 10클래스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/>
      <c r="AQ2926">
        <v>0</v>
      </c>
      <c r="AR2926">
        <v>0</v>
      </c>
      <c r="AT2926">
        <v>0</v>
      </c>
      <c r="AU2926">
        <v>0</v>
      </c>
      <c r="AW2926">
        <v>0</v>
      </c>
      <c r="AX2926">
        <v>0</v>
      </c>
      <c r="AY2926">
        <v>70</v>
      </c>
      <c r="BC2926" t="str">
        <f t="shared" si="434"/>
        <v>9791165310370</v>
      </c>
      <c r="BE2926" t="str">
        <f t="shared" si="431"/>
        <v>판타지 웹소설 &gt; 퓨전 판타지</v>
      </c>
    </row>
    <row r="2927" spans="1:57" x14ac:dyDescent="0.3">
      <c r="A2927">
        <v>2313008150</v>
      </c>
      <c r="B2927">
        <v>2313008295</v>
      </c>
      <c r="C2927" t="str">
        <f>T("기사가문 망나니는 10클래스 146화")</f>
        <v>기사가문 망나니는 10클래스 146화</v>
      </c>
      <c r="D2927" t="str">
        <f>T("146")</f>
        <v>146</v>
      </c>
      <c r="E2927" t="str">
        <f t="shared" si="432"/>
        <v>예로나</v>
      </c>
      <c r="H2927" t="str">
        <f t="shared" si="427"/>
        <v>스토리위즈</v>
      </c>
      <c r="I2927" t="str">
        <f t="shared" si="433"/>
        <v>기사가문 망나니는 10클래스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/>
      <c r="AQ2927">
        <v>0</v>
      </c>
      <c r="AR2927">
        <v>0</v>
      </c>
      <c r="AT2927">
        <v>0</v>
      </c>
      <c r="AU2927">
        <v>0</v>
      </c>
      <c r="AW2927">
        <v>0</v>
      </c>
      <c r="AX2927">
        <v>0</v>
      </c>
      <c r="AY2927">
        <v>70</v>
      </c>
      <c r="BC2927" t="str">
        <f t="shared" si="434"/>
        <v>9791165310370</v>
      </c>
      <c r="BE2927" t="str">
        <f t="shared" si="431"/>
        <v>판타지 웹소설 &gt; 퓨전 판타지</v>
      </c>
    </row>
    <row r="2928" spans="1:57" x14ac:dyDescent="0.3">
      <c r="A2928">
        <v>2313008150</v>
      </c>
      <c r="B2928">
        <v>2313008296</v>
      </c>
      <c r="C2928" t="str">
        <f>T("기사가문 망나니는 10클래스 147화")</f>
        <v>기사가문 망나니는 10클래스 147화</v>
      </c>
      <c r="D2928" t="str">
        <f>T("147")</f>
        <v>147</v>
      </c>
      <c r="E2928" t="str">
        <f t="shared" si="432"/>
        <v>예로나</v>
      </c>
      <c r="H2928" t="str">
        <f t="shared" si="427"/>
        <v>스토리위즈</v>
      </c>
      <c r="I2928" t="str">
        <f t="shared" si="433"/>
        <v>기사가문 망나니는 10클래스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/>
      <c r="AQ2928">
        <v>0</v>
      </c>
      <c r="AR2928">
        <v>0</v>
      </c>
      <c r="AT2928">
        <v>0</v>
      </c>
      <c r="AU2928">
        <v>0</v>
      </c>
      <c r="AW2928">
        <v>0</v>
      </c>
      <c r="AX2928">
        <v>0</v>
      </c>
      <c r="AY2928">
        <v>70</v>
      </c>
      <c r="BC2928" t="str">
        <f t="shared" si="434"/>
        <v>9791165310370</v>
      </c>
      <c r="BE2928" t="str">
        <f t="shared" si="431"/>
        <v>판타지 웹소설 &gt; 퓨전 판타지</v>
      </c>
    </row>
    <row r="2929" spans="1:57" x14ac:dyDescent="0.3">
      <c r="A2929">
        <v>2313008150</v>
      </c>
      <c r="B2929">
        <v>2313008297</v>
      </c>
      <c r="C2929" t="str">
        <f>T("기사가문 망나니는 10클래스 148화")</f>
        <v>기사가문 망나니는 10클래스 148화</v>
      </c>
      <c r="D2929" t="str">
        <f>T("148")</f>
        <v>148</v>
      </c>
      <c r="E2929" t="str">
        <f t="shared" si="432"/>
        <v>예로나</v>
      </c>
      <c r="H2929" t="str">
        <f t="shared" si="427"/>
        <v>스토리위즈</v>
      </c>
      <c r="I2929" t="str">
        <f t="shared" si="433"/>
        <v>기사가문 망나니는 10클래스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/>
      <c r="AQ2929">
        <v>0</v>
      </c>
      <c r="AR2929">
        <v>0</v>
      </c>
      <c r="AT2929">
        <v>0</v>
      </c>
      <c r="AU2929">
        <v>0</v>
      </c>
      <c r="AW2929">
        <v>0</v>
      </c>
      <c r="AX2929">
        <v>0</v>
      </c>
      <c r="AY2929">
        <v>70</v>
      </c>
      <c r="BC2929" t="str">
        <f t="shared" si="434"/>
        <v>9791165310370</v>
      </c>
      <c r="BE2929" t="str">
        <f t="shared" si="431"/>
        <v>판타지 웹소설 &gt; 퓨전 판타지</v>
      </c>
    </row>
    <row r="2930" spans="1:57" x14ac:dyDescent="0.3">
      <c r="A2930">
        <v>2313008150</v>
      </c>
      <c r="B2930">
        <v>2313008298</v>
      </c>
      <c r="C2930" t="str">
        <f>T("기사가문 망나니는 10클래스 149화")</f>
        <v>기사가문 망나니는 10클래스 149화</v>
      </c>
      <c r="D2930" t="str">
        <f>T("149")</f>
        <v>149</v>
      </c>
      <c r="E2930" t="str">
        <f t="shared" si="432"/>
        <v>예로나</v>
      </c>
      <c r="H2930" t="str">
        <f t="shared" si="427"/>
        <v>스토리위즈</v>
      </c>
      <c r="I2930" t="str">
        <f t="shared" si="433"/>
        <v>기사가문 망나니는 10클래스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/>
      <c r="AQ2930">
        <v>0</v>
      </c>
      <c r="AR2930">
        <v>0</v>
      </c>
      <c r="AT2930">
        <v>0</v>
      </c>
      <c r="AU2930">
        <v>0</v>
      </c>
      <c r="AW2930">
        <v>0</v>
      </c>
      <c r="AX2930">
        <v>0</v>
      </c>
      <c r="AY2930">
        <v>70</v>
      </c>
      <c r="BC2930" t="str">
        <f t="shared" si="434"/>
        <v>9791165310370</v>
      </c>
      <c r="BE2930" t="str">
        <f t="shared" si="431"/>
        <v>판타지 웹소설 &gt; 퓨전 판타지</v>
      </c>
    </row>
    <row r="2931" spans="1:57" x14ac:dyDescent="0.3">
      <c r="A2931">
        <v>2313008150</v>
      </c>
      <c r="B2931">
        <v>2313008299</v>
      </c>
      <c r="C2931" t="str">
        <f>T("기사가문 망나니는 10클래스 150화")</f>
        <v>기사가문 망나니는 10클래스 150화</v>
      </c>
      <c r="D2931" t="str">
        <f>T("150")</f>
        <v>150</v>
      </c>
      <c r="E2931" t="str">
        <f t="shared" si="432"/>
        <v>예로나</v>
      </c>
      <c r="H2931" t="str">
        <f t="shared" si="427"/>
        <v>스토리위즈</v>
      </c>
      <c r="I2931" t="str">
        <f t="shared" si="433"/>
        <v>기사가문 망나니는 10클래스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/>
      <c r="AQ2931">
        <v>0</v>
      </c>
      <c r="AR2931">
        <v>0</v>
      </c>
      <c r="AT2931">
        <v>0</v>
      </c>
      <c r="AU2931">
        <v>0</v>
      </c>
      <c r="AW2931">
        <v>0</v>
      </c>
      <c r="AX2931">
        <v>0</v>
      </c>
      <c r="AY2931">
        <v>70</v>
      </c>
      <c r="BC2931" t="str">
        <f t="shared" si="434"/>
        <v>9791165310370</v>
      </c>
      <c r="BE2931" t="str">
        <f t="shared" si="431"/>
        <v>판타지 웹소설 &gt; 퓨전 판타지</v>
      </c>
    </row>
    <row r="2932" spans="1:57" x14ac:dyDescent="0.3">
      <c r="A2932">
        <v>2313008150</v>
      </c>
      <c r="B2932">
        <v>2313008300</v>
      </c>
      <c r="C2932" t="str">
        <f>T("기사가문 망나니는 10클래스 151화")</f>
        <v>기사가문 망나니는 10클래스 151화</v>
      </c>
      <c r="D2932" t="str">
        <f>T("151")</f>
        <v>151</v>
      </c>
      <c r="E2932" t="str">
        <f t="shared" si="432"/>
        <v>예로나</v>
      </c>
      <c r="H2932" t="str">
        <f t="shared" si="427"/>
        <v>스토리위즈</v>
      </c>
      <c r="I2932" t="str">
        <f t="shared" si="433"/>
        <v>기사가문 망나니는 10클래스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/>
      <c r="AQ2932">
        <v>0</v>
      </c>
      <c r="AR2932">
        <v>0</v>
      </c>
      <c r="AT2932">
        <v>0</v>
      </c>
      <c r="AU2932">
        <v>0</v>
      </c>
      <c r="AW2932">
        <v>0</v>
      </c>
      <c r="AX2932">
        <v>0</v>
      </c>
      <c r="AY2932">
        <v>70</v>
      </c>
      <c r="BC2932" t="str">
        <f t="shared" si="434"/>
        <v>9791165310370</v>
      </c>
      <c r="BE2932" t="str">
        <f t="shared" si="431"/>
        <v>판타지 웹소설 &gt; 퓨전 판타지</v>
      </c>
    </row>
    <row r="2933" spans="1:57" x14ac:dyDescent="0.3">
      <c r="A2933">
        <v>2313008150</v>
      </c>
      <c r="B2933">
        <v>2313008301</v>
      </c>
      <c r="C2933" t="str">
        <f>T("기사가문 망나니는 10클래스 152화")</f>
        <v>기사가문 망나니는 10클래스 152화</v>
      </c>
      <c r="D2933" t="str">
        <f>T("152")</f>
        <v>152</v>
      </c>
      <c r="E2933" t="str">
        <f t="shared" si="432"/>
        <v>예로나</v>
      </c>
      <c r="H2933" t="str">
        <f t="shared" si="427"/>
        <v>스토리위즈</v>
      </c>
      <c r="I2933" t="str">
        <f t="shared" si="433"/>
        <v>기사가문 망나니는 10클래스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/>
      <c r="AQ2933">
        <v>0</v>
      </c>
      <c r="AR2933">
        <v>0</v>
      </c>
      <c r="AT2933">
        <v>0</v>
      </c>
      <c r="AU2933">
        <v>0</v>
      </c>
      <c r="AW2933">
        <v>0</v>
      </c>
      <c r="AX2933">
        <v>0</v>
      </c>
      <c r="AY2933">
        <v>70</v>
      </c>
      <c r="BC2933" t="str">
        <f t="shared" si="434"/>
        <v>9791165310370</v>
      </c>
      <c r="BE2933" t="str">
        <f t="shared" si="431"/>
        <v>판타지 웹소설 &gt; 퓨전 판타지</v>
      </c>
    </row>
    <row r="2934" spans="1:57" x14ac:dyDescent="0.3">
      <c r="A2934">
        <v>2313008150</v>
      </c>
      <c r="B2934">
        <v>2313008302</v>
      </c>
      <c r="C2934" t="str">
        <f>T("기사가문 망나니는 10클래스 153화")</f>
        <v>기사가문 망나니는 10클래스 153화</v>
      </c>
      <c r="D2934" t="str">
        <f>T("153")</f>
        <v>153</v>
      </c>
      <c r="E2934" t="str">
        <f t="shared" si="432"/>
        <v>예로나</v>
      </c>
      <c r="H2934" t="str">
        <f t="shared" si="427"/>
        <v>스토리위즈</v>
      </c>
      <c r="I2934" t="str">
        <f t="shared" si="433"/>
        <v>기사가문 망나니는 10클래스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/>
      <c r="AQ2934">
        <v>0</v>
      </c>
      <c r="AR2934">
        <v>0</v>
      </c>
      <c r="AT2934">
        <v>0</v>
      </c>
      <c r="AU2934">
        <v>0</v>
      </c>
      <c r="AW2934">
        <v>0</v>
      </c>
      <c r="AX2934">
        <v>0</v>
      </c>
      <c r="AY2934">
        <v>70</v>
      </c>
      <c r="BC2934" t="str">
        <f t="shared" si="434"/>
        <v>9791165310370</v>
      </c>
      <c r="BE2934" t="str">
        <f t="shared" si="431"/>
        <v>판타지 웹소설 &gt; 퓨전 판타지</v>
      </c>
    </row>
    <row r="2935" spans="1:57" x14ac:dyDescent="0.3">
      <c r="A2935">
        <v>2313008150</v>
      </c>
      <c r="B2935">
        <v>2313008303</v>
      </c>
      <c r="C2935" t="str">
        <f>T("기사가문 망나니는 10클래스 154화")</f>
        <v>기사가문 망나니는 10클래스 154화</v>
      </c>
      <c r="D2935" t="str">
        <f>T("154")</f>
        <v>154</v>
      </c>
      <c r="E2935" t="str">
        <f t="shared" si="432"/>
        <v>예로나</v>
      </c>
      <c r="H2935" t="str">
        <f t="shared" si="427"/>
        <v>스토리위즈</v>
      </c>
      <c r="I2935" t="str">
        <f t="shared" si="433"/>
        <v>기사가문 망나니는 10클래스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/>
      <c r="AQ2935">
        <v>0</v>
      </c>
      <c r="AR2935">
        <v>0</v>
      </c>
      <c r="AT2935">
        <v>0</v>
      </c>
      <c r="AU2935">
        <v>0</v>
      </c>
      <c r="AW2935">
        <v>0</v>
      </c>
      <c r="AX2935">
        <v>0</v>
      </c>
      <c r="AY2935">
        <v>70</v>
      </c>
      <c r="BC2935" t="str">
        <f t="shared" si="434"/>
        <v>9791165310370</v>
      </c>
      <c r="BE2935" t="str">
        <f t="shared" si="431"/>
        <v>판타지 웹소설 &gt; 퓨전 판타지</v>
      </c>
    </row>
    <row r="2936" spans="1:57" x14ac:dyDescent="0.3">
      <c r="A2936">
        <v>2313008150</v>
      </c>
      <c r="B2936">
        <v>2313008304</v>
      </c>
      <c r="C2936" t="str">
        <f>T("기사가문 망나니는 10클래스 155화")</f>
        <v>기사가문 망나니는 10클래스 155화</v>
      </c>
      <c r="D2936" t="str">
        <f>T("155")</f>
        <v>155</v>
      </c>
      <c r="E2936" t="str">
        <f t="shared" si="432"/>
        <v>예로나</v>
      </c>
      <c r="H2936" t="str">
        <f t="shared" ref="H2936:H2999" si="435">T("스토리위즈")</f>
        <v>스토리위즈</v>
      </c>
      <c r="I2936" t="str">
        <f t="shared" si="433"/>
        <v>기사가문 망나니는 10클래스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/>
      <c r="AQ2936">
        <v>0</v>
      </c>
      <c r="AR2936">
        <v>0</v>
      </c>
      <c r="AT2936">
        <v>0</v>
      </c>
      <c r="AU2936">
        <v>0</v>
      </c>
      <c r="AW2936">
        <v>0</v>
      </c>
      <c r="AX2936">
        <v>0</v>
      </c>
      <c r="AY2936">
        <v>70</v>
      </c>
      <c r="BC2936" t="str">
        <f t="shared" si="434"/>
        <v>9791165310370</v>
      </c>
      <c r="BE2936" t="str">
        <f t="shared" si="431"/>
        <v>판타지 웹소설 &gt; 퓨전 판타지</v>
      </c>
    </row>
    <row r="2937" spans="1:57" x14ac:dyDescent="0.3">
      <c r="A2937">
        <v>2313008150</v>
      </c>
      <c r="B2937">
        <v>2313008305</v>
      </c>
      <c r="C2937" t="str">
        <f>T("기사가문 망나니는 10클래스 156화")</f>
        <v>기사가문 망나니는 10클래스 156화</v>
      </c>
      <c r="D2937" t="str">
        <f>T("156")</f>
        <v>156</v>
      </c>
      <c r="E2937" t="str">
        <f t="shared" si="432"/>
        <v>예로나</v>
      </c>
      <c r="H2937" t="str">
        <f t="shared" si="435"/>
        <v>스토리위즈</v>
      </c>
      <c r="I2937" t="str">
        <f t="shared" si="433"/>
        <v>기사가문 망나니는 10클래스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/>
      <c r="AQ2937">
        <v>0</v>
      </c>
      <c r="AR2937">
        <v>0</v>
      </c>
      <c r="AT2937">
        <v>0</v>
      </c>
      <c r="AU2937">
        <v>0</v>
      </c>
      <c r="AW2937">
        <v>0</v>
      </c>
      <c r="AX2937">
        <v>0</v>
      </c>
      <c r="AY2937">
        <v>70</v>
      </c>
      <c r="BC2937" t="str">
        <f t="shared" si="434"/>
        <v>9791165310370</v>
      </c>
      <c r="BE2937" t="str">
        <f t="shared" si="431"/>
        <v>판타지 웹소설 &gt; 퓨전 판타지</v>
      </c>
    </row>
    <row r="2938" spans="1:57" x14ac:dyDescent="0.3">
      <c r="A2938">
        <v>2313008150</v>
      </c>
      <c r="B2938">
        <v>2313008306</v>
      </c>
      <c r="C2938" t="str">
        <f>T("기사가문 망나니는 10클래스 157화")</f>
        <v>기사가문 망나니는 10클래스 157화</v>
      </c>
      <c r="D2938" t="str">
        <f>T("157")</f>
        <v>157</v>
      </c>
      <c r="E2938" t="str">
        <f t="shared" si="432"/>
        <v>예로나</v>
      </c>
      <c r="H2938" t="str">
        <f t="shared" si="435"/>
        <v>스토리위즈</v>
      </c>
      <c r="I2938" t="str">
        <f t="shared" si="433"/>
        <v>기사가문 망나니는 10클래스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/>
      <c r="AQ2938">
        <v>0</v>
      </c>
      <c r="AR2938">
        <v>0</v>
      </c>
      <c r="AT2938">
        <v>0</v>
      </c>
      <c r="AU2938">
        <v>0</v>
      </c>
      <c r="AW2938">
        <v>0</v>
      </c>
      <c r="AX2938">
        <v>0</v>
      </c>
      <c r="AY2938">
        <v>70</v>
      </c>
      <c r="BC2938" t="str">
        <f t="shared" si="434"/>
        <v>9791165310370</v>
      </c>
      <c r="BE2938" t="str">
        <f t="shared" si="431"/>
        <v>판타지 웹소설 &gt; 퓨전 판타지</v>
      </c>
    </row>
    <row r="2939" spans="1:57" x14ac:dyDescent="0.3">
      <c r="A2939">
        <v>2313008150</v>
      </c>
      <c r="B2939">
        <v>2313008307</v>
      </c>
      <c r="C2939" t="str">
        <f>T("기사가문 망나니는 10클래스 158화")</f>
        <v>기사가문 망나니는 10클래스 158화</v>
      </c>
      <c r="D2939" t="str">
        <f>T("158")</f>
        <v>158</v>
      </c>
      <c r="E2939" t="str">
        <f t="shared" si="432"/>
        <v>예로나</v>
      </c>
      <c r="H2939" t="str">
        <f t="shared" si="435"/>
        <v>스토리위즈</v>
      </c>
      <c r="I2939" t="str">
        <f t="shared" si="433"/>
        <v>기사가문 망나니는 10클래스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/>
      <c r="AQ2939">
        <v>0</v>
      </c>
      <c r="AR2939">
        <v>0</v>
      </c>
      <c r="AT2939">
        <v>0</v>
      </c>
      <c r="AU2939">
        <v>0</v>
      </c>
      <c r="AW2939">
        <v>0</v>
      </c>
      <c r="AX2939">
        <v>0</v>
      </c>
      <c r="AY2939">
        <v>70</v>
      </c>
      <c r="BC2939" t="str">
        <f t="shared" si="434"/>
        <v>9791165310370</v>
      </c>
      <c r="BE2939" t="str">
        <f t="shared" si="431"/>
        <v>판타지 웹소설 &gt; 퓨전 판타지</v>
      </c>
    </row>
    <row r="2940" spans="1:57" x14ac:dyDescent="0.3">
      <c r="A2940">
        <v>2313008150</v>
      </c>
      <c r="B2940">
        <v>2313008308</v>
      </c>
      <c r="C2940" t="str">
        <f>T("기사가문 망나니는 10클래스 159화")</f>
        <v>기사가문 망나니는 10클래스 159화</v>
      </c>
      <c r="D2940" t="str">
        <f>T("159")</f>
        <v>159</v>
      </c>
      <c r="E2940" t="str">
        <f t="shared" si="432"/>
        <v>예로나</v>
      </c>
      <c r="H2940" t="str">
        <f t="shared" si="435"/>
        <v>스토리위즈</v>
      </c>
      <c r="I2940" t="str">
        <f t="shared" si="433"/>
        <v>기사가문 망나니는 10클래스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/>
      <c r="AQ2940">
        <v>0</v>
      </c>
      <c r="AR2940">
        <v>0</v>
      </c>
      <c r="AT2940">
        <v>0</v>
      </c>
      <c r="AU2940">
        <v>0</v>
      </c>
      <c r="AW2940">
        <v>0</v>
      </c>
      <c r="AX2940">
        <v>0</v>
      </c>
      <c r="AY2940">
        <v>70</v>
      </c>
      <c r="BC2940" t="str">
        <f t="shared" si="434"/>
        <v>9791165310370</v>
      </c>
      <c r="BE2940" t="str">
        <f t="shared" si="431"/>
        <v>판타지 웹소설 &gt; 퓨전 판타지</v>
      </c>
    </row>
    <row r="2941" spans="1:57" x14ac:dyDescent="0.3">
      <c r="A2941">
        <v>2313008150</v>
      </c>
      <c r="B2941">
        <v>2313008309</v>
      </c>
      <c r="C2941" t="str">
        <f>T("기사가문 망나니는 10클래스 160화")</f>
        <v>기사가문 망나니는 10클래스 160화</v>
      </c>
      <c r="D2941" t="str">
        <f>T("160")</f>
        <v>160</v>
      </c>
      <c r="E2941" t="str">
        <f t="shared" si="432"/>
        <v>예로나</v>
      </c>
      <c r="H2941" t="str">
        <f t="shared" si="435"/>
        <v>스토리위즈</v>
      </c>
      <c r="I2941" t="str">
        <f t="shared" si="433"/>
        <v>기사가문 망나니는 10클래스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/>
      <c r="AQ2941">
        <v>0</v>
      </c>
      <c r="AR2941">
        <v>0</v>
      </c>
      <c r="AT2941">
        <v>0</v>
      </c>
      <c r="AU2941">
        <v>0</v>
      </c>
      <c r="AW2941">
        <v>0</v>
      </c>
      <c r="AX2941">
        <v>0</v>
      </c>
      <c r="AY2941">
        <v>70</v>
      </c>
      <c r="BC2941" t="str">
        <f t="shared" si="434"/>
        <v>9791165310370</v>
      </c>
      <c r="BE2941" t="str">
        <f t="shared" si="431"/>
        <v>판타지 웹소설 &gt; 퓨전 판타지</v>
      </c>
    </row>
    <row r="2942" spans="1:57" x14ac:dyDescent="0.3">
      <c r="A2942">
        <v>2313008150</v>
      </c>
      <c r="B2942">
        <v>2313008310</v>
      </c>
      <c r="C2942" t="str">
        <f>T("기사가문 망나니는 10클래스 161화")</f>
        <v>기사가문 망나니는 10클래스 161화</v>
      </c>
      <c r="D2942" t="str">
        <f>T("161")</f>
        <v>161</v>
      </c>
      <c r="E2942" t="str">
        <f t="shared" si="432"/>
        <v>예로나</v>
      </c>
      <c r="H2942" t="str">
        <f t="shared" si="435"/>
        <v>스토리위즈</v>
      </c>
      <c r="I2942" t="str">
        <f t="shared" si="433"/>
        <v>기사가문 망나니는 10클래스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/>
      <c r="AQ2942">
        <v>0</v>
      </c>
      <c r="AR2942">
        <v>0</v>
      </c>
      <c r="AT2942">
        <v>0</v>
      </c>
      <c r="AU2942">
        <v>0</v>
      </c>
      <c r="AW2942">
        <v>0</v>
      </c>
      <c r="AX2942">
        <v>0</v>
      </c>
      <c r="AY2942">
        <v>70</v>
      </c>
      <c r="BC2942" t="str">
        <f t="shared" si="434"/>
        <v>9791165310370</v>
      </c>
      <c r="BE2942" t="str">
        <f t="shared" si="431"/>
        <v>판타지 웹소설 &gt; 퓨전 판타지</v>
      </c>
    </row>
    <row r="2943" spans="1:57" x14ac:dyDescent="0.3">
      <c r="A2943">
        <v>2313008150</v>
      </c>
      <c r="B2943">
        <v>2313008311</v>
      </c>
      <c r="C2943" t="str">
        <f>T("기사가문 망나니는 10클래스 162화")</f>
        <v>기사가문 망나니는 10클래스 162화</v>
      </c>
      <c r="D2943" t="str">
        <f>T("162")</f>
        <v>162</v>
      </c>
      <c r="E2943" t="str">
        <f t="shared" si="432"/>
        <v>예로나</v>
      </c>
      <c r="H2943" t="str">
        <f t="shared" si="435"/>
        <v>스토리위즈</v>
      </c>
      <c r="I2943" t="str">
        <f t="shared" si="433"/>
        <v>기사가문 망나니는 10클래스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/>
      <c r="AQ2943">
        <v>0</v>
      </c>
      <c r="AR2943">
        <v>0</v>
      </c>
      <c r="AT2943">
        <v>0</v>
      </c>
      <c r="AU2943">
        <v>0</v>
      </c>
      <c r="AW2943">
        <v>0</v>
      </c>
      <c r="AX2943">
        <v>0</v>
      </c>
      <c r="AY2943">
        <v>70</v>
      </c>
      <c r="BC2943" t="str">
        <f t="shared" si="434"/>
        <v>9791165310370</v>
      </c>
      <c r="BE2943" t="str">
        <f t="shared" si="431"/>
        <v>판타지 웹소설 &gt; 퓨전 판타지</v>
      </c>
    </row>
    <row r="2944" spans="1:57" x14ac:dyDescent="0.3">
      <c r="A2944">
        <v>2313008150</v>
      </c>
      <c r="B2944">
        <v>2313008312</v>
      </c>
      <c r="C2944" t="str">
        <f>T("기사가문 망나니는 10클래스 163화")</f>
        <v>기사가문 망나니는 10클래스 163화</v>
      </c>
      <c r="D2944" t="str">
        <f>T("163")</f>
        <v>163</v>
      </c>
      <c r="E2944" t="str">
        <f t="shared" si="432"/>
        <v>예로나</v>
      </c>
      <c r="H2944" t="str">
        <f t="shared" si="435"/>
        <v>스토리위즈</v>
      </c>
      <c r="I2944" t="str">
        <f t="shared" si="433"/>
        <v>기사가문 망나니는 10클래스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/>
      <c r="AQ2944">
        <v>0</v>
      </c>
      <c r="AR2944">
        <v>0</v>
      </c>
      <c r="AT2944">
        <v>0</v>
      </c>
      <c r="AU2944">
        <v>0</v>
      </c>
      <c r="AW2944">
        <v>0</v>
      </c>
      <c r="AX2944">
        <v>0</v>
      </c>
      <c r="AY2944">
        <v>70</v>
      </c>
      <c r="BC2944" t="str">
        <f t="shared" si="434"/>
        <v>9791165310370</v>
      </c>
      <c r="BE2944" t="str">
        <f t="shared" si="431"/>
        <v>판타지 웹소설 &gt; 퓨전 판타지</v>
      </c>
    </row>
    <row r="2945" spans="1:57" x14ac:dyDescent="0.3">
      <c r="A2945">
        <v>2313008150</v>
      </c>
      <c r="B2945">
        <v>2313008313</v>
      </c>
      <c r="C2945" t="str">
        <f>T("기사가문 망나니는 10클래스 164화")</f>
        <v>기사가문 망나니는 10클래스 164화</v>
      </c>
      <c r="D2945" t="str">
        <f>T("164")</f>
        <v>164</v>
      </c>
      <c r="E2945" t="str">
        <f t="shared" si="432"/>
        <v>예로나</v>
      </c>
      <c r="H2945" t="str">
        <f t="shared" si="435"/>
        <v>스토리위즈</v>
      </c>
      <c r="I2945" t="str">
        <f t="shared" si="433"/>
        <v>기사가문 망나니는 10클래스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/>
      <c r="AQ2945">
        <v>0</v>
      </c>
      <c r="AR2945">
        <v>0</v>
      </c>
      <c r="AT2945">
        <v>0</v>
      </c>
      <c r="AU2945">
        <v>0</v>
      </c>
      <c r="AW2945">
        <v>0</v>
      </c>
      <c r="AX2945">
        <v>0</v>
      </c>
      <c r="AY2945">
        <v>70</v>
      </c>
      <c r="BC2945" t="str">
        <f t="shared" si="434"/>
        <v>9791165310370</v>
      </c>
      <c r="BE2945" t="str">
        <f t="shared" si="431"/>
        <v>판타지 웹소설 &gt; 퓨전 판타지</v>
      </c>
    </row>
    <row r="2946" spans="1:57" x14ac:dyDescent="0.3">
      <c r="A2946">
        <v>2313008150</v>
      </c>
      <c r="B2946">
        <v>2313008314</v>
      </c>
      <c r="C2946" t="str">
        <f>T("기사가문 망나니는 10클래스 165화")</f>
        <v>기사가문 망나니는 10클래스 165화</v>
      </c>
      <c r="D2946" t="str">
        <f>T("165")</f>
        <v>165</v>
      </c>
      <c r="E2946" t="str">
        <f t="shared" si="432"/>
        <v>예로나</v>
      </c>
      <c r="H2946" t="str">
        <f t="shared" si="435"/>
        <v>스토리위즈</v>
      </c>
      <c r="I2946" t="str">
        <f t="shared" si="433"/>
        <v>기사가문 망나니는 10클래스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/>
      <c r="AQ2946">
        <v>0</v>
      </c>
      <c r="AR2946">
        <v>0</v>
      </c>
      <c r="AT2946">
        <v>0</v>
      </c>
      <c r="AU2946">
        <v>0</v>
      </c>
      <c r="AW2946">
        <v>0</v>
      </c>
      <c r="AX2946">
        <v>0</v>
      </c>
      <c r="AY2946">
        <v>70</v>
      </c>
      <c r="BC2946" t="str">
        <f t="shared" si="434"/>
        <v>9791165310370</v>
      </c>
      <c r="BE2946" t="str">
        <f t="shared" si="431"/>
        <v>판타지 웹소설 &gt; 퓨전 판타지</v>
      </c>
    </row>
    <row r="2947" spans="1:57" x14ac:dyDescent="0.3">
      <c r="A2947">
        <v>2313008150</v>
      </c>
      <c r="B2947">
        <v>2313008315</v>
      </c>
      <c r="C2947" t="str">
        <f>T("기사가문 망나니는 10클래스 166화")</f>
        <v>기사가문 망나니는 10클래스 166화</v>
      </c>
      <c r="D2947" t="str">
        <f>T("166")</f>
        <v>166</v>
      </c>
      <c r="E2947" t="str">
        <f t="shared" si="432"/>
        <v>예로나</v>
      </c>
      <c r="H2947" t="str">
        <f t="shared" si="435"/>
        <v>스토리위즈</v>
      </c>
      <c r="I2947" t="str">
        <f t="shared" si="433"/>
        <v>기사가문 망나니는 10클래스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/>
      <c r="AQ2947">
        <v>0</v>
      </c>
      <c r="AR2947">
        <v>0</v>
      </c>
      <c r="AT2947">
        <v>0</v>
      </c>
      <c r="AU2947">
        <v>0</v>
      </c>
      <c r="AW2947">
        <v>0</v>
      </c>
      <c r="AX2947">
        <v>0</v>
      </c>
      <c r="AY2947">
        <v>70</v>
      </c>
      <c r="BC2947" t="str">
        <f t="shared" si="434"/>
        <v>9791165310370</v>
      </c>
      <c r="BE2947" t="str">
        <f t="shared" si="431"/>
        <v>판타지 웹소설 &gt; 퓨전 판타지</v>
      </c>
    </row>
    <row r="2948" spans="1:57" x14ac:dyDescent="0.3">
      <c r="A2948">
        <v>2313008150</v>
      </c>
      <c r="B2948">
        <v>2313008316</v>
      </c>
      <c r="C2948" t="str">
        <f>T("기사가문 망나니는 10클래스 167화")</f>
        <v>기사가문 망나니는 10클래스 167화</v>
      </c>
      <c r="D2948" t="str">
        <f>T("167")</f>
        <v>167</v>
      </c>
      <c r="E2948" t="str">
        <f t="shared" si="432"/>
        <v>예로나</v>
      </c>
      <c r="H2948" t="str">
        <f t="shared" si="435"/>
        <v>스토리위즈</v>
      </c>
      <c r="I2948" t="str">
        <f t="shared" si="433"/>
        <v>기사가문 망나니는 10클래스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/>
      <c r="AQ2948">
        <v>0</v>
      </c>
      <c r="AR2948">
        <v>0</v>
      </c>
      <c r="AT2948">
        <v>0</v>
      </c>
      <c r="AU2948">
        <v>0</v>
      </c>
      <c r="AW2948">
        <v>0</v>
      </c>
      <c r="AX2948">
        <v>0</v>
      </c>
      <c r="AY2948">
        <v>70</v>
      </c>
      <c r="BC2948" t="str">
        <f t="shared" si="434"/>
        <v>9791165310370</v>
      </c>
      <c r="BE2948" t="str">
        <f t="shared" si="431"/>
        <v>판타지 웹소설 &gt; 퓨전 판타지</v>
      </c>
    </row>
    <row r="2949" spans="1:57" x14ac:dyDescent="0.3">
      <c r="A2949">
        <v>2313008150</v>
      </c>
      <c r="B2949">
        <v>2313008317</v>
      </c>
      <c r="C2949" t="str">
        <f>T("기사가문 망나니는 10클래스 168화")</f>
        <v>기사가문 망나니는 10클래스 168화</v>
      </c>
      <c r="D2949" t="str">
        <f>T("168")</f>
        <v>168</v>
      </c>
      <c r="E2949" t="str">
        <f t="shared" si="432"/>
        <v>예로나</v>
      </c>
      <c r="H2949" t="str">
        <f t="shared" si="435"/>
        <v>스토리위즈</v>
      </c>
      <c r="I2949" t="str">
        <f t="shared" si="433"/>
        <v>기사가문 망나니는 10클래스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/>
      <c r="AQ2949">
        <v>0</v>
      </c>
      <c r="AR2949">
        <v>0</v>
      </c>
      <c r="AT2949">
        <v>0</v>
      </c>
      <c r="AU2949">
        <v>0</v>
      </c>
      <c r="AW2949">
        <v>0</v>
      </c>
      <c r="AX2949">
        <v>0</v>
      </c>
      <c r="AY2949">
        <v>70</v>
      </c>
      <c r="BC2949" t="str">
        <f t="shared" si="434"/>
        <v>9791165310370</v>
      </c>
      <c r="BE2949" t="str">
        <f t="shared" si="431"/>
        <v>판타지 웹소설 &gt; 퓨전 판타지</v>
      </c>
    </row>
    <row r="2950" spans="1:57" x14ac:dyDescent="0.3">
      <c r="A2950">
        <v>2313008150</v>
      </c>
      <c r="B2950">
        <v>2313008318</v>
      </c>
      <c r="C2950" t="str">
        <f>T("기사가문 망나니는 10클래스 169화")</f>
        <v>기사가문 망나니는 10클래스 169화</v>
      </c>
      <c r="D2950" t="str">
        <f>T("169")</f>
        <v>169</v>
      </c>
      <c r="E2950" t="str">
        <f t="shared" si="432"/>
        <v>예로나</v>
      </c>
      <c r="H2950" t="str">
        <f t="shared" si="435"/>
        <v>스토리위즈</v>
      </c>
      <c r="I2950" t="str">
        <f t="shared" si="433"/>
        <v>기사가문 망나니는 10클래스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/>
      <c r="AQ2950">
        <v>0</v>
      </c>
      <c r="AR2950">
        <v>0</v>
      </c>
      <c r="AT2950">
        <v>0</v>
      </c>
      <c r="AU2950">
        <v>0</v>
      </c>
      <c r="AW2950">
        <v>0</v>
      </c>
      <c r="AX2950">
        <v>0</v>
      </c>
      <c r="AY2950">
        <v>70</v>
      </c>
      <c r="BC2950" t="str">
        <f t="shared" si="434"/>
        <v>9791165310370</v>
      </c>
      <c r="BE2950" t="str">
        <f t="shared" ref="BE2950:BE2977" si="436">T("판타지 웹소설 &gt; 퓨전 판타지")</f>
        <v>판타지 웹소설 &gt; 퓨전 판타지</v>
      </c>
    </row>
    <row r="2951" spans="1:57" x14ac:dyDescent="0.3">
      <c r="A2951">
        <v>2313008150</v>
      </c>
      <c r="B2951">
        <v>2313008319</v>
      </c>
      <c r="C2951" t="str">
        <f>T("기사가문 망나니는 10클래스 170화")</f>
        <v>기사가문 망나니는 10클래스 170화</v>
      </c>
      <c r="D2951" t="str">
        <f>T("170")</f>
        <v>170</v>
      </c>
      <c r="E2951" t="str">
        <f t="shared" si="432"/>
        <v>예로나</v>
      </c>
      <c r="H2951" t="str">
        <f t="shared" si="435"/>
        <v>스토리위즈</v>
      </c>
      <c r="I2951" t="str">
        <f t="shared" si="433"/>
        <v>기사가문 망나니는 10클래스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/>
      <c r="AQ2951">
        <v>0</v>
      </c>
      <c r="AR2951">
        <v>0</v>
      </c>
      <c r="AT2951">
        <v>0</v>
      </c>
      <c r="AU2951">
        <v>0</v>
      </c>
      <c r="AW2951">
        <v>0</v>
      </c>
      <c r="AX2951">
        <v>0</v>
      </c>
      <c r="AY2951">
        <v>70</v>
      </c>
      <c r="BC2951" t="str">
        <f t="shared" si="434"/>
        <v>9791165310370</v>
      </c>
      <c r="BE2951" t="str">
        <f t="shared" si="436"/>
        <v>판타지 웹소설 &gt; 퓨전 판타지</v>
      </c>
    </row>
    <row r="2952" spans="1:57" x14ac:dyDescent="0.3">
      <c r="A2952">
        <v>2313008150</v>
      </c>
      <c r="B2952">
        <v>2313008320</v>
      </c>
      <c r="C2952" t="str">
        <f>T("기사가문 망나니는 10클래스 171화")</f>
        <v>기사가문 망나니는 10클래스 171화</v>
      </c>
      <c r="D2952" t="str">
        <f>T("171")</f>
        <v>171</v>
      </c>
      <c r="E2952" t="str">
        <f t="shared" si="432"/>
        <v>예로나</v>
      </c>
      <c r="H2952" t="str">
        <f t="shared" si="435"/>
        <v>스토리위즈</v>
      </c>
      <c r="I2952" t="str">
        <f t="shared" si="433"/>
        <v>기사가문 망나니는 10클래스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/>
      <c r="AQ2952">
        <v>0</v>
      </c>
      <c r="AR2952">
        <v>0</v>
      </c>
      <c r="AT2952">
        <v>0</v>
      </c>
      <c r="AU2952">
        <v>0</v>
      </c>
      <c r="AW2952">
        <v>0</v>
      </c>
      <c r="AX2952">
        <v>0</v>
      </c>
      <c r="AY2952">
        <v>70</v>
      </c>
      <c r="BC2952" t="str">
        <f t="shared" si="434"/>
        <v>9791165310370</v>
      </c>
      <c r="BE2952" t="str">
        <f t="shared" si="436"/>
        <v>판타지 웹소설 &gt; 퓨전 판타지</v>
      </c>
    </row>
    <row r="2953" spans="1:57" x14ac:dyDescent="0.3">
      <c r="A2953">
        <v>2313008150</v>
      </c>
      <c r="B2953">
        <v>2313008321</v>
      </c>
      <c r="C2953" t="str">
        <f>T("기사가문 망나니는 10클래스 172화")</f>
        <v>기사가문 망나니는 10클래스 172화</v>
      </c>
      <c r="D2953" t="str">
        <f>T("172")</f>
        <v>172</v>
      </c>
      <c r="E2953" t="str">
        <f t="shared" si="432"/>
        <v>예로나</v>
      </c>
      <c r="H2953" t="str">
        <f t="shared" si="435"/>
        <v>스토리위즈</v>
      </c>
      <c r="I2953" t="str">
        <f t="shared" si="433"/>
        <v>기사가문 망나니는 10클래스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/>
      <c r="AQ2953">
        <v>0</v>
      </c>
      <c r="AR2953">
        <v>0</v>
      </c>
      <c r="AT2953">
        <v>0</v>
      </c>
      <c r="AU2953">
        <v>0</v>
      </c>
      <c r="AW2953">
        <v>0</v>
      </c>
      <c r="AX2953">
        <v>0</v>
      </c>
      <c r="AY2953">
        <v>70</v>
      </c>
      <c r="BC2953" t="str">
        <f t="shared" si="434"/>
        <v>9791165310370</v>
      </c>
      <c r="BE2953" t="str">
        <f t="shared" si="436"/>
        <v>판타지 웹소설 &gt; 퓨전 판타지</v>
      </c>
    </row>
    <row r="2954" spans="1:57" x14ac:dyDescent="0.3">
      <c r="A2954">
        <v>2313008150</v>
      </c>
      <c r="B2954">
        <v>2313008322</v>
      </c>
      <c r="C2954" t="str">
        <f>T("기사가문 망나니는 10클래스 173화")</f>
        <v>기사가문 망나니는 10클래스 173화</v>
      </c>
      <c r="D2954" t="str">
        <f>T("173")</f>
        <v>173</v>
      </c>
      <c r="E2954" t="str">
        <f t="shared" si="432"/>
        <v>예로나</v>
      </c>
      <c r="H2954" t="str">
        <f t="shared" si="435"/>
        <v>스토리위즈</v>
      </c>
      <c r="I2954" t="str">
        <f t="shared" si="433"/>
        <v>기사가문 망나니는 10클래스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/>
      <c r="AQ2954">
        <v>0</v>
      </c>
      <c r="AR2954">
        <v>0</v>
      </c>
      <c r="AT2954">
        <v>0</v>
      </c>
      <c r="AU2954">
        <v>0</v>
      </c>
      <c r="AW2954">
        <v>0</v>
      </c>
      <c r="AX2954">
        <v>0</v>
      </c>
      <c r="AY2954">
        <v>70</v>
      </c>
      <c r="BC2954" t="str">
        <f t="shared" si="434"/>
        <v>9791165310370</v>
      </c>
      <c r="BE2954" t="str">
        <f t="shared" si="436"/>
        <v>판타지 웹소설 &gt; 퓨전 판타지</v>
      </c>
    </row>
    <row r="2955" spans="1:57" x14ac:dyDescent="0.3">
      <c r="A2955">
        <v>2313008150</v>
      </c>
      <c r="B2955">
        <v>2313008338</v>
      </c>
      <c r="C2955" t="str">
        <f>T("기사가문 망나니는 10클래스 174화")</f>
        <v>기사가문 망나니는 10클래스 174화</v>
      </c>
      <c r="D2955" t="str">
        <f>T("174")</f>
        <v>174</v>
      </c>
      <c r="E2955" t="str">
        <f t="shared" si="432"/>
        <v>예로나</v>
      </c>
      <c r="H2955" t="str">
        <f t="shared" si="435"/>
        <v>스토리위즈</v>
      </c>
      <c r="I2955" t="str">
        <f t="shared" si="433"/>
        <v>기사가문 망나니는 10클래스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/>
      <c r="AQ2955">
        <v>0</v>
      </c>
      <c r="AR2955">
        <v>0</v>
      </c>
      <c r="AT2955">
        <v>0</v>
      </c>
      <c r="AU2955">
        <v>0</v>
      </c>
      <c r="AW2955">
        <v>0</v>
      </c>
      <c r="AX2955">
        <v>0</v>
      </c>
      <c r="AY2955">
        <v>70</v>
      </c>
      <c r="BC2955" t="str">
        <f t="shared" si="434"/>
        <v>9791165310370</v>
      </c>
      <c r="BE2955" t="str">
        <f t="shared" si="436"/>
        <v>판타지 웹소설 &gt; 퓨전 판타지</v>
      </c>
    </row>
    <row r="2956" spans="1:57" x14ac:dyDescent="0.3">
      <c r="A2956">
        <v>2313008150</v>
      </c>
      <c r="B2956">
        <v>2313008339</v>
      </c>
      <c r="C2956" t="str">
        <f>T("기사가문 망나니는 10클래스 175화")</f>
        <v>기사가문 망나니는 10클래스 175화</v>
      </c>
      <c r="D2956" t="str">
        <f>T("175")</f>
        <v>175</v>
      </c>
      <c r="E2956" t="str">
        <f t="shared" si="432"/>
        <v>예로나</v>
      </c>
      <c r="H2956" t="str">
        <f t="shared" si="435"/>
        <v>스토리위즈</v>
      </c>
      <c r="I2956" t="str">
        <f t="shared" si="433"/>
        <v>기사가문 망나니는 10클래스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/>
      <c r="AQ2956">
        <v>0</v>
      </c>
      <c r="AR2956">
        <v>0</v>
      </c>
      <c r="AT2956">
        <v>0</v>
      </c>
      <c r="AU2956">
        <v>0</v>
      </c>
      <c r="AW2956">
        <v>0</v>
      </c>
      <c r="AX2956">
        <v>0</v>
      </c>
      <c r="AY2956">
        <v>70</v>
      </c>
      <c r="BC2956" t="str">
        <f t="shared" si="434"/>
        <v>9791165310370</v>
      </c>
      <c r="BE2956" t="str">
        <f t="shared" si="436"/>
        <v>판타지 웹소설 &gt; 퓨전 판타지</v>
      </c>
    </row>
    <row r="2957" spans="1:57" x14ac:dyDescent="0.3">
      <c r="A2957">
        <v>2313008150</v>
      </c>
      <c r="B2957">
        <v>2313008340</v>
      </c>
      <c r="C2957" t="str">
        <f>T("기사가문 망나니는 10클래스 176화")</f>
        <v>기사가문 망나니는 10클래스 176화</v>
      </c>
      <c r="D2957" t="str">
        <f>T("176")</f>
        <v>176</v>
      </c>
      <c r="E2957" t="str">
        <f t="shared" si="432"/>
        <v>예로나</v>
      </c>
      <c r="H2957" t="str">
        <f t="shared" si="435"/>
        <v>스토리위즈</v>
      </c>
      <c r="I2957" t="str">
        <f t="shared" si="433"/>
        <v>기사가문 망나니는 10클래스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/>
      <c r="AQ2957">
        <v>0</v>
      </c>
      <c r="AR2957">
        <v>0</v>
      </c>
      <c r="AT2957">
        <v>0</v>
      </c>
      <c r="AU2957">
        <v>0</v>
      </c>
      <c r="AW2957">
        <v>0</v>
      </c>
      <c r="AX2957">
        <v>0</v>
      </c>
      <c r="AY2957">
        <v>70</v>
      </c>
      <c r="BC2957" t="str">
        <f t="shared" si="434"/>
        <v>9791165310370</v>
      </c>
      <c r="BE2957" t="str">
        <f t="shared" si="436"/>
        <v>판타지 웹소설 &gt; 퓨전 판타지</v>
      </c>
    </row>
    <row r="2958" spans="1:57" x14ac:dyDescent="0.3">
      <c r="A2958">
        <v>2313008150</v>
      </c>
      <c r="B2958">
        <v>2313008341</v>
      </c>
      <c r="C2958" t="str">
        <f>T("기사가문 망나니는 10클래스 177화")</f>
        <v>기사가문 망나니는 10클래스 177화</v>
      </c>
      <c r="D2958" t="str">
        <f>T("177")</f>
        <v>177</v>
      </c>
      <c r="E2958" t="str">
        <f t="shared" si="432"/>
        <v>예로나</v>
      </c>
      <c r="H2958" t="str">
        <f t="shared" si="435"/>
        <v>스토리위즈</v>
      </c>
      <c r="I2958" t="str">
        <f t="shared" si="433"/>
        <v>기사가문 망나니는 10클래스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/>
      <c r="AQ2958">
        <v>0</v>
      </c>
      <c r="AR2958">
        <v>0</v>
      </c>
      <c r="AT2958">
        <v>0</v>
      </c>
      <c r="AU2958">
        <v>0</v>
      </c>
      <c r="AW2958">
        <v>0</v>
      </c>
      <c r="AX2958">
        <v>0</v>
      </c>
      <c r="AY2958">
        <v>70</v>
      </c>
      <c r="BC2958" t="str">
        <f t="shared" si="434"/>
        <v>9791165310370</v>
      </c>
      <c r="BE2958" t="str">
        <f t="shared" si="436"/>
        <v>판타지 웹소설 &gt; 퓨전 판타지</v>
      </c>
    </row>
    <row r="2959" spans="1:57" x14ac:dyDescent="0.3">
      <c r="A2959">
        <v>2313008150</v>
      </c>
      <c r="B2959">
        <v>2313008342</v>
      </c>
      <c r="C2959" t="str">
        <f>T("기사가문 망나니는 10클래스 178화")</f>
        <v>기사가문 망나니는 10클래스 178화</v>
      </c>
      <c r="D2959" t="str">
        <f>T("178")</f>
        <v>178</v>
      </c>
      <c r="E2959" t="str">
        <f t="shared" si="432"/>
        <v>예로나</v>
      </c>
      <c r="H2959" t="str">
        <f t="shared" si="435"/>
        <v>스토리위즈</v>
      </c>
      <c r="I2959" t="str">
        <f t="shared" si="433"/>
        <v>기사가문 망나니는 10클래스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/>
      <c r="AQ2959">
        <v>0</v>
      </c>
      <c r="AR2959">
        <v>0</v>
      </c>
      <c r="AT2959">
        <v>0</v>
      </c>
      <c r="AU2959">
        <v>0</v>
      </c>
      <c r="AW2959">
        <v>0</v>
      </c>
      <c r="AX2959">
        <v>0</v>
      </c>
      <c r="AY2959">
        <v>70</v>
      </c>
      <c r="BC2959" t="str">
        <f t="shared" si="434"/>
        <v>9791165310370</v>
      </c>
      <c r="BE2959" t="str">
        <f t="shared" si="436"/>
        <v>판타지 웹소설 &gt; 퓨전 판타지</v>
      </c>
    </row>
    <row r="2960" spans="1:57" x14ac:dyDescent="0.3">
      <c r="A2960">
        <v>2313008150</v>
      </c>
      <c r="B2960">
        <v>2313008344</v>
      </c>
      <c r="C2960" t="str">
        <f>T("기사가문 망나니는 10클래스 179화")</f>
        <v>기사가문 망나니는 10클래스 179화</v>
      </c>
      <c r="D2960" t="str">
        <f>T("179")</f>
        <v>179</v>
      </c>
      <c r="E2960" t="str">
        <f t="shared" si="432"/>
        <v>예로나</v>
      </c>
      <c r="H2960" t="str">
        <f t="shared" si="435"/>
        <v>스토리위즈</v>
      </c>
      <c r="I2960" t="str">
        <f t="shared" si="433"/>
        <v>기사가문 망나니는 10클래스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/>
      <c r="AQ2960">
        <v>0</v>
      </c>
      <c r="AR2960">
        <v>0</v>
      </c>
      <c r="AT2960">
        <v>0</v>
      </c>
      <c r="AU2960">
        <v>0</v>
      </c>
      <c r="AW2960">
        <v>0</v>
      </c>
      <c r="AX2960">
        <v>0</v>
      </c>
      <c r="AY2960">
        <v>70</v>
      </c>
      <c r="BC2960" t="str">
        <f t="shared" si="434"/>
        <v>9791165310370</v>
      </c>
      <c r="BE2960" t="str">
        <f t="shared" si="436"/>
        <v>판타지 웹소설 &gt; 퓨전 판타지</v>
      </c>
    </row>
    <row r="2961" spans="1:57" x14ac:dyDescent="0.3">
      <c r="A2961">
        <v>2313008150</v>
      </c>
      <c r="B2961">
        <v>2313008345</v>
      </c>
      <c r="C2961" t="str">
        <f>T("기사가문 망나니는 10클래스 180화")</f>
        <v>기사가문 망나니는 10클래스 180화</v>
      </c>
      <c r="D2961" t="str">
        <f>T("180")</f>
        <v>180</v>
      </c>
      <c r="E2961" t="str">
        <f t="shared" si="432"/>
        <v>예로나</v>
      </c>
      <c r="H2961" t="str">
        <f t="shared" si="435"/>
        <v>스토리위즈</v>
      </c>
      <c r="I2961" t="str">
        <f t="shared" si="433"/>
        <v>기사가문 망나니는 10클래스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/>
      <c r="AQ2961">
        <v>0</v>
      </c>
      <c r="AR2961">
        <v>0</v>
      </c>
      <c r="AT2961">
        <v>0</v>
      </c>
      <c r="AU2961">
        <v>0</v>
      </c>
      <c r="AW2961">
        <v>0</v>
      </c>
      <c r="AX2961">
        <v>0</v>
      </c>
      <c r="AY2961">
        <v>70</v>
      </c>
      <c r="BC2961" t="str">
        <f t="shared" si="434"/>
        <v>9791165310370</v>
      </c>
      <c r="BE2961" t="str">
        <f t="shared" si="436"/>
        <v>판타지 웹소설 &gt; 퓨전 판타지</v>
      </c>
    </row>
    <row r="2962" spans="1:57" x14ac:dyDescent="0.3">
      <c r="A2962">
        <v>2313008150</v>
      </c>
      <c r="B2962">
        <v>2313008348</v>
      </c>
      <c r="C2962" t="str">
        <f>T("기사가문 망나니는 10클래스 181화")</f>
        <v>기사가문 망나니는 10클래스 181화</v>
      </c>
      <c r="D2962" t="str">
        <f>T("181")</f>
        <v>181</v>
      </c>
      <c r="E2962" t="str">
        <f t="shared" si="432"/>
        <v>예로나</v>
      </c>
      <c r="H2962" t="str">
        <f t="shared" si="435"/>
        <v>스토리위즈</v>
      </c>
      <c r="I2962" t="str">
        <f t="shared" si="433"/>
        <v>기사가문 망나니는 10클래스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/>
      <c r="AQ2962">
        <v>0</v>
      </c>
      <c r="AR2962">
        <v>0</v>
      </c>
      <c r="AT2962">
        <v>0</v>
      </c>
      <c r="AU2962">
        <v>0</v>
      </c>
      <c r="AW2962">
        <v>0</v>
      </c>
      <c r="AX2962">
        <v>0</v>
      </c>
      <c r="AY2962">
        <v>70</v>
      </c>
      <c r="BC2962" t="str">
        <f t="shared" si="434"/>
        <v>9791165310370</v>
      </c>
      <c r="BE2962" t="str">
        <f t="shared" si="436"/>
        <v>판타지 웹소설 &gt; 퓨전 판타지</v>
      </c>
    </row>
    <row r="2963" spans="1:57" x14ac:dyDescent="0.3">
      <c r="A2963">
        <v>2313008150</v>
      </c>
      <c r="B2963">
        <v>2313008350</v>
      </c>
      <c r="C2963" t="str">
        <f>T("기사가문 망나니는 10클래스 182화")</f>
        <v>기사가문 망나니는 10클래스 182화</v>
      </c>
      <c r="D2963" t="str">
        <f>T("182")</f>
        <v>182</v>
      </c>
      <c r="E2963" t="str">
        <f t="shared" si="432"/>
        <v>예로나</v>
      </c>
      <c r="H2963" t="str">
        <f t="shared" si="435"/>
        <v>스토리위즈</v>
      </c>
      <c r="I2963" t="str">
        <f t="shared" si="433"/>
        <v>기사가문 망나니는 10클래스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/>
      <c r="AQ2963">
        <v>0</v>
      </c>
      <c r="AR2963">
        <v>0</v>
      </c>
      <c r="AT2963">
        <v>0</v>
      </c>
      <c r="AU2963">
        <v>0</v>
      </c>
      <c r="AW2963">
        <v>0</v>
      </c>
      <c r="AX2963">
        <v>0</v>
      </c>
      <c r="AY2963">
        <v>70</v>
      </c>
      <c r="BC2963" t="str">
        <f t="shared" si="434"/>
        <v>9791165310370</v>
      </c>
      <c r="BE2963" t="str">
        <f t="shared" si="436"/>
        <v>판타지 웹소설 &gt; 퓨전 판타지</v>
      </c>
    </row>
    <row r="2964" spans="1:57" x14ac:dyDescent="0.3">
      <c r="A2964">
        <v>2313008150</v>
      </c>
      <c r="B2964">
        <v>2313008352</v>
      </c>
      <c r="C2964" t="str">
        <f>T("기사가문 망나니는 10클래스 183화")</f>
        <v>기사가문 망나니는 10클래스 183화</v>
      </c>
      <c r="D2964" t="str">
        <f>T("183")</f>
        <v>183</v>
      </c>
      <c r="E2964" t="str">
        <f t="shared" si="432"/>
        <v>예로나</v>
      </c>
      <c r="H2964" t="str">
        <f t="shared" si="435"/>
        <v>스토리위즈</v>
      </c>
      <c r="I2964" t="str">
        <f t="shared" si="433"/>
        <v>기사가문 망나니는 10클래스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/>
      <c r="AQ2964">
        <v>0</v>
      </c>
      <c r="AR2964">
        <v>0</v>
      </c>
      <c r="AT2964">
        <v>0</v>
      </c>
      <c r="AU2964">
        <v>0</v>
      </c>
      <c r="AW2964">
        <v>0</v>
      </c>
      <c r="AX2964">
        <v>0</v>
      </c>
      <c r="AY2964">
        <v>70</v>
      </c>
      <c r="BC2964" t="str">
        <f t="shared" si="434"/>
        <v>9791165310370</v>
      </c>
      <c r="BE2964" t="str">
        <f t="shared" si="436"/>
        <v>판타지 웹소설 &gt; 퓨전 판타지</v>
      </c>
    </row>
    <row r="2965" spans="1:57" x14ac:dyDescent="0.3">
      <c r="A2965">
        <v>2313008150</v>
      </c>
      <c r="B2965">
        <v>2313008354</v>
      </c>
      <c r="C2965" t="str">
        <f>T("기사가문 망나니는 10클래스 184화")</f>
        <v>기사가문 망나니는 10클래스 184화</v>
      </c>
      <c r="D2965" t="str">
        <f>T("184")</f>
        <v>184</v>
      </c>
      <c r="E2965" t="str">
        <f t="shared" si="432"/>
        <v>예로나</v>
      </c>
      <c r="H2965" t="str">
        <f t="shared" si="435"/>
        <v>스토리위즈</v>
      </c>
      <c r="I2965" t="str">
        <f t="shared" si="433"/>
        <v>기사가문 망나니는 10클래스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/>
      <c r="AQ2965">
        <v>0</v>
      </c>
      <c r="AR2965">
        <v>0</v>
      </c>
      <c r="AT2965">
        <v>0</v>
      </c>
      <c r="AU2965">
        <v>0</v>
      </c>
      <c r="AW2965">
        <v>0</v>
      </c>
      <c r="AX2965">
        <v>0</v>
      </c>
      <c r="AY2965">
        <v>70</v>
      </c>
      <c r="BC2965" t="str">
        <f t="shared" si="434"/>
        <v>9791165310370</v>
      </c>
      <c r="BE2965" t="str">
        <f t="shared" si="436"/>
        <v>판타지 웹소설 &gt; 퓨전 판타지</v>
      </c>
    </row>
    <row r="2966" spans="1:57" x14ac:dyDescent="0.3">
      <c r="A2966">
        <v>2313008150</v>
      </c>
      <c r="B2966">
        <v>2313008355</v>
      </c>
      <c r="C2966" t="str">
        <f>T("기사가문 망나니는 10클래스 185화")</f>
        <v>기사가문 망나니는 10클래스 185화</v>
      </c>
      <c r="D2966" t="str">
        <f>T("185")</f>
        <v>185</v>
      </c>
      <c r="E2966" t="str">
        <f t="shared" si="432"/>
        <v>예로나</v>
      </c>
      <c r="H2966" t="str">
        <f t="shared" si="435"/>
        <v>스토리위즈</v>
      </c>
      <c r="I2966" t="str">
        <f t="shared" si="433"/>
        <v>기사가문 망나니는 10클래스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/>
      <c r="AQ2966">
        <v>0</v>
      </c>
      <c r="AR2966">
        <v>0</v>
      </c>
      <c r="AT2966">
        <v>0</v>
      </c>
      <c r="AU2966">
        <v>0</v>
      </c>
      <c r="AW2966">
        <v>0</v>
      </c>
      <c r="AX2966">
        <v>0</v>
      </c>
      <c r="AY2966">
        <v>70</v>
      </c>
      <c r="BC2966" t="str">
        <f t="shared" si="434"/>
        <v>9791165310370</v>
      </c>
      <c r="BE2966" t="str">
        <f t="shared" si="436"/>
        <v>판타지 웹소설 &gt; 퓨전 판타지</v>
      </c>
    </row>
    <row r="2967" spans="1:57" x14ac:dyDescent="0.3">
      <c r="A2967">
        <v>2313008150</v>
      </c>
      <c r="B2967">
        <v>2313008357</v>
      </c>
      <c r="C2967" t="str">
        <f>T("기사가문 망나니는 10클래스 186화")</f>
        <v>기사가문 망나니는 10클래스 186화</v>
      </c>
      <c r="D2967" t="str">
        <f>T("186")</f>
        <v>186</v>
      </c>
      <c r="E2967" t="str">
        <f t="shared" si="432"/>
        <v>예로나</v>
      </c>
      <c r="H2967" t="str">
        <f t="shared" si="435"/>
        <v>스토리위즈</v>
      </c>
      <c r="I2967" t="str">
        <f t="shared" si="433"/>
        <v>기사가문 망나니는 10클래스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/>
      <c r="AQ2967">
        <v>0</v>
      </c>
      <c r="AR2967">
        <v>0</v>
      </c>
      <c r="AT2967">
        <v>0</v>
      </c>
      <c r="AU2967">
        <v>0</v>
      </c>
      <c r="AW2967">
        <v>0</v>
      </c>
      <c r="AX2967">
        <v>0</v>
      </c>
      <c r="AY2967">
        <v>70</v>
      </c>
      <c r="BC2967" t="str">
        <f t="shared" si="434"/>
        <v>9791165310370</v>
      </c>
      <c r="BE2967" t="str">
        <f t="shared" si="436"/>
        <v>판타지 웹소설 &gt; 퓨전 판타지</v>
      </c>
    </row>
    <row r="2968" spans="1:57" x14ac:dyDescent="0.3">
      <c r="A2968">
        <v>2313008150</v>
      </c>
      <c r="B2968">
        <v>2313008359</v>
      </c>
      <c r="C2968" t="str">
        <f>T("기사가문 망나니는 10클래스 187화")</f>
        <v>기사가문 망나니는 10클래스 187화</v>
      </c>
      <c r="D2968" t="str">
        <f>T("187")</f>
        <v>187</v>
      </c>
      <c r="E2968" t="str">
        <f t="shared" si="432"/>
        <v>예로나</v>
      </c>
      <c r="H2968" t="str">
        <f t="shared" si="435"/>
        <v>스토리위즈</v>
      </c>
      <c r="I2968" t="str">
        <f t="shared" si="433"/>
        <v>기사가문 망나니는 10클래스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/>
      <c r="AQ2968">
        <v>0</v>
      </c>
      <c r="AR2968">
        <v>0</v>
      </c>
      <c r="AT2968">
        <v>0</v>
      </c>
      <c r="AU2968">
        <v>0</v>
      </c>
      <c r="AW2968">
        <v>0</v>
      </c>
      <c r="AX2968">
        <v>0</v>
      </c>
      <c r="AY2968">
        <v>70</v>
      </c>
      <c r="BC2968" t="str">
        <f t="shared" si="434"/>
        <v>9791165310370</v>
      </c>
      <c r="BE2968" t="str">
        <f t="shared" si="436"/>
        <v>판타지 웹소설 &gt; 퓨전 판타지</v>
      </c>
    </row>
    <row r="2969" spans="1:57" x14ac:dyDescent="0.3">
      <c r="A2969">
        <v>2313008150</v>
      </c>
      <c r="B2969">
        <v>2313008361</v>
      </c>
      <c r="C2969" t="str">
        <f>T("기사가문 망나니는 10클래스 188화")</f>
        <v>기사가문 망나니는 10클래스 188화</v>
      </c>
      <c r="D2969" t="str">
        <f>T("188")</f>
        <v>188</v>
      </c>
      <c r="E2969" t="str">
        <f t="shared" si="432"/>
        <v>예로나</v>
      </c>
      <c r="H2969" t="str">
        <f t="shared" si="435"/>
        <v>스토리위즈</v>
      </c>
      <c r="I2969" t="str">
        <f t="shared" si="433"/>
        <v>기사가문 망나니는 10클래스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/>
      <c r="AQ2969">
        <v>0</v>
      </c>
      <c r="AR2969">
        <v>0</v>
      </c>
      <c r="AT2969">
        <v>0</v>
      </c>
      <c r="AU2969">
        <v>0</v>
      </c>
      <c r="AW2969">
        <v>0</v>
      </c>
      <c r="AX2969">
        <v>0</v>
      </c>
      <c r="AY2969">
        <v>70</v>
      </c>
      <c r="BC2969" t="str">
        <f t="shared" si="434"/>
        <v>9791165310370</v>
      </c>
      <c r="BE2969" t="str">
        <f t="shared" si="436"/>
        <v>판타지 웹소설 &gt; 퓨전 판타지</v>
      </c>
    </row>
    <row r="2970" spans="1:57" x14ac:dyDescent="0.3">
      <c r="A2970">
        <v>2313008150</v>
      </c>
      <c r="B2970">
        <v>2313008363</v>
      </c>
      <c r="C2970" t="str">
        <f>T("기사가문 망나니는 10클래스 189화")</f>
        <v>기사가문 망나니는 10클래스 189화</v>
      </c>
      <c r="D2970" t="str">
        <f>T("189")</f>
        <v>189</v>
      </c>
      <c r="E2970" t="str">
        <f t="shared" si="432"/>
        <v>예로나</v>
      </c>
      <c r="H2970" t="str">
        <f t="shared" si="435"/>
        <v>스토리위즈</v>
      </c>
      <c r="I2970" t="str">
        <f t="shared" si="433"/>
        <v>기사가문 망나니는 10클래스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/>
      <c r="AQ2970">
        <v>0</v>
      </c>
      <c r="AR2970">
        <v>0</v>
      </c>
      <c r="AT2970">
        <v>0</v>
      </c>
      <c r="AU2970">
        <v>0</v>
      </c>
      <c r="AW2970">
        <v>0</v>
      </c>
      <c r="AX2970">
        <v>0</v>
      </c>
      <c r="AY2970">
        <v>70</v>
      </c>
      <c r="BC2970" t="str">
        <f t="shared" si="434"/>
        <v>9791165310370</v>
      </c>
      <c r="BE2970" t="str">
        <f t="shared" si="436"/>
        <v>판타지 웹소설 &gt; 퓨전 판타지</v>
      </c>
    </row>
    <row r="2971" spans="1:57" x14ac:dyDescent="0.3">
      <c r="A2971">
        <v>2313008150</v>
      </c>
      <c r="B2971">
        <v>2313008364</v>
      </c>
      <c r="C2971" t="str">
        <f>T("기사가문 망나니는 10클래스 190화")</f>
        <v>기사가문 망나니는 10클래스 190화</v>
      </c>
      <c r="D2971" t="str">
        <f>T("190")</f>
        <v>190</v>
      </c>
      <c r="E2971" t="str">
        <f t="shared" si="432"/>
        <v>예로나</v>
      </c>
      <c r="H2971" t="str">
        <f t="shared" si="435"/>
        <v>스토리위즈</v>
      </c>
      <c r="I2971" t="str">
        <f t="shared" si="433"/>
        <v>기사가문 망나니는 10클래스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/>
      <c r="AQ2971">
        <v>0</v>
      </c>
      <c r="AR2971">
        <v>0</v>
      </c>
      <c r="AT2971">
        <v>0</v>
      </c>
      <c r="AU2971">
        <v>0</v>
      </c>
      <c r="AW2971">
        <v>0</v>
      </c>
      <c r="AX2971">
        <v>0</v>
      </c>
      <c r="AY2971">
        <v>70</v>
      </c>
      <c r="BC2971" t="str">
        <f t="shared" si="434"/>
        <v>9791165310370</v>
      </c>
      <c r="BE2971" t="str">
        <f t="shared" si="436"/>
        <v>판타지 웹소설 &gt; 퓨전 판타지</v>
      </c>
    </row>
    <row r="2972" spans="1:57" x14ac:dyDescent="0.3">
      <c r="A2972">
        <v>2313008150</v>
      </c>
      <c r="B2972">
        <v>2313008367</v>
      </c>
      <c r="C2972" t="str">
        <f>T("기사가문 망나니는 10클래스 191화")</f>
        <v>기사가문 망나니는 10클래스 191화</v>
      </c>
      <c r="D2972" t="str">
        <f>T("191")</f>
        <v>191</v>
      </c>
      <c r="E2972" t="str">
        <f t="shared" si="432"/>
        <v>예로나</v>
      </c>
      <c r="H2972" t="str">
        <f t="shared" si="435"/>
        <v>스토리위즈</v>
      </c>
      <c r="I2972" t="str">
        <f t="shared" si="433"/>
        <v>기사가문 망나니는 10클래스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/>
      <c r="AQ2972">
        <v>0</v>
      </c>
      <c r="AR2972">
        <v>0</v>
      </c>
      <c r="AT2972">
        <v>0</v>
      </c>
      <c r="AU2972">
        <v>0</v>
      </c>
      <c r="AW2972">
        <v>0</v>
      </c>
      <c r="AX2972">
        <v>0</v>
      </c>
      <c r="AY2972">
        <v>70</v>
      </c>
      <c r="BC2972" t="str">
        <f t="shared" si="434"/>
        <v>9791165310370</v>
      </c>
      <c r="BE2972" t="str">
        <f t="shared" si="436"/>
        <v>판타지 웹소설 &gt; 퓨전 판타지</v>
      </c>
    </row>
    <row r="2973" spans="1:57" x14ac:dyDescent="0.3">
      <c r="A2973">
        <v>2313008150</v>
      </c>
      <c r="B2973">
        <v>2313008369</v>
      </c>
      <c r="C2973" t="str">
        <f>T("기사가문 망나니는 10클래스 192화")</f>
        <v>기사가문 망나니는 10클래스 192화</v>
      </c>
      <c r="D2973" t="str">
        <f>T("192")</f>
        <v>192</v>
      </c>
      <c r="E2973" t="str">
        <f t="shared" si="432"/>
        <v>예로나</v>
      </c>
      <c r="H2973" t="str">
        <f t="shared" si="435"/>
        <v>스토리위즈</v>
      </c>
      <c r="I2973" t="str">
        <f t="shared" si="433"/>
        <v>기사가문 망나니는 10클래스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/>
      <c r="AQ2973">
        <v>0</v>
      </c>
      <c r="AR2973">
        <v>0</v>
      </c>
      <c r="AT2973">
        <v>0</v>
      </c>
      <c r="AU2973">
        <v>0</v>
      </c>
      <c r="AW2973">
        <v>0</v>
      </c>
      <c r="AX2973">
        <v>0</v>
      </c>
      <c r="AY2973">
        <v>70</v>
      </c>
      <c r="BC2973" t="str">
        <f t="shared" si="434"/>
        <v>9791165310370</v>
      </c>
      <c r="BE2973" t="str">
        <f t="shared" si="436"/>
        <v>판타지 웹소설 &gt; 퓨전 판타지</v>
      </c>
    </row>
    <row r="2974" spans="1:57" x14ac:dyDescent="0.3">
      <c r="A2974">
        <v>2313008150</v>
      </c>
      <c r="B2974">
        <v>2313008370</v>
      </c>
      <c r="C2974" t="str">
        <f>T("기사가문 망나니는 10클래스 193화")</f>
        <v>기사가문 망나니는 10클래스 193화</v>
      </c>
      <c r="D2974" t="str">
        <f>T("193")</f>
        <v>193</v>
      </c>
      <c r="E2974" t="str">
        <f t="shared" si="432"/>
        <v>예로나</v>
      </c>
      <c r="H2974" t="str">
        <f t="shared" si="435"/>
        <v>스토리위즈</v>
      </c>
      <c r="I2974" t="str">
        <f t="shared" si="433"/>
        <v>기사가문 망나니는 10클래스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/>
      <c r="AQ2974">
        <v>0</v>
      </c>
      <c r="AR2974">
        <v>0</v>
      </c>
      <c r="AT2974">
        <v>0</v>
      </c>
      <c r="AU2974">
        <v>0</v>
      </c>
      <c r="AW2974">
        <v>0</v>
      </c>
      <c r="AX2974">
        <v>0</v>
      </c>
      <c r="AY2974">
        <v>70</v>
      </c>
      <c r="BC2974" t="str">
        <f t="shared" si="434"/>
        <v>9791165310370</v>
      </c>
      <c r="BE2974" t="str">
        <f t="shared" si="436"/>
        <v>판타지 웹소설 &gt; 퓨전 판타지</v>
      </c>
    </row>
    <row r="2975" spans="1:57" x14ac:dyDescent="0.3">
      <c r="A2975">
        <v>2313008150</v>
      </c>
      <c r="B2975">
        <v>2313008372</v>
      </c>
      <c r="C2975" t="str">
        <f>T("기사가문 망나니는 10클래스 194화")</f>
        <v>기사가문 망나니는 10클래스 194화</v>
      </c>
      <c r="D2975" t="str">
        <f>T("194")</f>
        <v>194</v>
      </c>
      <c r="E2975" t="str">
        <f t="shared" si="432"/>
        <v>예로나</v>
      </c>
      <c r="H2975" t="str">
        <f t="shared" si="435"/>
        <v>스토리위즈</v>
      </c>
      <c r="I2975" t="str">
        <f t="shared" si="433"/>
        <v>기사가문 망나니는 10클래스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/>
      <c r="AQ2975">
        <v>0</v>
      </c>
      <c r="AR2975">
        <v>0</v>
      </c>
      <c r="AT2975">
        <v>0</v>
      </c>
      <c r="AU2975">
        <v>0</v>
      </c>
      <c r="AW2975">
        <v>0</v>
      </c>
      <c r="AX2975">
        <v>0</v>
      </c>
      <c r="AY2975">
        <v>70</v>
      </c>
      <c r="BC2975" t="str">
        <f t="shared" si="434"/>
        <v>9791165310370</v>
      </c>
      <c r="BE2975" t="str">
        <f t="shared" si="436"/>
        <v>판타지 웹소설 &gt; 퓨전 판타지</v>
      </c>
    </row>
    <row r="2976" spans="1:57" x14ac:dyDescent="0.3">
      <c r="A2976">
        <v>2313008150</v>
      </c>
      <c r="B2976">
        <v>2313008374</v>
      </c>
      <c r="C2976" t="str">
        <f>T("기사가문 망나니는 10클래스 195화")</f>
        <v>기사가문 망나니는 10클래스 195화</v>
      </c>
      <c r="D2976" t="str">
        <f>T("195")</f>
        <v>195</v>
      </c>
      <c r="E2976" t="str">
        <f t="shared" si="432"/>
        <v>예로나</v>
      </c>
      <c r="H2976" t="str">
        <f t="shared" si="435"/>
        <v>스토리위즈</v>
      </c>
      <c r="I2976" t="str">
        <f t="shared" si="433"/>
        <v>기사가문 망나니는 10클래스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/>
      <c r="AQ2976">
        <v>0</v>
      </c>
      <c r="AR2976">
        <v>0</v>
      </c>
      <c r="AT2976">
        <v>0</v>
      </c>
      <c r="AU2976">
        <v>0</v>
      </c>
      <c r="AW2976">
        <v>0</v>
      </c>
      <c r="AX2976">
        <v>0</v>
      </c>
      <c r="AY2976">
        <v>70</v>
      </c>
      <c r="BC2976" t="str">
        <f t="shared" si="434"/>
        <v>9791165310370</v>
      </c>
      <c r="BE2976" t="str">
        <f t="shared" si="436"/>
        <v>판타지 웹소설 &gt; 퓨전 판타지</v>
      </c>
    </row>
    <row r="2977" spans="1:57" x14ac:dyDescent="0.3">
      <c r="A2977">
        <v>2313008150</v>
      </c>
      <c r="B2977">
        <v>2313008375</v>
      </c>
      <c r="C2977" t="str">
        <f>T("기사가문 망나니는 10클래스 196화")</f>
        <v>기사가문 망나니는 10클래스 196화</v>
      </c>
      <c r="D2977" t="str">
        <f>T("196")</f>
        <v>196</v>
      </c>
      <c r="E2977" t="str">
        <f t="shared" si="432"/>
        <v>예로나</v>
      </c>
      <c r="H2977" t="str">
        <f t="shared" si="435"/>
        <v>스토리위즈</v>
      </c>
      <c r="I2977" t="str">
        <f t="shared" si="433"/>
        <v>기사가문 망나니는 10클래스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/>
      <c r="AQ2977">
        <v>0</v>
      </c>
      <c r="AR2977">
        <v>0</v>
      </c>
      <c r="AT2977">
        <v>0</v>
      </c>
      <c r="AU2977">
        <v>0</v>
      </c>
      <c r="AW2977">
        <v>0</v>
      </c>
      <c r="AX2977">
        <v>0</v>
      </c>
      <c r="AY2977">
        <v>70</v>
      </c>
      <c r="BC2977" t="str">
        <f t="shared" si="434"/>
        <v>9791165310370</v>
      </c>
      <c r="BE2977" t="str">
        <f t="shared" si="436"/>
        <v>판타지 웹소설 &gt; 퓨전 판타지</v>
      </c>
    </row>
    <row r="2978" spans="1:57" x14ac:dyDescent="0.3">
      <c r="A2978">
        <v>2313009418</v>
      </c>
      <c r="B2978">
        <v>2313009738</v>
      </c>
      <c r="C2978" t="str">
        <f>T("은천검제(2부 화산검제) 321화 (완결)")</f>
        <v>은천검제(2부 화산검제) 321화 (완결)</v>
      </c>
      <c r="D2978" t="str">
        <f>T("321")</f>
        <v>321</v>
      </c>
      <c r="E2978" t="str">
        <f>T("무장")</f>
        <v>무장</v>
      </c>
      <c r="H2978" t="str">
        <f t="shared" si="435"/>
        <v>스토리위즈</v>
      </c>
      <c r="I2978" t="str">
        <f>T("은천검제(2부 화산검제)")</f>
        <v>은천검제(2부 화산검제)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/>
      <c r="AQ2978">
        <v>0</v>
      </c>
      <c r="AR2978">
        <v>0</v>
      </c>
      <c r="AT2978">
        <v>0</v>
      </c>
      <c r="AU2978">
        <v>0</v>
      </c>
      <c r="AW2978">
        <v>0</v>
      </c>
      <c r="AX2978">
        <v>0</v>
      </c>
      <c r="AY2978">
        <v>70</v>
      </c>
      <c r="BE2978" t="str">
        <f>T("판타지 웹소설 &gt; 무협 소설")</f>
        <v>판타지 웹소설 &gt; 무협 소설</v>
      </c>
    </row>
    <row r="2979" spans="1:57" x14ac:dyDescent="0.3">
      <c r="A2979">
        <v>2313009749</v>
      </c>
      <c r="B2979">
        <v>2313009883</v>
      </c>
      <c r="C2979" t="str">
        <f>T("리얼 머니 135화")</f>
        <v>리얼 머니 135화</v>
      </c>
      <c r="D2979" t="str">
        <f>T("135")</f>
        <v>135</v>
      </c>
      <c r="E2979" t="str">
        <f t="shared" ref="E2979:E3042" si="437">T("진문")</f>
        <v>진문</v>
      </c>
      <c r="H2979" t="str">
        <f t="shared" si="435"/>
        <v>스토리위즈</v>
      </c>
      <c r="I2979" t="str">
        <f t="shared" ref="I2979:I3042" si="438">T("리얼 머니")</f>
        <v>리얼 머니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/>
      <c r="AQ2979">
        <v>0</v>
      </c>
      <c r="AR2979">
        <v>0</v>
      </c>
      <c r="AT2979">
        <v>0</v>
      </c>
      <c r="AU2979">
        <v>0</v>
      </c>
      <c r="AW2979">
        <v>0</v>
      </c>
      <c r="AX2979">
        <v>0</v>
      </c>
      <c r="AY2979">
        <v>70</v>
      </c>
      <c r="BC2979" t="str">
        <f t="shared" ref="BC2979:BC3042" si="439">T("9791166068942")</f>
        <v>9791166068942</v>
      </c>
      <c r="BE2979" t="str">
        <f t="shared" ref="BE2979:BE3042" si="440">T("판타지 웹소설 &gt; 현대 판타지")</f>
        <v>판타지 웹소설 &gt; 현대 판타지</v>
      </c>
    </row>
    <row r="2980" spans="1:57" x14ac:dyDescent="0.3">
      <c r="A2980">
        <v>2313009749</v>
      </c>
      <c r="B2980">
        <v>2313009884</v>
      </c>
      <c r="C2980" t="str">
        <f>T("리얼 머니 136화")</f>
        <v>리얼 머니 136화</v>
      </c>
      <c r="D2980" t="str">
        <f>T("136")</f>
        <v>136</v>
      </c>
      <c r="E2980" t="str">
        <f t="shared" si="437"/>
        <v>진문</v>
      </c>
      <c r="H2980" t="str">
        <f t="shared" si="435"/>
        <v>스토리위즈</v>
      </c>
      <c r="I2980" t="str">
        <f t="shared" si="438"/>
        <v>리얼 머니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/>
      <c r="AQ2980">
        <v>0</v>
      </c>
      <c r="AR2980">
        <v>0</v>
      </c>
      <c r="AT2980">
        <v>0</v>
      </c>
      <c r="AU2980">
        <v>0</v>
      </c>
      <c r="AW2980">
        <v>0</v>
      </c>
      <c r="AX2980">
        <v>0</v>
      </c>
      <c r="AY2980">
        <v>70</v>
      </c>
      <c r="BC2980" t="str">
        <f t="shared" si="439"/>
        <v>9791166068942</v>
      </c>
      <c r="BE2980" t="str">
        <f t="shared" si="440"/>
        <v>판타지 웹소설 &gt; 현대 판타지</v>
      </c>
    </row>
    <row r="2981" spans="1:57" x14ac:dyDescent="0.3">
      <c r="A2981">
        <v>2313009749</v>
      </c>
      <c r="B2981">
        <v>2313009885</v>
      </c>
      <c r="C2981" t="str">
        <f>T("리얼 머니 137화")</f>
        <v>리얼 머니 137화</v>
      </c>
      <c r="D2981" t="str">
        <f>T("137")</f>
        <v>137</v>
      </c>
      <c r="E2981" t="str">
        <f t="shared" si="437"/>
        <v>진문</v>
      </c>
      <c r="H2981" t="str">
        <f t="shared" si="435"/>
        <v>스토리위즈</v>
      </c>
      <c r="I2981" t="str">
        <f t="shared" si="438"/>
        <v>리얼 머니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/>
      <c r="AQ2981">
        <v>0</v>
      </c>
      <c r="AR2981">
        <v>0</v>
      </c>
      <c r="AT2981">
        <v>0</v>
      </c>
      <c r="AU2981">
        <v>0</v>
      </c>
      <c r="AW2981">
        <v>0</v>
      </c>
      <c r="AX2981">
        <v>0</v>
      </c>
      <c r="AY2981">
        <v>70</v>
      </c>
      <c r="BC2981" t="str">
        <f t="shared" si="439"/>
        <v>9791166068942</v>
      </c>
      <c r="BE2981" t="str">
        <f t="shared" si="440"/>
        <v>판타지 웹소설 &gt; 현대 판타지</v>
      </c>
    </row>
    <row r="2982" spans="1:57" x14ac:dyDescent="0.3">
      <c r="A2982">
        <v>2313009749</v>
      </c>
      <c r="B2982">
        <v>2313009886</v>
      </c>
      <c r="C2982" t="str">
        <f>T("리얼 머니 138화")</f>
        <v>리얼 머니 138화</v>
      </c>
      <c r="D2982" t="str">
        <f>T("138")</f>
        <v>138</v>
      </c>
      <c r="E2982" t="str">
        <f t="shared" si="437"/>
        <v>진문</v>
      </c>
      <c r="H2982" t="str">
        <f t="shared" si="435"/>
        <v>스토리위즈</v>
      </c>
      <c r="I2982" t="str">
        <f t="shared" si="438"/>
        <v>리얼 머니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/>
      <c r="AQ2982">
        <v>0</v>
      </c>
      <c r="AR2982">
        <v>0</v>
      </c>
      <c r="AT2982">
        <v>0</v>
      </c>
      <c r="AU2982">
        <v>0</v>
      </c>
      <c r="AW2982">
        <v>0</v>
      </c>
      <c r="AX2982">
        <v>0</v>
      </c>
      <c r="AY2982">
        <v>70</v>
      </c>
      <c r="BC2982" t="str">
        <f t="shared" si="439"/>
        <v>9791166068942</v>
      </c>
      <c r="BE2982" t="str">
        <f t="shared" si="440"/>
        <v>판타지 웹소설 &gt; 현대 판타지</v>
      </c>
    </row>
    <row r="2983" spans="1:57" x14ac:dyDescent="0.3">
      <c r="A2983">
        <v>2313009749</v>
      </c>
      <c r="B2983">
        <v>2313009887</v>
      </c>
      <c r="C2983" t="str">
        <f>T("리얼 머니 139화")</f>
        <v>리얼 머니 139화</v>
      </c>
      <c r="D2983" t="str">
        <f>T("139")</f>
        <v>139</v>
      </c>
      <c r="E2983" t="str">
        <f t="shared" si="437"/>
        <v>진문</v>
      </c>
      <c r="H2983" t="str">
        <f t="shared" si="435"/>
        <v>스토리위즈</v>
      </c>
      <c r="I2983" t="str">
        <f t="shared" si="438"/>
        <v>리얼 머니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/>
      <c r="AQ2983">
        <v>0</v>
      </c>
      <c r="AR2983">
        <v>0</v>
      </c>
      <c r="AT2983">
        <v>0</v>
      </c>
      <c r="AU2983">
        <v>0</v>
      </c>
      <c r="AW2983">
        <v>0</v>
      </c>
      <c r="AX2983">
        <v>0</v>
      </c>
      <c r="AY2983">
        <v>70</v>
      </c>
      <c r="BC2983" t="str">
        <f t="shared" si="439"/>
        <v>9791166068942</v>
      </c>
      <c r="BE2983" t="str">
        <f t="shared" si="440"/>
        <v>판타지 웹소설 &gt; 현대 판타지</v>
      </c>
    </row>
    <row r="2984" spans="1:57" x14ac:dyDescent="0.3">
      <c r="A2984">
        <v>2313009749</v>
      </c>
      <c r="B2984">
        <v>2313009888</v>
      </c>
      <c r="C2984" t="str">
        <f>T("리얼 머니 140화")</f>
        <v>리얼 머니 140화</v>
      </c>
      <c r="D2984" t="str">
        <f>T("140")</f>
        <v>140</v>
      </c>
      <c r="E2984" t="str">
        <f t="shared" si="437"/>
        <v>진문</v>
      </c>
      <c r="H2984" t="str">
        <f t="shared" si="435"/>
        <v>스토리위즈</v>
      </c>
      <c r="I2984" t="str">
        <f t="shared" si="438"/>
        <v>리얼 머니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/>
      <c r="AQ2984">
        <v>0</v>
      </c>
      <c r="AR2984">
        <v>0</v>
      </c>
      <c r="AT2984">
        <v>0</v>
      </c>
      <c r="AU2984">
        <v>0</v>
      </c>
      <c r="AW2984">
        <v>0</v>
      </c>
      <c r="AX2984">
        <v>0</v>
      </c>
      <c r="AY2984">
        <v>70</v>
      </c>
      <c r="BC2984" t="str">
        <f t="shared" si="439"/>
        <v>9791166068942</v>
      </c>
      <c r="BE2984" t="str">
        <f t="shared" si="440"/>
        <v>판타지 웹소설 &gt; 현대 판타지</v>
      </c>
    </row>
    <row r="2985" spans="1:57" x14ac:dyDescent="0.3">
      <c r="A2985">
        <v>2313009749</v>
      </c>
      <c r="B2985">
        <v>2313009889</v>
      </c>
      <c r="C2985" t="str">
        <f>T("리얼 머니 141화")</f>
        <v>리얼 머니 141화</v>
      </c>
      <c r="D2985" t="str">
        <f>T("141")</f>
        <v>141</v>
      </c>
      <c r="E2985" t="str">
        <f t="shared" si="437"/>
        <v>진문</v>
      </c>
      <c r="H2985" t="str">
        <f t="shared" si="435"/>
        <v>스토리위즈</v>
      </c>
      <c r="I2985" t="str">
        <f t="shared" si="438"/>
        <v>리얼 머니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/>
      <c r="AQ2985">
        <v>0</v>
      </c>
      <c r="AR2985">
        <v>0</v>
      </c>
      <c r="AT2985">
        <v>0</v>
      </c>
      <c r="AU2985">
        <v>0</v>
      </c>
      <c r="AW2985">
        <v>0</v>
      </c>
      <c r="AX2985">
        <v>0</v>
      </c>
      <c r="AY2985">
        <v>70</v>
      </c>
      <c r="BC2985" t="str">
        <f t="shared" si="439"/>
        <v>9791166068942</v>
      </c>
      <c r="BE2985" t="str">
        <f t="shared" si="440"/>
        <v>판타지 웹소설 &gt; 현대 판타지</v>
      </c>
    </row>
    <row r="2986" spans="1:57" x14ac:dyDescent="0.3">
      <c r="A2986">
        <v>2313009749</v>
      </c>
      <c r="B2986">
        <v>2313009890</v>
      </c>
      <c r="C2986" t="str">
        <f>T("리얼 머니 142화")</f>
        <v>리얼 머니 142화</v>
      </c>
      <c r="D2986" t="str">
        <f>T("142")</f>
        <v>142</v>
      </c>
      <c r="E2986" t="str">
        <f t="shared" si="437"/>
        <v>진문</v>
      </c>
      <c r="H2986" t="str">
        <f t="shared" si="435"/>
        <v>스토리위즈</v>
      </c>
      <c r="I2986" t="str">
        <f t="shared" si="438"/>
        <v>리얼 머니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/>
      <c r="AQ2986">
        <v>0</v>
      </c>
      <c r="AR2986">
        <v>0</v>
      </c>
      <c r="AT2986">
        <v>0</v>
      </c>
      <c r="AU2986">
        <v>0</v>
      </c>
      <c r="AW2986">
        <v>0</v>
      </c>
      <c r="AX2986">
        <v>0</v>
      </c>
      <c r="AY2986">
        <v>70</v>
      </c>
      <c r="BC2986" t="str">
        <f t="shared" si="439"/>
        <v>9791166068942</v>
      </c>
      <c r="BE2986" t="str">
        <f t="shared" si="440"/>
        <v>판타지 웹소설 &gt; 현대 판타지</v>
      </c>
    </row>
    <row r="2987" spans="1:57" x14ac:dyDescent="0.3">
      <c r="A2987">
        <v>2313009749</v>
      </c>
      <c r="B2987">
        <v>2313009891</v>
      </c>
      <c r="C2987" t="str">
        <f>T("리얼 머니 143화")</f>
        <v>리얼 머니 143화</v>
      </c>
      <c r="D2987" t="str">
        <f>T("143")</f>
        <v>143</v>
      </c>
      <c r="E2987" t="str">
        <f t="shared" si="437"/>
        <v>진문</v>
      </c>
      <c r="H2987" t="str">
        <f t="shared" si="435"/>
        <v>스토리위즈</v>
      </c>
      <c r="I2987" t="str">
        <f t="shared" si="438"/>
        <v>리얼 머니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/>
      <c r="AQ2987">
        <v>0</v>
      </c>
      <c r="AR2987">
        <v>0</v>
      </c>
      <c r="AT2987">
        <v>0</v>
      </c>
      <c r="AU2987">
        <v>0</v>
      </c>
      <c r="AW2987">
        <v>0</v>
      </c>
      <c r="AX2987">
        <v>0</v>
      </c>
      <c r="AY2987">
        <v>70</v>
      </c>
      <c r="BC2987" t="str">
        <f t="shared" si="439"/>
        <v>9791166068942</v>
      </c>
      <c r="BE2987" t="str">
        <f t="shared" si="440"/>
        <v>판타지 웹소설 &gt; 현대 판타지</v>
      </c>
    </row>
    <row r="2988" spans="1:57" x14ac:dyDescent="0.3">
      <c r="A2988">
        <v>2313009749</v>
      </c>
      <c r="B2988">
        <v>2313009892</v>
      </c>
      <c r="C2988" t="str">
        <f>T("리얼 머니 144화")</f>
        <v>리얼 머니 144화</v>
      </c>
      <c r="D2988" t="str">
        <f>T("144")</f>
        <v>144</v>
      </c>
      <c r="E2988" t="str">
        <f t="shared" si="437"/>
        <v>진문</v>
      </c>
      <c r="H2988" t="str">
        <f t="shared" si="435"/>
        <v>스토리위즈</v>
      </c>
      <c r="I2988" t="str">
        <f t="shared" si="438"/>
        <v>리얼 머니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/>
      <c r="AQ2988">
        <v>0</v>
      </c>
      <c r="AR2988">
        <v>0</v>
      </c>
      <c r="AT2988">
        <v>0</v>
      </c>
      <c r="AU2988">
        <v>0</v>
      </c>
      <c r="AW2988">
        <v>0</v>
      </c>
      <c r="AX2988">
        <v>0</v>
      </c>
      <c r="AY2988">
        <v>70</v>
      </c>
      <c r="BC2988" t="str">
        <f t="shared" si="439"/>
        <v>9791166068942</v>
      </c>
      <c r="BE2988" t="str">
        <f t="shared" si="440"/>
        <v>판타지 웹소설 &gt; 현대 판타지</v>
      </c>
    </row>
    <row r="2989" spans="1:57" x14ac:dyDescent="0.3">
      <c r="A2989">
        <v>2313009749</v>
      </c>
      <c r="B2989">
        <v>2313009893</v>
      </c>
      <c r="C2989" t="str">
        <f>T("리얼 머니 145화")</f>
        <v>리얼 머니 145화</v>
      </c>
      <c r="D2989" t="str">
        <f>T("145")</f>
        <v>145</v>
      </c>
      <c r="E2989" t="str">
        <f t="shared" si="437"/>
        <v>진문</v>
      </c>
      <c r="H2989" t="str">
        <f t="shared" si="435"/>
        <v>스토리위즈</v>
      </c>
      <c r="I2989" t="str">
        <f t="shared" si="438"/>
        <v>리얼 머니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/>
      <c r="AQ2989">
        <v>0</v>
      </c>
      <c r="AR2989">
        <v>0</v>
      </c>
      <c r="AT2989">
        <v>0</v>
      </c>
      <c r="AU2989">
        <v>0</v>
      </c>
      <c r="AW2989">
        <v>0</v>
      </c>
      <c r="AX2989">
        <v>0</v>
      </c>
      <c r="AY2989">
        <v>70</v>
      </c>
      <c r="BC2989" t="str">
        <f t="shared" si="439"/>
        <v>9791166068942</v>
      </c>
      <c r="BE2989" t="str">
        <f t="shared" si="440"/>
        <v>판타지 웹소설 &gt; 현대 판타지</v>
      </c>
    </row>
    <row r="2990" spans="1:57" x14ac:dyDescent="0.3">
      <c r="A2990">
        <v>2313009749</v>
      </c>
      <c r="B2990">
        <v>2313009894</v>
      </c>
      <c r="C2990" t="str">
        <f>T("리얼 머니 146화")</f>
        <v>리얼 머니 146화</v>
      </c>
      <c r="D2990" t="str">
        <f>T("146")</f>
        <v>146</v>
      </c>
      <c r="E2990" t="str">
        <f t="shared" si="437"/>
        <v>진문</v>
      </c>
      <c r="H2990" t="str">
        <f t="shared" si="435"/>
        <v>스토리위즈</v>
      </c>
      <c r="I2990" t="str">
        <f t="shared" si="438"/>
        <v>리얼 머니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/>
      <c r="AQ2990">
        <v>0</v>
      </c>
      <c r="AR2990">
        <v>0</v>
      </c>
      <c r="AT2990">
        <v>0</v>
      </c>
      <c r="AU2990">
        <v>0</v>
      </c>
      <c r="AW2990">
        <v>0</v>
      </c>
      <c r="AX2990">
        <v>0</v>
      </c>
      <c r="AY2990">
        <v>70</v>
      </c>
      <c r="BC2990" t="str">
        <f t="shared" si="439"/>
        <v>9791166068942</v>
      </c>
      <c r="BE2990" t="str">
        <f t="shared" si="440"/>
        <v>판타지 웹소설 &gt; 현대 판타지</v>
      </c>
    </row>
    <row r="2991" spans="1:57" x14ac:dyDescent="0.3">
      <c r="A2991">
        <v>2313009749</v>
      </c>
      <c r="B2991">
        <v>2313009895</v>
      </c>
      <c r="C2991" t="str">
        <f>T("리얼 머니 147화")</f>
        <v>리얼 머니 147화</v>
      </c>
      <c r="D2991" t="str">
        <f>T("147")</f>
        <v>147</v>
      </c>
      <c r="E2991" t="str">
        <f t="shared" si="437"/>
        <v>진문</v>
      </c>
      <c r="H2991" t="str">
        <f t="shared" si="435"/>
        <v>스토리위즈</v>
      </c>
      <c r="I2991" t="str">
        <f t="shared" si="438"/>
        <v>리얼 머니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/>
      <c r="AQ2991">
        <v>0</v>
      </c>
      <c r="AR2991">
        <v>0</v>
      </c>
      <c r="AT2991">
        <v>0</v>
      </c>
      <c r="AU2991">
        <v>0</v>
      </c>
      <c r="AW2991">
        <v>0</v>
      </c>
      <c r="AX2991">
        <v>0</v>
      </c>
      <c r="AY2991">
        <v>70</v>
      </c>
      <c r="BC2991" t="str">
        <f t="shared" si="439"/>
        <v>9791166068942</v>
      </c>
      <c r="BE2991" t="str">
        <f t="shared" si="440"/>
        <v>판타지 웹소설 &gt; 현대 판타지</v>
      </c>
    </row>
    <row r="2992" spans="1:57" x14ac:dyDescent="0.3">
      <c r="A2992">
        <v>2313009749</v>
      </c>
      <c r="B2992">
        <v>2313009896</v>
      </c>
      <c r="C2992" t="str">
        <f>T("리얼 머니 148화")</f>
        <v>리얼 머니 148화</v>
      </c>
      <c r="D2992" t="str">
        <f>T("148")</f>
        <v>148</v>
      </c>
      <c r="E2992" t="str">
        <f t="shared" si="437"/>
        <v>진문</v>
      </c>
      <c r="H2992" t="str">
        <f t="shared" si="435"/>
        <v>스토리위즈</v>
      </c>
      <c r="I2992" t="str">
        <f t="shared" si="438"/>
        <v>리얼 머니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/>
      <c r="AQ2992">
        <v>0</v>
      </c>
      <c r="AR2992">
        <v>0</v>
      </c>
      <c r="AT2992">
        <v>0</v>
      </c>
      <c r="AU2992">
        <v>0</v>
      </c>
      <c r="AW2992">
        <v>0</v>
      </c>
      <c r="AX2992">
        <v>0</v>
      </c>
      <c r="AY2992">
        <v>70</v>
      </c>
      <c r="BC2992" t="str">
        <f t="shared" si="439"/>
        <v>9791166068942</v>
      </c>
      <c r="BE2992" t="str">
        <f t="shared" si="440"/>
        <v>판타지 웹소설 &gt; 현대 판타지</v>
      </c>
    </row>
    <row r="2993" spans="1:57" x14ac:dyDescent="0.3">
      <c r="A2993">
        <v>2313009749</v>
      </c>
      <c r="B2993">
        <v>2313009897</v>
      </c>
      <c r="C2993" t="str">
        <f>T("리얼 머니 149화")</f>
        <v>리얼 머니 149화</v>
      </c>
      <c r="D2993" t="str">
        <f>T("149")</f>
        <v>149</v>
      </c>
      <c r="E2993" t="str">
        <f t="shared" si="437"/>
        <v>진문</v>
      </c>
      <c r="H2993" t="str">
        <f t="shared" si="435"/>
        <v>스토리위즈</v>
      </c>
      <c r="I2993" t="str">
        <f t="shared" si="438"/>
        <v>리얼 머니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/>
      <c r="AQ2993">
        <v>0</v>
      </c>
      <c r="AR2993">
        <v>0</v>
      </c>
      <c r="AT2993">
        <v>0</v>
      </c>
      <c r="AU2993">
        <v>0</v>
      </c>
      <c r="AW2993">
        <v>0</v>
      </c>
      <c r="AX2993">
        <v>0</v>
      </c>
      <c r="AY2993">
        <v>70</v>
      </c>
      <c r="BC2993" t="str">
        <f t="shared" si="439"/>
        <v>9791166068942</v>
      </c>
      <c r="BE2993" t="str">
        <f t="shared" si="440"/>
        <v>판타지 웹소설 &gt; 현대 판타지</v>
      </c>
    </row>
    <row r="2994" spans="1:57" x14ac:dyDescent="0.3">
      <c r="A2994">
        <v>2313009749</v>
      </c>
      <c r="B2994">
        <v>2313009898</v>
      </c>
      <c r="C2994" t="str">
        <f>T("리얼 머니 150화")</f>
        <v>리얼 머니 150화</v>
      </c>
      <c r="D2994" t="str">
        <f>T("150")</f>
        <v>150</v>
      </c>
      <c r="E2994" t="str">
        <f t="shared" si="437"/>
        <v>진문</v>
      </c>
      <c r="H2994" t="str">
        <f t="shared" si="435"/>
        <v>스토리위즈</v>
      </c>
      <c r="I2994" t="str">
        <f t="shared" si="438"/>
        <v>리얼 머니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/>
      <c r="AQ2994">
        <v>0</v>
      </c>
      <c r="AR2994">
        <v>0</v>
      </c>
      <c r="AT2994">
        <v>0</v>
      </c>
      <c r="AU2994">
        <v>0</v>
      </c>
      <c r="AW2994">
        <v>0</v>
      </c>
      <c r="AX2994">
        <v>0</v>
      </c>
      <c r="AY2994">
        <v>70</v>
      </c>
      <c r="BC2994" t="str">
        <f t="shared" si="439"/>
        <v>9791166068942</v>
      </c>
      <c r="BE2994" t="str">
        <f t="shared" si="440"/>
        <v>판타지 웹소설 &gt; 현대 판타지</v>
      </c>
    </row>
    <row r="2995" spans="1:57" x14ac:dyDescent="0.3">
      <c r="A2995">
        <v>2313009749</v>
      </c>
      <c r="B2995">
        <v>2313009899</v>
      </c>
      <c r="C2995" t="str">
        <f>T("리얼 머니 151화")</f>
        <v>리얼 머니 151화</v>
      </c>
      <c r="D2995" t="str">
        <f>T("151")</f>
        <v>151</v>
      </c>
      <c r="E2995" t="str">
        <f t="shared" si="437"/>
        <v>진문</v>
      </c>
      <c r="H2995" t="str">
        <f t="shared" si="435"/>
        <v>스토리위즈</v>
      </c>
      <c r="I2995" t="str">
        <f t="shared" si="438"/>
        <v>리얼 머니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/>
      <c r="AQ2995">
        <v>0</v>
      </c>
      <c r="AR2995">
        <v>0</v>
      </c>
      <c r="AT2995">
        <v>0</v>
      </c>
      <c r="AU2995">
        <v>0</v>
      </c>
      <c r="AW2995">
        <v>0</v>
      </c>
      <c r="AX2995">
        <v>0</v>
      </c>
      <c r="AY2995">
        <v>70</v>
      </c>
      <c r="BC2995" t="str">
        <f t="shared" si="439"/>
        <v>9791166068942</v>
      </c>
      <c r="BE2995" t="str">
        <f t="shared" si="440"/>
        <v>판타지 웹소설 &gt; 현대 판타지</v>
      </c>
    </row>
    <row r="2996" spans="1:57" x14ac:dyDescent="0.3">
      <c r="A2996">
        <v>2313009749</v>
      </c>
      <c r="B2996">
        <v>2313009900</v>
      </c>
      <c r="C2996" t="str">
        <f>T("리얼 머니 152화")</f>
        <v>리얼 머니 152화</v>
      </c>
      <c r="D2996" t="str">
        <f>T("152")</f>
        <v>152</v>
      </c>
      <c r="E2996" t="str">
        <f t="shared" si="437"/>
        <v>진문</v>
      </c>
      <c r="H2996" t="str">
        <f t="shared" si="435"/>
        <v>스토리위즈</v>
      </c>
      <c r="I2996" t="str">
        <f t="shared" si="438"/>
        <v>리얼 머니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/>
      <c r="AQ2996">
        <v>0</v>
      </c>
      <c r="AR2996">
        <v>0</v>
      </c>
      <c r="AT2996">
        <v>0</v>
      </c>
      <c r="AU2996">
        <v>0</v>
      </c>
      <c r="AW2996">
        <v>0</v>
      </c>
      <c r="AX2996">
        <v>0</v>
      </c>
      <c r="AY2996">
        <v>70</v>
      </c>
      <c r="BC2996" t="str">
        <f t="shared" si="439"/>
        <v>9791166068942</v>
      </c>
      <c r="BE2996" t="str">
        <f t="shared" si="440"/>
        <v>판타지 웹소설 &gt; 현대 판타지</v>
      </c>
    </row>
    <row r="2997" spans="1:57" x14ac:dyDescent="0.3">
      <c r="A2997">
        <v>2313009749</v>
      </c>
      <c r="B2997">
        <v>2313009901</v>
      </c>
      <c r="C2997" t="str">
        <f>T("리얼 머니 153화")</f>
        <v>리얼 머니 153화</v>
      </c>
      <c r="D2997" t="str">
        <f>T("153")</f>
        <v>153</v>
      </c>
      <c r="E2997" t="str">
        <f t="shared" si="437"/>
        <v>진문</v>
      </c>
      <c r="H2997" t="str">
        <f t="shared" si="435"/>
        <v>스토리위즈</v>
      </c>
      <c r="I2997" t="str">
        <f t="shared" si="438"/>
        <v>리얼 머니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/>
      <c r="AQ2997">
        <v>0</v>
      </c>
      <c r="AR2997">
        <v>0</v>
      </c>
      <c r="AT2997">
        <v>0</v>
      </c>
      <c r="AU2997">
        <v>0</v>
      </c>
      <c r="AW2997">
        <v>0</v>
      </c>
      <c r="AX2997">
        <v>0</v>
      </c>
      <c r="AY2997">
        <v>70</v>
      </c>
      <c r="BC2997" t="str">
        <f t="shared" si="439"/>
        <v>9791166068942</v>
      </c>
      <c r="BE2997" t="str">
        <f t="shared" si="440"/>
        <v>판타지 웹소설 &gt; 현대 판타지</v>
      </c>
    </row>
    <row r="2998" spans="1:57" x14ac:dyDescent="0.3">
      <c r="A2998">
        <v>2313009749</v>
      </c>
      <c r="B2998">
        <v>2313009902</v>
      </c>
      <c r="C2998" t="str">
        <f>T("리얼 머니 154화")</f>
        <v>리얼 머니 154화</v>
      </c>
      <c r="D2998" t="str">
        <f>T("154")</f>
        <v>154</v>
      </c>
      <c r="E2998" t="str">
        <f t="shared" si="437"/>
        <v>진문</v>
      </c>
      <c r="H2998" t="str">
        <f t="shared" si="435"/>
        <v>스토리위즈</v>
      </c>
      <c r="I2998" t="str">
        <f t="shared" si="438"/>
        <v>리얼 머니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/>
      <c r="AQ2998">
        <v>0</v>
      </c>
      <c r="AR2998">
        <v>0</v>
      </c>
      <c r="AT2998">
        <v>0</v>
      </c>
      <c r="AU2998">
        <v>0</v>
      </c>
      <c r="AW2998">
        <v>0</v>
      </c>
      <c r="AX2998">
        <v>0</v>
      </c>
      <c r="AY2998">
        <v>70</v>
      </c>
      <c r="BC2998" t="str">
        <f t="shared" si="439"/>
        <v>9791166068942</v>
      </c>
      <c r="BE2998" t="str">
        <f t="shared" si="440"/>
        <v>판타지 웹소설 &gt; 현대 판타지</v>
      </c>
    </row>
    <row r="2999" spans="1:57" x14ac:dyDescent="0.3">
      <c r="A2999">
        <v>2313009749</v>
      </c>
      <c r="B2999">
        <v>2313009903</v>
      </c>
      <c r="C2999" t="str">
        <f>T("리얼 머니 155화")</f>
        <v>리얼 머니 155화</v>
      </c>
      <c r="D2999" t="str">
        <f>T("155")</f>
        <v>155</v>
      </c>
      <c r="E2999" t="str">
        <f t="shared" si="437"/>
        <v>진문</v>
      </c>
      <c r="H2999" t="str">
        <f t="shared" si="435"/>
        <v>스토리위즈</v>
      </c>
      <c r="I2999" t="str">
        <f t="shared" si="438"/>
        <v>리얼 머니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/>
      <c r="AQ2999">
        <v>0</v>
      </c>
      <c r="AR2999">
        <v>0</v>
      </c>
      <c r="AT2999">
        <v>0</v>
      </c>
      <c r="AU2999">
        <v>0</v>
      </c>
      <c r="AW2999">
        <v>0</v>
      </c>
      <c r="AX2999">
        <v>0</v>
      </c>
      <c r="AY2999">
        <v>70</v>
      </c>
      <c r="BC2999" t="str">
        <f t="shared" si="439"/>
        <v>9791166068942</v>
      </c>
      <c r="BE2999" t="str">
        <f t="shared" si="440"/>
        <v>판타지 웹소설 &gt; 현대 판타지</v>
      </c>
    </row>
    <row r="3000" spans="1:57" x14ac:dyDescent="0.3">
      <c r="A3000">
        <v>2313009749</v>
      </c>
      <c r="B3000">
        <v>2313009904</v>
      </c>
      <c r="C3000" t="str">
        <f>T("리얼 머니 156화")</f>
        <v>리얼 머니 156화</v>
      </c>
      <c r="D3000" t="str">
        <f>T("156")</f>
        <v>156</v>
      </c>
      <c r="E3000" t="str">
        <f t="shared" si="437"/>
        <v>진문</v>
      </c>
      <c r="H3000" t="str">
        <f t="shared" ref="H3000:H3066" si="441">T("스토리위즈")</f>
        <v>스토리위즈</v>
      </c>
      <c r="I3000" t="str">
        <f t="shared" si="438"/>
        <v>리얼 머니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/>
      <c r="AQ3000">
        <v>0</v>
      </c>
      <c r="AR3000">
        <v>0</v>
      </c>
      <c r="AT3000">
        <v>0</v>
      </c>
      <c r="AU3000">
        <v>0</v>
      </c>
      <c r="AW3000">
        <v>0</v>
      </c>
      <c r="AX3000">
        <v>0</v>
      </c>
      <c r="AY3000">
        <v>70</v>
      </c>
      <c r="BC3000" t="str">
        <f t="shared" si="439"/>
        <v>9791166068942</v>
      </c>
      <c r="BE3000" t="str">
        <f t="shared" si="440"/>
        <v>판타지 웹소설 &gt; 현대 판타지</v>
      </c>
    </row>
    <row r="3001" spans="1:57" x14ac:dyDescent="0.3">
      <c r="A3001">
        <v>2313009749</v>
      </c>
      <c r="B3001">
        <v>2313009905</v>
      </c>
      <c r="C3001" t="str">
        <f>T("리얼 머니 157화")</f>
        <v>리얼 머니 157화</v>
      </c>
      <c r="D3001" t="str">
        <f>T("157")</f>
        <v>157</v>
      </c>
      <c r="E3001" t="str">
        <f t="shared" si="437"/>
        <v>진문</v>
      </c>
      <c r="H3001" t="str">
        <f t="shared" si="441"/>
        <v>스토리위즈</v>
      </c>
      <c r="I3001" t="str">
        <f t="shared" si="438"/>
        <v>리얼 머니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/>
      <c r="AQ3001">
        <v>0</v>
      </c>
      <c r="AR3001">
        <v>0</v>
      </c>
      <c r="AT3001">
        <v>0</v>
      </c>
      <c r="AU3001">
        <v>0</v>
      </c>
      <c r="AW3001">
        <v>0</v>
      </c>
      <c r="AX3001">
        <v>0</v>
      </c>
      <c r="AY3001">
        <v>70</v>
      </c>
      <c r="BC3001" t="str">
        <f t="shared" si="439"/>
        <v>9791166068942</v>
      </c>
      <c r="BE3001" t="str">
        <f t="shared" si="440"/>
        <v>판타지 웹소설 &gt; 현대 판타지</v>
      </c>
    </row>
    <row r="3002" spans="1:57" x14ac:dyDescent="0.3">
      <c r="A3002">
        <v>2313009749</v>
      </c>
      <c r="B3002">
        <v>2313009906</v>
      </c>
      <c r="C3002" t="str">
        <f>T("리얼 머니 158화")</f>
        <v>리얼 머니 158화</v>
      </c>
      <c r="D3002" t="str">
        <f>T("158")</f>
        <v>158</v>
      </c>
      <c r="E3002" t="str">
        <f t="shared" si="437"/>
        <v>진문</v>
      </c>
      <c r="H3002" t="str">
        <f t="shared" si="441"/>
        <v>스토리위즈</v>
      </c>
      <c r="I3002" t="str">
        <f t="shared" si="438"/>
        <v>리얼 머니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/>
      <c r="AQ3002">
        <v>0</v>
      </c>
      <c r="AR3002">
        <v>0</v>
      </c>
      <c r="AT3002">
        <v>0</v>
      </c>
      <c r="AU3002">
        <v>0</v>
      </c>
      <c r="AW3002">
        <v>0</v>
      </c>
      <c r="AX3002">
        <v>0</v>
      </c>
      <c r="AY3002">
        <v>70</v>
      </c>
      <c r="BC3002" t="str">
        <f t="shared" si="439"/>
        <v>9791166068942</v>
      </c>
      <c r="BE3002" t="str">
        <f t="shared" si="440"/>
        <v>판타지 웹소설 &gt; 현대 판타지</v>
      </c>
    </row>
    <row r="3003" spans="1:57" x14ac:dyDescent="0.3">
      <c r="A3003">
        <v>2313009749</v>
      </c>
      <c r="B3003">
        <v>2313009907</v>
      </c>
      <c r="C3003" t="str">
        <f>T("리얼 머니 159화")</f>
        <v>리얼 머니 159화</v>
      </c>
      <c r="D3003" t="str">
        <f>T("159")</f>
        <v>159</v>
      </c>
      <c r="E3003" t="str">
        <f t="shared" si="437"/>
        <v>진문</v>
      </c>
      <c r="H3003" t="str">
        <f t="shared" si="441"/>
        <v>스토리위즈</v>
      </c>
      <c r="I3003" t="str">
        <f t="shared" si="438"/>
        <v>리얼 머니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/>
      <c r="AQ3003">
        <v>0</v>
      </c>
      <c r="AR3003">
        <v>0</v>
      </c>
      <c r="AT3003">
        <v>0</v>
      </c>
      <c r="AU3003">
        <v>0</v>
      </c>
      <c r="AW3003">
        <v>0</v>
      </c>
      <c r="AX3003">
        <v>0</v>
      </c>
      <c r="AY3003">
        <v>70</v>
      </c>
      <c r="BC3003" t="str">
        <f t="shared" si="439"/>
        <v>9791166068942</v>
      </c>
      <c r="BE3003" t="str">
        <f t="shared" si="440"/>
        <v>판타지 웹소설 &gt; 현대 판타지</v>
      </c>
    </row>
    <row r="3004" spans="1:57" x14ac:dyDescent="0.3">
      <c r="A3004">
        <v>2313009749</v>
      </c>
      <c r="B3004">
        <v>2313009908</v>
      </c>
      <c r="C3004" t="str">
        <f>T("리얼 머니 160화")</f>
        <v>리얼 머니 160화</v>
      </c>
      <c r="D3004" t="str">
        <f>T("160")</f>
        <v>160</v>
      </c>
      <c r="E3004" t="str">
        <f t="shared" si="437"/>
        <v>진문</v>
      </c>
      <c r="H3004" t="str">
        <f t="shared" si="441"/>
        <v>스토리위즈</v>
      </c>
      <c r="I3004" t="str">
        <f t="shared" si="438"/>
        <v>리얼 머니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/>
      <c r="AQ3004">
        <v>0</v>
      </c>
      <c r="AR3004">
        <v>0</v>
      </c>
      <c r="AT3004">
        <v>0</v>
      </c>
      <c r="AU3004">
        <v>0</v>
      </c>
      <c r="AW3004">
        <v>0</v>
      </c>
      <c r="AX3004">
        <v>0</v>
      </c>
      <c r="AY3004">
        <v>70</v>
      </c>
      <c r="BC3004" t="str">
        <f t="shared" si="439"/>
        <v>9791166068942</v>
      </c>
      <c r="BE3004" t="str">
        <f t="shared" si="440"/>
        <v>판타지 웹소설 &gt; 현대 판타지</v>
      </c>
    </row>
    <row r="3005" spans="1:57" x14ac:dyDescent="0.3">
      <c r="A3005">
        <v>2313009749</v>
      </c>
      <c r="B3005">
        <v>2313009909</v>
      </c>
      <c r="C3005" t="str">
        <f>T("리얼 머니 161화")</f>
        <v>리얼 머니 161화</v>
      </c>
      <c r="D3005" t="str">
        <f>T("161")</f>
        <v>161</v>
      </c>
      <c r="E3005" t="str">
        <f t="shared" si="437"/>
        <v>진문</v>
      </c>
      <c r="H3005" t="str">
        <f t="shared" si="441"/>
        <v>스토리위즈</v>
      </c>
      <c r="I3005" t="str">
        <f t="shared" si="438"/>
        <v>리얼 머니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/>
      <c r="AQ3005">
        <v>0</v>
      </c>
      <c r="AR3005">
        <v>0</v>
      </c>
      <c r="AT3005">
        <v>0</v>
      </c>
      <c r="AU3005">
        <v>0</v>
      </c>
      <c r="AW3005">
        <v>0</v>
      </c>
      <c r="AX3005">
        <v>0</v>
      </c>
      <c r="AY3005">
        <v>70</v>
      </c>
      <c r="BC3005" t="str">
        <f t="shared" si="439"/>
        <v>9791166068942</v>
      </c>
      <c r="BE3005" t="str">
        <f t="shared" si="440"/>
        <v>판타지 웹소설 &gt; 현대 판타지</v>
      </c>
    </row>
    <row r="3006" spans="1:57" x14ac:dyDescent="0.3">
      <c r="A3006">
        <v>2313009749</v>
      </c>
      <c r="B3006">
        <v>2313009910</v>
      </c>
      <c r="C3006" t="str">
        <f>T("리얼 머니 162화")</f>
        <v>리얼 머니 162화</v>
      </c>
      <c r="D3006" t="str">
        <f>T("162")</f>
        <v>162</v>
      </c>
      <c r="E3006" t="str">
        <f t="shared" si="437"/>
        <v>진문</v>
      </c>
      <c r="H3006" t="str">
        <f t="shared" si="441"/>
        <v>스토리위즈</v>
      </c>
      <c r="I3006" t="str">
        <f t="shared" si="438"/>
        <v>리얼 머니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/>
      <c r="AQ3006">
        <v>0</v>
      </c>
      <c r="AR3006">
        <v>0</v>
      </c>
      <c r="AT3006">
        <v>0</v>
      </c>
      <c r="AU3006">
        <v>0</v>
      </c>
      <c r="AW3006">
        <v>0</v>
      </c>
      <c r="AX3006">
        <v>0</v>
      </c>
      <c r="AY3006">
        <v>70</v>
      </c>
      <c r="BC3006" t="str">
        <f t="shared" si="439"/>
        <v>9791166068942</v>
      </c>
      <c r="BE3006" t="str">
        <f t="shared" si="440"/>
        <v>판타지 웹소설 &gt; 현대 판타지</v>
      </c>
    </row>
    <row r="3007" spans="1:57" x14ac:dyDescent="0.3">
      <c r="A3007">
        <v>2313009749</v>
      </c>
      <c r="B3007">
        <v>2313009911</v>
      </c>
      <c r="C3007" t="str">
        <f>T("리얼 머니 163화")</f>
        <v>리얼 머니 163화</v>
      </c>
      <c r="D3007" t="str">
        <f>T("163")</f>
        <v>163</v>
      </c>
      <c r="E3007" t="str">
        <f t="shared" si="437"/>
        <v>진문</v>
      </c>
      <c r="H3007" t="str">
        <f t="shared" si="441"/>
        <v>스토리위즈</v>
      </c>
      <c r="I3007" t="str">
        <f t="shared" si="438"/>
        <v>리얼 머니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/>
      <c r="AQ3007">
        <v>0</v>
      </c>
      <c r="AR3007">
        <v>0</v>
      </c>
      <c r="AT3007">
        <v>0</v>
      </c>
      <c r="AU3007">
        <v>0</v>
      </c>
      <c r="AW3007">
        <v>0</v>
      </c>
      <c r="AX3007">
        <v>0</v>
      </c>
      <c r="AY3007">
        <v>70</v>
      </c>
      <c r="BC3007" t="str">
        <f t="shared" si="439"/>
        <v>9791166068942</v>
      </c>
      <c r="BE3007" t="str">
        <f t="shared" si="440"/>
        <v>판타지 웹소설 &gt; 현대 판타지</v>
      </c>
    </row>
    <row r="3008" spans="1:57" x14ac:dyDescent="0.3">
      <c r="A3008">
        <v>2313009749</v>
      </c>
      <c r="B3008">
        <v>2313009912</v>
      </c>
      <c r="C3008" t="str">
        <f>T("리얼 머니 164화")</f>
        <v>리얼 머니 164화</v>
      </c>
      <c r="D3008" t="str">
        <f>T("164")</f>
        <v>164</v>
      </c>
      <c r="E3008" t="str">
        <f t="shared" si="437"/>
        <v>진문</v>
      </c>
      <c r="H3008" t="str">
        <f t="shared" si="441"/>
        <v>스토리위즈</v>
      </c>
      <c r="I3008" t="str">
        <f t="shared" si="438"/>
        <v>리얼 머니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/>
      <c r="AQ3008">
        <v>0</v>
      </c>
      <c r="AR3008">
        <v>0</v>
      </c>
      <c r="AT3008">
        <v>0</v>
      </c>
      <c r="AU3008">
        <v>0</v>
      </c>
      <c r="AW3008">
        <v>0</v>
      </c>
      <c r="AX3008">
        <v>0</v>
      </c>
      <c r="AY3008">
        <v>70</v>
      </c>
      <c r="BC3008" t="str">
        <f t="shared" si="439"/>
        <v>9791166068942</v>
      </c>
      <c r="BE3008" t="str">
        <f t="shared" si="440"/>
        <v>판타지 웹소설 &gt; 현대 판타지</v>
      </c>
    </row>
    <row r="3009" spans="1:57" x14ac:dyDescent="0.3">
      <c r="A3009">
        <v>2313009749</v>
      </c>
      <c r="B3009">
        <v>2313009913</v>
      </c>
      <c r="C3009" t="str">
        <f>T("리얼 머니 165화")</f>
        <v>리얼 머니 165화</v>
      </c>
      <c r="D3009" t="str">
        <f>T("165")</f>
        <v>165</v>
      </c>
      <c r="E3009" t="str">
        <f t="shared" si="437"/>
        <v>진문</v>
      </c>
      <c r="H3009" t="str">
        <f t="shared" si="441"/>
        <v>스토리위즈</v>
      </c>
      <c r="I3009" t="str">
        <f t="shared" si="438"/>
        <v>리얼 머니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/>
      <c r="AQ3009">
        <v>0</v>
      </c>
      <c r="AR3009">
        <v>0</v>
      </c>
      <c r="AT3009">
        <v>0</v>
      </c>
      <c r="AU3009">
        <v>0</v>
      </c>
      <c r="AW3009">
        <v>0</v>
      </c>
      <c r="AX3009">
        <v>0</v>
      </c>
      <c r="AY3009">
        <v>70</v>
      </c>
      <c r="BC3009" t="str">
        <f t="shared" si="439"/>
        <v>9791166068942</v>
      </c>
      <c r="BE3009" t="str">
        <f t="shared" si="440"/>
        <v>판타지 웹소설 &gt; 현대 판타지</v>
      </c>
    </row>
    <row r="3010" spans="1:57" x14ac:dyDescent="0.3">
      <c r="A3010">
        <v>2313009749</v>
      </c>
      <c r="B3010">
        <v>2313009914</v>
      </c>
      <c r="C3010" t="str">
        <f>T("리얼 머니 166화")</f>
        <v>리얼 머니 166화</v>
      </c>
      <c r="D3010" t="str">
        <f>T("166")</f>
        <v>166</v>
      </c>
      <c r="E3010" t="str">
        <f t="shared" si="437"/>
        <v>진문</v>
      </c>
      <c r="H3010" t="str">
        <f t="shared" si="441"/>
        <v>스토리위즈</v>
      </c>
      <c r="I3010" t="str">
        <f t="shared" si="438"/>
        <v>리얼 머니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/>
      <c r="AQ3010">
        <v>0</v>
      </c>
      <c r="AR3010">
        <v>0</v>
      </c>
      <c r="AT3010">
        <v>0</v>
      </c>
      <c r="AU3010">
        <v>0</v>
      </c>
      <c r="AW3010">
        <v>0</v>
      </c>
      <c r="AX3010">
        <v>0</v>
      </c>
      <c r="AY3010">
        <v>70</v>
      </c>
      <c r="BC3010" t="str">
        <f t="shared" si="439"/>
        <v>9791166068942</v>
      </c>
      <c r="BE3010" t="str">
        <f t="shared" si="440"/>
        <v>판타지 웹소설 &gt; 현대 판타지</v>
      </c>
    </row>
    <row r="3011" spans="1:57" x14ac:dyDescent="0.3">
      <c r="A3011">
        <v>2313009749</v>
      </c>
      <c r="B3011">
        <v>2313009915</v>
      </c>
      <c r="C3011" t="str">
        <f>T("리얼 머니 167화")</f>
        <v>리얼 머니 167화</v>
      </c>
      <c r="D3011" t="str">
        <f>T("167")</f>
        <v>167</v>
      </c>
      <c r="E3011" t="str">
        <f t="shared" si="437"/>
        <v>진문</v>
      </c>
      <c r="H3011" t="str">
        <f t="shared" si="441"/>
        <v>스토리위즈</v>
      </c>
      <c r="I3011" t="str">
        <f t="shared" si="438"/>
        <v>리얼 머니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/>
      <c r="AQ3011">
        <v>0</v>
      </c>
      <c r="AR3011">
        <v>0</v>
      </c>
      <c r="AT3011">
        <v>0</v>
      </c>
      <c r="AU3011">
        <v>0</v>
      </c>
      <c r="AW3011">
        <v>0</v>
      </c>
      <c r="AX3011">
        <v>0</v>
      </c>
      <c r="AY3011">
        <v>70</v>
      </c>
      <c r="BC3011" t="str">
        <f t="shared" si="439"/>
        <v>9791166068942</v>
      </c>
      <c r="BE3011" t="str">
        <f t="shared" si="440"/>
        <v>판타지 웹소설 &gt; 현대 판타지</v>
      </c>
    </row>
    <row r="3012" spans="1:57" x14ac:dyDescent="0.3">
      <c r="A3012">
        <v>2313009749</v>
      </c>
      <c r="B3012">
        <v>2313009916</v>
      </c>
      <c r="C3012" t="str">
        <f>T("리얼 머니 168화")</f>
        <v>리얼 머니 168화</v>
      </c>
      <c r="D3012" t="str">
        <f>T("168")</f>
        <v>168</v>
      </c>
      <c r="E3012" t="str">
        <f t="shared" si="437"/>
        <v>진문</v>
      </c>
      <c r="H3012" t="str">
        <f t="shared" si="441"/>
        <v>스토리위즈</v>
      </c>
      <c r="I3012" t="str">
        <f t="shared" si="438"/>
        <v>리얼 머니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/>
      <c r="AQ3012">
        <v>0</v>
      </c>
      <c r="AR3012">
        <v>0</v>
      </c>
      <c r="AT3012">
        <v>0</v>
      </c>
      <c r="AU3012">
        <v>0</v>
      </c>
      <c r="AW3012">
        <v>0</v>
      </c>
      <c r="AX3012">
        <v>0</v>
      </c>
      <c r="AY3012">
        <v>70</v>
      </c>
      <c r="BC3012" t="str">
        <f t="shared" si="439"/>
        <v>9791166068942</v>
      </c>
      <c r="BE3012" t="str">
        <f t="shared" si="440"/>
        <v>판타지 웹소설 &gt; 현대 판타지</v>
      </c>
    </row>
    <row r="3013" spans="1:57" x14ac:dyDescent="0.3">
      <c r="A3013">
        <v>2313009749</v>
      </c>
      <c r="B3013">
        <v>2313009917</v>
      </c>
      <c r="C3013" t="str">
        <f>T("리얼 머니 169화")</f>
        <v>리얼 머니 169화</v>
      </c>
      <c r="D3013" t="str">
        <f>T("169")</f>
        <v>169</v>
      </c>
      <c r="E3013" t="str">
        <f t="shared" si="437"/>
        <v>진문</v>
      </c>
      <c r="H3013" t="str">
        <f t="shared" si="441"/>
        <v>스토리위즈</v>
      </c>
      <c r="I3013" t="str">
        <f t="shared" si="438"/>
        <v>리얼 머니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/>
      <c r="AQ3013">
        <v>0</v>
      </c>
      <c r="AR3013">
        <v>0</v>
      </c>
      <c r="AT3013">
        <v>0</v>
      </c>
      <c r="AU3013">
        <v>0</v>
      </c>
      <c r="AW3013">
        <v>0</v>
      </c>
      <c r="AX3013">
        <v>0</v>
      </c>
      <c r="AY3013">
        <v>70</v>
      </c>
      <c r="BC3013" t="str">
        <f t="shared" si="439"/>
        <v>9791166068942</v>
      </c>
      <c r="BE3013" t="str">
        <f t="shared" si="440"/>
        <v>판타지 웹소설 &gt; 현대 판타지</v>
      </c>
    </row>
    <row r="3014" spans="1:57" x14ac:dyDescent="0.3">
      <c r="A3014">
        <v>2313009749</v>
      </c>
      <c r="B3014">
        <v>2313009918</v>
      </c>
      <c r="C3014" t="str">
        <f>T("리얼 머니 170화")</f>
        <v>리얼 머니 170화</v>
      </c>
      <c r="D3014" t="str">
        <f>T("170")</f>
        <v>170</v>
      </c>
      <c r="E3014" t="str">
        <f t="shared" si="437"/>
        <v>진문</v>
      </c>
      <c r="H3014" t="str">
        <f t="shared" si="441"/>
        <v>스토리위즈</v>
      </c>
      <c r="I3014" t="str">
        <f t="shared" si="438"/>
        <v>리얼 머니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/>
      <c r="AQ3014">
        <v>0</v>
      </c>
      <c r="AR3014">
        <v>0</v>
      </c>
      <c r="AT3014">
        <v>0</v>
      </c>
      <c r="AU3014">
        <v>0</v>
      </c>
      <c r="AW3014">
        <v>0</v>
      </c>
      <c r="AX3014">
        <v>0</v>
      </c>
      <c r="AY3014">
        <v>70</v>
      </c>
      <c r="BC3014" t="str">
        <f t="shared" si="439"/>
        <v>9791166068942</v>
      </c>
      <c r="BE3014" t="str">
        <f t="shared" si="440"/>
        <v>판타지 웹소설 &gt; 현대 판타지</v>
      </c>
    </row>
    <row r="3015" spans="1:57" x14ac:dyDescent="0.3">
      <c r="A3015">
        <v>2313009749</v>
      </c>
      <c r="B3015">
        <v>2313009919</v>
      </c>
      <c r="C3015" t="str">
        <f>T("리얼 머니 171화")</f>
        <v>리얼 머니 171화</v>
      </c>
      <c r="D3015" t="str">
        <f>T("171")</f>
        <v>171</v>
      </c>
      <c r="E3015" t="str">
        <f t="shared" si="437"/>
        <v>진문</v>
      </c>
      <c r="H3015" t="str">
        <f t="shared" si="441"/>
        <v>스토리위즈</v>
      </c>
      <c r="I3015" t="str">
        <f t="shared" si="438"/>
        <v>리얼 머니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/>
      <c r="AQ3015">
        <v>0</v>
      </c>
      <c r="AR3015">
        <v>0</v>
      </c>
      <c r="AT3015">
        <v>0</v>
      </c>
      <c r="AU3015">
        <v>0</v>
      </c>
      <c r="AW3015">
        <v>0</v>
      </c>
      <c r="AX3015">
        <v>0</v>
      </c>
      <c r="AY3015">
        <v>70</v>
      </c>
      <c r="BC3015" t="str">
        <f t="shared" si="439"/>
        <v>9791166068942</v>
      </c>
      <c r="BE3015" t="str">
        <f t="shared" si="440"/>
        <v>판타지 웹소설 &gt; 현대 판타지</v>
      </c>
    </row>
    <row r="3016" spans="1:57" x14ac:dyDescent="0.3">
      <c r="A3016">
        <v>2313009749</v>
      </c>
      <c r="B3016">
        <v>2313009920</v>
      </c>
      <c r="C3016" t="str">
        <f>T("리얼 머니 172화")</f>
        <v>리얼 머니 172화</v>
      </c>
      <c r="D3016" t="str">
        <f>T("172")</f>
        <v>172</v>
      </c>
      <c r="E3016" t="str">
        <f t="shared" si="437"/>
        <v>진문</v>
      </c>
      <c r="H3016" t="str">
        <f t="shared" si="441"/>
        <v>스토리위즈</v>
      </c>
      <c r="I3016" t="str">
        <f t="shared" si="438"/>
        <v>리얼 머니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/>
      <c r="AQ3016">
        <v>0</v>
      </c>
      <c r="AR3016">
        <v>0</v>
      </c>
      <c r="AT3016">
        <v>0</v>
      </c>
      <c r="AU3016">
        <v>0</v>
      </c>
      <c r="AW3016">
        <v>0</v>
      </c>
      <c r="AX3016">
        <v>0</v>
      </c>
      <c r="AY3016">
        <v>70</v>
      </c>
      <c r="BC3016" t="str">
        <f t="shared" si="439"/>
        <v>9791166068942</v>
      </c>
      <c r="BE3016" t="str">
        <f t="shared" si="440"/>
        <v>판타지 웹소설 &gt; 현대 판타지</v>
      </c>
    </row>
    <row r="3017" spans="1:57" x14ac:dyDescent="0.3">
      <c r="A3017">
        <v>2313009749</v>
      </c>
      <c r="B3017">
        <v>2313009921</v>
      </c>
      <c r="C3017" t="str">
        <f>T("리얼 머니 173화")</f>
        <v>리얼 머니 173화</v>
      </c>
      <c r="D3017" t="str">
        <f>T("173")</f>
        <v>173</v>
      </c>
      <c r="E3017" t="str">
        <f t="shared" si="437"/>
        <v>진문</v>
      </c>
      <c r="H3017" t="str">
        <f t="shared" si="441"/>
        <v>스토리위즈</v>
      </c>
      <c r="I3017" t="str">
        <f t="shared" si="438"/>
        <v>리얼 머니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/>
      <c r="AQ3017">
        <v>0</v>
      </c>
      <c r="AR3017">
        <v>0</v>
      </c>
      <c r="AT3017">
        <v>0</v>
      </c>
      <c r="AU3017">
        <v>0</v>
      </c>
      <c r="AW3017">
        <v>0</v>
      </c>
      <c r="AX3017">
        <v>0</v>
      </c>
      <c r="AY3017">
        <v>70</v>
      </c>
      <c r="BC3017" t="str">
        <f t="shared" si="439"/>
        <v>9791166068942</v>
      </c>
      <c r="BE3017" t="str">
        <f t="shared" si="440"/>
        <v>판타지 웹소설 &gt; 현대 판타지</v>
      </c>
    </row>
    <row r="3018" spans="1:57" x14ac:dyDescent="0.3">
      <c r="A3018">
        <v>2313009749</v>
      </c>
      <c r="B3018">
        <v>2313009922</v>
      </c>
      <c r="C3018" t="str">
        <f>T("리얼 머니 174화")</f>
        <v>리얼 머니 174화</v>
      </c>
      <c r="D3018" t="str">
        <f>T("174")</f>
        <v>174</v>
      </c>
      <c r="E3018" t="str">
        <f t="shared" si="437"/>
        <v>진문</v>
      </c>
      <c r="H3018" t="str">
        <f t="shared" si="441"/>
        <v>스토리위즈</v>
      </c>
      <c r="I3018" t="str">
        <f t="shared" si="438"/>
        <v>리얼 머니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/>
      <c r="AQ3018">
        <v>0</v>
      </c>
      <c r="AR3018">
        <v>0</v>
      </c>
      <c r="AT3018">
        <v>0</v>
      </c>
      <c r="AU3018">
        <v>0</v>
      </c>
      <c r="AW3018">
        <v>0</v>
      </c>
      <c r="AX3018">
        <v>0</v>
      </c>
      <c r="AY3018">
        <v>70</v>
      </c>
      <c r="BC3018" t="str">
        <f t="shared" si="439"/>
        <v>9791166068942</v>
      </c>
      <c r="BE3018" t="str">
        <f t="shared" si="440"/>
        <v>판타지 웹소설 &gt; 현대 판타지</v>
      </c>
    </row>
    <row r="3019" spans="1:57" x14ac:dyDescent="0.3">
      <c r="A3019">
        <v>2313009749</v>
      </c>
      <c r="B3019">
        <v>2313009923</v>
      </c>
      <c r="C3019" t="str">
        <f>T("리얼 머니 175화")</f>
        <v>리얼 머니 175화</v>
      </c>
      <c r="D3019" t="str">
        <f>T("175")</f>
        <v>175</v>
      </c>
      <c r="E3019" t="str">
        <f t="shared" si="437"/>
        <v>진문</v>
      </c>
      <c r="H3019" t="str">
        <f t="shared" si="441"/>
        <v>스토리위즈</v>
      </c>
      <c r="I3019" t="str">
        <f t="shared" si="438"/>
        <v>리얼 머니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/>
      <c r="AQ3019">
        <v>0</v>
      </c>
      <c r="AR3019">
        <v>0</v>
      </c>
      <c r="AT3019">
        <v>0</v>
      </c>
      <c r="AU3019">
        <v>0</v>
      </c>
      <c r="AW3019">
        <v>0</v>
      </c>
      <c r="AX3019">
        <v>0</v>
      </c>
      <c r="AY3019">
        <v>70</v>
      </c>
      <c r="BC3019" t="str">
        <f t="shared" si="439"/>
        <v>9791166068942</v>
      </c>
      <c r="BE3019" t="str">
        <f t="shared" si="440"/>
        <v>판타지 웹소설 &gt; 현대 판타지</v>
      </c>
    </row>
    <row r="3020" spans="1:57" x14ac:dyDescent="0.3">
      <c r="A3020">
        <v>2313009749</v>
      </c>
      <c r="B3020">
        <v>2313009924</v>
      </c>
      <c r="C3020" t="str">
        <f>T("리얼 머니 176화")</f>
        <v>리얼 머니 176화</v>
      </c>
      <c r="D3020" t="str">
        <f>T("176")</f>
        <v>176</v>
      </c>
      <c r="E3020" t="str">
        <f t="shared" si="437"/>
        <v>진문</v>
      </c>
      <c r="H3020" t="str">
        <f t="shared" si="441"/>
        <v>스토리위즈</v>
      </c>
      <c r="I3020" t="str">
        <f t="shared" si="438"/>
        <v>리얼 머니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/>
      <c r="AQ3020">
        <v>0</v>
      </c>
      <c r="AR3020">
        <v>0</v>
      </c>
      <c r="AT3020">
        <v>0</v>
      </c>
      <c r="AU3020">
        <v>0</v>
      </c>
      <c r="AW3020">
        <v>0</v>
      </c>
      <c r="AX3020">
        <v>0</v>
      </c>
      <c r="AY3020">
        <v>70</v>
      </c>
      <c r="BC3020" t="str">
        <f t="shared" si="439"/>
        <v>9791166068942</v>
      </c>
      <c r="BE3020" t="str">
        <f t="shared" si="440"/>
        <v>판타지 웹소설 &gt; 현대 판타지</v>
      </c>
    </row>
    <row r="3021" spans="1:57" x14ac:dyDescent="0.3">
      <c r="A3021">
        <v>2313009749</v>
      </c>
      <c r="B3021">
        <v>2313009925</v>
      </c>
      <c r="C3021" t="str">
        <f>T("리얼 머니 177화")</f>
        <v>리얼 머니 177화</v>
      </c>
      <c r="D3021" t="str">
        <f>T("177")</f>
        <v>177</v>
      </c>
      <c r="E3021" t="str">
        <f t="shared" si="437"/>
        <v>진문</v>
      </c>
      <c r="H3021" t="str">
        <f t="shared" si="441"/>
        <v>스토리위즈</v>
      </c>
      <c r="I3021" t="str">
        <f t="shared" si="438"/>
        <v>리얼 머니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/>
      <c r="AQ3021">
        <v>0</v>
      </c>
      <c r="AR3021">
        <v>0</v>
      </c>
      <c r="AT3021">
        <v>0</v>
      </c>
      <c r="AU3021">
        <v>0</v>
      </c>
      <c r="AW3021">
        <v>0</v>
      </c>
      <c r="AX3021">
        <v>0</v>
      </c>
      <c r="AY3021">
        <v>70</v>
      </c>
      <c r="BC3021" t="str">
        <f t="shared" si="439"/>
        <v>9791166068942</v>
      </c>
      <c r="BE3021" t="str">
        <f t="shared" si="440"/>
        <v>판타지 웹소설 &gt; 현대 판타지</v>
      </c>
    </row>
    <row r="3022" spans="1:57" x14ac:dyDescent="0.3">
      <c r="A3022">
        <v>2313009749</v>
      </c>
      <c r="B3022">
        <v>2313009926</v>
      </c>
      <c r="C3022" t="str">
        <f>T("리얼 머니 178화")</f>
        <v>리얼 머니 178화</v>
      </c>
      <c r="D3022" t="str">
        <f>T("178")</f>
        <v>178</v>
      </c>
      <c r="E3022" t="str">
        <f t="shared" si="437"/>
        <v>진문</v>
      </c>
      <c r="H3022" t="str">
        <f t="shared" si="441"/>
        <v>스토리위즈</v>
      </c>
      <c r="I3022" t="str">
        <f t="shared" si="438"/>
        <v>리얼 머니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/>
      <c r="AQ3022">
        <v>0</v>
      </c>
      <c r="AR3022">
        <v>0</v>
      </c>
      <c r="AT3022">
        <v>0</v>
      </c>
      <c r="AU3022">
        <v>0</v>
      </c>
      <c r="AW3022">
        <v>0</v>
      </c>
      <c r="AX3022">
        <v>0</v>
      </c>
      <c r="AY3022">
        <v>70</v>
      </c>
      <c r="BC3022" t="str">
        <f t="shared" si="439"/>
        <v>9791166068942</v>
      </c>
      <c r="BE3022" t="str">
        <f t="shared" si="440"/>
        <v>판타지 웹소설 &gt; 현대 판타지</v>
      </c>
    </row>
    <row r="3023" spans="1:57" x14ac:dyDescent="0.3">
      <c r="A3023">
        <v>2313009749</v>
      </c>
      <c r="B3023">
        <v>2313009927</v>
      </c>
      <c r="C3023" t="str">
        <f>T("리얼 머니 179화")</f>
        <v>리얼 머니 179화</v>
      </c>
      <c r="D3023" t="str">
        <f>T("179")</f>
        <v>179</v>
      </c>
      <c r="E3023" t="str">
        <f t="shared" si="437"/>
        <v>진문</v>
      </c>
      <c r="H3023" t="str">
        <f t="shared" si="441"/>
        <v>스토리위즈</v>
      </c>
      <c r="I3023" t="str">
        <f t="shared" si="438"/>
        <v>리얼 머니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/>
      <c r="AQ3023">
        <v>0</v>
      </c>
      <c r="AR3023">
        <v>0</v>
      </c>
      <c r="AT3023">
        <v>0</v>
      </c>
      <c r="AU3023">
        <v>0</v>
      </c>
      <c r="AW3023">
        <v>0</v>
      </c>
      <c r="AX3023">
        <v>0</v>
      </c>
      <c r="AY3023">
        <v>70</v>
      </c>
      <c r="BC3023" t="str">
        <f t="shared" si="439"/>
        <v>9791166068942</v>
      </c>
      <c r="BE3023" t="str">
        <f t="shared" si="440"/>
        <v>판타지 웹소설 &gt; 현대 판타지</v>
      </c>
    </row>
    <row r="3024" spans="1:57" x14ac:dyDescent="0.3">
      <c r="A3024">
        <v>2313009749</v>
      </c>
      <c r="B3024">
        <v>2313009928</v>
      </c>
      <c r="C3024" t="str">
        <f>T("리얼 머니 180화")</f>
        <v>리얼 머니 180화</v>
      </c>
      <c r="D3024" t="str">
        <f>T("180")</f>
        <v>180</v>
      </c>
      <c r="E3024" t="str">
        <f t="shared" si="437"/>
        <v>진문</v>
      </c>
      <c r="H3024" t="str">
        <f t="shared" si="441"/>
        <v>스토리위즈</v>
      </c>
      <c r="I3024" t="str">
        <f t="shared" si="438"/>
        <v>리얼 머니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/>
      <c r="AQ3024">
        <v>0</v>
      </c>
      <c r="AR3024">
        <v>0</v>
      </c>
      <c r="AT3024">
        <v>0</v>
      </c>
      <c r="AU3024">
        <v>0</v>
      </c>
      <c r="AW3024">
        <v>0</v>
      </c>
      <c r="AX3024">
        <v>0</v>
      </c>
      <c r="AY3024">
        <v>70</v>
      </c>
      <c r="BC3024" t="str">
        <f t="shared" si="439"/>
        <v>9791166068942</v>
      </c>
      <c r="BE3024" t="str">
        <f t="shared" si="440"/>
        <v>판타지 웹소설 &gt; 현대 판타지</v>
      </c>
    </row>
    <row r="3025" spans="1:57" x14ac:dyDescent="0.3">
      <c r="A3025">
        <v>2313009749</v>
      </c>
      <c r="B3025">
        <v>2313009929</v>
      </c>
      <c r="C3025" t="str">
        <f>T("리얼 머니 181화")</f>
        <v>리얼 머니 181화</v>
      </c>
      <c r="D3025" t="str">
        <f>T("181")</f>
        <v>181</v>
      </c>
      <c r="E3025" t="str">
        <f t="shared" si="437"/>
        <v>진문</v>
      </c>
      <c r="H3025" t="str">
        <f t="shared" si="441"/>
        <v>스토리위즈</v>
      </c>
      <c r="I3025" t="str">
        <f t="shared" si="438"/>
        <v>리얼 머니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/>
      <c r="AQ3025">
        <v>0</v>
      </c>
      <c r="AR3025">
        <v>0</v>
      </c>
      <c r="AT3025">
        <v>0</v>
      </c>
      <c r="AU3025">
        <v>0</v>
      </c>
      <c r="AW3025">
        <v>0</v>
      </c>
      <c r="AX3025">
        <v>0</v>
      </c>
      <c r="AY3025">
        <v>70</v>
      </c>
      <c r="BC3025" t="str">
        <f t="shared" si="439"/>
        <v>9791166068942</v>
      </c>
      <c r="BE3025" t="str">
        <f t="shared" si="440"/>
        <v>판타지 웹소설 &gt; 현대 판타지</v>
      </c>
    </row>
    <row r="3026" spans="1:57" x14ac:dyDescent="0.3">
      <c r="A3026">
        <v>2313009749</v>
      </c>
      <c r="B3026">
        <v>2313009930</v>
      </c>
      <c r="C3026" t="str">
        <f>T("리얼 머니 182화")</f>
        <v>리얼 머니 182화</v>
      </c>
      <c r="D3026" t="str">
        <f>T("182")</f>
        <v>182</v>
      </c>
      <c r="E3026" t="str">
        <f t="shared" si="437"/>
        <v>진문</v>
      </c>
      <c r="H3026" t="str">
        <f t="shared" si="441"/>
        <v>스토리위즈</v>
      </c>
      <c r="I3026" t="str">
        <f t="shared" si="438"/>
        <v>리얼 머니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/>
      <c r="AQ3026">
        <v>0</v>
      </c>
      <c r="AR3026">
        <v>0</v>
      </c>
      <c r="AT3026">
        <v>0</v>
      </c>
      <c r="AU3026">
        <v>0</v>
      </c>
      <c r="AW3026">
        <v>0</v>
      </c>
      <c r="AX3026">
        <v>0</v>
      </c>
      <c r="AY3026">
        <v>70</v>
      </c>
      <c r="BC3026" t="str">
        <f t="shared" si="439"/>
        <v>9791166068942</v>
      </c>
      <c r="BE3026" t="str">
        <f t="shared" si="440"/>
        <v>판타지 웹소설 &gt; 현대 판타지</v>
      </c>
    </row>
    <row r="3027" spans="1:57" x14ac:dyDescent="0.3">
      <c r="A3027">
        <v>2313009749</v>
      </c>
      <c r="B3027">
        <v>2313009931</v>
      </c>
      <c r="C3027" t="str">
        <f>T("리얼 머니 183화")</f>
        <v>리얼 머니 183화</v>
      </c>
      <c r="D3027" t="str">
        <f>T("183")</f>
        <v>183</v>
      </c>
      <c r="E3027" t="str">
        <f t="shared" si="437"/>
        <v>진문</v>
      </c>
      <c r="H3027" t="str">
        <f t="shared" si="441"/>
        <v>스토리위즈</v>
      </c>
      <c r="I3027" t="str">
        <f t="shared" si="438"/>
        <v>리얼 머니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/>
      <c r="AQ3027">
        <v>0</v>
      </c>
      <c r="AR3027">
        <v>0</v>
      </c>
      <c r="AT3027">
        <v>0</v>
      </c>
      <c r="AU3027">
        <v>0</v>
      </c>
      <c r="AW3027">
        <v>0</v>
      </c>
      <c r="AX3027">
        <v>0</v>
      </c>
      <c r="AY3027">
        <v>70</v>
      </c>
      <c r="BC3027" t="str">
        <f t="shared" si="439"/>
        <v>9791166068942</v>
      </c>
      <c r="BE3027" t="str">
        <f t="shared" si="440"/>
        <v>판타지 웹소설 &gt; 현대 판타지</v>
      </c>
    </row>
    <row r="3028" spans="1:57" x14ac:dyDescent="0.3">
      <c r="A3028">
        <v>2313009749</v>
      </c>
      <c r="B3028">
        <v>2313009932</v>
      </c>
      <c r="C3028" t="str">
        <f>T("리얼 머니 184화")</f>
        <v>리얼 머니 184화</v>
      </c>
      <c r="D3028" t="str">
        <f>T("184")</f>
        <v>184</v>
      </c>
      <c r="E3028" t="str">
        <f t="shared" si="437"/>
        <v>진문</v>
      </c>
      <c r="H3028" t="str">
        <f t="shared" si="441"/>
        <v>스토리위즈</v>
      </c>
      <c r="I3028" t="str">
        <f t="shared" si="438"/>
        <v>리얼 머니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/>
      <c r="AQ3028">
        <v>0</v>
      </c>
      <c r="AR3028">
        <v>0</v>
      </c>
      <c r="AT3028">
        <v>0</v>
      </c>
      <c r="AU3028">
        <v>0</v>
      </c>
      <c r="AW3028">
        <v>0</v>
      </c>
      <c r="AX3028">
        <v>0</v>
      </c>
      <c r="AY3028">
        <v>70</v>
      </c>
      <c r="BC3028" t="str">
        <f t="shared" si="439"/>
        <v>9791166068942</v>
      </c>
      <c r="BE3028" t="str">
        <f t="shared" si="440"/>
        <v>판타지 웹소설 &gt; 현대 판타지</v>
      </c>
    </row>
    <row r="3029" spans="1:57" x14ac:dyDescent="0.3">
      <c r="A3029">
        <v>2313009749</v>
      </c>
      <c r="B3029">
        <v>2313009933</v>
      </c>
      <c r="C3029" t="str">
        <f>T("리얼 머니 185화")</f>
        <v>리얼 머니 185화</v>
      </c>
      <c r="D3029" t="str">
        <f>T("185")</f>
        <v>185</v>
      </c>
      <c r="E3029" t="str">
        <f t="shared" si="437"/>
        <v>진문</v>
      </c>
      <c r="H3029" t="str">
        <f t="shared" si="441"/>
        <v>스토리위즈</v>
      </c>
      <c r="I3029" t="str">
        <f t="shared" si="438"/>
        <v>리얼 머니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/>
      <c r="AQ3029">
        <v>0</v>
      </c>
      <c r="AR3029">
        <v>0</v>
      </c>
      <c r="AT3029">
        <v>0</v>
      </c>
      <c r="AU3029">
        <v>0</v>
      </c>
      <c r="AW3029">
        <v>0</v>
      </c>
      <c r="AX3029">
        <v>0</v>
      </c>
      <c r="AY3029">
        <v>70</v>
      </c>
      <c r="BC3029" t="str">
        <f t="shared" si="439"/>
        <v>9791166068942</v>
      </c>
      <c r="BE3029" t="str">
        <f t="shared" si="440"/>
        <v>판타지 웹소설 &gt; 현대 판타지</v>
      </c>
    </row>
    <row r="3030" spans="1:57" x14ac:dyDescent="0.3">
      <c r="A3030">
        <v>2313009749</v>
      </c>
      <c r="B3030">
        <v>2313009934</v>
      </c>
      <c r="C3030" t="str">
        <f>T("리얼 머니 186화")</f>
        <v>리얼 머니 186화</v>
      </c>
      <c r="D3030" t="str">
        <f>T("186")</f>
        <v>186</v>
      </c>
      <c r="E3030" t="str">
        <f t="shared" si="437"/>
        <v>진문</v>
      </c>
      <c r="H3030" t="str">
        <f t="shared" si="441"/>
        <v>스토리위즈</v>
      </c>
      <c r="I3030" t="str">
        <f t="shared" si="438"/>
        <v>리얼 머니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/>
      <c r="AQ3030">
        <v>0</v>
      </c>
      <c r="AR3030">
        <v>0</v>
      </c>
      <c r="AT3030">
        <v>0</v>
      </c>
      <c r="AU3030">
        <v>0</v>
      </c>
      <c r="AW3030">
        <v>0</v>
      </c>
      <c r="AX3030">
        <v>0</v>
      </c>
      <c r="AY3030">
        <v>70</v>
      </c>
      <c r="BC3030" t="str">
        <f t="shared" si="439"/>
        <v>9791166068942</v>
      </c>
      <c r="BE3030" t="str">
        <f t="shared" si="440"/>
        <v>판타지 웹소설 &gt; 현대 판타지</v>
      </c>
    </row>
    <row r="3031" spans="1:57" x14ac:dyDescent="0.3">
      <c r="A3031">
        <v>2313009749</v>
      </c>
      <c r="B3031">
        <v>2313009935</v>
      </c>
      <c r="C3031" t="str">
        <f>T("리얼 머니 187화")</f>
        <v>리얼 머니 187화</v>
      </c>
      <c r="D3031" t="str">
        <f>T("187")</f>
        <v>187</v>
      </c>
      <c r="E3031" t="str">
        <f t="shared" si="437"/>
        <v>진문</v>
      </c>
      <c r="H3031" t="str">
        <f t="shared" si="441"/>
        <v>스토리위즈</v>
      </c>
      <c r="I3031" t="str">
        <f t="shared" si="438"/>
        <v>리얼 머니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/>
      <c r="AQ3031">
        <v>0</v>
      </c>
      <c r="AR3031">
        <v>0</v>
      </c>
      <c r="AT3031">
        <v>0</v>
      </c>
      <c r="AU3031">
        <v>0</v>
      </c>
      <c r="AW3031">
        <v>0</v>
      </c>
      <c r="AX3031">
        <v>0</v>
      </c>
      <c r="AY3031">
        <v>70</v>
      </c>
      <c r="BC3031" t="str">
        <f t="shared" si="439"/>
        <v>9791166068942</v>
      </c>
      <c r="BE3031" t="str">
        <f t="shared" si="440"/>
        <v>판타지 웹소설 &gt; 현대 판타지</v>
      </c>
    </row>
    <row r="3032" spans="1:57" x14ac:dyDescent="0.3">
      <c r="A3032">
        <v>2313009749</v>
      </c>
      <c r="B3032">
        <v>2313009936</v>
      </c>
      <c r="C3032" t="str">
        <f>T("리얼 머니 188화")</f>
        <v>리얼 머니 188화</v>
      </c>
      <c r="D3032" t="str">
        <f>T("188")</f>
        <v>188</v>
      </c>
      <c r="E3032" t="str">
        <f t="shared" si="437"/>
        <v>진문</v>
      </c>
      <c r="H3032" t="str">
        <f t="shared" si="441"/>
        <v>스토리위즈</v>
      </c>
      <c r="I3032" t="str">
        <f t="shared" si="438"/>
        <v>리얼 머니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/>
      <c r="AQ3032">
        <v>0</v>
      </c>
      <c r="AR3032">
        <v>0</v>
      </c>
      <c r="AT3032">
        <v>0</v>
      </c>
      <c r="AU3032">
        <v>0</v>
      </c>
      <c r="AW3032">
        <v>0</v>
      </c>
      <c r="AX3032">
        <v>0</v>
      </c>
      <c r="AY3032">
        <v>70</v>
      </c>
      <c r="BC3032" t="str">
        <f t="shared" si="439"/>
        <v>9791166068942</v>
      </c>
      <c r="BE3032" t="str">
        <f t="shared" si="440"/>
        <v>판타지 웹소설 &gt; 현대 판타지</v>
      </c>
    </row>
    <row r="3033" spans="1:57" x14ac:dyDescent="0.3">
      <c r="A3033">
        <v>2313009749</v>
      </c>
      <c r="B3033">
        <v>2313009937</v>
      </c>
      <c r="C3033" t="str">
        <f>T("리얼 머니 189화")</f>
        <v>리얼 머니 189화</v>
      </c>
      <c r="D3033" t="str">
        <f>T("189")</f>
        <v>189</v>
      </c>
      <c r="E3033" t="str">
        <f t="shared" si="437"/>
        <v>진문</v>
      </c>
      <c r="H3033" t="str">
        <f t="shared" si="441"/>
        <v>스토리위즈</v>
      </c>
      <c r="I3033" t="str">
        <f t="shared" si="438"/>
        <v>리얼 머니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/>
      <c r="AQ3033">
        <v>0</v>
      </c>
      <c r="AR3033">
        <v>0</v>
      </c>
      <c r="AT3033">
        <v>0</v>
      </c>
      <c r="AU3033">
        <v>0</v>
      </c>
      <c r="AW3033">
        <v>0</v>
      </c>
      <c r="AX3033">
        <v>0</v>
      </c>
      <c r="AY3033">
        <v>70</v>
      </c>
      <c r="BC3033" t="str">
        <f t="shared" si="439"/>
        <v>9791166068942</v>
      </c>
      <c r="BE3033" t="str">
        <f t="shared" si="440"/>
        <v>판타지 웹소설 &gt; 현대 판타지</v>
      </c>
    </row>
    <row r="3034" spans="1:57" x14ac:dyDescent="0.3">
      <c r="A3034">
        <v>2313009749</v>
      </c>
      <c r="B3034">
        <v>2313009938</v>
      </c>
      <c r="C3034" t="str">
        <f>T("리얼 머니 190화")</f>
        <v>리얼 머니 190화</v>
      </c>
      <c r="D3034" t="str">
        <f>T("190")</f>
        <v>190</v>
      </c>
      <c r="E3034" t="str">
        <f t="shared" si="437"/>
        <v>진문</v>
      </c>
      <c r="H3034" t="str">
        <f t="shared" si="441"/>
        <v>스토리위즈</v>
      </c>
      <c r="I3034" t="str">
        <f t="shared" si="438"/>
        <v>리얼 머니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/>
      <c r="AQ3034">
        <v>0</v>
      </c>
      <c r="AR3034">
        <v>0</v>
      </c>
      <c r="AT3034">
        <v>0</v>
      </c>
      <c r="AU3034">
        <v>0</v>
      </c>
      <c r="AW3034">
        <v>0</v>
      </c>
      <c r="AX3034">
        <v>0</v>
      </c>
      <c r="AY3034">
        <v>70</v>
      </c>
      <c r="BC3034" t="str">
        <f t="shared" si="439"/>
        <v>9791166068942</v>
      </c>
      <c r="BE3034" t="str">
        <f t="shared" si="440"/>
        <v>판타지 웹소설 &gt; 현대 판타지</v>
      </c>
    </row>
    <row r="3035" spans="1:57" x14ac:dyDescent="0.3">
      <c r="A3035">
        <v>2313009749</v>
      </c>
      <c r="B3035">
        <v>2313009939</v>
      </c>
      <c r="C3035" t="str">
        <f>T("리얼 머니 191화")</f>
        <v>리얼 머니 191화</v>
      </c>
      <c r="D3035" t="str">
        <f>T("191")</f>
        <v>191</v>
      </c>
      <c r="E3035" t="str">
        <f t="shared" si="437"/>
        <v>진문</v>
      </c>
      <c r="H3035" t="str">
        <f t="shared" si="441"/>
        <v>스토리위즈</v>
      </c>
      <c r="I3035" t="str">
        <f t="shared" si="438"/>
        <v>리얼 머니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/>
      <c r="AQ3035">
        <v>0</v>
      </c>
      <c r="AR3035">
        <v>0</v>
      </c>
      <c r="AT3035">
        <v>0</v>
      </c>
      <c r="AU3035">
        <v>0</v>
      </c>
      <c r="AW3035">
        <v>0</v>
      </c>
      <c r="AX3035">
        <v>0</v>
      </c>
      <c r="AY3035">
        <v>70</v>
      </c>
      <c r="BC3035" t="str">
        <f t="shared" si="439"/>
        <v>9791166068942</v>
      </c>
      <c r="BE3035" t="str">
        <f t="shared" si="440"/>
        <v>판타지 웹소설 &gt; 현대 판타지</v>
      </c>
    </row>
    <row r="3036" spans="1:57" x14ac:dyDescent="0.3">
      <c r="A3036">
        <v>2313009749</v>
      </c>
      <c r="B3036">
        <v>2313009940</v>
      </c>
      <c r="C3036" t="str">
        <f>T("리얼 머니 192화")</f>
        <v>리얼 머니 192화</v>
      </c>
      <c r="D3036" t="str">
        <f>T("192")</f>
        <v>192</v>
      </c>
      <c r="E3036" t="str">
        <f t="shared" si="437"/>
        <v>진문</v>
      </c>
      <c r="H3036" t="str">
        <f t="shared" si="441"/>
        <v>스토리위즈</v>
      </c>
      <c r="I3036" t="str">
        <f t="shared" si="438"/>
        <v>리얼 머니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/>
      <c r="AQ3036">
        <v>0</v>
      </c>
      <c r="AR3036">
        <v>0</v>
      </c>
      <c r="AT3036">
        <v>0</v>
      </c>
      <c r="AU3036">
        <v>0</v>
      </c>
      <c r="AW3036">
        <v>0</v>
      </c>
      <c r="AX3036">
        <v>0</v>
      </c>
      <c r="AY3036">
        <v>70</v>
      </c>
      <c r="BC3036" t="str">
        <f t="shared" si="439"/>
        <v>9791166068942</v>
      </c>
      <c r="BE3036" t="str">
        <f t="shared" si="440"/>
        <v>판타지 웹소설 &gt; 현대 판타지</v>
      </c>
    </row>
    <row r="3037" spans="1:57" x14ac:dyDescent="0.3">
      <c r="A3037">
        <v>2313009749</v>
      </c>
      <c r="B3037">
        <v>2313009941</v>
      </c>
      <c r="C3037" t="str">
        <f>T("리얼 머니 193화")</f>
        <v>리얼 머니 193화</v>
      </c>
      <c r="D3037" t="str">
        <f>T("193")</f>
        <v>193</v>
      </c>
      <c r="E3037" t="str">
        <f t="shared" si="437"/>
        <v>진문</v>
      </c>
      <c r="H3037" t="str">
        <f t="shared" si="441"/>
        <v>스토리위즈</v>
      </c>
      <c r="I3037" t="str">
        <f t="shared" si="438"/>
        <v>리얼 머니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/>
      <c r="AQ3037">
        <v>0</v>
      </c>
      <c r="AR3037">
        <v>0</v>
      </c>
      <c r="AT3037">
        <v>0</v>
      </c>
      <c r="AU3037">
        <v>0</v>
      </c>
      <c r="AW3037">
        <v>0</v>
      </c>
      <c r="AX3037">
        <v>0</v>
      </c>
      <c r="AY3037">
        <v>70</v>
      </c>
      <c r="BC3037" t="str">
        <f t="shared" si="439"/>
        <v>9791166068942</v>
      </c>
      <c r="BE3037" t="str">
        <f t="shared" si="440"/>
        <v>판타지 웹소설 &gt; 현대 판타지</v>
      </c>
    </row>
    <row r="3038" spans="1:57" x14ac:dyDescent="0.3">
      <c r="A3038">
        <v>2313009749</v>
      </c>
      <c r="B3038">
        <v>2313009942</v>
      </c>
      <c r="C3038" t="str">
        <f>T("리얼 머니 194화")</f>
        <v>리얼 머니 194화</v>
      </c>
      <c r="D3038" t="str">
        <f>T("194")</f>
        <v>194</v>
      </c>
      <c r="E3038" t="str">
        <f t="shared" si="437"/>
        <v>진문</v>
      </c>
      <c r="H3038" t="str">
        <f t="shared" si="441"/>
        <v>스토리위즈</v>
      </c>
      <c r="I3038" t="str">
        <f t="shared" si="438"/>
        <v>리얼 머니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/>
      <c r="AQ3038">
        <v>0</v>
      </c>
      <c r="AR3038">
        <v>0</v>
      </c>
      <c r="AT3038">
        <v>0</v>
      </c>
      <c r="AU3038">
        <v>0</v>
      </c>
      <c r="AW3038">
        <v>0</v>
      </c>
      <c r="AX3038">
        <v>0</v>
      </c>
      <c r="AY3038">
        <v>70</v>
      </c>
      <c r="BC3038" t="str">
        <f t="shared" si="439"/>
        <v>9791166068942</v>
      </c>
      <c r="BE3038" t="str">
        <f t="shared" si="440"/>
        <v>판타지 웹소설 &gt; 현대 판타지</v>
      </c>
    </row>
    <row r="3039" spans="1:57" x14ac:dyDescent="0.3">
      <c r="A3039">
        <v>2313009749</v>
      </c>
      <c r="B3039">
        <v>2313009943</v>
      </c>
      <c r="C3039" t="str">
        <f>T("리얼 머니 195화")</f>
        <v>리얼 머니 195화</v>
      </c>
      <c r="D3039" t="str">
        <f>T("195")</f>
        <v>195</v>
      </c>
      <c r="E3039" t="str">
        <f t="shared" si="437"/>
        <v>진문</v>
      </c>
      <c r="H3039" t="str">
        <f t="shared" si="441"/>
        <v>스토리위즈</v>
      </c>
      <c r="I3039" t="str">
        <f t="shared" si="438"/>
        <v>리얼 머니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/>
      <c r="AQ3039">
        <v>0</v>
      </c>
      <c r="AR3039">
        <v>0</v>
      </c>
      <c r="AT3039">
        <v>0</v>
      </c>
      <c r="AU3039">
        <v>0</v>
      </c>
      <c r="AW3039">
        <v>0</v>
      </c>
      <c r="AX3039">
        <v>0</v>
      </c>
      <c r="AY3039">
        <v>70</v>
      </c>
      <c r="BC3039" t="str">
        <f t="shared" si="439"/>
        <v>9791166068942</v>
      </c>
      <c r="BE3039" t="str">
        <f t="shared" si="440"/>
        <v>판타지 웹소설 &gt; 현대 판타지</v>
      </c>
    </row>
    <row r="3040" spans="1:57" x14ac:dyDescent="0.3">
      <c r="A3040">
        <v>2313009749</v>
      </c>
      <c r="B3040">
        <v>2313009944</v>
      </c>
      <c r="C3040" t="str">
        <f>T("리얼 머니 196화")</f>
        <v>리얼 머니 196화</v>
      </c>
      <c r="D3040" t="str">
        <f>T("196")</f>
        <v>196</v>
      </c>
      <c r="E3040" t="str">
        <f t="shared" si="437"/>
        <v>진문</v>
      </c>
      <c r="H3040" t="str">
        <f t="shared" si="441"/>
        <v>스토리위즈</v>
      </c>
      <c r="I3040" t="str">
        <f t="shared" si="438"/>
        <v>리얼 머니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/>
      <c r="AQ3040">
        <v>0</v>
      </c>
      <c r="AR3040">
        <v>0</v>
      </c>
      <c r="AT3040">
        <v>0</v>
      </c>
      <c r="AU3040">
        <v>0</v>
      </c>
      <c r="AW3040">
        <v>0</v>
      </c>
      <c r="AX3040">
        <v>0</v>
      </c>
      <c r="AY3040">
        <v>70</v>
      </c>
      <c r="BC3040" t="str">
        <f t="shared" si="439"/>
        <v>9791166068942</v>
      </c>
      <c r="BE3040" t="str">
        <f t="shared" si="440"/>
        <v>판타지 웹소설 &gt; 현대 판타지</v>
      </c>
    </row>
    <row r="3041" spans="1:57" x14ac:dyDescent="0.3">
      <c r="A3041">
        <v>2313009749</v>
      </c>
      <c r="B3041">
        <v>2313009945</v>
      </c>
      <c r="C3041" t="str">
        <f>T("리얼 머니 197화")</f>
        <v>리얼 머니 197화</v>
      </c>
      <c r="D3041" t="str">
        <f>T("197")</f>
        <v>197</v>
      </c>
      <c r="E3041" t="str">
        <f t="shared" si="437"/>
        <v>진문</v>
      </c>
      <c r="H3041" t="str">
        <f t="shared" si="441"/>
        <v>스토리위즈</v>
      </c>
      <c r="I3041" t="str">
        <f t="shared" si="438"/>
        <v>리얼 머니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/>
      <c r="AQ3041">
        <v>0</v>
      </c>
      <c r="AR3041">
        <v>0</v>
      </c>
      <c r="AT3041">
        <v>0</v>
      </c>
      <c r="AU3041">
        <v>0</v>
      </c>
      <c r="AW3041">
        <v>0</v>
      </c>
      <c r="AX3041">
        <v>0</v>
      </c>
      <c r="AY3041">
        <v>70</v>
      </c>
      <c r="BC3041" t="str">
        <f t="shared" si="439"/>
        <v>9791166068942</v>
      </c>
      <c r="BE3041" t="str">
        <f t="shared" si="440"/>
        <v>판타지 웹소설 &gt; 현대 판타지</v>
      </c>
    </row>
    <row r="3042" spans="1:57" x14ac:dyDescent="0.3">
      <c r="A3042">
        <v>2313009749</v>
      </c>
      <c r="B3042">
        <v>2313009946</v>
      </c>
      <c r="C3042" t="str">
        <f>T("리얼 머니 198화")</f>
        <v>리얼 머니 198화</v>
      </c>
      <c r="D3042" t="str">
        <f>T("198")</f>
        <v>198</v>
      </c>
      <c r="E3042" t="str">
        <f t="shared" si="437"/>
        <v>진문</v>
      </c>
      <c r="H3042" t="str">
        <f t="shared" si="441"/>
        <v>스토리위즈</v>
      </c>
      <c r="I3042" t="str">
        <f t="shared" si="438"/>
        <v>리얼 머니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/>
      <c r="AQ3042">
        <v>0</v>
      </c>
      <c r="AR3042">
        <v>0</v>
      </c>
      <c r="AT3042">
        <v>0</v>
      </c>
      <c r="AU3042">
        <v>0</v>
      </c>
      <c r="AW3042">
        <v>0</v>
      </c>
      <c r="AX3042">
        <v>0</v>
      </c>
      <c r="AY3042">
        <v>70</v>
      </c>
      <c r="BC3042" t="str">
        <f t="shared" si="439"/>
        <v>9791166068942</v>
      </c>
      <c r="BE3042" t="str">
        <f t="shared" si="440"/>
        <v>판타지 웹소설 &gt; 현대 판타지</v>
      </c>
    </row>
    <row r="3043" spans="1:57" x14ac:dyDescent="0.3">
      <c r="A3043">
        <v>2313009749</v>
      </c>
      <c r="B3043">
        <v>2313009947</v>
      </c>
      <c r="C3043" t="str">
        <f>T("리얼 머니 199화")</f>
        <v>리얼 머니 199화</v>
      </c>
      <c r="D3043" t="str">
        <f>T("199")</f>
        <v>199</v>
      </c>
      <c r="E3043" t="str">
        <f t="shared" ref="E3043:E3066" si="442">T("진문")</f>
        <v>진문</v>
      </c>
      <c r="H3043" t="str">
        <f t="shared" si="441"/>
        <v>스토리위즈</v>
      </c>
      <c r="I3043" t="str">
        <f t="shared" ref="I3043:I3066" si="443">T("리얼 머니")</f>
        <v>리얼 머니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/>
      <c r="AQ3043">
        <v>0</v>
      </c>
      <c r="AR3043">
        <v>0</v>
      </c>
      <c r="AT3043">
        <v>0</v>
      </c>
      <c r="AU3043">
        <v>0</v>
      </c>
      <c r="AW3043">
        <v>0</v>
      </c>
      <c r="AX3043">
        <v>0</v>
      </c>
      <c r="AY3043">
        <v>70</v>
      </c>
      <c r="BC3043" t="str">
        <f t="shared" ref="BC3043:BC3066" si="444">T("9791166068942")</f>
        <v>9791166068942</v>
      </c>
      <c r="BE3043" t="str">
        <f t="shared" ref="BE3043:BE3066" si="445">T("판타지 웹소설 &gt; 현대 판타지")</f>
        <v>판타지 웹소설 &gt; 현대 판타지</v>
      </c>
    </row>
    <row r="3044" spans="1:57" x14ac:dyDescent="0.3">
      <c r="A3044">
        <v>2313009749</v>
      </c>
      <c r="B3044">
        <v>2313009948</v>
      </c>
      <c r="C3044" t="str">
        <f>T("리얼 머니 200화")</f>
        <v>리얼 머니 200화</v>
      </c>
      <c r="D3044" t="str">
        <f>T("200")</f>
        <v>200</v>
      </c>
      <c r="E3044" t="str">
        <f t="shared" si="442"/>
        <v>진문</v>
      </c>
      <c r="H3044" t="str">
        <f t="shared" si="441"/>
        <v>스토리위즈</v>
      </c>
      <c r="I3044" t="str">
        <f t="shared" si="443"/>
        <v>리얼 머니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/>
      <c r="AQ3044">
        <v>0</v>
      </c>
      <c r="AR3044">
        <v>0</v>
      </c>
      <c r="AT3044">
        <v>0</v>
      </c>
      <c r="AU3044">
        <v>0</v>
      </c>
      <c r="AW3044">
        <v>0</v>
      </c>
      <c r="AX3044">
        <v>0</v>
      </c>
      <c r="AY3044">
        <v>70</v>
      </c>
      <c r="BC3044" t="str">
        <f t="shared" si="444"/>
        <v>9791166068942</v>
      </c>
      <c r="BE3044" t="str">
        <f t="shared" si="445"/>
        <v>판타지 웹소설 &gt; 현대 판타지</v>
      </c>
    </row>
    <row r="3045" spans="1:57" x14ac:dyDescent="0.3">
      <c r="A3045">
        <v>2313009749</v>
      </c>
      <c r="B3045">
        <v>2313009949</v>
      </c>
      <c r="C3045" t="str">
        <f>T("리얼 머니 201화")</f>
        <v>리얼 머니 201화</v>
      </c>
      <c r="D3045" t="str">
        <f>T("201")</f>
        <v>201</v>
      </c>
      <c r="E3045" t="str">
        <f t="shared" si="442"/>
        <v>진문</v>
      </c>
      <c r="H3045" t="str">
        <f t="shared" si="441"/>
        <v>스토리위즈</v>
      </c>
      <c r="I3045" t="str">
        <f t="shared" si="443"/>
        <v>리얼 머니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/>
      <c r="AQ3045">
        <v>0</v>
      </c>
      <c r="AR3045">
        <v>0</v>
      </c>
      <c r="AT3045">
        <v>0</v>
      </c>
      <c r="AU3045">
        <v>0</v>
      </c>
      <c r="AW3045">
        <v>0</v>
      </c>
      <c r="AX3045">
        <v>0</v>
      </c>
      <c r="AY3045">
        <v>70</v>
      </c>
      <c r="BC3045" t="str">
        <f t="shared" si="444"/>
        <v>9791166068942</v>
      </c>
      <c r="BE3045" t="str">
        <f t="shared" si="445"/>
        <v>판타지 웹소설 &gt; 현대 판타지</v>
      </c>
    </row>
    <row r="3046" spans="1:57" x14ac:dyDescent="0.3">
      <c r="A3046">
        <v>2313009749</v>
      </c>
      <c r="B3046">
        <v>2313009950</v>
      </c>
      <c r="C3046" t="str">
        <f>T("리얼 머니 202화")</f>
        <v>리얼 머니 202화</v>
      </c>
      <c r="D3046" t="str">
        <f>T("202")</f>
        <v>202</v>
      </c>
      <c r="E3046" t="str">
        <f t="shared" si="442"/>
        <v>진문</v>
      </c>
      <c r="H3046" t="str">
        <f t="shared" si="441"/>
        <v>스토리위즈</v>
      </c>
      <c r="I3046" t="str">
        <f t="shared" si="443"/>
        <v>리얼 머니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/>
      <c r="AQ3046">
        <v>0</v>
      </c>
      <c r="AR3046">
        <v>0</v>
      </c>
      <c r="AT3046">
        <v>0</v>
      </c>
      <c r="AU3046">
        <v>0</v>
      </c>
      <c r="AW3046">
        <v>0</v>
      </c>
      <c r="AX3046">
        <v>0</v>
      </c>
      <c r="AY3046">
        <v>70</v>
      </c>
      <c r="BC3046" t="str">
        <f t="shared" si="444"/>
        <v>9791166068942</v>
      </c>
      <c r="BE3046" t="str">
        <f t="shared" si="445"/>
        <v>판타지 웹소설 &gt; 현대 판타지</v>
      </c>
    </row>
    <row r="3047" spans="1:57" x14ac:dyDescent="0.3">
      <c r="A3047">
        <v>2313009749</v>
      </c>
      <c r="B3047">
        <v>2313009951</v>
      </c>
      <c r="C3047" t="str">
        <f>T("리얼 머니 203화")</f>
        <v>리얼 머니 203화</v>
      </c>
      <c r="D3047" t="str">
        <f>T("203")</f>
        <v>203</v>
      </c>
      <c r="E3047" t="str">
        <f t="shared" si="442"/>
        <v>진문</v>
      </c>
      <c r="H3047" t="str">
        <f t="shared" si="441"/>
        <v>스토리위즈</v>
      </c>
      <c r="I3047" t="str">
        <f t="shared" si="443"/>
        <v>리얼 머니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/>
      <c r="AQ3047">
        <v>0</v>
      </c>
      <c r="AR3047">
        <v>0</v>
      </c>
      <c r="AT3047">
        <v>0</v>
      </c>
      <c r="AU3047">
        <v>0</v>
      </c>
      <c r="AW3047">
        <v>0</v>
      </c>
      <c r="AX3047">
        <v>0</v>
      </c>
      <c r="AY3047">
        <v>70</v>
      </c>
      <c r="BC3047" t="str">
        <f t="shared" si="444"/>
        <v>9791166068942</v>
      </c>
      <c r="BE3047" t="str">
        <f t="shared" si="445"/>
        <v>판타지 웹소설 &gt; 현대 판타지</v>
      </c>
    </row>
    <row r="3048" spans="1:57" x14ac:dyDescent="0.3">
      <c r="A3048">
        <v>2313009749</v>
      </c>
      <c r="B3048">
        <v>2313009952</v>
      </c>
      <c r="C3048" t="str">
        <f>T("리얼 머니 204화")</f>
        <v>리얼 머니 204화</v>
      </c>
      <c r="D3048" t="str">
        <f>T("204")</f>
        <v>204</v>
      </c>
      <c r="E3048" t="str">
        <f t="shared" si="442"/>
        <v>진문</v>
      </c>
      <c r="H3048" t="str">
        <f t="shared" si="441"/>
        <v>스토리위즈</v>
      </c>
      <c r="I3048" t="str">
        <f t="shared" si="443"/>
        <v>리얼 머니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/>
      <c r="AQ3048">
        <v>0</v>
      </c>
      <c r="AR3048">
        <v>0</v>
      </c>
      <c r="AT3048">
        <v>0</v>
      </c>
      <c r="AU3048">
        <v>0</v>
      </c>
      <c r="AW3048">
        <v>0</v>
      </c>
      <c r="AX3048">
        <v>0</v>
      </c>
      <c r="AY3048">
        <v>70</v>
      </c>
      <c r="BC3048" t="str">
        <f t="shared" si="444"/>
        <v>9791166068942</v>
      </c>
      <c r="BE3048" t="str">
        <f t="shared" si="445"/>
        <v>판타지 웹소설 &gt; 현대 판타지</v>
      </c>
    </row>
    <row r="3049" spans="1:57" x14ac:dyDescent="0.3">
      <c r="A3049">
        <v>2313009749</v>
      </c>
      <c r="B3049">
        <v>2313009953</v>
      </c>
      <c r="C3049" t="str">
        <f>T("리얼 머니 205화")</f>
        <v>리얼 머니 205화</v>
      </c>
      <c r="D3049" t="str">
        <f>T("205")</f>
        <v>205</v>
      </c>
      <c r="E3049" t="str">
        <f t="shared" si="442"/>
        <v>진문</v>
      </c>
      <c r="H3049" t="str">
        <f t="shared" si="441"/>
        <v>스토리위즈</v>
      </c>
      <c r="I3049" t="str">
        <f t="shared" si="443"/>
        <v>리얼 머니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/>
      <c r="AQ3049">
        <v>0</v>
      </c>
      <c r="AR3049">
        <v>0</v>
      </c>
      <c r="AT3049">
        <v>0</v>
      </c>
      <c r="AU3049">
        <v>0</v>
      </c>
      <c r="AW3049">
        <v>0</v>
      </c>
      <c r="AX3049">
        <v>0</v>
      </c>
      <c r="AY3049">
        <v>70</v>
      </c>
      <c r="BC3049" t="str">
        <f t="shared" si="444"/>
        <v>9791166068942</v>
      </c>
      <c r="BE3049" t="str">
        <f t="shared" si="445"/>
        <v>판타지 웹소설 &gt; 현대 판타지</v>
      </c>
    </row>
    <row r="3050" spans="1:57" x14ac:dyDescent="0.3">
      <c r="A3050">
        <v>2313009749</v>
      </c>
      <c r="B3050">
        <v>2313009954</v>
      </c>
      <c r="C3050" t="str">
        <f>T("리얼 머니 206화")</f>
        <v>리얼 머니 206화</v>
      </c>
      <c r="D3050" t="str">
        <f>T("206")</f>
        <v>206</v>
      </c>
      <c r="E3050" t="str">
        <f t="shared" si="442"/>
        <v>진문</v>
      </c>
      <c r="H3050" t="str">
        <f t="shared" si="441"/>
        <v>스토리위즈</v>
      </c>
      <c r="I3050" t="str">
        <f t="shared" si="443"/>
        <v>리얼 머니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/>
      <c r="AQ3050">
        <v>0</v>
      </c>
      <c r="AR3050">
        <v>0</v>
      </c>
      <c r="AT3050">
        <v>0</v>
      </c>
      <c r="AU3050">
        <v>0</v>
      </c>
      <c r="AW3050">
        <v>0</v>
      </c>
      <c r="AX3050">
        <v>0</v>
      </c>
      <c r="AY3050">
        <v>70</v>
      </c>
      <c r="BC3050" t="str">
        <f t="shared" si="444"/>
        <v>9791166068942</v>
      </c>
      <c r="BE3050" t="str">
        <f t="shared" si="445"/>
        <v>판타지 웹소설 &gt; 현대 판타지</v>
      </c>
    </row>
    <row r="3051" spans="1:57" x14ac:dyDescent="0.3">
      <c r="A3051">
        <v>2313009749</v>
      </c>
      <c r="B3051">
        <v>2313009955</v>
      </c>
      <c r="C3051" t="str">
        <f>T("리얼 머니 207화")</f>
        <v>리얼 머니 207화</v>
      </c>
      <c r="D3051" t="str">
        <f>T("207")</f>
        <v>207</v>
      </c>
      <c r="E3051" t="str">
        <f t="shared" si="442"/>
        <v>진문</v>
      </c>
      <c r="H3051" t="str">
        <f t="shared" si="441"/>
        <v>스토리위즈</v>
      </c>
      <c r="I3051" t="str">
        <f t="shared" si="443"/>
        <v>리얼 머니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/>
      <c r="AQ3051">
        <v>0</v>
      </c>
      <c r="AR3051">
        <v>0</v>
      </c>
      <c r="AT3051">
        <v>0</v>
      </c>
      <c r="AU3051">
        <v>0</v>
      </c>
      <c r="AW3051">
        <v>0</v>
      </c>
      <c r="AX3051">
        <v>0</v>
      </c>
      <c r="AY3051">
        <v>70</v>
      </c>
      <c r="BC3051" t="str">
        <f t="shared" si="444"/>
        <v>9791166068942</v>
      </c>
      <c r="BE3051" t="str">
        <f t="shared" si="445"/>
        <v>판타지 웹소설 &gt; 현대 판타지</v>
      </c>
    </row>
    <row r="3052" spans="1:57" x14ac:dyDescent="0.3">
      <c r="A3052">
        <v>2313009749</v>
      </c>
      <c r="B3052">
        <v>2313009956</v>
      </c>
      <c r="C3052" t="str">
        <f>T("리얼 머니 208화")</f>
        <v>리얼 머니 208화</v>
      </c>
      <c r="D3052" t="str">
        <f>T("208")</f>
        <v>208</v>
      </c>
      <c r="E3052" t="str">
        <f t="shared" si="442"/>
        <v>진문</v>
      </c>
      <c r="H3052" t="str">
        <f t="shared" si="441"/>
        <v>스토리위즈</v>
      </c>
      <c r="I3052" t="str">
        <f t="shared" si="443"/>
        <v>리얼 머니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/>
      <c r="AQ3052">
        <v>0</v>
      </c>
      <c r="AR3052">
        <v>0</v>
      </c>
      <c r="AT3052">
        <v>0</v>
      </c>
      <c r="AU3052">
        <v>0</v>
      </c>
      <c r="AW3052">
        <v>0</v>
      </c>
      <c r="AX3052">
        <v>0</v>
      </c>
      <c r="AY3052">
        <v>70</v>
      </c>
      <c r="BC3052" t="str">
        <f t="shared" si="444"/>
        <v>9791166068942</v>
      </c>
      <c r="BE3052" t="str">
        <f t="shared" si="445"/>
        <v>판타지 웹소설 &gt; 현대 판타지</v>
      </c>
    </row>
    <row r="3053" spans="1:57" x14ac:dyDescent="0.3">
      <c r="A3053">
        <v>2313009749</v>
      </c>
      <c r="B3053">
        <v>2313009957</v>
      </c>
      <c r="C3053" t="str">
        <f>T("리얼 머니 209화")</f>
        <v>리얼 머니 209화</v>
      </c>
      <c r="D3053" t="str">
        <f>T("209")</f>
        <v>209</v>
      </c>
      <c r="E3053" t="str">
        <f t="shared" si="442"/>
        <v>진문</v>
      </c>
      <c r="H3053" t="str">
        <f t="shared" si="441"/>
        <v>스토리위즈</v>
      </c>
      <c r="I3053" t="str">
        <f t="shared" si="443"/>
        <v>리얼 머니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/>
      <c r="AQ3053">
        <v>0</v>
      </c>
      <c r="AR3053">
        <v>0</v>
      </c>
      <c r="AT3053">
        <v>0</v>
      </c>
      <c r="AU3053">
        <v>0</v>
      </c>
      <c r="AW3053">
        <v>0</v>
      </c>
      <c r="AX3053">
        <v>0</v>
      </c>
      <c r="AY3053">
        <v>70</v>
      </c>
      <c r="BC3053" t="str">
        <f t="shared" si="444"/>
        <v>9791166068942</v>
      </c>
      <c r="BE3053" t="str">
        <f t="shared" si="445"/>
        <v>판타지 웹소설 &gt; 현대 판타지</v>
      </c>
    </row>
    <row r="3054" spans="1:57" x14ac:dyDescent="0.3">
      <c r="A3054">
        <v>2313009749</v>
      </c>
      <c r="B3054">
        <v>2313009958</v>
      </c>
      <c r="C3054" t="str">
        <f>T("리얼 머니 210화")</f>
        <v>리얼 머니 210화</v>
      </c>
      <c r="D3054" t="str">
        <f>T("210")</f>
        <v>210</v>
      </c>
      <c r="E3054" t="str">
        <f t="shared" si="442"/>
        <v>진문</v>
      </c>
      <c r="H3054" t="str">
        <f t="shared" si="441"/>
        <v>스토리위즈</v>
      </c>
      <c r="I3054" t="str">
        <f t="shared" si="443"/>
        <v>리얼 머니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/>
      <c r="AQ3054">
        <v>0</v>
      </c>
      <c r="AR3054">
        <v>0</v>
      </c>
      <c r="AT3054">
        <v>0</v>
      </c>
      <c r="AU3054">
        <v>0</v>
      </c>
      <c r="AW3054">
        <v>0</v>
      </c>
      <c r="AX3054">
        <v>0</v>
      </c>
      <c r="AY3054">
        <v>70</v>
      </c>
      <c r="BC3054" t="str">
        <f t="shared" si="444"/>
        <v>9791166068942</v>
      </c>
      <c r="BE3054" t="str">
        <f t="shared" si="445"/>
        <v>판타지 웹소설 &gt; 현대 판타지</v>
      </c>
    </row>
    <row r="3055" spans="1:57" x14ac:dyDescent="0.3">
      <c r="A3055">
        <v>2313009749</v>
      </c>
      <c r="B3055">
        <v>2313009959</v>
      </c>
      <c r="C3055" t="str">
        <f>T("리얼 머니 211화")</f>
        <v>리얼 머니 211화</v>
      </c>
      <c r="D3055" t="str">
        <f>T("211")</f>
        <v>211</v>
      </c>
      <c r="E3055" t="str">
        <f t="shared" si="442"/>
        <v>진문</v>
      </c>
      <c r="H3055" t="str">
        <f t="shared" si="441"/>
        <v>스토리위즈</v>
      </c>
      <c r="I3055" t="str">
        <f t="shared" si="443"/>
        <v>리얼 머니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/>
      <c r="AQ3055">
        <v>0</v>
      </c>
      <c r="AR3055">
        <v>0</v>
      </c>
      <c r="AT3055">
        <v>0</v>
      </c>
      <c r="AU3055">
        <v>0</v>
      </c>
      <c r="AW3055">
        <v>0</v>
      </c>
      <c r="AX3055">
        <v>0</v>
      </c>
      <c r="AY3055">
        <v>70</v>
      </c>
      <c r="BC3055" t="str">
        <f t="shared" si="444"/>
        <v>9791166068942</v>
      </c>
      <c r="BE3055" t="str">
        <f t="shared" si="445"/>
        <v>판타지 웹소설 &gt; 현대 판타지</v>
      </c>
    </row>
    <row r="3056" spans="1:57" x14ac:dyDescent="0.3">
      <c r="A3056">
        <v>2313009749</v>
      </c>
      <c r="B3056">
        <v>2313009960</v>
      </c>
      <c r="C3056" t="str">
        <f>T("리얼 머니 212화")</f>
        <v>리얼 머니 212화</v>
      </c>
      <c r="D3056" t="str">
        <f>T("212")</f>
        <v>212</v>
      </c>
      <c r="E3056" t="str">
        <f t="shared" si="442"/>
        <v>진문</v>
      </c>
      <c r="H3056" t="str">
        <f t="shared" si="441"/>
        <v>스토리위즈</v>
      </c>
      <c r="I3056" t="str">
        <f t="shared" si="443"/>
        <v>리얼 머니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/>
      <c r="AQ3056">
        <v>0</v>
      </c>
      <c r="AR3056">
        <v>0</v>
      </c>
      <c r="AT3056">
        <v>0</v>
      </c>
      <c r="AU3056">
        <v>0</v>
      </c>
      <c r="AW3056">
        <v>0</v>
      </c>
      <c r="AX3056">
        <v>0</v>
      </c>
      <c r="AY3056">
        <v>70</v>
      </c>
      <c r="BC3056" t="str">
        <f t="shared" si="444"/>
        <v>9791166068942</v>
      </c>
      <c r="BE3056" t="str">
        <f t="shared" si="445"/>
        <v>판타지 웹소설 &gt; 현대 판타지</v>
      </c>
    </row>
    <row r="3057" spans="1:57" x14ac:dyDescent="0.3">
      <c r="A3057">
        <v>2313009749</v>
      </c>
      <c r="B3057">
        <v>2313009961</v>
      </c>
      <c r="C3057" t="str">
        <f>T("리얼 머니 213화")</f>
        <v>리얼 머니 213화</v>
      </c>
      <c r="D3057" t="str">
        <f>T("213")</f>
        <v>213</v>
      </c>
      <c r="E3057" t="str">
        <f t="shared" si="442"/>
        <v>진문</v>
      </c>
      <c r="H3057" t="str">
        <f t="shared" si="441"/>
        <v>스토리위즈</v>
      </c>
      <c r="I3057" t="str">
        <f t="shared" si="443"/>
        <v>리얼 머니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/>
      <c r="AQ3057">
        <v>0</v>
      </c>
      <c r="AR3057">
        <v>0</v>
      </c>
      <c r="AT3057">
        <v>0</v>
      </c>
      <c r="AU3057">
        <v>0</v>
      </c>
      <c r="AW3057">
        <v>0</v>
      </c>
      <c r="AX3057">
        <v>0</v>
      </c>
      <c r="AY3057">
        <v>70</v>
      </c>
      <c r="BC3057" t="str">
        <f t="shared" si="444"/>
        <v>9791166068942</v>
      </c>
      <c r="BE3057" t="str">
        <f t="shared" si="445"/>
        <v>판타지 웹소설 &gt; 현대 판타지</v>
      </c>
    </row>
    <row r="3058" spans="1:57" x14ac:dyDescent="0.3">
      <c r="A3058">
        <v>2313009749</v>
      </c>
      <c r="B3058">
        <v>2313009962</v>
      </c>
      <c r="C3058" t="str">
        <f>T("리얼 머니 214화")</f>
        <v>리얼 머니 214화</v>
      </c>
      <c r="D3058" t="str">
        <f>T("214")</f>
        <v>214</v>
      </c>
      <c r="E3058" t="str">
        <f t="shared" si="442"/>
        <v>진문</v>
      </c>
      <c r="H3058" t="str">
        <f t="shared" si="441"/>
        <v>스토리위즈</v>
      </c>
      <c r="I3058" t="str">
        <f t="shared" si="443"/>
        <v>리얼 머니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/>
      <c r="AQ3058">
        <v>0</v>
      </c>
      <c r="AR3058">
        <v>0</v>
      </c>
      <c r="AT3058">
        <v>0</v>
      </c>
      <c r="AU3058">
        <v>0</v>
      </c>
      <c r="AW3058">
        <v>0</v>
      </c>
      <c r="AX3058">
        <v>0</v>
      </c>
      <c r="AY3058">
        <v>70</v>
      </c>
      <c r="BC3058" t="str">
        <f t="shared" si="444"/>
        <v>9791166068942</v>
      </c>
      <c r="BE3058" t="str">
        <f t="shared" si="445"/>
        <v>판타지 웹소설 &gt; 현대 판타지</v>
      </c>
    </row>
    <row r="3059" spans="1:57" x14ac:dyDescent="0.3">
      <c r="A3059">
        <v>2313009749</v>
      </c>
      <c r="B3059">
        <v>2313009963</v>
      </c>
      <c r="C3059" t="str">
        <f>T("리얼 머니 215화")</f>
        <v>리얼 머니 215화</v>
      </c>
      <c r="D3059" t="str">
        <f>T("215")</f>
        <v>215</v>
      </c>
      <c r="E3059" t="str">
        <f t="shared" si="442"/>
        <v>진문</v>
      </c>
      <c r="H3059" t="str">
        <f t="shared" si="441"/>
        <v>스토리위즈</v>
      </c>
      <c r="I3059" t="str">
        <f t="shared" si="443"/>
        <v>리얼 머니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/>
      <c r="AQ3059">
        <v>0</v>
      </c>
      <c r="AR3059">
        <v>0</v>
      </c>
      <c r="AT3059">
        <v>0</v>
      </c>
      <c r="AU3059">
        <v>0</v>
      </c>
      <c r="AW3059">
        <v>0</v>
      </c>
      <c r="AX3059">
        <v>0</v>
      </c>
      <c r="AY3059">
        <v>70</v>
      </c>
      <c r="BC3059" t="str">
        <f t="shared" si="444"/>
        <v>9791166068942</v>
      </c>
      <c r="BE3059" t="str">
        <f t="shared" si="445"/>
        <v>판타지 웹소설 &gt; 현대 판타지</v>
      </c>
    </row>
    <row r="3060" spans="1:57" x14ac:dyDescent="0.3">
      <c r="A3060">
        <v>2313009749</v>
      </c>
      <c r="B3060">
        <v>2313009964</v>
      </c>
      <c r="C3060" t="str">
        <f>T("리얼 머니 216화")</f>
        <v>리얼 머니 216화</v>
      </c>
      <c r="D3060" t="str">
        <f>T("216")</f>
        <v>216</v>
      </c>
      <c r="E3060" t="str">
        <f t="shared" si="442"/>
        <v>진문</v>
      </c>
      <c r="H3060" t="str">
        <f t="shared" si="441"/>
        <v>스토리위즈</v>
      </c>
      <c r="I3060" t="str">
        <f t="shared" si="443"/>
        <v>리얼 머니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/>
      <c r="AQ3060">
        <v>0</v>
      </c>
      <c r="AR3060">
        <v>0</v>
      </c>
      <c r="AT3060">
        <v>0</v>
      </c>
      <c r="AU3060">
        <v>0</v>
      </c>
      <c r="AW3060">
        <v>0</v>
      </c>
      <c r="AX3060">
        <v>0</v>
      </c>
      <c r="AY3060">
        <v>70</v>
      </c>
      <c r="BC3060" t="str">
        <f t="shared" si="444"/>
        <v>9791166068942</v>
      </c>
      <c r="BE3060" t="str">
        <f t="shared" si="445"/>
        <v>판타지 웹소설 &gt; 현대 판타지</v>
      </c>
    </row>
    <row r="3061" spans="1:57" x14ac:dyDescent="0.3">
      <c r="A3061">
        <v>2313009749</v>
      </c>
      <c r="B3061">
        <v>2313009965</v>
      </c>
      <c r="C3061" t="str">
        <f>T("리얼 머니 217화")</f>
        <v>리얼 머니 217화</v>
      </c>
      <c r="D3061" t="str">
        <f>T("217")</f>
        <v>217</v>
      </c>
      <c r="E3061" t="str">
        <f t="shared" si="442"/>
        <v>진문</v>
      </c>
      <c r="H3061" t="str">
        <f t="shared" si="441"/>
        <v>스토리위즈</v>
      </c>
      <c r="I3061" t="str">
        <f t="shared" si="443"/>
        <v>리얼 머니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/>
      <c r="AQ3061">
        <v>0</v>
      </c>
      <c r="AR3061">
        <v>0</v>
      </c>
      <c r="AT3061">
        <v>0</v>
      </c>
      <c r="AU3061">
        <v>0</v>
      </c>
      <c r="AW3061">
        <v>0</v>
      </c>
      <c r="AX3061">
        <v>0</v>
      </c>
      <c r="AY3061">
        <v>70</v>
      </c>
      <c r="BC3061" t="str">
        <f t="shared" si="444"/>
        <v>9791166068942</v>
      </c>
      <c r="BE3061" t="str">
        <f t="shared" si="445"/>
        <v>판타지 웹소설 &gt; 현대 판타지</v>
      </c>
    </row>
    <row r="3062" spans="1:57" x14ac:dyDescent="0.3">
      <c r="A3062">
        <v>2313009749</v>
      </c>
      <c r="B3062">
        <v>2313009966</v>
      </c>
      <c r="C3062" t="str">
        <f>T("리얼 머니 218화")</f>
        <v>리얼 머니 218화</v>
      </c>
      <c r="D3062" t="str">
        <f>T("218")</f>
        <v>218</v>
      </c>
      <c r="E3062" t="str">
        <f t="shared" si="442"/>
        <v>진문</v>
      </c>
      <c r="H3062" t="str">
        <f t="shared" si="441"/>
        <v>스토리위즈</v>
      </c>
      <c r="I3062" t="str">
        <f t="shared" si="443"/>
        <v>리얼 머니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/>
      <c r="AQ3062">
        <v>0</v>
      </c>
      <c r="AR3062">
        <v>0</v>
      </c>
      <c r="AT3062">
        <v>0</v>
      </c>
      <c r="AU3062">
        <v>0</v>
      </c>
      <c r="AW3062">
        <v>0</v>
      </c>
      <c r="AX3062">
        <v>0</v>
      </c>
      <c r="AY3062">
        <v>70</v>
      </c>
      <c r="BC3062" t="str">
        <f t="shared" si="444"/>
        <v>9791166068942</v>
      </c>
      <c r="BE3062" t="str">
        <f t="shared" si="445"/>
        <v>판타지 웹소설 &gt; 현대 판타지</v>
      </c>
    </row>
    <row r="3063" spans="1:57" x14ac:dyDescent="0.3">
      <c r="A3063">
        <v>2313009749</v>
      </c>
      <c r="B3063">
        <v>2313009967</v>
      </c>
      <c r="C3063" t="str">
        <f>T("리얼 머니 219화")</f>
        <v>리얼 머니 219화</v>
      </c>
      <c r="D3063" t="str">
        <f>T("219")</f>
        <v>219</v>
      </c>
      <c r="E3063" t="str">
        <f t="shared" si="442"/>
        <v>진문</v>
      </c>
      <c r="H3063" t="str">
        <f t="shared" si="441"/>
        <v>스토리위즈</v>
      </c>
      <c r="I3063" t="str">
        <f t="shared" si="443"/>
        <v>리얼 머니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/>
      <c r="AQ3063">
        <v>0</v>
      </c>
      <c r="AR3063">
        <v>0</v>
      </c>
      <c r="AT3063">
        <v>0</v>
      </c>
      <c r="AU3063">
        <v>0</v>
      </c>
      <c r="AW3063">
        <v>0</v>
      </c>
      <c r="AX3063">
        <v>0</v>
      </c>
      <c r="AY3063">
        <v>70</v>
      </c>
      <c r="BC3063" t="str">
        <f t="shared" si="444"/>
        <v>9791166068942</v>
      </c>
      <c r="BE3063" t="str">
        <f t="shared" si="445"/>
        <v>판타지 웹소설 &gt; 현대 판타지</v>
      </c>
    </row>
    <row r="3064" spans="1:57" x14ac:dyDescent="0.3">
      <c r="A3064">
        <v>2313009749</v>
      </c>
      <c r="B3064">
        <v>2313009968</v>
      </c>
      <c r="C3064" t="str">
        <f>T("리얼 머니 220화")</f>
        <v>리얼 머니 220화</v>
      </c>
      <c r="D3064" t="str">
        <f>T("220")</f>
        <v>220</v>
      </c>
      <c r="E3064" t="str">
        <f t="shared" si="442"/>
        <v>진문</v>
      </c>
      <c r="H3064" t="str">
        <f t="shared" si="441"/>
        <v>스토리위즈</v>
      </c>
      <c r="I3064" t="str">
        <f t="shared" si="443"/>
        <v>리얼 머니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/>
      <c r="AQ3064">
        <v>0</v>
      </c>
      <c r="AR3064">
        <v>0</v>
      </c>
      <c r="AT3064">
        <v>0</v>
      </c>
      <c r="AU3064">
        <v>0</v>
      </c>
      <c r="AW3064">
        <v>0</v>
      </c>
      <c r="AX3064">
        <v>0</v>
      </c>
      <c r="AY3064">
        <v>70</v>
      </c>
      <c r="BC3064" t="str">
        <f t="shared" si="444"/>
        <v>9791166068942</v>
      </c>
      <c r="BE3064" t="str">
        <f t="shared" si="445"/>
        <v>판타지 웹소설 &gt; 현대 판타지</v>
      </c>
    </row>
    <row r="3065" spans="1:57" x14ac:dyDescent="0.3">
      <c r="A3065">
        <v>2313009749</v>
      </c>
      <c r="B3065">
        <v>2313009969</v>
      </c>
      <c r="C3065" t="str">
        <f>T("리얼 머니 221화")</f>
        <v>리얼 머니 221화</v>
      </c>
      <c r="D3065" t="str">
        <f>T("221")</f>
        <v>221</v>
      </c>
      <c r="E3065" t="str">
        <f t="shared" si="442"/>
        <v>진문</v>
      </c>
      <c r="H3065" t="str">
        <f t="shared" si="441"/>
        <v>스토리위즈</v>
      </c>
      <c r="I3065" t="str">
        <f t="shared" si="443"/>
        <v>리얼 머니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/>
      <c r="AQ3065">
        <v>0</v>
      </c>
      <c r="AR3065">
        <v>0</v>
      </c>
      <c r="AT3065">
        <v>0</v>
      </c>
      <c r="AU3065">
        <v>0</v>
      </c>
      <c r="AW3065">
        <v>0</v>
      </c>
      <c r="AX3065">
        <v>0</v>
      </c>
      <c r="AY3065">
        <v>70</v>
      </c>
      <c r="BC3065" t="str">
        <f t="shared" si="444"/>
        <v>9791166068942</v>
      </c>
      <c r="BE3065" t="str">
        <f t="shared" si="445"/>
        <v>판타지 웹소설 &gt; 현대 판타지</v>
      </c>
    </row>
    <row r="3066" spans="1:57" x14ac:dyDescent="0.3">
      <c r="A3066">
        <v>2313009749</v>
      </c>
      <c r="B3066">
        <v>2313009970</v>
      </c>
      <c r="C3066" t="str">
        <f>T("리얼 머니 222화 (완결)")</f>
        <v>리얼 머니 222화 (완결)</v>
      </c>
      <c r="D3066" t="str">
        <f>T("222")</f>
        <v>222</v>
      </c>
      <c r="E3066" t="str">
        <f t="shared" si="442"/>
        <v>진문</v>
      </c>
      <c r="H3066" t="str">
        <f t="shared" si="441"/>
        <v>스토리위즈</v>
      </c>
      <c r="I3066" t="str">
        <f t="shared" si="443"/>
        <v>리얼 머니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/>
      <c r="AQ3066">
        <v>0</v>
      </c>
      <c r="AR3066">
        <v>0</v>
      </c>
      <c r="AT3066">
        <v>0</v>
      </c>
      <c r="AU3066">
        <v>0</v>
      </c>
      <c r="AW3066">
        <v>0</v>
      </c>
      <c r="AX3066">
        <v>0</v>
      </c>
      <c r="AY3066">
        <v>70</v>
      </c>
      <c r="BC3066" t="str">
        <f t="shared" si="444"/>
        <v>9791166068942</v>
      </c>
      <c r="BE3066" t="str">
        <f t="shared" si="445"/>
        <v>판타지 웹소설 &gt; 현대 판타지</v>
      </c>
    </row>
    <row r="3067" spans="1:57" x14ac:dyDescent="0.3">
      <c r="A3067">
        <v>2313010290</v>
      </c>
      <c r="B3067">
        <v>2313010309</v>
      </c>
      <c r="C3067" t="str">
        <f>T("아저씨, 내 기분 왜 이래요? 20화")</f>
        <v>아저씨, 내 기분 왜 이래요? 20화</v>
      </c>
      <c r="D3067" t="str">
        <f>T("20")</f>
        <v>20</v>
      </c>
      <c r="E3067" t="str">
        <f t="shared" ref="E3067:E3094" si="446">T("Livingston")</f>
        <v>Livingston</v>
      </c>
      <c r="H3067" t="str">
        <f t="shared" ref="H3067:H3094" si="447">T("블레슈(Blesshuu)")</f>
        <v>블레슈(Blesshuu)</v>
      </c>
      <c r="I3067" t="str">
        <f t="shared" ref="I3067:I3094" si="448">T("아저씨, 내 기분 왜 이래요?")</f>
        <v>아저씨, 내 기분 왜 이래요?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/>
      <c r="AQ3067">
        <v>0</v>
      </c>
      <c r="AR3067">
        <v>0</v>
      </c>
      <c r="AT3067">
        <v>0</v>
      </c>
      <c r="AU3067">
        <v>0</v>
      </c>
      <c r="AW3067">
        <v>0</v>
      </c>
      <c r="AX3067">
        <v>0</v>
      </c>
      <c r="AY3067">
        <v>70</v>
      </c>
      <c r="BC3067" t="str">
        <f t="shared" ref="BC3067:BC3094" si="449">T("9791166069482")</f>
        <v>9791166069482</v>
      </c>
      <c r="BE3067" t="str">
        <f t="shared" ref="BE3067:BE3094" si="450">T("로맨스 웹소설 &gt; 현대물")</f>
        <v>로맨스 웹소설 &gt; 현대물</v>
      </c>
    </row>
    <row r="3068" spans="1:57" x14ac:dyDescent="0.3">
      <c r="A3068">
        <v>2313010290</v>
      </c>
      <c r="B3068">
        <v>2313010310</v>
      </c>
      <c r="C3068" t="str">
        <f>T("아저씨, 내 기분 왜 이래요? 21화")</f>
        <v>아저씨, 내 기분 왜 이래요? 21화</v>
      </c>
      <c r="D3068" t="str">
        <f>T("21")</f>
        <v>21</v>
      </c>
      <c r="E3068" t="str">
        <f t="shared" si="446"/>
        <v>Livingston</v>
      </c>
      <c r="H3068" t="str">
        <f t="shared" si="447"/>
        <v>블레슈(Blesshuu)</v>
      </c>
      <c r="I3068" t="str">
        <f t="shared" si="448"/>
        <v>아저씨, 내 기분 왜 이래요?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/>
      <c r="AQ3068">
        <v>0</v>
      </c>
      <c r="AR3068">
        <v>0</v>
      </c>
      <c r="AT3068">
        <v>0</v>
      </c>
      <c r="AU3068">
        <v>0</v>
      </c>
      <c r="AW3068">
        <v>0</v>
      </c>
      <c r="AX3068">
        <v>0</v>
      </c>
      <c r="AY3068">
        <v>70</v>
      </c>
      <c r="BC3068" t="str">
        <f t="shared" si="449"/>
        <v>9791166069482</v>
      </c>
      <c r="BE3068" t="str">
        <f t="shared" si="450"/>
        <v>로맨스 웹소설 &gt; 현대물</v>
      </c>
    </row>
    <row r="3069" spans="1:57" x14ac:dyDescent="0.3">
      <c r="A3069">
        <v>2313010290</v>
      </c>
      <c r="B3069">
        <v>2313010311</v>
      </c>
      <c r="C3069" t="str">
        <f>T("아저씨, 내 기분 왜 이래요? 22화")</f>
        <v>아저씨, 내 기분 왜 이래요? 22화</v>
      </c>
      <c r="D3069" t="str">
        <f>T("22")</f>
        <v>22</v>
      </c>
      <c r="E3069" t="str">
        <f t="shared" si="446"/>
        <v>Livingston</v>
      </c>
      <c r="H3069" t="str">
        <f t="shared" si="447"/>
        <v>블레슈(Blesshuu)</v>
      </c>
      <c r="I3069" t="str">
        <f t="shared" si="448"/>
        <v>아저씨, 내 기분 왜 이래요?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/>
      <c r="AQ3069">
        <v>0</v>
      </c>
      <c r="AR3069">
        <v>0</v>
      </c>
      <c r="AT3069">
        <v>0</v>
      </c>
      <c r="AU3069">
        <v>0</v>
      </c>
      <c r="AW3069">
        <v>0</v>
      </c>
      <c r="AX3069">
        <v>0</v>
      </c>
      <c r="AY3069">
        <v>70</v>
      </c>
      <c r="BC3069" t="str">
        <f t="shared" si="449"/>
        <v>9791166069482</v>
      </c>
      <c r="BE3069" t="str">
        <f t="shared" si="450"/>
        <v>로맨스 웹소설 &gt; 현대물</v>
      </c>
    </row>
    <row r="3070" spans="1:57" x14ac:dyDescent="0.3">
      <c r="A3070">
        <v>2313010290</v>
      </c>
      <c r="B3070">
        <v>2313010312</v>
      </c>
      <c r="C3070" t="str">
        <f>T("아저씨, 내 기분 왜 이래요? 23화")</f>
        <v>아저씨, 내 기분 왜 이래요? 23화</v>
      </c>
      <c r="D3070" t="str">
        <f>T("23")</f>
        <v>23</v>
      </c>
      <c r="E3070" t="str">
        <f t="shared" si="446"/>
        <v>Livingston</v>
      </c>
      <c r="H3070" t="str">
        <f t="shared" si="447"/>
        <v>블레슈(Blesshuu)</v>
      </c>
      <c r="I3070" t="str">
        <f t="shared" si="448"/>
        <v>아저씨, 내 기분 왜 이래요?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/>
      <c r="AQ3070">
        <v>0</v>
      </c>
      <c r="AR3070">
        <v>0</v>
      </c>
      <c r="AT3070">
        <v>0</v>
      </c>
      <c r="AU3070">
        <v>0</v>
      </c>
      <c r="AW3070">
        <v>0</v>
      </c>
      <c r="AX3070">
        <v>0</v>
      </c>
      <c r="AY3070">
        <v>70</v>
      </c>
      <c r="BC3070" t="str">
        <f t="shared" si="449"/>
        <v>9791166069482</v>
      </c>
      <c r="BE3070" t="str">
        <f t="shared" si="450"/>
        <v>로맨스 웹소설 &gt; 현대물</v>
      </c>
    </row>
    <row r="3071" spans="1:57" x14ac:dyDescent="0.3">
      <c r="A3071">
        <v>2313010290</v>
      </c>
      <c r="B3071">
        <v>2313010313</v>
      </c>
      <c r="C3071" t="str">
        <f>T("아저씨, 내 기분 왜 이래요? 24화")</f>
        <v>아저씨, 내 기분 왜 이래요? 24화</v>
      </c>
      <c r="D3071" t="str">
        <f>T("24")</f>
        <v>24</v>
      </c>
      <c r="E3071" t="str">
        <f t="shared" si="446"/>
        <v>Livingston</v>
      </c>
      <c r="H3071" t="str">
        <f t="shared" si="447"/>
        <v>블레슈(Blesshuu)</v>
      </c>
      <c r="I3071" t="str">
        <f t="shared" si="448"/>
        <v>아저씨, 내 기분 왜 이래요?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/>
      <c r="AQ3071">
        <v>0</v>
      </c>
      <c r="AR3071">
        <v>0</v>
      </c>
      <c r="AT3071">
        <v>0</v>
      </c>
      <c r="AU3071">
        <v>0</v>
      </c>
      <c r="AW3071">
        <v>0</v>
      </c>
      <c r="AX3071">
        <v>0</v>
      </c>
      <c r="AY3071">
        <v>70</v>
      </c>
      <c r="BC3071" t="str">
        <f t="shared" si="449"/>
        <v>9791166069482</v>
      </c>
      <c r="BE3071" t="str">
        <f t="shared" si="450"/>
        <v>로맨스 웹소설 &gt; 현대물</v>
      </c>
    </row>
    <row r="3072" spans="1:57" x14ac:dyDescent="0.3">
      <c r="A3072">
        <v>2313010290</v>
      </c>
      <c r="B3072">
        <v>2313010314</v>
      </c>
      <c r="C3072" t="str">
        <f>T("아저씨, 내 기분 왜 이래요? 25화")</f>
        <v>아저씨, 내 기분 왜 이래요? 25화</v>
      </c>
      <c r="D3072" t="str">
        <f>T("25")</f>
        <v>25</v>
      </c>
      <c r="E3072" t="str">
        <f t="shared" si="446"/>
        <v>Livingston</v>
      </c>
      <c r="H3072" t="str">
        <f t="shared" si="447"/>
        <v>블레슈(Blesshuu)</v>
      </c>
      <c r="I3072" t="str">
        <f t="shared" si="448"/>
        <v>아저씨, 내 기분 왜 이래요?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/>
      <c r="AQ3072">
        <v>0</v>
      </c>
      <c r="AR3072">
        <v>0</v>
      </c>
      <c r="AT3072">
        <v>0</v>
      </c>
      <c r="AU3072">
        <v>0</v>
      </c>
      <c r="AW3072">
        <v>0</v>
      </c>
      <c r="AX3072">
        <v>0</v>
      </c>
      <c r="AY3072">
        <v>70</v>
      </c>
      <c r="BC3072" t="str">
        <f t="shared" si="449"/>
        <v>9791166069482</v>
      </c>
      <c r="BE3072" t="str">
        <f t="shared" si="450"/>
        <v>로맨스 웹소설 &gt; 현대물</v>
      </c>
    </row>
    <row r="3073" spans="1:57" x14ac:dyDescent="0.3">
      <c r="A3073">
        <v>2313010290</v>
      </c>
      <c r="B3073">
        <v>2313010315</v>
      </c>
      <c r="C3073" t="str">
        <f>T("아저씨, 내 기분 왜 이래요? 26화")</f>
        <v>아저씨, 내 기분 왜 이래요? 26화</v>
      </c>
      <c r="D3073" t="str">
        <f>T("26")</f>
        <v>26</v>
      </c>
      <c r="E3073" t="str">
        <f t="shared" si="446"/>
        <v>Livingston</v>
      </c>
      <c r="H3073" t="str">
        <f t="shared" si="447"/>
        <v>블레슈(Blesshuu)</v>
      </c>
      <c r="I3073" t="str">
        <f t="shared" si="448"/>
        <v>아저씨, 내 기분 왜 이래요?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/>
      <c r="AQ3073">
        <v>0</v>
      </c>
      <c r="AR3073">
        <v>0</v>
      </c>
      <c r="AT3073">
        <v>0</v>
      </c>
      <c r="AU3073">
        <v>0</v>
      </c>
      <c r="AW3073">
        <v>0</v>
      </c>
      <c r="AX3073">
        <v>0</v>
      </c>
      <c r="AY3073">
        <v>70</v>
      </c>
      <c r="BC3073" t="str">
        <f t="shared" si="449"/>
        <v>9791166069482</v>
      </c>
      <c r="BE3073" t="str">
        <f t="shared" si="450"/>
        <v>로맨스 웹소설 &gt; 현대물</v>
      </c>
    </row>
    <row r="3074" spans="1:57" x14ac:dyDescent="0.3">
      <c r="A3074">
        <v>2313010290</v>
      </c>
      <c r="B3074">
        <v>2313010316</v>
      </c>
      <c r="C3074" t="str">
        <f>T("아저씨, 내 기분 왜 이래요? 27화")</f>
        <v>아저씨, 내 기분 왜 이래요? 27화</v>
      </c>
      <c r="D3074" t="str">
        <f>T("27")</f>
        <v>27</v>
      </c>
      <c r="E3074" t="str">
        <f t="shared" si="446"/>
        <v>Livingston</v>
      </c>
      <c r="H3074" t="str">
        <f t="shared" si="447"/>
        <v>블레슈(Blesshuu)</v>
      </c>
      <c r="I3074" t="str">
        <f t="shared" si="448"/>
        <v>아저씨, 내 기분 왜 이래요?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/>
      <c r="AQ3074">
        <v>0</v>
      </c>
      <c r="AR3074">
        <v>0</v>
      </c>
      <c r="AT3074">
        <v>0</v>
      </c>
      <c r="AU3074">
        <v>0</v>
      </c>
      <c r="AW3074">
        <v>0</v>
      </c>
      <c r="AX3074">
        <v>0</v>
      </c>
      <c r="AY3074">
        <v>70</v>
      </c>
      <c r="BC3074" t="str">
        <f t="shared" si="449"/>
        <v>9791166069482</v>
      </c>
      <c r="BE3074" t="str">
        <f t="shared" si="450"/>
        <v>로맨스 웹소설 &gt; 현대물</v>
      </c>
    </row>
    <row r="3075" spans="1:57" x14ac:dyDescent="0.3">
      <c r="A3075">
        <v>2313010290</v>
      </c>
      <c r="B3075">
        <v>2313010317</v>
      </c>
      <c r="C3075" t="str">
        <f>T("아저씨, 내 기분 왜 이래요? 28화")</f>
        <v>아저씨, 내 기분 왜 이래요? 28화</v>
      </c>
      <c r="D3075" t="str">
        <f>T("28")</f>
        <v>28</v>
      </c>
      <c r="E3075" t="str">
        <f t="shared" si="446"/>
        <v>Livingston</v>
      </c>
      <c r="H3075" t="str">
        <f t="shared" si="447"/>
        <v>블레슈(Blesshuu)</v>
      </c>
      <c r="I3075" t="str">
        <f t="shared" si="448"/>
        <v>아저씨, 내 기분 왜 이래요?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/>
      <c r="AQ3075">
        <v>0</v>
      </c>
      <c r="AR3075">
        <v>0</v>
      </c>
      <c r="AT3075">
        <v>0</v>
      </c>
      <c r="AU3075">
        <v>0</v>
      </c>
      <c r="AW3075">
        <v>0</v>
      </c>
      <c r="AX3075">
        <v>0</v>
      </c>
      <c r="AY3075">
        <v>70</v>
      </c>
      <c r="BC3075" t="str">
        <f t="shared" si="449"/>
        <v>9791166069482</v>
      </c>
      <c r="BE3075" t="str">
        <f t="shared" si="450"/>
        <v>로맨스 웹소설 &gt; 현대물</v>
      </c>
    </row>
    <row r="3076" spans="1:57" x14ac:dyDescent="0.3">
      <c r="A3076">
        <v>2313010290</v>
      </c>
      <c r="B3076">
        <v>2313010318</v>
      </c>
      <c r="C3076" t="str">
        <f>T("아저씨, 내 기분 왜 이래요? 29화")</f>
        <v>아저씨, 내 기분 왜 이래요? 29화</v>
      </c>
      <c r="D3076" t="str">
        <f>T("29")</f>
        <v>29</v>
      </c>
      <c r="E3076" t="str">
        <f t="shared" si="446"/>
        <v>Livingston</v>
      </c>
      <c r="H3076" t="str">
        <f t="shared" si="447"/>
        <v>블레슈(Blesshuu)</v>
      </c>
      <c r="I3076" t="str">
        <f t="shared" si="448"/>
        <v>아저씨, 내 기분 왜 이래요?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/>
      <c r="AQ3076">
        <v>0</v>
      </c>
      <c r="AR3076">
        <v>0</v>
      </c>
      <c r="AT3076">
        <v>0</v>
      </c>
      <c r="AU3076">
        <v>0</v>
      </c>
      <c r="AW3076">
        <v>0</v>
      </c>
      <c r="AX3076">
        <v>0</v>
      </c>
      <c r="AY3076">
        <v>70</v>
      </c>
      <c r="BC3076" t="str">
        <f t="shared" si="449"/>
        <v>9791166069482</v>
      </c>
      <c r="BE3076" t="str">
        <f t="shared" si="450"/>
        <v>로맨스 웹소설 &gt; 현대물</v>
      </c>
    </row>
    <row r="3077" spans="1:57" x14ac:dyDescent="0.3">
      <c r="A3077">
        <v>2313010290</v>
      </c>
      <c r="B3077">
        <v>2313010323</v>
      </c>
      <c r="C3077" t="str">
        <f>T("아저씨, 내 기분 왜 이래요? 34화")</f>
        <v>아저씨, 내 기분 왜 이래요? 34화</v>
      </c>
      <c r="D3077" t="str">
        <f>T("34")</f>
        <v>34</v>
      </c>
      <c r="E3077" t="str">
        <f t="shared" si="446"/>
        <v>Livingston</v>
      </c>
      <c r="H3077" t="str">
        <f t="shared" si="447"/>
        <v>블레슈(Blesshuu)</v>
      </c>
      <c r="I3077" t="str">
        <f t="shared" si="448"/>
        <v>아저씨, 내 기분 왜 이래요?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/>
      <c r="AQ3077">
        <v>0</v>
      </c>
      <c r="AR3077">
        <v>0</v>
      </c>
      <c r="AT3077">
        <v>0</v>
      </c>
      <c r="AU3077">
        <v>0</v>
      </c>
      <c r="AW3077">
        <v>0</v>
      </c>
      <c r="AX3077">
        <v>0</v>
      </c>
      <c r="AY3077">
        <v>70</v>
      </c>
      <c r="BC3077" t="str">
        <f t="shared" si="449"/>
        <v>9791166069482</v>
      </c>
      <c r="BE3077" t="str">
        <f t="shared" si="450"/>
        <v>로맨스 웹소설 &gt; 현대물</v>
      </c>
    </row>
    <row r="3078" spans="1:57" x14ac:dyDescent="0.3">
      <c r="A3078">
        <v>2313010290</v>
      </c>
      <c r="B3078">
        <v>2313010324</v>
      </c>
      <c r="C3078" t="str">
        <f>T("아저씨, 내 기분 왜 이래요? 35화")</f>
        <v>아저씨, 내 기분 왜 이래요? 35화</v>
      </c>
      <c r="D3078" t="str">
        <f>T("35")</f>
        <v>35</v>
      </c>
      <c r="E3078" t="str">
        <f t="shared" si="446"/>
        <v>Livingston</v>
      </c>
      <c r="H3078" t="str">
        <f t="shared" si="447"/>
        <v>블레슈(Blesshuu)</v>
      </c>
      <c r="I3078" t="str">
        <f t="shared" si="448"/>
        <v>아저씨, 내 기분 왜 이래요?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/>
      <c r="AQ3078">
        <v>0</v>
      </c>
      <c r="AR3078">
        <v>0</v>
      </c>
      <c r="AT3078">
        <v>0</v>
      </c>
      <c r="AU3078">
        <v>0</v>
      </c>
      <c r="AW3078">
        <v>0</v>
      </c>
      <c r="AX3078">
        <v>0</v>
      </c>
      <c r="AY3078">
        <v>70</v>
      </c>
      <c r="BC3078" t="str">
        <f t="shared" si="449"/>
        <v>9791166069482</v>
      </c>
      <c r="BE3078" t="str">
        <f t="shared" si="450"/>
        <v>로맨스 웹소설 &gt; 현대물</v>
      </c>
    </row>
    <row r="3079" spans="1:57" x14ac:dyDescent="0.3">
      <c r="A3079">
        <v>2313010290</v>
      </c>
      <c r="B3079">
        <v>2313010325</v>
      </c>
      <c r="C3079" t="str">
        <f>T("아저씨, 내 기분 왜 이래요? 36화")</f>
        <v>아저씨, 내 기분 왜 이래요? 36화</v>
      </c>
      <c r="D3079" t="str">
        <f>T("36")</f>
        <v>36</v>
      </c>
      <c r="E3079" t="str">
        <f t="shared" si="446"/>
        <v>Livingston</v>
      </c>
      <c r="H3079" t="str">
        <f t="shared" si="447"/>
        <v>블레슈(Blesshuu)</v>
      </c>
      <c r="I3079" t="str">
        <f t="shared" si="448"/>
        <v>아저씨, 내 기분 왜 이래요?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/>
      <c r="AQ3079">
        <v>0</v>
      </c>
      <c r="AR3079">
        <v>0</v>
      </c>
      <c r="AT3079">
        <v>0</v>
      </c>
      <c r="AU3079">
        <v>0</v>
      </c>
      <c r="AW3079">
        <v>0</v>
      </c>
      <c r="AX3079">
        <v>0</v>
      </c>
      <c r="AY3079">
        <v>70</v>
      </c>
      <c r="BC3079" t="str">
        <f t="shared" si="449"/>
        <v>9791166069482</v>
      </c>
      <c r="BE3079" t="str">
        <f t="shared" si="450"/>
        <v>로맨스 웹소설 &gt; 현대물</v>
      </c>
    </row>
    <row r="3080" spans="1:57" x14ac:dyDescent="0.3">
      <c r="A3080">
        <v>2313010290</v>
      </c>
      <c r="B3080">
        <v>2313010326</v>
      </c>
      <c r="C3080" t="str">
        <f>T("아저씨, 내 기분 왜 이래요? 37화")</f>
        <v>아저씨, 내 기분 왜 이래요? 37화</v>
      </c>
      <c r="D3080" t="str">
        <f>T("37")</f>
        <v>37</v>
      </c>
      <c r="E3080" t="str">
        <f t="shared" si="446"/>
        <v>Livingston</v>
      </c>
      <c r="H3080" t="str">
        <f t="shared" si="447"/>
        <v>블레슈(Blesshuu)</v>
      </c>
      <c r="I3080" t="str">
        <f t="shared" si="448"/>
        <v>아저씨, 내 기분 왜 이래요?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/>
      <c r="AQ3080">
        <v>0</v>
      </c>
      <c r="AR3080">
        <v>0</v>
      </c>
      <c r="AT3080">
        <v>0</v>
      </c>
      <c r="AU3080">
        <v>0</v>
      </c>
      <c r="AW3080">
        <v>0</v>
      </c>
      <c r="AX3080">
        <v>0</v>
      </c>
      <c r="AY3080">
        <v>70</v>
      </c>
      <c r="BC3080" t="str">
        <f t="shared" si="449"/>
        <v>9791166069482</v>
      </c>
      <c r="BE3080" t="str">
        <f t="shared" si="450"/>
        <v>로맨스 웹소설 &gt; 현대물</v>
      </c>
    </row>
    <row r="3081" spans="1:57" x14ac:dyDescent="0.3">
      <c r="A3081">
        <v>2313010290</v>
      </c>
      <c r="B3081">
        <v>2313010327</v>
      </c>
      <c r="C3081" t="str">
        <f>T("아저씨, 내 기분 왜 이래요? 38화")</f>
        <v>아저씨, 내 기분 왜 이래요? 38화</v>
      </c>
      <c r="D3081" t="str">
        <f>T("38")</f>
        <v>38</v>
      </c>
      <c r="E3081" t="str">
        <f t="shared" si="446"/>
        <v>Livingston</v>
      </c>
      <c r="H3081" t="str">
        <f t="shared" si="447"/>
        <v>블레슈(Blesshuu)</v>
      </c>
      <c r="I3081" t="str">
        <f t="shared" si="448"/>
        <v>아저씨, 내 기분 왜 이래요?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/>
      <c r="AQ3081">
        <v>0</v>
      </c>
      <c r="AR3081">
        <v>0</v>
      </c>
      <c r="AT3081">
        <v>0</v>
      </c>
      <c r="AU3081">
        <v>0</v>
      </c>
      <c r="AW3081">
        <v>0</v>
      </c>
      <c r="AX3081">
        <v>0</v>
      </c>
      <c r="AY3081">
        <v>70</v>
      </c>
      <c r="BC3081" t="str">
        <f t="shared" si="449"/>
        <v>9791166069482</v>
      </c>
      <c r="BE3081" t="str">
        <f t="shared" si="450"/>
        <v>로맨스 웹소설 &gt; 현대물</v>
      </c>
    </row>
    <row r="3082" spans="1:57" x14ac:dyDescent="0.3">
      <c r="A3082">
        <v>2313010290</v>
      </c>
      <c r="B3082">
        <v>2313010328</v>
      </c>
      <c r="C3082" t="str">
        <f>T("아저씨, 내 기분 왜 이래요? 39화")</f>
        <v>아저씨, 내 기분 왜 이래요? 39화</v>
      </c>
      <c r="D3082" t="str">
        <f>T("39")</f>
        <v>39</v>
      </c>
      <c r="E3082" t="str">
        <f t="shared" si="446"/>
        <v>Livingston</v>
      </c>
      <c r="H3082" t="str">
        <f t="shared" si="447"/>
        <v>블레슈(Blesshuu)</v>
      </c>
      <c r="I3082" t="str">
        <f t="shared" si="448"/>
        <v>아저씨, 내 기분 왜 이래요?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/>
      <c r="AQ3082">
        <v>0</v>
      </c>
      <c r="AR3082">
        <v>0</v>
      </c>
      <c r="AT3082">
        <v>0</v>
      </c>
      <c r="AU3082">
        <v>0</v>
      </c>
      <c r="AW3082">
        <v>0</v>
      </c>
      <c r="AX3082">
        <v>0</v>
      </c>
      <c r="AY3082">
        <v>70</v>
      </c>
      <c r="BC3082" t="str">
        <f t="shared" si="449"/>
        <v>9791166069482</v>
      </c>
      <c r="BE3082" t="str">
        <f t="shared" si="450"/>
        <v>로맨스 웹소설 &gt; 현대물</v>
      </c>
    </row>
    <row r="3083" spans="1:57" x14ac:dyDescent="0.3">
      <c r="A3083">
        <v>2313010290</v>
      </c>
      <c r="B3083">
        <v>2313010329</v>
      </c>
      <c r="C3083" t="str">
        <f>T("아저씨, 내 기분 왜 이래요? 40화")</f>
        <v>아저씨, 내 기분 왜 이래요? 40화</v>
      </c>
      <c r="D3083" t="str">
        <f>T("40")</f>
        <v>40</v>
      </c>
      <c r="E3083" t="str">
        <f t="shared" si="446"/>
        <v>Livingston</v>
      </c>
      <c r="H3083" t="str">
        <f t="shared" si="447"/>
        <v>블레슈(Blesshuu)</v>
      </c>
      <c r="I3083" t="str">
        <f t="shared" si="448"/>
        <v>아저씨, 내 기분 왜 이래요?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/>
      <c r="AQ3083">
        <v>0</v>
      </c>
      <c r="AR3083">
        <v>0</v>
      </c>
      <c r="AT3083">
        <v>0</v>
      </c>
      <c r="AU3083">
        <v>0</v>
      </c>
      <c r="AW3083">
        <v>0</v>
      </c>
      <c r="AX3083">
        <v>0</v>
      </c>
      <c r="AY3083">
        <v>70</v>
      </c>
      <c r="BC3083" t="str">
        <f t="shared" si="449"/>
        <v>9791166069482</v>
      </c>
      <c r="BE3083" t="str">
        <f t="shared" si="450"/>
        <v>로맨스 웹소설 &gt; 현대물</v>
      </c>
    </row>
    <row r="3084" spans="1:57" x14ac:dyDescent="0.3">
      <c r="A3084">
        <v>2313010290</v>
      </c>
      <c r="B3084">
        <v>2313010330</v>
      </c>
      <c r="C3084" t="str">
        <f>T("아저씨, 내 기분 왜 이래요? 41화")</f>
        <v>아저씨, 내 기분 왜 이래요? 41화</v>
      </c>
      <c r="D3084" t="str">
        <f>T("41")</f>
        <v>41</v>
      </c>
      <c r="E3084" t="str">
        <f t="shared" si="446"/>
        <v>Livingston</v>
      </c>
      <c r="H3084" t="str">
        <f t="shared" si="447"/>
        <v>블레슈(Blesshuu)</v>
      </c>
      <c r="I3084" t="str">
        <f t="shared" si="448"/>
        <v>아저씨, 내 기분 왜 이래요?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/>
      <c r="AQ3084">
        <v>0</v>
      </c>
      <c r="AR3084">
        <v>0</v>
      </c>
      <c r="AT3084">
        <v>0</v>
      </c>
      <c r="AU3084">
        <v>0</v>
      </c>
      <c r="AW3084">
        <v>0</v>
      </c>
      <c r="AX3084">
        <v>0</v>
      </c>
      <c r="AY3084">
        <v>70</v>
      </c>
      <c r="BC3084" t="str">
        <f t="shared" si="449"/>
        <v>9791166069482</v>
      </c>
      <c r="BE3084" t="str">
        <f t="shared" si="450"/>
        <v>로맨스 웹소설 &gt; 현대물</v>
      </c>
    </row>
    <row r="3085" spans="1:57" x14ac:dyDescent="0.3">
      <c r="A3085">
        <v>2313010290</v>
      </c>
      <c r="B3085">
        <v>2313010331</v>
      </c>
      <c r="C3085" t="str">
        <f>T("아저씨, 내 기분 왜 이래요? 42화")</f>
        <v>아저씨, 내 기분 왜 이래요? 42화</v>
      </c>
      <c r="D3085" t="str">
        <f>T("42")</f>
        <v>42</v>
      </c>
      <c r="E3085" t="str">
        <f t="shared" si="446"/>
        <v>Livingston</v>
      </c>
      <c r="H3085" t="str">
        <f t="shared" si="447"/>
        <v>블레슈(Blesshuu)</v>
      </c>
      <c r="I3085" t="str">
        <f t="shared" si="448"/>
        <v>아저씨, 내 기분 왜 이래요?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/>
      <c r="AQ3085">
        <v>0</v>
      </c>
      <c r="AR3085">
        <v>0</v>
      </c>
      <c r="AT3085">
        <v>0</v>
      </c>
      <c r="AU3085">
        <v>0</v>
      </c>
      <c r="AW3085">
        <v>0</v>
      </c>
      <c r="AX3085">
        <v>0</v>
      </c>
      <c r="AY3085">
        <v>70</v>
      </c>
      <c r="BC3085" t="str">
        <f t="shared" si="449"/>
        <v>9791166069482</v>
      </c>
      <c r="BE3085" t="str">
        <f t="shared" si="450"/>
        <v>로맨스 웹소설 &gt; 현대물</v>
      </c>
    </row>
    <row r="3086" spans="1:57" x14ac:dyDescent="0.3">
      <c r="A3086">
        <v>2313010290</v>
      </c>
      <c r="B3086">
        <v>2313010332</v>
      </c>
      <c r="C3086" t="str">
        <f>T("아저씨, 내 기분 왜 이래요? 43화")</f>
        <v>아저씨, 내 기분 왜 이래요? 43화</v>
      </c>
      <c r="D3086" t="str">
        <f>T("43")</f>
        <v>43</v>
      </c>
      <c r="E3086" t="str">
        <f t="shared" si="446"/>
        <v>Livingston</v>
      </c>
      <c r="H3086" t="str">
        <f t="shared" si="447"/>
        <v>블레슈(Blesshuu)</v>
      </c>
      <c r="I3086" t="str">
        <f t="shared" si="448"/>
        <v>아저씨, 내 기분 왜 이래요?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/>
      <c r="AQ3086">
        <v>0</v>
      </c>
      <c r="AR3086">
        <v>0</v>
      </c>
      <c r="AT3086">
        <v>0</v>
      </c>
      <c r="AU3086">
        <v>0</v>
      </c>
      <c r="AW3086">
        <v>0</v>
      </c>
      <c r="AX3086">
        <v>0</v>
      </c>
      <c r="AY3086">
        <v>70</v>
      </c>
      <c r="BC3086" t="str">
        <f t="shared" si="449"/>
        <v>9791166069482</v>
      </c>
      <c r="BE3086" t="str">
        <f t="shared" si="450"/>
        <v>로맨스 웹소설 &gt; 현대물</v>
      </c>
    </row>
    <row r="3087" spans="1:57" x14ac:dyDescent="0.3">
      <c r="A3087">
        <v>2313010290</v>
      </c>
      <c r="B3087">
        <v>2313010333</v>
      </c>
      <c r="C3087" t="str">
        <f>T("아저씨, 내 기분 왜 이래요? 44화")</f>
        <v>아저씨, 내 기분 왜 이래요? 44화</v>
      </c>
      <c r="D3087" t="str">
        <f>T("44")</f>
        <v>44</v>
      </c>
      <c r="E3087" t="str">
        <f t="shared" si="446"/>
        <v>Livingston</v>
      </c>
      <c r="H3087" t="str">
        <f t="shared" si="447"/>
        <v>블레슈(Blesshuu)</v>
      </c>
      <c r="I3087" t="str">
        <f t="shared" si="448"/>
        <v>아저씨, 내 기분 왜 이래요?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/>
      <c r="AQ3087">
        <v>0</v>
      </c>
      <c r="AR3087">
        <v>0</v>
      </c>
      <c r="AT3087">
        <v>0</v>
      </c>
      <c r="AU3087">
        <v>0</v>
      </c>
      <c r="AW3087">
        <v>0</v>
      </c>
      <c r="AX3087">
        <v>0</v>
      </c>
      <c r="AY3087">
        <v>70</v>
      </c>
      <c r="BC3087" t="str">
        <f t="shared" si="449"/>
        <v>9791166069482</v>
      </c>
      <c r="BE3087" t="str">
        <f t="shared" si="450"/>
        <v>로맨스 웹소설 &gt; 현대물</v>
      </c>
    </row>
    <row r="3088" spans="1:57" x14ac:dyDescent="0.3">
      <c r="A3088">
        <v>2313010290</v>
      </c>
      <c r="B3088">
        <v>2313010334</v>
      </c>
      <c r="C3088" t="str">
        <f>T("아저씨, 내 기분 왜 이래요? 45화")</f>
        <v>아저씨, 내 기분 왜 이래요? 45화</v>
      </c>
      <c r="D3088" t="str">
        <f>T("45")</f>
        <v>45</v>
      </c>
      <c r="E3088" t="str">
        <f t="shared" si="446"/>
        <v>Livingston</v>
      </c>
      <c r="H3088" t="str">
        <f t="shared" si="447"/>
        <v>블레슈(Blesshuu)</v>
      </c>
      <c r="I3088" t="str">
        <f t="shared" si="448"/>
        <v>아저씨, 내 기분 왜 이래요?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/>
      <c r="AQ3088">
        <v>0</v>
      </c>
      <c r="AR3088">
        <v>0</v>
      </c>
      <c r="AT3088">
        <v>0</v>
      </c>
      <c r="AU3088">
        <v>0</v>
      </c>
      <c r="AW3088">
        <v>0</v>
      </c>
      <c r="AX3088">
        <v>0</v>
      </c>
      <c r="AY3088">
        <v>70</v>
      </c>
      <c r="BC3088" t="str">
        <f t="shared" si="449"/>
        <v>9791166069482</v>
      </c>
      <c r="BE3088" t="str">
        <f t="shared" si="450"/>
        <v>로맨스 웹소설 &gt; 현대물</v>
      </c>
    </row>
    <row r="3089" spans="1:57" x14ac:dyDescent="0.3">
      <c r="A3089">
        <v>2313010290</v>
      </c>
      <c r="B3089">
        <v>2313010353</v>
      </c>
      <c r="C3089" t="str">
        <f>T("아저씨, 내 기분 왜 이래요? 64화")</f>
        <v>아저씨, 내 기분 왜 이래요? 64화</v>
      </c>
      <c r="D3089" t="str">
        <f>T("64")</f>
        <v>64</v>
      </c>
      <c r="E3089" t="str">
        <f t="shared" si="446"/>
        <v>Livingston</v>
      </c>
      <c r="H3089" t="str">
        <f t="shared" si="447"/>
        <v>블레슈(Blesshuu)</v>
      </c>
      <c r="I3089" t="str">
        <f t="shared" si="448"/>
        <v>아저씨, 내 기분 왜 이래요?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/>
      <c r="AQ3089">
        <v>0</v>
      </c>
      <c r="AR3089">
        <v>0</v>
      </c>
      <c r="AT3089">
        <v>0</v>
      </c>
      <c r="AU3089">
        <v>0</v>
      </c>
      <c r="AW3089">
        <v>0</v>
      </c>
      <c r="AX3089">
        <v>0</v>
      </c>
      <c r="AY3089">
        <v>70</v>
      </c>
      <c r="BC3089" t="str">
        <f t="shared" si="449"/>
        <v>9791166069482</v>
      </c>
      <c r="BE3089" t="str">
        <f t="shared" si="450"/>
        <v>로맨스 웹소설 &gt; 현대물</v>
      </c>
    </row>
    <row r="3090" spans="1:57" x14ac:dyDescent="0.3">
      <c r="A3090">
        <v>2313010290</v>
      </c>
      <c r="B3090">
        <v>2313010354</v>
      </c>
      <c r="C3090" t="str">
        <f>T("아저씨, 내 기분 왜 이래요? 65화")</f>
        <v>아저씨, 내 기분 왜 이래요? 65화</v>
      </c>
      <c r="D3090" t="str">
        <f>T("65")</f>
        <v>65</v>
      </c>
      <c r="E3090" t="str">
        <f t="shared" si="446"/>
        <v>Livingston</v>
      </c>
      <c r="H3090" t="str">
        <f t="shared" si="447"/>
        <v>블레슈(Blesshuu)</v>
      </c>
      <c r="I3090" t="str">
        <f t="shared" si="448"/>
        <v>아저씨, 내 기분 왜 이래요?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/>
      <c r="AQ3090">
        <v>0</v>
      </c>
      <c r="AR3090">
        <v>0</v>
      </c>
      <c r="AT3090">
        <v>0</v>
      </c>
      <c r="AU3090">
        <v>0</v>
      </c>
      <c r="AW3090">
        <v>0</v>
      </c>
      <c r="AX3090">
        <v>0</v>
      </c>
      <c r="AY3090">
        <v>70</v>
      </c>
      <c r="BC3090" t="str">
        <f t="shared" si="449"/>
        <v>9791166069482</v>
      </c>
      <c r="BE3090" t="str">
        <f t="shared" si="450"/>
        <v>로맨스 웹소설 &gt; 현대물</v>
      </c>
    </row>
    <row r="3091" spans="1:57" x14ac:dyDescent="0.3">
      <c r="A3091">
        <v>2313010290</v>
      </c>
      <c r="B3091">
        <v>2313010355</v>
      </c>
      <c r="C3091" t="str">
        <f>T("아저씨, 내 기분 왜 이래요? 66화")</f>
        <v>아저씨, 내 기분 왜 이래요? 66화</v>
      </c>
      <c r="D3091" t="str">
        <f>T("66")</f>
        <v>66</v>
      </c>
      <c r="E3091" t="str">
        <f t="shared" si="446"/>
        <v>Livingston</v>
      </c>
      <c r="H3091" t="str">
        <f t="shared" si="447"/>
        <v>블레슈(Blesshuu)</v>
      </c>
      <c r="I3091" t="str">
        <f t="shared" si="448"/>
        <v>아저씨, 내 기분 왜 이래요?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/>
      <c r="AQ3091">
        <v>0</v>
      </c>
      <c r="AR3091">
        <v>0</v>
      </c>
      <c r="AT3091">
        <v>0</v>
      </c>
      <c r="AU3091">
        <v>0</v>
      </c>
      <c r="AW3091">
        <v>0</v>
      </c>
      <c r="AX3091">
        <v>0</v>
      </c>
      <c r="AY3091">
        <v>70</v>
      </c>
      <c r="BC3091" t="str">
        <f t="shared" si="449"/>
        <v>9791166069482</v>
      </c>
      <c r="BE3091" t="str">
        <f t="shared" si="450"/>
        <v>로맨스 웹소설 &gt; 현대물</v>
      </c>
    </row>
    <row r="3092" spans="1:57" x14ac:dyDescent="0.3">
      <c r="A3092">
        <v>2313010290</v>
      </c>
      <c r="B3092">
        <v>2313010356</v>
      </c>
      <c r="C3092" t="str">
        <f>T("아저씨, 내 기분 왜 이래요? 67화")</f>
        <v>아저씨, 내 기분 왜 이래요? 67화</v>
      </c>
      <c r="D3092" t="str">
        <f>T("67")</f>
        <v>67</v>
      </c>
      <c r="E3092" t="str">
        <f t="shared" si="446"/>
        <v>Livingston</v>
      </c>
      <c r="H3092" t="str">
        <f t="shared" si="447"/>
        <v>블레슈(Blesshuu)</v>
      </c>
      <c r="I3092" t="str">
        <f t="shared" si="448"/>
        <v>아저씨, 내 기분 왜 이래요?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/>
      <c r="AQ3092">
        <v>0</v>
      </c>
      <c r="AR3092">
        <v>0</v>
      </c>
      <c r="AT3092">
        <v>0</v>
      </c>
      <c r="AU3092">
        <v>0</v>
      </c>
      <c r="AW3092">
        <v>0</v>
      </c>
      <c r="AX3092">
        <v>0</v>
      </c>
      <c r="AY3092">
        <v>70</v>
      </c>
      <c r="BC3092" t="str">
        <f t="shared" si="449"/>
        <v>9791166069482</v>
      </c>
      <c r="BE3092" t="str">
        <f t="shared" si="450"/>
        <v>로맨스 웹소설 &gt; 현대물</v>
      </c>
    </row>
    <row r="3093" spans="1:57" x14ac:dyDescent="0.3">
      <c r="A3093">
        <v>2313010290</v>
      </c>
      <c r="B3093">
        <v>2313010362</v>
      </c>
      <c r="C3093" t="str">
        <f>T("아저씨, 내 기분 왜 이래요? 73화")</f>
        <v>아저씨, 내 기분 왜 이래요? 73화</v>
      </c>
      <c r="D3093" t="str">
        <f>T("73")</f>
        <v>73</v>
      </c>
      <c r="E3093" t="str">
        <f t="shared" si="446"/>
        <v>Livingston</v>
      </c>
      <c r="H3093" t="str">
        <f t="shared" si="447"/>
        <v>블레슈(Blesshuu)</v>
      </c>
      <c r="I3093" t="str">
        <f t="shared" si="448"/>
        <v>아저씨, 내 기분 왜 이래요?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120</v>
      </c>
      <c r="AN3093">
        <v>-36</v>
      </c>
      <c r="AO3093">
        <v>0</v>
      </c>
      <c r="AP3093"/>
      <c r="AQ3093">
        <v>0</v>
      </c>
      <c r="AR3093">
        <v>0</v>
      </c>
      <c r="AS3093">
        <v>120</v>
      </c>
      <c r="AT3093">
        <v>-36</v>
      </c>
      <c r="AU3093">
        <v>0</v>
      </c>
      <c r="AW3093">
        <v>0</v>
      </c>
      <c r="AX3093">
        <v>0</v>
      </c>
      <c r="AY3093">
        <v>58.8</v>
      </c>
      <c r="BC3093" t="str">
        <f t="shared" si="449"/>
        <v>9791166069482</v>
      </c>
      <c r="BE3093" t="str">
        <f t="shared" si="450"/>
        <v>로맨스 웹소설 &gt; 현대물</v>
      </c>
    </row>
    <row r="3094" spans="1:57" x14ac:dyDescent="0.3">
      <c r="A3094">
        <v>2313010290</v>
      </c>
      <c r="B3094">
        <v>2313010363</v>
      </c>
      <c r="C3094" t="str">
        <f>T("아저씨, 내 기분 왜 이래요? 74화(완결)")</f>
        <v>아저씨, 내 기분 왜 이래요? 74화(완결)</v>
      </c>
      <c r="D3094" t="str">
        <f>T("74")</f>
        <v>74</v>
      </c>
      <c r="E3094" t="str">
        <f t="shared" si="446"/>
        <v>Livingston</v>
      </c>
      <c r="H3094" t="str">
        <f t="shared" si="447"/>
        <v>블레슈(Blesshuu)</v>
      </c>
      <c r="I3094" t="str">
        <f t="shared" si="448"/>
        <v>아저씨, 내 기분 왜 이래요?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0</v>
      </c>
      <c r="AL3094">
        <v>0</v>
      </c>
      <c r="AM3094">
        <v>120</v>
      </c>
      <c r="AN3094">
        <v>-36</v>
      </c>
      <c r="AO3094">
        <v>0</v>
      </c>
      <c r="AP3094"/>
      <c r="AQ3094">
        <v>0</v>
      </c>
      <c r="AR3094">
        <v>0</v>
      </c>
      <c r="AS3094">
        <v>120</v>
      </c>
      <c r="AT3094">
        <v>-36</v>
      </c>
      <c r="AU3094">
        <v>0</v>
      </c>
      <c r="AW3094">
        <v>0</v>
      </c>
      <c r="AX3094">
        <v>0</v>
      </c>
      <c r="AY3094">
        <v>58.8</v>
      </c>
      <c r="BC3094" t="str">
        <f t="shared" si="449"/>
        <v>9791166069482</v>
      </c>
      <c r="BE3094" t="str">
        <f t="shared" si="450"/>
        <v>로맨스 웹소설 &gt; 현대물</v>
      </c>
    </row>
    <row r="3095" spans="1:57" x14ac:dyDescent="0.3">
      <c r="A3095">
        <v>2313010364</v>
      </c>
      <c r="B3095">
        <v>2313010395</v>
      </c>
      <c r="C3095" t="str">
        <f>T("절대자의 귀환 32화")</f>
        <v>절대자의 귀환 32화</v>
      </c>
      <c r="D3095" t="str">
        <f>T("32")</f>
        <v>32</v>
      </c>
      <c r="E3095" t="str">
        <f t="shared" ref="E3095:E3109" si="451">T("장유진")</f>
        <v>장유진</v>
      </c>
      <c r="H3095" t="str">
        <f t="shared" ref="H3095:H3158" si="452">T("스토리위즈")</f>
        <v>스토리위즈</v>
      </c>
      <c r="I3095" t="str">
        <f t="shared" ref="I3095:I3109" si="453">T("절대자의 귀환")</f>
        <v>절대자의 귀환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/>
      <c r="AQ3095">
        <v>0</v>
      </c>
      <c r="AR3095">
        <v>0</v>
      </c>
      <c r="AT3095">
        <v>0</v>
      </c>
      <c r="AU3095">
        <v>0</v>
      </c>
      <c r="AW3095">
        <v>0</v>
      </c>
      <c r="AX3095">
        <v>0</v>
      </c>
      <c r="AY3095">
        <v>70</v>
      </c>
      <c r="BC3095" t="str">
        <f t="shared" ref="BC3095:BC3109" si="454">T("9791166069154")</f>
        <v>9791166069154</v>
      </c>
      <c r="BE3095" t="str">
        <f t="shared" ref="BE3095:BE3127" si="455">T("판타지 웹소설 &gt; 퓨전 판타지")</f>
        <v>판타지 웹소설 &gt; 퓨전 판타지</v>
      </c>
    </row>
    <row r="3096" spans="1:57" x14ac:dyDescent="0.3">
      <c r="A3096">
        <v>2313010364</v>
      </c>
      <c r="B3096">
        <v>2313010396</v>
      </c>
      <c r="C3096" t="str">
        <f>T("절대자의 귀환 33화")</f>
        <v>절대자의 귀환 33화</v>
      </c>
      <c r="D3096" t="str">
        <f>T("33")</f>
        <v>33</v>
      </c>
      <c r="E3096" t="str">
        <f t="shared" si="451"/>
        <v>장유진</v>
      </c>
      <c r="H3096" t="str">
        <f t="shared" si="452"/>
        <v>스토리위즈</v>
      </c>
      <c r="I3096" t="str">
        <f t="shared" si="453"/>
        <v>절대자의 귀환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/>
      <c r="AQ3096">
        <v>0</v>
      </c>
      <c r="AR3096">
        <v>0</v>
      </c>
      <c r="AT3096">
        <v>0</v>
      </c>
      <c r="AU3096">
        <v>0</v>
      </c>
      <c r="AW3096">
        <v>0</v>
      </c>
      <c r="AX3096">
        <v>0</v>
      </c>
      <c r="AY3096">
        <v>70</v>
      </c>
      <c r="BC3096" t="str">
        <f t="shared" si="454"/>
        <v>9791166069154</v>
      </c>
      <c r="BE3096" t="str">
        <f t="shared" si="455"/>
        <v>판타지 웹소설 &gt; 퓨전 판타지</v>
      </c>
    </row>
    <row r="3097" spans="1:57" x14ac:dyDescent="0.3">
      <c r="A3097">
        <v>2313010364</v>
      </c>
      <c r="B3097">
        <v>2313010397</v>
      </c>
      <c r="C3097" t="str">
        <f>T("절대자의 귀환 34화")</f>
        <v>절대자의 귀환 34화</v>
      </c>
      <c r="D3097" t="str">
        <f>T("34")</f>
        <v>34</v>
      </c>
      <c r="E3097" t="str">
        <f t="shared" si="451"/>
        <v>장유진</v>
      </c>
      <c r="H3097" t="str">
        <f t="shared" si="452"/>
        <v>스토리위즈</v>
      </c>
      <c r="I3097" t="str">
        <f t="shared" si="453"/>
        <v>절대자의 귀환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/>
      <c r="AQ3097">
        <v>0</v>
      </c>
      <c r="AR3097">
        <v>0</v>
      </c>
      <c r="AT3097">
        <v>0</v>
      </c>
      <c r="AU3097">
        <v>0</v>
      </c>
      <c r="AW3097">
        <v>0</v>
      </c>
      <c r="AX3097">
        <v>0</v>
      </c>
      <c r="AY3097">
        <v>70</v>
      </c>
      <c r="BC3097" t="str">
        <f t="shared" si="454"/>
        <v>9791166069154</v>
      </c>
      <c r="BE3097" t="str">
        <f t="shared" si="455"/>
        <v>판타지 웹소설 &gt; 퓨전 판타지</v>
      </c>
    </row>
    <row r="3098" spans="1:57" x14ac:dyDescent="0.3">
      <c r="A3098">
        <v>2313010364</v>
      </c>
      <c r="B3098">
        <v>2313010398</v>
      </c>
      <c r="C3098" t="str">
        <f>T("절대자의 귀환 35화")</f>
        <v>절대자의 귀환 35화</v>
      </c>
      <c r="D3098" t="str">
        <f>T("35")</f>
        <v>35</v>
      </c>
      <c r="E3098" t="str">
        <f t="shared" si="451"/>
        <v>장유진</v>
      </c>
      <c r="H3098" t="str">
        <f t="shared" si="452"/>
        <v>스토리위즈</v>
      </c>
      <c r="I3098" t="str">
        <f t="shared" si="453"/>
        <v>절대자의 귀환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/>
      <c r="AQ3098">
        <v>0</v>
      </c>
      <c r="AR3098">
        <v>0</v>
      </c>
      <c r="AT3098">
        <v>0</v>
      </c>
      <c r="AU3098">
        <v>0</v>
      </c>
      <c r="AW3098">
        <v>0</v>
      </c>
      <c r="AX3098">
        <v>0</v>
      </c>
      <c r="AY3098">
        <v>70</v>
      </c>
      <c r="BC3098" t="str">
        <f t="shared" si="454"/>
        <v>9791166069154</v>
      </c>
      <c r="BE3098" t="str">
        <f t="shared" si="455"/>
        <v>판타지 웹소설 &gt; 퓨전 판타지</v>
      </c>
    </row>
    <row r="3099" spans="1:57" x14ac:dyDescent="0.3">
      <c r="A3099">
        <v>2313010364</v>
      </c>
      <c r="B3099">
        <v>2313010399</v>
      </c>
      <c r="C3099" t="str">
        <f>T("절대자의 귀환 36화")</f>
        <v>절대자의 귀환 36화</v>
      </c>
      <c r="D3099" t="str">
        <f>T("36")</f>
        <v>36</v>
      </c>
      <c r="E3099" t="str">
        <f t="shared" si="451"/>
        <v>장유진</v>
      </c>
      <c r="H3099" t="str">
        <f t="shared" si="452"/>
        <v>스토리위즈</v>
      </c>
      <c r="I3099" t="str">
        <f t="shared" si="453"/>
        <v>절대자의 귀환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/>
      <c r="AQ3099">
        <v>0</v>
      </c>
      <c r="AR3099">
        <v>0</v>
      </c>
      <c r="AT3099">
        <v>0</v>
      </c>
      <c r="AU3099">
        <v>0</v>
      </c>
      <c r="AW3099">
        <v>0</v>
      </c>
      <c r="AX3099">
        <v>0</v>
      </c>
      <c r="AY3099">
        <v>70</v>
      </c>
      <c r="BC3099" t="str">
        <f t="shared" si="454"/>
        <v>9791166069154</v>
      </c>
      <c r="BE3099" t="str">
        <f t="shared" si="455"/>
        <v>판타지 웹소설 &gt; 퓨전 판타지</v>
      </c>
    </row>
    <row r="3100" spans="1:57" x14ac:dyDescent="0.3">
      <c r="A3100">
        <v>2313010364</v>
      </c>
      <c r="B3100">
        <v>2313010400</v>
      </c>
      <c r="C3100" t="str">
        <f>T("절대자의 귀환 37화")</f>
        <v>절대자의 귀환 37화</v>
      </c>
      <c r="D3100" t="str">
        <f>T("37")</f>
        <v>37</v>
      </c>
      <c r="E3100" t="str">
        <f t="shared" si="451"/>
        <v>장유진</v>
      </c>
      <c r="H3100" t="str">
        <f t="shared" si="452"/>
        <v>스토리위즈</v>
      </c>
      <c r="I3100" t="str">
        <f t="shared" si="453"/>
        <v>절대자의 귀환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/>
      <c r="AQ3100">
        <v>0</v>
      </c>
      <c r="AR3100">
        <v>0</v>
      </c>
      <c r="AT3100">
        <v>0</v>
      </c>
      <c r="AU3100">
        <v>0</v>
      </c>
      <c r="AW3100">
        <v>0</v>
      </c>
      <c r="AX3100">
        <v>0</v>
      </c>
      <c r="AY3100">
        <v>70</v>
      </c>
      <c r="BC3100" t="str">
        <f t="shared" si="454"/>
        <v>9791166069154</v>
      </c>
      <c r="BE3100" t="str">
        <f t="shared" si="455"/>
        <v>판타지 웹소설 &gt; 퓨전 판타지</v>
      </c>
    </row>
    <row r="3101" spans="1:57" x14ac:dyDescent="0.3">
      <c r="A3101">
        <v>2313010364</v>
      </c>
      <c r="B3101">
        <v>2313010401</v>
      </c>
      <c r="C3101" t="str">
        <f>T("절대자의 귀환 38화")</f>
        <v>절대자의 귀환 38화</v>
      </c>
      <c r="D3101" t="str">
        <f>T("38")</f>
        <v>38</v>
      </c>
      <c r="E3101" t="str">
        <f t="shared" si="451"/>
        <v>장유진</v>
      </c>
      <c r="H3101" t="str">
        <f t="shared" si="452"/>
        <v>스토리위즈</v>
      </c>
      <c r="I3101" t="str">
        <f t="shared" si="453"/>
        <v>절대자의 귀환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/>
      <c r="AQ3101">
        <v>0</v>
      </c>
      <c r="AR3101">
        <v>0</v>
      </c>
      <c r="AT3101">
        <v>0</v>
      </c>
      <c r="AU3101">
        <v>0</v>
      </c>
      <c r="AW3101">
        <v>0</v>
      </c>
      <c r="AX3101">
        <v>0</v>
      </c>
      <c r="AY3101">
        <v>70</v>
      </c>
      <c r="BC3101" t="str">
        <f t="shared" si="454"/>
        <v>9791166069154</v>
      </c>
      <c r="BE3101" t="str">
        <f t="shared" si="455"/>
        <v>판타지 웹소설 &gt; 퓨전 판타지</v>
      </c>
    </row>
    <row r="3102" spans="1:57" x14ac:dyDescent="0.3">
      <c r="A3102">
        <v>2313010364</v>
      </c>
      <c r="B3102">
        <v>2313010402</v>
      </c>
      <c r="C3102" t="str">
        <f>T("절대자의 귀환 39화")</f>
        <v>절대자의 귀환 39화</v>
      </c>
      <c r="D3102" t="str">
        <f>T("39")</f>
        <v>39</v>
      </c>
      <c r="E3102" t="str">
        <f t="shared" si="451"/>
        <v>장유진</v>
      </c>
      <c r="H3102" t="str">
        <f t="shared" si="452"/>
        <v>스토리위즈</v>
      </c>
      <c r="I3102" t="str">
        <f t="shared" si="453"/>
        <v>절대자의 귀환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/>
      <c r="AQ3102">
        <v>0</v>
      </c>
      <c r="AR3102">
        <v>0</v>
      </c>
      <c r="AT3102">
        <v>0</v>
      </c>
      <c r="AU3102">
        <v>0</v>
      </c>
      <c r="AW3102">
        <v>0</v>
      </c>
      <c r="AX3102">
        <v>0</v>
      </c>
      <c r="AY3102">
        <v>70</v>
      </c>
      <c r="BC3102" t="str">
        <f t="shared" si="454"/>
        <v>9791166069154</v>
      </c>
      <c r="BE3102" t="str">
        <f t="shared" si="455"/>
        <v>판타지 웹소설 &gt; 퓨전 판타지</v>
      </c>
    </row>
    <row r="3103" spans="1:57" x14ac:dyDescent="0.3">
      <c r="A3103">
        <v>2313010364</v>
      </c>
      <c r="B3103">
        <v>2313010403</v>
      </c>
      <c r="C3103" t="str">
        <f>T("절대자의 귀환 40화")</f>
        <v>절대자의 귀환 40화</v>
      </c>
      <c r="D3103" t="str">
        <f>T("40")</f>
        <v>40</v>
      </c>
      <c r="E3103" t="str">
        <f t="shared" si="451"/>
        <v>장유진</v>
      </c>
      <c r="H3103" t="str">
        <f t="shared" si="452"/>
        <v>스토리위즈</v>
      </c>
      <c r="I3103" t="str">
        <f t="shared" si="453"/>
        <v>절대자의 귀환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/>
      <c r="AQ3103">
        <v>0</v>
      </c>
      <c r="AR3103">
        <v>0</v>
      </c>
      <c r="AT3103">
        <v>0</v>
      </c>
      <c r="AU3103">
        <v>0</v>
      </c>
      <c r="AW3103">
        <v>0</v>
      </c>
      <c r="AX3103">
        <v>0</v>
      </c>
      <c r="AY3103">
        <v>70</v>
      </c>
      <c r="BC3103" t="str">
        <f t="shared" si="454"/>
        <v>9791166069154</v>
      </c>
      <c r="BE3103" t="str">
        <f t="shared" si="455"/>
        <v>판타지 웹소설 &gt; 퓨전 판타지</v>
      </c>
    </row>
    <row r="3104" spans="1:57" x14ac:dyDescent="0.3">
      <c r="A3104">
        <v>2313010364</v>
      </c>
      <c r="B3104">
        <v>2313010404</v>
      </c>
      <c r="C3104" t="str">
        <f>T("절대자의 귀환 41화")</f>
        <v>절대자의 귀환 41화</v>
      </c>
      <c r="D3104" t="str">
        <f>T("41")</f>
        <v>41</v>
      </c>
      <c r="E3104" t="str">
        <f t="shared" si="451"/>
        <v>장유진</v>
      </c>
      <c r="H3104" t="str">
        <f t="shared" si="452"/>
        <v>스토리위즈</v>
      </c>
      <c r="I3104" t="str">
        <f t="shared" si="453"/>
        <v>절대자의 귀환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/>
      <c r="AQ3104">
        <v>0</v>
      </c>
      <c r="AR3104">
        <v>0</v>
      </c>
      <c r="AT3104">
        <v>0</v>
      </c>
      <c r="AU3104">
        <v>0</v>
      </c>
      <c r="AW3104">
        <v>0</v>
      </c>
      <c r="AX3104">
        <v>0</v>
      </c>
      <c r="AY3104">
        <v>70</v>
      </c>
      <c r="BC3104" t="str">
        <f t="shared" si="454"/>
        <v>9791166069154</v>
      </c>
      <c r="BE3104" t="str">
        <f t="shared" si="455"/>
        <v>판타지 웹소설 &gt; 퓨전 판타지</v>
      </c>
    </row>
    <row r="3105" spans="1:57" x14ac:dyDescent="0.3">
      <c r="A3105">
        <v>2313010364</v>
      </c>
      <c r="B3105">
        <v>2313010405</v>
      </c>
      <c r="C3105" t="str">
        <f>T("절대자의 귀환 42화")</f>
        <v>절대자의 귀환 42화</v>
      </c>
      <c r="D3105" t="str">
        <f>T("42")</f>
        <v>42</v>
      </c>
      <c r="E3105" t="str">
        <f t="shared" si="451"/>
        <v>장유진</v>
      </c>
      <c r="H3105" t="str">
        <f t="shared" si="452"/>
        <v>스토리위즈</v>
      </c>
      <c r="I3105" t="str">
        <f t="shared" si="453"/>
        <v>절대자의 귀환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/>
      <c r="AQ3105">
        <v>0</v>
      </c>
      <c r="AR3105">
        <v>0</v>
      </c>
      <c r="AT3105">
        <v>0</v>
      </c>
      <c r="AU3105">
        <v>0</v>
      </c>
      <c r="AW3105">
        <v>0</v>
      </c>
      <c r="AX3105">
        <v>0</v>
      </c>
      <c r="AY3105">
        <v>70</v>
      </c>
      <c r="BC3105" t="str">
        <f t="shared" si="454"/>
        <v>9791166069154</v>
      </c>
      <c r="BE3105" t="str">
        <f t="shared" si="455"/>
        <v>판타지 웹소설 &gt; 퓨전 판타지</v>
      </c>
    </row>
    <row r="3106" spans="1:57" x14ac:dyDescent="0.3">
      <c r="A3106">
        <v>2313010364</v>
      </c>
      <c r="B3106">
        <v>2313010406</v>
      </c>
      <c r="C3106" t="str">
        <f>T("절대자의 귀환 43화")</f>
        <v>절대자의 귀환 43화</v>
      </c>
      <c r="D3106" t="str">
        <f>T("43")</f>
        <v>43</v>
      </c>
      <c r="E3106" t="str">
        <f t="shared" si="451"/>
        <v>장유진</v>
      </c>
      <c r="H3106" t="str">
        <f t="shared" si="452"/>
        <v>스토리위즈</v>
      </c>
      <c r="I3106" t="str">
        <f t="shared" si="453"/>
        <v>절대자의 귀환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/>
      <c r="AQ3106">
        <v>0</v>
      </c>
      <c r="AR3106">
        <v>0</v>
      </c>
      <c r="AT3106">
        <v>0</v>
      </c>
      <c r="AU3106">
        <v>0</v>
      </c>
      <c r="AW3106">
        <v>0</v>
      </c>
      <c r="AX3106">
        <v>0</v>
      </c>
      <c r="AY3106">
        <v>70</v>
      </c>
      <c r="BC3106" t="str">
        <f t="shared" si="454"/>
        <v>9791166069154</v>
      </c>
      <c r="BE3106" t="str">
        <f t="shared" si="455"/>
        <v>판타지 웹소설 &gt; 퓨전 판타지</v>
      </c>
    </row>
    <row r="3107" spans="1:57" x14ac:dyDescent="0.3">
      <c r="A3107">
        <v>2313010364</v>
      </c>
      <c r="B3107">
        <v>2313010407</v>
      </c>
      <c r="C3107" t="str">
        <f>T("절대자의 귀환 44화")</f>
        <v>절대자의 귀환 44화</v>
      </c>
      <c r="D3107" t="str">
        <f>T("44")</f>
        <v>44</v>
      </c>
      <c r="E3107" t="str">
        <f t="shared" si="451"/>
        <v>장유진</v>
      </c>
      <c r="H3107" t="str">
        <f t="shared" si="452"/>
        <v>스토리위즈</v>
      </c>
      <c r="I3107" t="str">
        <f t="shared" si="453"/>
        <v>절대자의 귀환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/>
      <c r="AQ3107">
        <v>0</v>
      </c>
      <c r="AR3107">
        <v>0</v>
      </c>
      <c r="AT3107">
        <v>0</v>
      </c>
      <c r="AU3107">
        <v>0</v>
      </c>
      <c r="AW3107">
        <v>0</v>
      </c>
      <c r="AX3107">
        <v>0</v>
      </c>
      <c r="AY3107">
        <v>70</v>
      </c>
      <c r="BC3107" t="str">
        <f t="shared" si="454"/>
        <v>9791166069154</v>
      </c>
      <c r="BE3107" t="str">
        <f t="shared" si="455"/>
        <v>판타지 웹소설 &gt; 퓨전 판타지</v>
      </c>
    </row>
    <row r="3108" spans="1:57" x14ac:dyDescent="0.3">
      <c r="A3108">
        <v>2313010364</v>
      </c>
      <c r="B3108">
        <v>2313010408</v>
      </c>
      <c r="C3108" t="str">
        <f>T("절대자의 귀환 45화")</f>
        <v>절대자의 귀환 45화</v>
      </c>
      <c r="D3108" t="str">
        <f>T("45")</f>
        <v>45</v>
      </c>
      <c r="E3108" t="str">
        <f t="shared" si="451"/>
        <v>장유진</v>
      </c>
      <c r="H3108" t="str">
        <f t="shared" si="452"/>
        <v>스토리위즈</v>
      </c>
      <c r="I3108" t="str">
        <f t="shared" si="453"/>
        <v>절대자의 귀환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/>
      <c r="AQ3108">
        <v>0</v>
      </c>
      <c r="AR3108">
        <v>0</v>
      </c>
      <c r="AT3108">
        <v>0</v>
      </c>
      <c r="AU3108">
        <v>0</v>
      </c>
      <c r="AW3108">
        <v>0</v>
      </c>
      <c r="AX3108">
        <v>0</v>
      </c>
      <c r="AY3108">
        <v>70</v>
      </c>
      <c r="BC3108" t="str">
        <f t="shared" si="454"/>
        <v>9791166069154</v>
      </c>
      <c r="BE3108" t="str">
        <f t="shared" si="455"/>
        <v>판타지 웹소설 &gt; 퓨전 판타지</v>
      </c>
    </row>
    <row r="3109" spans="1:57" x14ac:dyDescent="0.3">
      <c r="A3109">
        <v>2313010364</v>
      </c>
      <c r="B3109">
        <v>2313010409</v>
      </c>
      <c r="C3109" t="str">
        <f>T("절대자의 귀환 46화")</f>
        <v>절대자의 귀환 46화</v>
      </c>
      <c r="D3109" t="str">
        <f>T("46")</f>
        <v>46</v>
      </c>
      <c r="E3109" t="str">
        <f t="shared" si="451"/>
        <v>장유진</v>
      </c>
      <c r="H3109" t="str">
        <f t="shared" si="452"/>
        <v>스토리위즈</v>
      </c>
      <c r="I3109" t="str">
        <f t="shared" si="453"/>
        <v>절대자의 귀환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/>
      <c r="AQ3109">
        <v>0</v>
      </c>
      <c r="AR3109">
        <v>0</v>
      </c>
      <c r="AT3109">
        <v>0</v>
      </c>
      <c r="AU3109">
        <v>0</v>
      </c>
      <c r="AW3109">
        <v>0</v>
      </c>
      <c r="AX3109">
        <v>0</v>
      </c>
      <c r="AY3109">
        <v>70</v>
      </c>
      <c r="BC3109" t="str">
        <f t="shared" si="454"/>
        <v>9791166069154</v>
      </c>
      <c r="BE3109" t="str">
        <f t="shared" si="455"/>
        <v>판타지 웹소설 &gt; 퓨전 판타지</v>
      </c>
    </row>
    <row r="3110" spans="1:57" x14ac:dyDescent="0.3">
      <c r="A3110">
        <v>2313010585</v>
      </c>
      <c r="B3110">
        <v>2313010848</v>
      </c>
      <c r="C3110" t="str">
        <f>T("라스트 서바이버 264화")</f>
        <v>라스트 서바이버 264화</v>
      </c>
      <c r="D3110" t="str">
        <f>T("264")</f>
        <v>264</v>
      </c>
      <c r="E3110" t="str">
        <f t="shared" ref="E3110:E3127" si="456">T("청빙")</f>
        <v>청빙</v>
      </c>
      <c r="H3110" t="str">
        <f t="shared" si="452"/>
        <v>스토리위즈</v>
      </c>
      <c r="I3110" t="str">
        <f t="shared" ref="I3110:I3127" si="457">T("라스트 서바이버")</f>
        <v>라스트 서바이버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/>
      <c r="AQ3110">
        <v>0</v>
      </c>
      <c r="AR3110">
        <v>0</v>
      </c>
      <c r="AT3110">
        <v>0</v>
      </c>
      <c r="AU3110">
        <v>0</v>
      </c>
      <c r="AW3110">
        <v>0</v>
      </c>
      <c r="AX3110">
        <v>0</v>
      </c>
      <c r="AY3110">
        <v>70</v>
      </c>
      <c r="BC3110" t="str">
        <f t="shared" ref="BC3110:BC3127" si="458">T("9791137600119")</f>
        <v>9791137600119</v>
      </c>
      <c r="BE3110" t="str">
        <f t="shared" si="455"/>
        <v>판타지 웹소설 &gt; 퓨전 판타지</v>
      </c>
    </row>
    <row r="3111" spans="1:57" x14ac:dyDescent="0.3">
      <c r="A3111">
        <v>2313010585</v>
      </c>
      <c r="B3111">
        <v>2313010849</v>
      </c>
      <c r="C3111" t="str">
        <f>T("라스트 서바이버 265화")</f>
        <v>라스트 서바이버 265화</v>
      </c>
      <c r="D3111" t="str">
        <f>T("265")</f>
        <v>265</v>
      </c>
      <c r="E3111" t="str">
        <f t="shared" si="456"/>
        <v>청빙</v>
      </c>
      <c r="H3111" t="str">
        <f t="shared" si="452"/>
        <v>스토리위즈</v>
      </c>
      <c r="I3111" t="str">
        <f t="shared" si="457"/>
        <v>라스트 서바이버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/>
      <c r="AQ3111">
        <v>0</v>
      </c>
      <c r="AR3111">
        <v>0</v>
      </c>
      <c r="AT3111">
        <v>0</v>
      </c>
      <c r="AU3111">
        <v>0</v>
      </c>
      <c r="AW3111">
        <v>0</v>
      </c>
      <c r="AX3111">
        <v>0</v>
      </c>
      <c r="AY3111">
        <v>70</v>
      </c>
      <c r="BC3111" t="str">
        <f t="shared" si="458"/>
        <v>9791137600119</v>
      </c>
      <c r="BE3111" t="str">
        <f t="shared" si="455"/>
        <v>판타지 웹소설 &gt; 퓨전 판타지</v>
      </c>
    </row>
    <row r="3112" spans="1:57" x14ac:dyDescent="0.3">
      <c r="A3112">
        <v>2313010585</v>
      </c>
      <c r="B3112">
        <v>2313010850</v>
      </c>
      <c r="C3112" t="str">
        <f>T("라스트 서바이버 266화")</f>
        <v>라스트 서바이버 266화</v>
      </c>
      <c r="D3112" t="str">
        <f>T("266")</f>
        <v>266</v>
      </c>
      <c r="E3112" t="str">
        <f t="shared" si="456"/>
        <v>청빙</v>
      </c>
      <c r="H3112" t="str">
        <f t="shared" si="452"/>
        <v>스토리위즈</v>
      </c>
      <c r="I3112" t="str">
        <f t="shared" si="457"/>
        <v>라스트 서바이버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/>
      <c r="AQ3112">
        <v>0</v>
      </c>
      <c r="AR3112">
        <v>0</v>
      </c>
      <c r="AT3112">
        <v>0</v>
      </c>
      <c r="AU3112">
        <v>0</v>
      </c>
      <c r="AW3112">
        <v>0</v>
      </c>
      <c r="AX3112">
        <v>0</v>
      </c>
      <c r="AY3112">
        <v>70</v>
      </c>
      <c r="BC3112" t="str">
        <f t="shared" si="458"/>
        <v>9791137600119</v>
      </c>
      <c r="BE3112" t="str">
        <f t="shared" si="455"/>
        <v>판타지 웹소설 &gt; 퓨전 판타지</v>
      </c>
    </row>
    <row r="3113" spans="1:57" x14ac:dyDescent="0.3">
      <c r="A3113">
        <v>2313010585</v>
      </c>
      <c r="B3113">
        <v>2313010851</v>
      </c>
      <c r="C3113" t="str">
        <f>T("라스트 서바이버 267화")</f>
        <v>라스트 서바이버 267화</v>
      </c>
      <c r="D3113" t="str">
        <f>T("267")</f>
        <v>267</v>
      </c>
      <c r="E3113" t="str">
        <f t="shared" si="456"/>
        <v>청빙</v>
      </c>
      <c r="H3113" t="str">
        <f t="shared" si="452"/>
        <v>스토리위즈</v>
      </c>
      <c r="I3113" t="str">
        <f t="shared" si="457"/>
        <v>라스트 서바이버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/>
      <c r="AQ3113">
        <v>0</v>
      </c>
      <c r="AR3113">
        <v>0</v>
      </c>
      <c r="AT3113">
        <v>0</v>
      </c>
      <c r="AU3113">
        <v>0</v>
      </c>
      <c r="AW3113">
        <v>0</v>
      </c>
      <c r="AX3113">
        <v>0</v>
      </c>
      <c r="AY3113">
        <v>70</v>
      </c>
      <c r="BC3113" t="str">
        <f t="shared" si="458"/>
        <v>9791137600119</v>
      </c>
      <c r="BE3113" t="str">
        <f t="shared" si="455"/>
        <v>판타지 웹소설 &gt; 퓨전 판타지</v>
      </c>
    </row>
    <row r="3114" spans="1:57" x14ac:dyDescent="0.3">
      <c r="A3114">
        <v>2313010585</v>
      </c>
      <c r="B3114">
        <v>2313010852</v>
      </c>
      <c r="C3114" t="str">
        <f>T("라스트 서바이버 268화")</f>
        <v>라스트 서바이버 268화</v>
      </c>
      <c r="D3114" t="str">
        <f>T("268")</f>
        <v>268</v>
      </c>
      <c r="E3114" t="str">
        <f t="shared" si="456"/>
        <v>청빙</v>
      </c>
      <c r="H3114" t="str">
        <f t="shared" si="452"/>
        <v>스토리위즈</v>
      </c>
      <c r="I3114" t="str">
        <f t="shared" si="457"/>
        <v>라스트 서바이버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/>
      <c r="AQ3114">
        <v>0</v>
      </c>
      <c r="AR3114">
        <v>0</v>
      </c>
      <c r="AT3114">
        <v>0</v>
      </c>
      <c r="AU3114">
        <v>0</v>
      </c>
      <c r="AW3114">
        <v>0</v>
      </c>
      <c r="AX3114">
        <v>0</v>
      </c>
      <c r="AY3114">
        <v>70</v>
      </c>
      <c r="BC3114" t="str">
        <f t="shared" si="458"/>
        <v>9791137600119</v>
      </c>
      <c r="BE3114" t="str">
        <f t="shared" si="455"/>
        <v>판타지 웹소설 &gt; 퓨전 판타지</v>
      </c>
    </row>
    <row r="3115" spans="1:57" x14ac:dyDescent="0.3">
      <c r="A3115">
        <v>2313010585</v>
      </c>
      <c r="B3115">
        <v>2313010853</v>
      </c>
      <c r="C3115" t="str">
        <f>T("라스트 서바이버 269화")</f>
        <v>라스트 서바이버 269화</v>
      </c>
      <c r="D3115" t="str">
        <f>T("269")</f>
        <v>269</v>
      </c>
      <c r="E3115" t="str">
        <f t="shared" si="456"/>
        <v>청빙</v>
      </c>
      <c r="H3115" t="str">
        <f t="shared" si="452"/>
        <v>스토리위즈</v>
      </c>
      <c r="I3115" t="str">
        <f t="shared" si="457"/>
        <v>라스트 서바이버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/>
      <c r="AQ3115">
        <v>0</v>
      </c>
      <c r="AR3115">
        <v>0</v>
      </c>
      <c r="AT3115">
        <v>0</v>
      </c>
      <c r="AU3115">
        <v>0</v>
      </c>
      <c r="AW3115">
        <v>0</v>
      </c>
      <c r="AX3115">
        <v>0</v>
      </c>
      <c r="AY3115">
        <v>70</v>
      </c>
      <c r="BC3115" t="str">
        <f t="shared" si="458"/>
        <v>9791137600119</v>
      </c>
      <c r="BE3115" t="str">
        <f t="shared" si="455"/>
        <v>판타지 웹소설 &gt; 퓨전 판타지</v>
      </c>
    </row>
    <row r="3116" spans="1:57" x14ac:dyDescent="0.3">
      <c r="A3116">
        <v>2313010585</v>
      </c>
      <c r="B3116">
        <v>2313010854</v>
      </c>
      <c r="C3116" t="str">
        <f>T("라스트 서바이버 270화")</f>
        <v>라스트 서바이버 270화</v>
      </c>
      <c r="D3116" t="str">
        <f>T("270")</f>
        <v>270</v>
      </c>
      <c r="E3116" t="str">
        <f t="shared" si="456"/>
        <v>청빙</v>
      </c>
      <c r="H3116" t="str">
        <f t="shared" si="452"/>
        <v>스토리위즈</v>
      </c>
      <c r="I3116" t="str">
        <f t="shared" si="457"/>
        <v>라스트 서바이버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/>
      <c r="AQ3116">
        <v>0</v>
      </c>
      <c r="AR3116">
        <v>0</v>
      </c>
      <c r="AT3116">
        <v>0</v>
      </c>
      <c r="AU3116">
        <v>0</v>
      </c>
      <c r="AW3116">
        <v>0</v>
      </c>
      <c r="AX3116">
        <v>0</v>
      </c>
      <c r="AY3116">
        <v>70</v>
      </c>
      <c r="BC3116" t="str">
        <f t="shared" si="458"/>
        <v>9791137600119</v>
      </c>
      <c r="BE3116" t="str">
        <f t="shared" si="455"/>
        <v>판타지 웹소설 &gt; 퓨전 판타지</v>
      </c>
    </row>
    <row r="3117" spans="1:57" x14ac:dyDescent="0.3">
      <c r="A3117">
        <v>2313010585</v>
      </c>
      <c r="B3117">
        <v>2313010855</v>
      </c>
      <c r="C3117" t="str">
        <f>T("라스트 서바이버 271화")</f>
        <v>라스트 서바이버 271화</v>
      </c>
      <c r="D3117" t="str">
        <f>T("271")</f>
        <v>271</v>
      </c>
      <c r="E3117" t="str">
        <f t="shared" si="456"/>
        <v>청빙</v>
      </c>
      <c r="H3117" t="str">
        <f t="shared" si="452"/>
        <v>스토리위즈</v>
      </c>
      <c r="I3117" t="str">
        <f t="shared" si="457"/>
        <v>라스트 서바이버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/>
      <c r="AQ3117">
        <v>0</v>
      </c>
      <c r="AR3117">
        <v>0</v>
      </c>
      <c r="AT3117">
        <v>0</v>
      </c>
      <c r="AU3117">
        <v>0</v>
      </c>
      <c r="AW3117">
        <v>0</v>
      </c>
      <c r="AX3117">
        <v>0</v>
      </c>
      <c r="AY3117">
        <v>70</v>
      </c>
      <c r="BC3117" t="str">
        <f t="shared" si="458"/>
        <v>9791137600119</v>
      </c>
      <c r="BE3117" t="str">
        <f t="shared" si="455"/>
        <v>판타지 웹소설 &gt; 퓨전 판타지</v>
      </c>
    </row>
    <row r="3118" spans="1:57" x14ac:dyDescent="0.3">
      <c r="A3118">
        <v>2313010585</v>
      </c>
      <c r="B3118">
        <v>2313010856</v>
      </c>
      <c r="C3118" t="str">
        <f>T("라스트 서바이버 272화")</f>
        <v>라스트 서바이버 272화</v>
      </c>
      <c r="D3118" t="str">
        <f>T("272")</f>
        <v>272</v>
      </c>
      <c r="E3118" t="str">
        <f t="shared" si="456"/>
        <v>청빙</v>
      </c>
      <c r="H3118" t="str">
        <f t="shared" si="452"/>
        <v>스토리위즈</v>
      </c>
      <c r="I3118" t="str">
        <f t="shared" si="457"/>
        <v>라스트 서바이버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/>
      <c r="AQ3118">
        <v>0</v>
      </c>
      <c r="AR3118">
        <v>0</v>
      </c>
      <c r="AT3118">
        <v>0</v>
      </c>
      <c r="AU3118">
        <v>0</v>
      </c>
      <c r="AW3118">
        <v>0</v>
      </c>
      <c r="AX3118">
        <v>0</v>
      </c>
      <c r="AY3118">
        <v>70</v>
      </c>
      <c r="BC3118" t="str">
        <f t="shared" si="458"/>
        <v>9791137600119</v>
      </c>
      <c r="BE3118" t="str">
        <f t="shared" si="455"/>
        <v>판타지 웹소설 &gt; 퓨전 판타지</v>
      </c>
    </row>
    <row r="3119" spans="1:57" x14ac:dyDescent="0.3">
      <c r="A3119">
        <v>2313010585</v>
      </c>
      <c r="B3119">
        <v>2313010857</v>
      </c>
      <c r="C3119" t="str">
        <f>T("라스트 서바이버 273화")</f>
        <v>라스트 서바이버 273화</v>
      </c>
      <c r="D3119" t="str">
        <f>T("273")</f>
        <v>273</v>
      </c>
      <c r="E3119" t="str">
        <f t="shared" si="456"/>
        <v>청빙</v>
      </c>
      <c r="H3119" t="str">
        <f t="shared" si="452"/>
        <v>스토리위즈</v>
      </c>
      <c r="I3119" t="str">
        <f t="shared" si="457"/>
        <v>라스트 서바이버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/>
      <c r="AQ3119">
        <v>0</v>
      </c>
      <c r="AR3119">
        <v>0</v>
      </c>
      <c r="AT3119">
        <v>0</v>
      </c>
      <c r="AU3119">
        <v>0</v>
      </c>
      <c r="AW3119">
        <v>0</v>
      </c>
      <c r="AX3119">
        <v>0</v>
      </c>
      <c r="AY3119">
        <v>70</v>
      </c>
      <c r="BC3119" t="str">
        <f t="shared" si="458"/>
        <v>9791137600119</v>
      </c>
      <c r="BE3119" t="str">
        <f t="shared" si="455"/>
        <v>판타지 웹소설 &gt; 퓨전 판타지</v>
      </c>
    </row>
    <row r="3120" spans="1:57" x14ac:dyDescent="0.3">
      <c r="A3120">
        <v>2313010585</v>
      </c>
      <c r="B3120">
        <v>2313010858</v>
      </c>
      <c r="C3120" t="str">
        <f>T("라스트 서바이버 274화")</f>
        <v>라스트 서바이버 274화</v>
      </c>
      <c r="D3120" t="str">
        <f>T("274")</f>
        <v>274</v>
      </c>
      <c r="E3120" t="str">
        <f t="shared" si="456"/>
        <v>청빙</v>
      </c>
      <c r="H3120" t="str">
        <f t="shared" si="452"/>
        <v>스토리위즈</v>
      </c>
      <c r="I3120" t="str">
        <f t="shared" si="457"/>
        <v>라스트 서바이버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/>
      <c r="AQ3120">
        <v>0</v>
      </c>
      <c r="AR3120">
        <v>0</v>
      </c>
      <c r="AT3120">
        <v>0</v>
      </c>
      <c r="AU3120">
        <v>0</v>
      </c>
      <c r="AW3120">
        <v>0</v>
      </c>
      <c r="AX3120">
        <v>0</v>
      </c>
      <c r="AY3120">
        <v>70</v>
      </c>
      <c r="BC3120" t="str">
        <f t="shared" si="458"/>
        <v>9791137600119</v>
      </c>
      <c r="BE3120" t="str">
        <f t="shared" si="455"/>
        <v>판타지 웹소설 &gt; 퓨전 판타지</v>
      </c>
    </row>
    <row r="3121" spans="1:57" x14ac:dyDescent="0.3">
      <c r="A3121">
        <v>2313010585</v>
      </c>
      <c r="B3121">
        <v>2313010859</v>
      </c>
      <c r="C3121" t="str">
        <f>T("라스트 서바이버 275화")</f>
        <v>라스트 서바이버 275화</v>
      </c>
      <c r="D3121" t="str">
        <f>T("275")</f>
        <v>275</v>
      </c>
      <c r="E3121" t="str">
        <f t="shared" si="456"/>
        <v>청빙</v>
      </c>
      <c r="H3121" t="str">
        <f t="shared" si="452"/>
        <v>스토리위즈</v>
      </c>
      <c r="I3121" t="str">
        <f t="shared" si="457"/>
        <v>라스트 서바이버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/>
      <c r="AQ3121">
        <v>0</v>
      </c>
      <c r="AR3121">
        <v>0</v>
      </c>
      <c r="AT3121">
        <v>0</v>
      </c>
      <c r="AU3121">
        <v>0</v>
      </c>
      <c r="AW3121">
        <v>0</v>
      </c>
      <c r="AX3121">
        <v>0</v>
      </c>
      <c r="AY3121">
        <v>70</v>
      </c>
      <c r="BC3121" t="str">
        <f t="shared" si="458"/>
        <v>9791137600119</v>
      </c>
      <c r="BE3121" t="str">
        <f t="shared" si="455"/>
        <v>판타지 웹소설 &gt; 퓨전 판타지</v>
      </c>
    </row>
    <row r="3122" spans="1:57" x14ac:dyDescent="0.3">
      <c r="A3122">
        <v>2313010585</v>
      </c>
      <c r="B3122">
        <v>2313010860</v>
      </c>
      <c r="C3122" t="str">
        <f>T("라스트 서바이버 276화")</f>
        <v>라스트 서바이버 276화</v>
      </c>
      <c r="D3122" t="str">
        <f>T("276")</f>
        <v>276</v>
      </c>
      <c r="E3122" t="str">
        <f t="shared" si="456"/>
        <v>청빙</v>
      </c>
      <c r="H3122" t="str">
        <f t="shared" si="452"/>
        <v>스토리위즈</v>
      </c>
      <c r="I3122" t="str">
        <f t="shared" si="457"/>
        <v>라스트 서바이버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/>
      <c r="AQ3122">
        <v>0</v>
      </c>
      <c r="AR3122">
        <v>0</v>
      </c>
      <c r="AT3122">
        <v>0</v>
      </c>
      <c r="AU3122">
        <v>0</v>
      </c>
      <c r="AW3122">
        <v>0</v>
      </c>
      <c r="AX3122">
        <v>0</v>
      </c>
      <c r="AY3122">
        <v>70</v>
      </c>
      <c r="BC3122" t="str">
        <f t="shared" si="458"/>
        <v>9791137600119</v>
      </c>
      <c r="BE3122" t="str">
        <f t="shared" si="455"/>
        <v>판타지 웹소설 &gt; 퓨전 판타지</v>
      </c>
    </row>
    <row r="3123" spans="1:57" x14ac:dyDescent="0.3">
      <c r="A3123">
        <v>2313010585</v>
      </c>
      <c r="B3123">
        <v>2313010861</v>
      </c>
      <c r="C3123" t="str">
        <f>T("라스트 서바이버 277화")</f>
        <v>라스트 서바이버 277화</v>
      </c>
      <c r="D3123" t="str">
        <f>T("277")</f>
        <v>277</v>
      </c>
      <c r="E3123" t="str">
        <f t="shared" si="456"/>
        <v>청빙</v>
      </c>
      <c r="H3123" t="str">
        <f t="shared" si="452"/>
        <v>스토리위즈</v>
      </c>
      <c r="I3123" t="str">
        <f t="shared" si="457"/>
        <v>라스트 서바이버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/>
      <c r="AQ3123">
        <v>0</v>
      </c>
      <c r="AR3123">
        <v>0</v>
      </c>
      <c r="AT3123">
        <v>0</v>
      </c>
      <c r="AU3123">
        <v>0</v>
      </c>
      <c r="AW3123">
        <v>0</v>
      </c>
      <c r="AX3123">
        <v>0</v>
      </c>
      <c r="AY3123">
        <v>70</v>
      </c>
      <c r="BC3123" t="str">
        <f t="shared" si="458"/>
        <v>9791137600119</v>
      </c>
      <c r="BE3123" t="str">
        <f t="shared" si="455"/>
        <v>판타지 웹소설 &gt; 퓨전 판타지</v>
      </c>
    </row>
    <row r="3124" spans="1:57" x14ac:dyDescent="0.3">
      <c r="A3124">
        <v>2313010585</v>
      </c>
      <c r="B3124">
        <v>2313010862</v>
      </c>
      <c r="C3124" t="str">
        <f>T("라스트 서바이버 278화")</f>
        <v>라스트 서바이버 278화</v>
      </c>
      <c r="D3124" t="str">
        <f>T("278")</f>
        <v>278</v>
      </c>
      <c r="E3124" t="str">
        <f t="shared" si="456"/>
        <v>청빙</v>
      </c>
      <c r="H3124" t="str">
        <f t="shared" si="452"/>
        <v>스토리위즈</v>
      </c>
      <c r="I3124" t="str">
        <f t="shared" si="457"/>
        <v>라스트 서바이버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/>
      <c r="AQ3124">
        <v>0</v>
      </c>
      <c r="AR3124">
        <v>0</v>
      </c>
      <c r="AT3124">
        <v>0</v>
      </c>
      <c r="AU3124">
        <v>0</v>
      </c>
      <c r="AW3124">
        <v>0</v>
      </c>
      <c r="AX3124">
        <v>0</v>
      </c>
      <c r="AY3124">
        <v>70</v>
      </c>
      <c r="BC3124" t="str">
        <f t="shared" si="458"/>
        <v>9791137600119</v>
      </c>
      <c r="BE3124" t="str">
        <f t="shared" si="455"/>
        <v>판타지 웹소설 &gt; 퓨전 판타지</v>
      </c>
    </row>
    <row r="3125" spans="1:57" x14ac:dyDescent="0.3">
      <c r="A3125">
        <v>2313010585</v>
      </c>
      <c r="B3125">
        <v>2313010863</v>
      </c>
      <c r="C3125" t="str">
        <f>T("라스트 서바이버 279화")</f>
        <v>라스트 서바이버 279화</v>
      </c>
      <c r="D3125" t="str">
        <f>T("279")</f>
        <v>279</v>
      </c>
      <c r="E3125" t="str">
        <f t="shared" si="456"/>
        <v>청빙</v>
      </c>
      <c r="H3125" t="str">
        <f t="shared" si="452"/>
        <v>스토리위즈</v>
      </c>
      <c r="I3125" t="str">
        <f t="shared" si="457"/>
        <v>라스트 서바이버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/>
      <c r="AQ3125">
        <v>0</v>
      </c>
      <c r="AR3125">
        <v>0</v>
      </c>
      <c r="AT3125">
        <v>0</v>
      </c>
      <c r="AU3125">
        <v>0</v>
      </c>
      <c r="AW3125">
        <v>0</v>
      </c>
      <c r="AX3125">
        <v>0</v>
      </c>
      <c r="AY3125">
        <v>70</v>
      </c>
      <c r="BC3125" t="str">
        <f t="shared" si="458"/>
        <v>9791137600119</v>
      </c>
      <c r="BE3125" t="str">
        <f t="shared" si="455"/>
        <v>판타지 웹소설 &gt; 퓨전 판타지</v>
      </c>
    </row>
    <row r="3126" spans="1:57" x14ac:dyDescent="0.3">
      <c r="A3126">
        <v>2313010585</v>
      </c>
      <c r="B3126">
        <v>2313010864</v>
      </c>
      <c r="C3126" t="str">
        <f>T("라스트 서바이버 280화")</f>
        <v>라스트 서바이버 280화</v>
      </c>
      <c r="D3126" t="str">
        <f>T("280")</f>
        <v>280</v>
      </c>
      <c r="E3126" t="str">
        <f t="shared" si="456"/>
        <v>청빙</v>
      </c>
      <c r="H3126" t="str">
        <f t="shared" si="452"/>
        <v>스토리위즈</v>
      </c>
      <c r="I3126" t="str">
        <f t="shared" si="457"/>
        <v>라스트 서바이버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/>
      <c r="AQ3126">
        <v>0</v>
      </c>
      <c r="AR3126">
        <v>0</v>
      </c>
      <c r="AT3126">
        <v>0</v>
      </c>
      <c r="AU3126">
        <v>0</v>
      </c>
      <c r="AW3126">
        <v>0</v>
      </c>
      <c r="AX3126">
        <v>0</v>
      </c>
      <c r="AY3126">
        <v>70</v>
      </c>
      <c r="BC3126" t="str">
        <f t="shared" si="458"/>
        <v>9791137600119</v>
      </c>
      <c r="BE3126" t="str">
        <f t="shared" si="455"/>
        <v>판타지 웹소설 &gt; 퓨전 판타지</v>
      </c>
    </row>
    <row r="3127" spans="1:57" x14ac:dyDescent="0.3">
      <c r="A3127">
        <v>2313010585</v>
      </c>
      <c r="B3127">
        <v>2313010865</v>
      </c>
      <c r="C3127" t="str">
        <f>T("라스트 서바이버 281화")</f>
        <v>라스트 서바이버 281화</v>
      </c>
      <c r="D3127" t="str">
        <f>T("281")</f>
        <v>281</v>
      </c>
      <c r="E3127" t="str">
        <f t="shared" si="456"/>
        <v>청빙</v>
      </c>
      <c r="H3127" t="str">
        <f t="shared" si="452"/>
        <v>스토리위즈</v>
      </c>
      <c r="I3127" t="str">
        <f t="shared" si="457"/>
        <v>라스트 서바이버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/>
      <c r="AQ3127">
        <v>0</v>
      </c>
      <c r="AR3127">
        <v>0</v>
      </c>
      <c r="AT3127">
        <v>0</v>
      </c>
      <c r="AU3127">
        <v>0</v>
      </c>
      <c r="AW3127">
        <v>0</v>
      </c>
      <c r="AX3127">
        <v>0</v>
      </c>
      <c r="AY3127">
        <v>70</v>
      </c>
      <c r="BC3127" t="str">
        <f t="shared" si="458"/>
        <v>9791137600119</v>
      </c>
      <c r="BE3127" t="str">
        <f t="shared" si="455"/>
        <v>판타지 웹소설 &gt; 퓨전 판타지</v>
      </c>
    </row>
    <row r="3128" spans="1:57" x14ac:dyDescent="0.3">
      <c r="A3128">
        <v>2313012374</v>
      </c>
      <c r="B3128">
        <v>2313012514</v>
      </c>
      <c r="C3128" t="str">
        <f>T("그라운드의 지배자 141화")</f>
        <v>그라운드의 지배자 141화</v>
      </c>
      <c r="D3128" t="str">
        <f>T("141")</f>
        <v>141</v>
      </c>
      <c r="E3128" t="str">
        <f t="shared" ref="E3128:E3191" si="459">T("무장")</f>
        <v>무장</v>
      </c>
      <c r="H3128" t="str">
        <f t="shared" si="452"/>
        <v>스토리위즈</v>
      </c>
      <c r="I3128" t="str">
        <f>T("그라운드의 지배자")</f>
        <v>그라운드의 지배자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/>
      <c r="AQ3128">
        <v>0</v>
      </c>
      <c r="AR3128">
        <v>0</v>
      </c>
      <c r="AT3128">
        <v>0</v>
      </c>
      <c r="AU3128">
        <v>0</v>
      </c>
      <c r="AW3128">
        <v>0</v>
      </c>
      <c r="AX3128">
        <v>0</v>
      </c>
      <c r="AY3128">
        <v>70</v>
      </c>
      <c r="BC3128" t="str">
        <f>T("9791137602120")</f>
        <v>9791137602120</v>
      </c>
      <c r="BE3128" t="str">
        <f t="shared" ref="BE3128:BE3191" si="460">T("판타지 웹소설 &gt; 현대 판타지")</f>
        <v>판타지 웹소설 &gt; 현대 판타지</v>
      </c>
    </row>
    <row r="3129" spans="1:57" x14ac:dyDescent="0.3">
      <c r="A3129">
        <v>2313011955</v>
      </c>
      <c r="B3129">
        <v>2313012636</v>
      </c>
      <c r="C3129" t="str">
        <f>T("갓 오브 블랙필드 420화 (외전 1)")</f>
        <v>갓 오브 블랙필드 420화 (외전 1)</v>
      </c>
      <c r="D3129" t="str">
        <f>T("420")</f>
        <v>420</v>
      </c>
      <c r="E3129" t="str">
        <f t="shared" si="459"/>
        <v>무장</v>
      </c>
      <c r="H3129" t="str">
        <f t="shared" si="452"/>
        <v>스토리위즈</v>
      </c>
      <c r="I3129" t="str">
        <f t="shared" ref="I3129:I3192" si="461">T("갓 오브 블랙필드")</f>
        <v>갓 오브 블랙필드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/>
      <c r="AQ3129">
        <v>0</v>
      </c>
      <c r="AR3129">
        <v>0</v>
      </c>
      <c r="AT3129">
        <v>0</v>
      </c>
      <c r="AU3129">
        <v>0</v>
      </c>
      <c r="AW3129">
        <v>0</v>
      </c>
      <c r="AX3129">
        <v>0</v>
      </c>
      <c r="AY3129">
        <v>70</v>
      </c>
      <c r="BA3129" t="str">
        <f t="shared" ref="BA3129:BA3189" si="462">T("9788928067343")</f>
        <v>9788928067343</v>
      </c>
      <c r="BC3129" t="str">
        <f t="shared" ref="BC3129:BC3192" si="463">T("9791137602113")</f>
        <v>9791137602113</v>
      </c>
      <c r="BE3129" t="str">
        <f t="shared" si="460"/>
        <v>판타지 웹소설 &gt; 현대 판타지</v>
      </c>
    </row>
    <row r="3130" spans="1:57" x14ac:dyDescent="0.3">
      <c r="A3130">
        <v>2313011955</v>
      </c>
      <c r="B3130">
        <v>2313012637</v>
      </c>
      <c r="C3130" t="str">
        <f>T("갓 오브 블랙필드 421화 (외전 2)")</f>
        <v>갓 오브 블랙필드 421화 (외전 2)</v>
      </c>
      <c r="D3130" t="str">
        <f>T("421")</f>
        <v>421</v>
      </c>
      <c r="E3130" t="str">
        <f t="shared" si="459"/>
        <v>무장</v>
      </c>
      <c r="H3130" t="str">
        <f t="shared" si="452"/>
        <v>스토리위즈</v>
      </c>
      <c r="I3130" t="str">
        <f t="shared" si="461"/>
        <v>갓 오브 블랙필드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/>
      <c r="AQ3130">
        <v>0</v>
      </c>
      <c r="AR3130">
        <v>0</v>
      </c>
      <c r="AT3130">
        <v>0</v>
      </c>
      <c r="AU3130">
        <v>0</v>
      </c>
      <c r="AW3130">
        <v>0</v>
      </c>
      <c r="AX3130">
        <v>0</v>
      </c>
      <c r="AY3130">
        <v>70</v>
      </c>
      <c r="BA3130" t="str">
        <f t="shared" si="462"/>
        <v>9788928067343</v>
      </c>
      <c r="BC3130" t="str">
        <f t="shared" si="463"/>
        <v>9791137602113</v>
      </c>
      <c r="BE3130" t="str">
        <f t="shared" si="460"/>
        <v>판타지 웹소설 &gt; 현대 판타지</v>
      </c>
    </row>
    <row r="3131" spans="1:57" x14ac:dyDescent="0.3">
      <c r="A3131">
        <v>2313011955</v>
      </c>
      <c r="B3131">
        <v>2313012638</v>
      </c>
      <c r="C3131" t="str">
        <f>T("갓 오브 블랙필드 422화 (외전 3)")</f>
        <v>갓 오브 블랙필드 422화 (외전 3)</v>
      </c>
      <c r="D3131" t="str">
        <f>T("422")</f>
        <v>422</v>
      </c>
      <c r="E3131" t="str">
        <f t="shared" si="459"/>
        <v>무장</v>
      </c>
      <c r="H3131" t="str">
        <f t="shared" si="452"/>
        <v>스토리위즈</v>
      </c>
      <c r="I3131" t="str">
        <f t="shared" si="461"/>
        <v>갓 오브 블랙필드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/>
      <c r="AQ3131">
        <v>0</v>
      </c>
      <c r="AR3131">
        <v>0</v>
      </c>
      <c r="AT3131">
        <v>0</v>
      </c>
      <c r="AU3131">
        <v>0</v>
      </c>
      <c r="AW3131">
        <v>0</v>
      </c>
      <c r="AX3131">
        <v>0</v>
      </c>
      <c r="AY3131">
        <v>70</v>
      </c>
      <c r="BA3131" t="str">
        <f t="shared" si="462"/>
        <v>9788928067343</v>
      </c>
      <c r="BC3131" t="str">
        <f t="shared" si="463"/>
        <v>9791137602113</v>
      </c>
      <c r="BE3131" t="str">
        <f t="shared" si="460"/>
        <v>판타지 웹소설 &gt; 현대 판타지</v>
      </c>
    </row>
    <row r="3132" spans="1:57" x14ac:dyDescent="0.3">
      <c r="A3132">
        <v>2313011955</v>
      </c>
      <c r="B3132">
        <v>2313012639</v>
      </c>
      <c r="C3132" t="str">
        <f>T("갓 오브 블랙필드 423화 (외전 4)")</f>
        <v>갓 오브 블랙필드 423화 (외전 4)</v>
      </c>
      <c r="D3132" t="str">
        <f>T("423")</f>
        <v>423</v>
      </c>
      <c r="E3132" t="str">
        <f t="shared" si="459"/>
        <v>무장</v>
      </c>
      <c r="H3132" t="str">
        <f t="shared" si="452"/>
        <v>스토리위즈</v>
      </c>
      <c r="I3132" t="str">
        <f t="shared" si="461"/>
        <v>갓 오브 블랙필드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/>
      <c r="AQ3132">
        <v>0</v>
      </c>
      <c r="AR3132">
        <v>0</v>
      </c>
      <c r="AT3132">
        <v>0</v>
      </c>
      <c r="AU3132">
        <v>0</v>
      </c>
      <c r="AW3132">
        <v>0</v>
      </c>
      <c r="AX3132">
        <v>0</v>
      </c>
      <c r="AY3132">
        <v>70</v>
      </c>
      <c r="BA3132" t="str">
        <f t="shared" si="462"/>
        <v>9788928067343</v>
      </c>
      <c r="BC3132" t="str">
        <f t="shared" si="463"/>
        <v>9791137602113</v>
      </c>
      <c r="BE3132" t="str">
        <f t="shared" si="460"/>
        <v>판타지 웹소설 &gt; 현대 판타지</v>
      </c>
    </row>
    <row r="3133" spans="1:57" x14ac:dyDescent="0.3">
      <c r="A3133">
        <v>2313011955</v>
      </c>
      <c r="B3133">
        <v>2313012640</v>
      </c>
      <c r="C3133" t="str">
        <f>T("갓 오브 블랙필드 424화 (외전 5)")</f>
        <v>갓 오브 블랙필드 424화 (외전 5)</v>
      </c>
      <c r="D3133" t="str">
        <f>T("424")</f>
        <v>424</v>
      </c>
      <c r="E3133" t="str">
        <f t="shared" si="459"/>
        <v>무장</v>
      </c>
      <c r="H3133" t="str">
        <f t="shared" si="452"/>
        <v>스토리위즈</v>
      </c>
      <c r="I3133" t="str">
        <f t="shared" si="461"/>
        <v>갓 오브 블랙필드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/>
      <c r="AQ3133">
        <v>0</v>
      </c>
      <c r="AR3133">
        <v>0</v>
      </c>
      <c r="AT3133">
        <v>0</v>
      </c>
      <c r="AU3133">
        <v>0</v>
      </c>
      <c r="AW3133">
        <v>0</v>
      </c>
      <c r="AX3133">
        <v>0</v>
      </c>
      <c r="AY3133">
        <v>70</v>
      </c>
      <c r="BA3133" t="str">
        <f t="shared" si="462"/>
        <v>9788928067343</v>
      </c>
      <c r="BC3133" t="str">
        <f t="shared" si="463"/>
        <v>9791137602113</v>
      </c>
      <c r="BE3133" t="str">
        <f t="shared" si="460"/>
        <v>판타지 웹소설 &gt; 현대 판타지</v>
      </c>
    </row>
    <row r="3134" spans="1:57" x14ac:dyDescent="0.3">
      <c r="A3134">
        <v>2313011955</v>
      </c>
      <c r="B3134">
        <v>2313012641</v>
      </c>
      <c r="C3134" t="str">
        <f>T("갓 오브 블랙필드 425화 (외전 6)")</f>
        <v>갓 오브 블랙필드 425화 (외전 6)</v>
      </c>
      <c r="D3134" t="str">
        <f>T("425")</f>
        <v>425</v>
      </c>
      <c r="E3134" t="str">
        <f t="shared" si="459"/>
        <v>무장</v>
      </c>
      <c r="H3134" t="str">
        <f t="shared" si="452"/>
        <v>스토리위즈</v>
      </c>
      <c r="I3134" t="str">
        <f t="shared" si="461"/>
        <v>갓 오브 블랙필드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/>
      <c r="AQ3134">
        <v>0</v>
      </c>
      <c r="AR3134">
        <v>0</v>
      </c>
      <c r="AT3134">
        <v>0</v>
      </c>
      <c r="AU3134">
        <v>0</v>
      </c>
      <c r="AW3134">
        <v>0</v>
      </c>
      <c r="AX3134">
        <v>0</v>
      </c>
      <c r="AY3134">
        <v>70</v>
      </c>
      <c r="BA3134" t="str">
        <f t="shared" si="462"/>
        <v>9788928067343</v>
      </c>
      <c r="BC3134" t="str">
        <f t="shared" si="463"/>
        <v>9791137602113</v>
      </c>
      <c r="BE3134" t="str">
        <f t="shared" si="460"/>
        <v>판타지 웹소설 &gt; 현대 판타지</v>
      </c>
    </row>
    <row r="3135" spans="1:57" x14ac:dyDescent="0.3">
      <c r="A3135">
        <v>2313011955</v>
      </c>
      <c r="B3135">
        <v>2313012642</v>
      </c>
      <c r="C3135" t="str">
        <f>T("갓 오브 블랙필드 426화 (외전 7)")</f>
        <v>갓 오브 블랙필드 426화 (외전 7)</v>
      </c>
      <c r="D3135" t="str">
        <f>T("426")</f>
        <v>426</v>
      </c>
      <c r="E3135" t="str">
        <f t="shared" si="459"/>
        <v>무장</v>
      </c>
      <c r="H3135" t="str">
        <f t="shared" si="452"/>
        <v>스토리위즈</v>
      </c>
      <c r="I3135" t="str">
        <f t="shared" si="461"/>
        <v>갓 오브 블랙필드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/>
      <c r="AQ3135">
        <v>0</v>
      </c>
      <c r="AR3135">
        <v>0</v>
      </c>
      <c r="AT3135">
        <v>0</v>
      </c>
      <c r="AU3135">
        <v>0</v>
      </c>
      <c r="AW3135">
        <v>0</v>
      </c>
      <c r="AX3135">
        <v>0</v>
      </c>
      <c r="AY3135">
        <v>70</v>
      </c>
      <c r="BA3135" t="str">
        <f t="shared" si="462"/>
        <v>9788928067343</v>
      </c>
      <c r="BC3135" t="str">
        <f t="shared" si="463"/>
        <v>9791137602113</v>
      </c>
      <c r="BE3135" t="str">
        <f t="shared" si="460"/>
        <v>판타지 웹소설 &gt; 현대 판타지</v>
      </c>
    </row>
    <row r="3136" spans="1:57" x14ac:dyDescent="0.3">
      <c r="A3136">
        <v>2313011955</v>
      </c>
      <c r="B3136">
        <v>2313012643</v>
      </c>
      <c r="C3136" t="str">
        <f>T("갓 오브 블랙필드 427화 (외전 8)")</f>
        <v>갓 오브 블랙필드 427화 (외전 8)</v>
      </c>
      <c r="D3136" t="str">
        <f>T("427")</f>
        <v>427</v>
      </c>
      <c r="E3136" t="str">
        <f t="shared" si="459"/>
        <v>무장</v>
      </c>
      <c r="H3136" t="str">
        <f t="shared" si="452"/>
        <v>스토리위즈</v>
      </c>
      <c r="I3136" t="str">
        <f t="shared" si="461"/>
        <v>갓 오브 블랙필드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/>
      <c r="AQ3136">
        <v>0</v>
      </c>
      <c r="AR3136">
        <v>0</v>
      </c>
      <c r="AT3136">
        <v>0</v>
      </c>
      <c r="AU3136">
        <v>0</v>
      </c>
      <c r="AW3136">
        <v>0</v>
      </c>
      <c r="AX3136">
        <v>0</v>
      </c>
      <c r="AY3136">
        <v>70</v>
      </c>
      <c r="BA3136" t="str">
        <f t="shared" si="462"/>
        <v>9788928067343</v>
      </c>
      <c r="BC3136" t="str">
        <f t="shared" si="463"/>
        <v>9791137602113</v>
      </c>
      <c r="BE3136" t="str">
        <f t="shared" si="460"/>
        <v>판타지 웹소설 &gt; 현대 판타지</v>
      </c>
    </row>
    <row r="3137" spans="1:57" x14ac:dyDescent="0.3">
      <c r="A3137">
        <v>2313011955</v>
      </c>
      <c r="B3137">
        <v>2313012644</v>
      </c>
      <c r="C3137" t="str">
        <f>T("갓 오브 블랙필드 428화 (외전 9)")</f>
        <v>갓 오브 블랙필드 428화 (외전 9)</v>
      </c>
      <c r="D3137" t="str">
        <f>T("428")</f>
        <v>428</v>
      </c>
      <c r="E3137" t="str">
        <f t="shared" si="459"/>
        <v>무장</v>
      </c>
      <c r="H3137" t="str">
        <f t="shared" si="452"/>
        <v>스토리위즈</v>
      </c>
      <c r="I3137" t="str">
        <f t="shared" si="461"/>
        <v>갓 오브 블랙필드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/>
      <c r="AQ3137">
        <v>0</v>
      </c>
      <c r="AR3137">
        <v>0</v>
      </c>
      <c r="AT3137">
        <v>0</v>
      </c>
      <c r="AU3137">
        <v>0</v>
      </c>
      <c r="AW3137">
        <v>0</v>
      </c>
      <c r="AX3137">
        <v>0</v>
      </c>
      <c r="AY3137">
        <v>70</v>
      </c>
      <c r="BA3137" t="str">
        <f t="shared" si="462"/>
        <v>9788928067343</v>
      </c>
      <c r="BC3137" t="str">
        <f t="shared" si="463"/>
        <v>9791137602113</v>
      </c>
      <c r="BE3137" t="str">
        <f t="shared" si="460"/>
        <v>판타지 웹소설 &gt; 현대 판타지</v>
      </c>
    </row>
    <row r="3138" spans="1:57" x14ac:dyDescent="0.3">
      <c r="A3138">
        <v>2313011955</v>
      </c>
      <c r="B3138">
        <v>2313012645</v>
      </c>
      <c r="C3138" t="str">
        <f>T("갓 오브 블랙필드 429화 (외전 10)")</f>
        <v>갓 오브 블랙필드 429화 (외전 10)</v>
      </c>
      <c r="D3138" t="str">
        <f>T("429")</f>
        <v>429</v>
      </c>
      <c r="E3138" t="str">
        <f t="shared" si="459"/>
        <v>무장</v>
      </c>
      <c r="H3138" t="str">
        <f t="shared" si="452"/>
        <v>스토리위즈</v>
      </c>
      <c r="I3138" t="str">
        <f t="shared" si="461"/>
        <v>갓 오브 블랙필드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/>
      <c r="AQ3138">
        <v>0</v>
      </c>
      <c r="AR3138">
        <v>0</v>
      </c>
      <c r="AT3138">
        <v>0</v>
      </c>
      <c r="AU3138">
        <v>0</v>
      </c>
      <c r="AW3138">
        <v>0</v>
      </c>
      <c r="AX3138">
        <v>0</v>
      </c>
      <c r="AY3138">
        <v>70</v>
      </c>
      <c r="BA3138" t="str">
        <f t="shared" si="462"/>
        <v>9788928067343</v>
      </c>
      <c r="BC3138" t="str">
        <f t="shared" si="463"/>
        <v>9791137602113</v>
      </c>
      <c r="BE3138" t="str">
        <f t="shared" si="460"/>
        <v>판타지 웹소설 &gt; 현대 판타지</v>
      </c>
    </row>
    <row r="3139" spans="1:57" x14ac:dyDescent="0.3">
      <c r="A3139">
        <v>2313011955</v>
      </c>
      <c r="B3139">
        <v>2313012646</v>
      </c>
      <c r="C3139" t="str">
        <f>T("갓 오브 블랙필드 430화 (외전 11)")</f>
        <v>갓 오브 블랙필드 430화 (외전 11)</v>
      </c>
      <c r="D3139" t="str">
        <f>T("430")</f>
        <v>430</v>
      </c>
      <c r="E3139" t="str">
        <f t="shared" si="459"/>
        <v>무장</v>
      </c>
      <c r="H3139" t="str">
        <f t="shared" si="452"/>
        <v>스토리위즈</v>
      </c>
      <c r="I3139" t="str">
        <f t="shared" si="461"/>
        <v>갓 오브 블랙필드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/>
      <c r="AQ3139">
        <v>0</v>
      </c>
      <c r="AR3139">
        <v>0</v>
      </c>
      <c r="AT3139">
        <v>0</v>
      </c>
      <c r="AU3139">
        <v>0</v>
      </c>
      <c r="AW3139">
        <v>0</v>
      </c>
      <c r="AX3139">
        <v>0</v>
      </c>
      <c r="AY3139">
        <v>70</v>
      </c>
      <c r="BA3139" t="str">
        <f t="shared" si="462"/>
        <v>9788928067343</v>
      </c>
      <c r="BC3139" t="str">
        <f t="shared" si="463"/>
        <v>9791137602113</v>
      </c>
      <c r="BE3139" t="str">
        <f t="shared" si="460"/>
        <v>판타지 웹소설 &gt; 현대 판타지</v>
      </c>
    </row>
    <row r="3140" spans="1:57" x14ac:dyDescent="0.3">
      <c r="A3140">
        <v>2313011955</v>
      </c>
      <c r="B3140">
        <v>2313012647</v>
      </c>
      <c r="C3140" t="str">
        <f>T("갓 오브 블랙필드 431화 (외전 12)")</f>
        <v>갓 오브 블랙필드 431화 (외전 12)</v>
      </c>
      <c r="D3140" t="str">
        <f>T("431")</f>
        <v>431</v>
      </c>
      <c r="E3140" t="str">
        <f t="shared" si="459"/>
        <v>무장</v>
      </c>
      <c r="H3140" t="str">
        <f t="shared" si="452"/>
        <v>스토리위즈</v>
      </c>
      <c r="I3140" t="str">
        <f t="shared" si="461"/>
        <v>갓 오브 블랙필드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/>
      <c r="AQ3140">
        <v>0</v>
      </c>
      <c r="AR3140">
        <v>0</v>
      </c>
      <c r="AT3140">
        <v>0</v>
      </c>
      <c r="AU3140">
        <v>0</v>
      </c>
      <c r="AW3140">
        <v>0</v>
      </c>
      <c r="AX3140">
        <v>0</v>
      </c>
      <c r="AY3140">
        <v>70</v>
      </c>
      <c r="BA3140" t="str">
        <f t="shared" si="462"/>
        <v>9788928067343</v>
      </c>
      <c r="BC3140" t="str">
        <f t="shared" si="463"/>
        <v>9791137602113</v>
      </c>
      <c r="BE3140" t="str">
        <f t="shared" si="460"/>
        <v>판타지 웹소설 &gt; 현대 판타지</v>
      </c>
    </row>
    <row r="3141" spans="1:57" x14ac:dyDescent="0.3">
      <c r="A3141">
        <v>2313011955</v>
      </c>
      <c r="B3141">
        <v>2313012648</v>
      </c>
      <c r="C3141" t="str">
        <f>T("갓 오브 블랙필드 432화 (외전 13)")</f>
        <v>갓 오브 블랙필드 432화 (외전 13)</v>
      </c>
      <c r="D3141" t="str">
        <f>T("432")</f>
        <v>432</v>
      </c>
      <c r="E3141" t="str">
        <f t="shared" si="459"/>
        <v>무장</v>
      </c>
      <c r="H3141" t="str">
        <f t="shared" si="452"/>
        <v>스토리위즈</v>
      </c>
      <c r="I3141" t="str">
        <f t="shared" si="461"/>
        <v>갓 오브 블랙필드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/>
      <c r="AQ3141">
        <v>0</v>
      </c>
      <c r="AR3141">
        <v>0</v>
      </c>
      <c r="AT3141">
        <v>0</v>
      </c>
      <c r="AU3141">
        <v>0</v>
      </c>
      <c r="AW3141">
        <v>0</v>
      </c>
      <c r="AX3141">
        <v>0</v>
      </c>
      <c r="AY3141">
        <v>70</v>
      </c>
      <c r="BA3141" t="str">
        <f t="shared" si="462"/>
        <v>9788928067343</v>
      </c>
      <c r="BC3141" t="str">
        <f t="shared" si="463"/>
        <v>9791137602113</v>
      </c>
      <c r="BE3141" t="str">
        <f t="shared" si="460"/>
        <v>판타지 웹소설 &gt; 현대 판타지</v>
      </c>
    </row>
    <row r="3142" spans="1:57" x14ac:dyDescent="0.3">
      <c r="A3142">
        <v>2313011955</v>
      </c>
      <c r="B3142">
        <v>2313012649</v>
      </c>
      <c r="C3142" t="str">
        <f>T("갓 오브 블랙필드 433화 (외전 14)")</f>
        <v>갓 오브 블랙필드 433화 (외전 14)</v>
      </c>
      <c r="D3142" t="str">
        <f>T("433")</f>
        <v>433</v>
      </c>
      <c r="E3142" t="str">
        <f t="shared" si="459"/>
        <v>무장</v>
      </c>
      <c r="H3142" t="str">
        <f t="shared" si="452"/>
        <v>스토리위즈</v>
      </c>
      <c r="I3142" t="str">
        <f t="shared" si="461"/>
        <v>갓 오브 블랙필드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/>
      <c r="AQ3142">
        <v>0</v>
      </c>
      <c r="AR3142">
        <v>0</v>
      </c>
      <c r="AT3142">
        <v>0</v>
      </c>
      <c r="AU3142">
        <v>0</v>
      </c>
      <c r="AW3142">
        <v>0</v>
      </c>
      <c r="AX3142">
        <v>0</v>
      </c>
      <c r="AY3142">
        <v>70</v>
      </c>
      <c r="BA3142" t="str">
        <f t="shared" si="462"/>
        <v>9788928067343</v>
      </c>
      <c r="BC3142" t="str">
        <f t="shared" si="463"/>
        <v>9791137602113</v>
      </c>
      <c r="BE3142" t="str">
        <f t="shared" si="460"/>
        <v>판타지 웹소설 &gt; 현대 판타지</v>
      </c>
    </row>
    <row r="3143" spans="1:57" x14ac:dyDescent="0.3">
      <c r="A3143">
        <v>2313011955</v>
      </c>
      <c r="B3143">
        <v>2313012650</v>
      </c>
      <c r="C3143" t="str">
        <f>T("갓 오브 블랙필드 434화 (외전 15)")</f>
        <v>갓 오브 블랙필드 434화 (외전 15)</v>
      </c>
      <c r="D3143" t="str">
        <f>T("434")</f>
        <v>434</v>
      </c>
      <c r="E3143" t="str">
        <f t="shared" si="459"/>
        <v>무장</v>
      </c>
      <c r="H3143" t="str">
        <f t="shared" si="452"/>
        <v>스토리위즈</v>
      </c>
      <c r="I3143" t="str">
        <f t="shared" si="461"/>
        <v>갓 오브 블랙필드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/>
      <c r="AQ3143">
        <v>0</v>
      </c>
      <c r="AR3143">
        <v>0</v>
      </c>
      <c r="AT3143">
        <v>0</v>
      </c>
      <c r="AU3143">
        <v>0</v>
      </c>
      <c r="AW3143">
        <v>0</v>
      </c>
      <c r="AX3143">
        <v>0</v>
      </c>
      <c r="AY3143">
        <v>70</v>
      </c>
      <c r="BA3143" t="str">
        <f t="shared" si="462"/>
        <v>9788928067343</v>
      </c>
      <c r="BC3143" t="str">
        <f t="shared" si="463"/>
        <v>9791137602113</v>
      </c>
      <c r="BE3143" t="str">
        <f t="shared" si="460"/>
        <v>판타지 웹소설 &gt; 현대 판타지</v>
      </c>
    </row>
    <row r="3144" spans="1:57" x14ac:dyDescent="0.3">
      <c r="A3144">
        <v>2313011955</v>
      </c>
      <c r="B3144">
        <v>2313012651</v>
      </c>
      <c r="C3144" t="str">
        <f>T("갓 오브 블랙필드 435화 (외전 16)")</f>
        <v>갓 오브 블랙필드 435화 (외전 16)</v>
      </c>
      <c r="D3144" t="str">
        <f>T("435")</f>
        <v>435</v>
      </c>
      <c r="E3144" t="str">
        <f t="shared" si="459"/>
        <v>무장</v>
      </c>
      <c r="H3144" t="str">
        <f t="shared" si="452"/>
        <v>스토리위즈</v>
      </c>
      <c r="I3144" t="str">
        <f t="shared" si="461"/>
        <v>갓 오브 블랙필드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/>
      <c r="AQ3144">
        <v>0</v>
      </c>
      <c r="AR3144">
        <v>0</v>
      </c>
      <c r="AT3144">
        <v>0</v>
      </c>
      <c r="AU3144">
        <v>0</v>
      </c>
      <c r="AW3144">
        <v>0</v>
      </c>
      <c r="AX3144">
        <v>0</v>
      </c>
      <c r="AY3144">
        <v>70</v>
      </c>
      <c r="BA3144" t="str">
        <f t="shared" si="462"/>
        <v>9788928067343</v>
      </c>
      <c r="BC3144" t="str">
        <f t="shared" si="463"/>
        <v>9791137602113</v>
      </c>
      <c r="BE3144" t="str">
        <f t="shared" si="460"/>
        <v>판타지 웹소설 &gt; 현대 판타지</v>
      </c>
    </row>
    <row r="3145" spans="1:57" x14ac:dyDescent="0.3">
      <c r="A3145">
        <v>2313011955</v>
      </c>
      <c r="B3145">
        <v>2313012652</v>
      </c>
      <c r="C3145" t="str">
        <f>T("갓 오브 블랙필드 436화 (외전 17)")</f>
        <v>갓 오브 블랙필드 436화 (외전 17)</v>
      </c>
      <c r="D3145" t="str">
        <f>T("436")</f>
        <v>436</v>
      </c>
      <c r="E3145" t="str">
        <f t="shared" si="459"/>
        <v>무장</v>
      </c>
      <c r="H3145" t="str">
        <f t="shared" si="452"/>
        <v>스토리위즈</v>
      </c>
      <c r="I3145" t="str">
        <f t="shared" si="461"/>
        <v>갓 오브 블랙필드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/>
      <c r="AQ3145">
        <v>0</v>
      </c>
      <c r="AR3145">
        <v>0</v>
      </c>
      <c r="AT3145">
        <v>0</v>
      </c>
      <c r="AU3145">
        <v>0</v>
      </c>
      <c r="AW3145">
        <v>0</v>
      </c>
      <c r="AX3145">
        <v>0</v>
      </c>
      <c r="AY3145">
        <v>70</v>
      </c>
      <c r="BA3145" t="str">
        <f t="shared" si="462"/>
        <v>9788928067343</v>
      </c>
      <c r="BC3145" t="str">
        <f t="shared" si="463"/>
        <v>9791137602113</v>
      </c>
      <c r="BE3145" t="str">
        <f t="shared" si="460"/>
        <v>판타지 웹소설 &gt; 현대 판타지</v>
      </c>
    </row>
    <row r="3146" spans="1:57" x14ac:dyDescent="0.3">
      <c r="A3146">
        <v>2313011955</v>
      </c>
      <c r="B3146">
        <v>2313012653</v>
      </c>
      <c r="C3146" t="str">
        <f>T("갓 오브 블랙필드 437화 (외전 18)")</f>
        <v>갓 오브 블랙필드 437화 (외전 18)</v>
      </c>
      <c r="D3146" t="str">
        <f>T("437")</f>
        <v>437</v>
      </c>
      <c r="E3146" t="str">
        <f t="shared" si="459"/>
        <v>무장</v>
      </c>
      <c r="H3146" t="str">
        <f t="shared" si="452"/>
        <v>스토리위즈</v>
      </c>
      <c r="I3146" t="str">
        <f t="shared" si="461"/>
        <v>갓 오브 블랙필드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/>
      <c r="AQ3146">
        <v>0</v>
      </c>
      <c r="AR3146">
        <v>0</v>
      </c>
      <c r="AT3146">
        <v>0</v>
      </c>
      <c r="AU3146">
        <v>0</v>
      </c>
      <c r="AW3146">
        <v>0</v>
      </c>
      <c r="AX3146">
        <v>0</v>
      </c>
      <c r="AY3146">
        <v>70</v>
      </c>
      <c r="BA3146" t="str">
        <f t="shared" si="462"/>
        <v>9788928067343</v>
      </c>
      <c r="BC3146" t="str">
        <f t="shared" si="463"/>
        <v>9791137602113</v>
      </c>
      <c r="BE3146" t="str">
        <f t="shared" si="460"/>
        <v>판타지 웹소설 &gt; 현대 판타지</v>
      </c>
    </row>
    <row r="3147" spans="1:57" x14ac:dyDescent="0.3">
      <c r="A3147">
        <v>2313011955</v>
      </c>
      <c r="B3147">
        <v>2313012654</v>
      </c>
      <c r="C3147" t="str">
        <f>T("갓 오브 블랙필드 438화 (외전 19)")</f>
        <v>갓 오브 블랙필드 438화 (외전 19)</v>
      </c>
      <c r="D3147" t="str">
        <f>T("438")</f>
        <v>438</v>
      </c>
      <c r="E3147" t="str">
        <f t="shared" si="459"/>
        <v>무장</v>
      </c>
      <c r="H3147" t="str">
        <f t="shared" si="452"/>
        <v>스토리위즈</v>
      </c>
      <c r="I3147" t="str">
        <f t="shared" si="461"/>
        <v>갓 오브 블랙필드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/>
      <c r="AQ3147">
        <v>0</v>
      </c>
      <c r="AR3147">
        <v>0</v>
      </c>
      <c r="AT3147">
        <v>0</v>
      </c>
      <c r="AU3147">
        <v>0</v>
      </c>
      <c r="AW3147">
        <v>0</v>
      </c>
      <c r="AX3147">
        <v>0</v>
      </c>
      <c r="AY3147">
        <v>70</v>
      </c>
      <c r="BA3147" t="str">
        <f t="shared" si="462"/>
        <v>9788928067343</v>
      </c>
      <c r="BC3147" t="str">
        <f t="shared" si="463"/>
        <v>9791137602113</v>
      </c>
      <c r="BE3147" t="str">
        <f t="shared" si="460"/>
        <v>판타지 웹소설 &gt; 현대 판타지</v>
      </c>
    </row>
    <row r="3148" spans="1:57" x14ac:dyDescent="0.3">
      <c r="A3148">
        <v>2313011955</v>
      </c>
      <c r="B3148">
        <v>2313012655</v>
      </c>
      <c r="C3148" t="str">
        <f>T("갓 오브 블랙필드 439화 (외전 20)")</f>
        <v>갓 오브 블랙필드 439화 (외전 20)</v>
      </c>
      <c r="D3148" t="str">
        <f>T("439")</f>
        <v>439</v>
      </c>
      <c r="E3148" t="str">
        <f t="shared" si="459"/>
        <v>무장</v>
      </c>
      <c r="H3148" t="str">
        <f t="shared" si="452"/>
        <v>스토리위즈</v>
      </c>
      <c r="I3148" t="str">
        <f t="shared" si="461"/>
        <v>갓 오브 블랙필드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/>
      <c r="AQ3148">
        <v>0</v>
      </c>
      <c r="AR3148">
        <v>0</v>
      </c>
      <c r="AT3148">
        <v>0</v>
      </c>
      <c r="AU3148">
        <v>0</v>
      </c>
      <c r="AW3148">
        <v>0</v>
      </c>
      <c r="AX3148">
        <v>0</v>
      </c>
      <c r="AY3148">
        <v>70</v>
      </c>
      <c r="BA3148" t="str">
        <f t="shared" si="462"/>
        <v>9788928067343</v>
      </c>
      <c r="BC3148" t="str">
        <f t="shared" si="463"/>
        <v>9791137602113</v>
      </c>
      <c r="BE3148" t="str">
        <f t="shared" si="460"/>
        <v>판타지 웹소설 &gt; 현대 판타지</v>
      </c>
    </row>
    <row r="3149" spans="1:57" x14ac:dyDescent="0.3">
      <c r="A3149">
        <v>2313011955</v>
      </c>
      <c r="B3149">
        <v>2313012656</v>
      </c>
      <c r="C3149" t="str">
        <f>T("갓 오브 블랙필드 440화(외전 21)")</f>
        <v>갓 오브 블랙필드 440화(외전 21)</v>
      </c>
      <c r="D3149" t="str">
        <f>T("440")</f>
        <v>440</v>
      </c>
      <c r="E3149" t="str">
        <f t="shared" si="459"/>
        <v>무장</v>
      </c>
      <c r="H3149" t="str">
        <f t="shared" si="452"/>
        <v>스토리위즈</v>
      </c>
      <c r="I3149" t="str">
        <f t="shared" si="461"/>
        <v>갓 오브 블랙필드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/>
      <c r="AQ3149">
        <v>0</v>
      </c>
      <c r="AR3149">
        <v>0</v>
      </c>
      <c r="AT3149">
        <v>0</v>
      </c>
      <c r="AU3149">
        <v>0</v>
      </c>
      <c r="AW3149">
        <v>0</v>
      </c>
      <c r="AX3149">
        <v>0</v>
      </c>
      <c r="AY3149">
        <v>70</v>
      </c>
      <c r="BA3149" t="str">
        <f t="shared" si="462"/>
        <v>9788928067343</v>
      </c>
      <c r="BC3149" t="str">
        <f t="shared" si="463"/>
        <v>9791137602113</v>
      </c>
      <c r="BE3149" t="str">
        <f t="shared" si="460"/>
        <v>판타지 웹소설 &gt; 현대 판타지</v>
      </c>
    </row>
    <row r="3150" spans="1:57" x14ac:dyDescent="0.3">
      <c r="A3150">
        <v>2313011955</v>
      </c>
      <c r="B3150">
        <v>2313012657</v>
      </c>
      <c r="C3150" t="str">
        <f>T("갓 오브 블랙필드 441화 (외전 22)")</f>
        <v>갓 오브 블랙필드 441화 (외전 22)</v>
      </c>
      <c r="D3150" t="str">
        <f>T("441")</f>
        <v>441</v>
      </c>
      <c r="E3150" t="str">
        <f t="shared" si="459"/>
        <v>무장</v>
      </c>
      <c r="H3150" t="str">
        <f t="shared" si="452"/>
        <v>스토리위즈</v>
      </c>
      <c r="I3150" t="str">
        <f t="shared" si="461"/>
        <v>갓 오브 블랙필드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/>
      <c r="AQ3150">
        <v>0</v>
      </c>
      <c r="AR3150">
        <v>0</v>
      </c>
      <c r="AT3150">
        <v>0</v>
      </c>
      <c r="AU3150">
        <v>0</v>
      </c>
      <c r="AW3150">
        <v>0</v>
      </c>
      <c r="AX3150">
        <v>0</v>
      </c>
      <c r="AY3150">
        <v>70</v>
      </c>
      <c r="BA3150" t="str">
        <f t="shared" si="462"/>
        <v>9788928067343</v>
      </c>
      <c r="BC3150" t="str">
        <f t="shared" si="463"/>
        <v>9791137602113</v>
      </c>
      <c r="BE3150" t="str">
        <f t="shared" si="460"/>
        <v>판타지 웹소설 &gt; 현대 판타지</v>
      </c>
    </row>
    <row r="3151" spans="1:57" x14ac:dyDescent="0.3">
      <c r="A3151">
        <v>2313011955</v>
      </c>
      <c r="B3151">
        <v>2313012658</v>
      </c>
      <c r="C3151" t="str">
        <f>T("갓 오브 블랙필드 442화 (외전 23)")</f>
        <v>갓 오브 블랙필드 442화 (외전 23)</v>
      </c>
      <c r="D3151" t="str">
        <f>T("442")</f>
        <v>442</v>
      </c>
      <c r="E3151" t="str">
        <f t="shared" si="459"/>
        <v>무장</v>
      </c>
      <c r="H3151" t="str">
        <f t="shared" si="452"/>
        <v>스토리위즈</v>
      </c>
      <c r="I3151" t="str">
        <f t="shared" si="461"/>
        <v>갓 오브 블랙필드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/>
      <c r="AQ3151">
        <v>0</v>
      </c>
      <c r="AR3151">
        <v>0</v>
      </c>
      <c r="AT3151">
        <v>0</v>
      </c>
      <c r="AU3151">
        <v>0</v>
      </c>
      <c r="AW3151">
        <v>0</v>
      </c>
      <c r="AX3151">
        <v>0</v>
      </c>
      <c r="AY3151">
        <v>70</v>
      </c>
      <c r="BA3151" t="str">
        <f t="shared" si="462"/>
        <v>9788928067343</v>
      </c>
      <c r="BC3151" t="str">
        <f t="shared" si="463"/>
        <v>9791137602113</v>
      </c>
      <c r="BE3151" t="str">
        <f t="shared" si="460"/>
        <v>판타지 웹소설 &gt; 현대 판타지</v>
      </c>
    </row>
    <row r="3152" spans="1:57" x14ac:dyDescent="0.3">
      <c r="A3152">
        <v>2313011955</v>
      </c>
      <c r="B3152">
        <v>2313012659</v>
      </c>
      <c r="C3152" t="str">
        <f>T("갓 오브 블랙필드 443화 (외전 24)")</f>
        <v>갓 오브 블랙필드 443화 (외전 24)</v>
      </c>
      <c r="D3152" t="str">
        <f>T("443")</f>
        <v>443</v>
      </c>
      <c r="E3152" t="str">
        <f t="shared" si="459"/>
        <v>무장</v>
      </c>
      <c r="H3152" t="str">
        <f t="shared" si="452"/>
        <v>스토리위즈</v>
      </c>
      <c r="I3152" t="str">
        <f t="shared" si="461"/>
        <v>갓 오브 블랙필드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/>
      <c r="AQ3152">
        <v>0</v>
      </c>
      <c r="AR3152">
        <v>0</v>
      </c>
      <c r="AT3152">
        <v>0</v>
      </c>
      <c r="AU3152">
        <v>0</v>
      </c>
      <c r="AW3152">
        <v>0</v>
      </c>
      <c r="AX3152">
        <v>0</v>
      </c>
      <c r="AY3152">
        <v>70</v>
      </c>
      <c r="BA3152" t="str">
        <f t="shared" si="462"/>
        <v>9788928067343</v>
      </c>
      <c r="BC3152" t="str">
        <f t="shared" si="463"/>
        <v>9791137602113</v>
      </c>
      <c r="BE3152" t="str">
        <f t="shared" si="460"/>
        <v>판타지 웹소설 &gt; 현대 판타지</v>
      </c>
    </row>
    <row r="3153" spans="1:57" x14ac:dyDescent="0.3">
      <c r="A3153">
        <v>2313011955</v>
      </c>
      <c r="B3153">
        <v>2313012660</v>
      </c>
      <c r="C3153" t="str">
        <f>T("갓 오브 블랙필드 444화 (외전 25)")</f>
        <v>갓 오브 블랙필드 444화 (외전 25)</v>
      </c>
      <c r="D3153" t="str">
        <f>T("444")</f>
        <v>444</v>
      </c>
      <c r="E3153" t="str">
        <f t="shared" si="459"/>
        <v>무장</v>
      </c>
      <c r="H3153" t="str">
        <f t="shared" si="452"/>
        <v>스토리위즈</v>
      </c>
      <c r="I3153" t="str">
        <f t="shared" si="461"/>
        <v>갓 오브 블랙필드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/>
      <c r="AQ3153">
        <v>0</v>
      </c>
      <c r="AR3153">
        <v>0</v>
      </c>
      <c r="AT3153">
        <v>0</v>
      </c>
      <c r="AU3153">
        <v>0</v>
      </c>
      <c r="AW3153">
        <v>0</v>
      </c>
      <c r="AX3153">
        <v>0</v>
      </c>
      <c r="AY3153">
        <v>70</v>
      </c>
      <c r="BA3153" t="str">
        <f t="shared" si="462"/>
        <v>9788928067343</v>
      </c>
      <c r="BC3153" t="str">
        <f t="shared" si="463"/>
        <v>9791137602113</v>
      </c>
      <c r="BE3153" t="str">
        <f t="shared" si="460"/>
        <v>판타지 웹소설 &gt; 현대 판타지</v>
      </c>
    </row>
    <row r="3154" spans="1:57" x14ac:dyDescent="0.3">
      <c r="A3154">
        <v>2313011955</v>
      </c>
      <c r="B3154">
        <v>2313012661</v>
      </c>
      <c r="C3154" t="str">
        <f>T("갓 오브 블랙필드 445화 (외전 26)")</f>
        <v>갓 오브 블랙필드 445화 (외전 26)</v>
      </c>
      <c r="D3154" t="str">
        <f>T("445")</f>
        <v>445</v>
      </c>
      <c r="E3154" t="str">
        <f t="shared" si="459"/>
        <v>무장</v>
      </c>
      <c r="H3154" t="str">
        <f t="shared" si="452"/>
        <v>스토리위즈</v>
      </c>
      <c r="I3154" t="str">
        <f t="shared" si="461"/>
        <v>갓 오브 블랙필드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/>
      <c r="AQ3154">
        <v>0</v>
      </c>
      <c r="AR3154">
        <v>0</v>
      </c>
      <c r="AT3154">
        <v>0</v>
      </c>
      <c r="AU3154">
        <v>0</v>
      </c>
      <c r="AW3154">
        <v>0</v>
      </c>
      <c r="AX3154">
        <v>0</v>
      </c>
      <c r="AY3154">
        <v>70</v>
      </c>
      <c r="BA3154" t="str">
        <f t="shared" si="462"/>
        <v>9788928067343</v>
      </c>
      <c r="BC3154" t="str">
        <f t="shared" si="463"/>
        <v>9791137602113</v>
      </c>
      <c r="BE3154" t="str">
        <f t="shared" si="460"/>
        <v>판타지 웹소설 &gt; 현대 판타지</v>
      </c>
    </row>
    <row r="3155" spans="1:57" x14ac:dyDescent="0.3">
      <c r="A3155">
        <v>2313011955</v>
      </c>
      <c r="B3155">
        <v>2313012662</v>
      </c>
      <c r="C3155" t="str">
        <f>T("갓 오브 블랙필드 446화 (외전 27)")</f>
        <v>갓 오브 블랙필드 446화 (외전 27)</v>
      </c>
      <c r="D3155" t="str">
        <f>T("446")</f>
        <v>446</v>
      </c>
      <c r="E3155" t="str">
        <f t="shared" si="459"/>
        <v>무장</v>
      </c>
      <c r="H3155" t="str">
        <f t="shared" si="452"/>
        <v>스토리위즈</v>
      </c>
      <c r="I3155" t="str">
        <f t="shared" si="461"/>
        <v>갓 오브 블랙필드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/>
      <c r="AQ3155">
        <v>0</v>
      </c>
      <c r="AR3155">
        <v>0</v>
      </c>
      <c r="AT3155">
        <v>0</v>
      </c>
      <c r="AU3155">
        <v>0</v>
      </c>
      <c r="AW3155">
        <v>0</v>
      </c>
      <c r="AX3155">
        <v>0</v>
      </c>
      <c r="AY3155">
        <v>70</v>
      </c>
      <c r="BA3155" t="str">
        <f t="shared" si="462"/>
        <v>9788928067343</v>
      </c>
      <c r="BC3155" t="str">
        <f t="shared" si="463"/>
        <v>9791137602113</v>
      </c>
      <c r="BE3155" t="str">
        <f t="shared" si="460"/>
        <v>판타지 웹소설 &gt; 현대 판타지</v>
      </c>
    </row>
    <row r="3156" spans="1:57" x14ac:dyDescent="0.3">
      <c r="A3156">
        <v>2313011955</v>
      </c>
      <c r="B3156">
        <v>2313012663</v>
      </c>
      <c r="C3156" t="str">
        <f>T("갓 오브 블랙필드 447화 (외전 28)")</f>
        <v>갓 오브 블랙필드 447화 (외전 28)</v>
      </c>
      <c r="D3156" t="str">
        <f>T("447")</f>
        <v>447</v>
      </c>
      <c r="E3156" t="str">
        <f t="shared" si="459"/>
        <v>무장</v>
      </c>
      <c r="H3156" t="str">
        <f t="shared" si="452"/>
        <v>스토리위즈</v>
      </c>
      <c r="I3156" t="str">
        <f t="shared" si="461"/>
        <v>갓 오브 블랙필드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/>
      <c r="AQ3156">
        <v>0</v>
      </c>
      <c r="AR3156">
        <v>0</v>
      </c>
      <c r="AT3156">
        <v>0</v>
      </c>
      <c r="AU3156">
        <v>0</v>
      </c>
      <c r="AW3156">
        <v>0</v>
      </c>
      <c r="AX3156">
        <v>0</v>
      </c>
      <c r="AY3156">
        <v>70</v>
      </c>
      <c r="BA3156" t="str">
        <f t="shared" si="462"/>
        <v>9788928067343</v>
      </c>
      <c r="BC3156" t="str">
        <f t="shared" si="463"/>
        <v>9791137602113</v>
      </c>
      <c r="BE3156" t="str">
        <f t="shared" si="460"/>
        <v>판타지 웹소설 &gt; 현대 판타지</v>
      </c>
    </row>
    <row r="3157" spans="1:57" x14ac:dyDescent="0.3">
      <c r="A3157">
        <v>2313011955</v>
      </c>
      <c r="B3157">
        <v>2313012664</v>
      </c>
      <c r="C3157" t="str">
        <f>T("갓 오브 블랙필드 448화 (외전 29)")</f>
        <v>갓 오브 블랙필드 448화 (외전 29)</v>
      </c>
      <c r="D3157" t="str">
        <f>T("448")</f>
        <v>448</v>
      </c>
      <c r="E3157" t="str">
        <f t="shared" si="459"/>
        <v>무장</v>
      </c>
      <c r="H3157" t="str">
        <f t="shared" si="452"/>
        <v>스토리위즈</v>
      </c>
      <c r="I3157" t="str">
        <f t="shared" si="461"/>
        <v>갓 오브 블랙필드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/>
      <c r="AQ3157">
        <v>0</v>
      </c>
      <c r="AR3157">
        <v>0</v>
      </c>
      <c r="AT3157">
        <v>0</v>
      </c>
      <c r="AU3157">
        <v>0</v>
      </c>
      <c r="AW3157">
        <v>0</v>
      </c>
      <c r="AX3157">
        <v>0</v>
      </c>
      <c r="AY3157">
        <v>70</v>
      </c>
      <c r="BA3157" t="str">
        <f t="shared" si="462"/>
        <v>9788928067343</v>
      </c>
      <c r="BC3157" t="str">
        <f t="shared" si="463"/>
        <v>9791137602113</v>
      </c>
      <c r="BE3157" t="str">
        <f t="shared" si="460"/>
        <v>판타지 웹소설 &gt; 현대 판타지</v>
      </c>
    </row>
    <row r="3158" spans="1:57" x14ac:dyDescent="0.3">
      <c r="A3158">
        <v>2313011955</v>
      </c>
      <c r="B3158">
        <v>2313012665</v>
      </c>
      <c r="C3158" t="str">
        <f>T("갓 오브 블랙필드 449화 (외전 30)")</f>
        <v>갓 오브 블랙필드 449화 (외전 30)</v>
      </c>
      <c r="D3158" t="str">
        <f>T("449")</f>
        <v>449</v>
      </c>
      <c r="E3158" t="str">
        <f t="shared" si="459"/>
        <v>무장</v>
      </c>
      <c r="H3158" t="str">
        <f t="shared" si="452"/>
        <v>스토리위즈</v>
      </c>
      <c r="I3158" t="str">
        <f t="shared" si="461"/>
        <v>갓 오브 블랙필드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/>
      <c r="AQ3158">
        <v>0</v>
      </c>
      <c r="AR3158">
        <v>0</v>
      </c>
      <c r="AT3158">
        <v>0</v>
      </c>
      <c r="AU3158">
        <v>0</v>
      </c>
      <c r="AW3158">
        <v>0</v>
      </c>
      <c r="AX3158">
        <v>0</v>
      </c>
      <c r="AY3158">
        <v>70</v>
      </c>
      <c r="BA3158" t="str">
        <f t="shared" si="462"/>
        <v>9788928067343</v>
      </c>
      <c r="BC3158" t="str">
        <f t="shared" si="463"/>
        <v>9791137602113</v>
      </c>
      <c r="BE3158" t="str">
        <f t="shared" si="460"/>
        <v>판타지 웹소설 &gt; 현대 판타지</v>
      </c>
    </row>
    <row r="3159" spans="1:57" x14ac:dyDescent="0.3">
      <c r="A3159">
        <v>2313011955</v>
      </c>
      <c r="B3159">
        <v>2313012666</v>
      </c>
      <c r="C3159" t="str">
        <f>T("갓 오브 블랙필드 450화 (외전 31)")</f>
        <v>갓 오브 블랙필드 450화 (외전 31)</v>
      </c>
      <c r="D3159" t="str">
        <f>T("450")</f>
        <v>450</v>
      </c>
      <c r="E3159" t="str">
        <f t="shared" si="459"/>
        <v>무장</v>
      </c>
      <c r="H3159" t="str">
        <f t="shared" ref="H3159:H3222" si="464">T("스토리위즈")</f>
        <v>스토리위즈</v>
      </c>
      <c r="I3159" t="str">
        <f t="shared" si="461"/>
        <v>갓 오브 블랙필드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/>
      <c r="AQ3159">
        <v>0</v>
      </c>
      <c r="AR3159">
        <v>0</v>
      </c>
      <c r="AT3159">
        <v>0</v>
      </c>
      <c r="AU3159">
        <v>0</v>
      </c>
      <c r="AW3159">
        <v>0</v>
      </c>
      <c r="AX3159">
        <v>0</v>
      </c>
      <c r="AY3159">
        <v>70</v>
      </c>
      <c r="BA3159" t="str">
        <f t="shared" si="462"/>
        <v>9788928067343</v>
      </c>
      <c r="BC3159" t="str">
        <f t="shared" si="463"/>
        <v>9791137602113</v>
      </c>
      <c r="BE3159" t="str">
        <f t="shared" si="460"/>
        <v>판타지 웹소설 &gt; 현대 판타지</v>
      </c>
    </row>
    <row r="3160" spans="1:57" x14ac:dyDescent="0.3">
      <c r="A3160">
        <v>2313011955</v>
      </c>
      <c r="B3160">
        <v>2313012667</v>
      </c>
      <c r="C3160" t="str">
        <f>T("갓 오브 블랙필드 451화 (외전 32)")</f>
        <v>갓 오브 블랙필드 451화 (외전 32)</v>
      </c>
      <c r="D3160" t="str">
        <f>T("451")</f>
        <v>451</v>
      </c>
      <c r="E3160" t="str">
        <f t="shared" si="459"/>
        <v>무장</v>
      </c>
      <c r="H3160" t="str">
        <f t="shared" si="464"/>
        <v>스토리위즈</v>
      </c>
      <c r="I3160" t="str">
        <f t="shared" si="461"/>
        <v>갓 오브 블랙필드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/>
      <c r="AQ3160">
        <v>0</v>
      </c>
      <c r="AR3160">
        <v>0</v>
      </c>
      <c r="AT3160">
        <v>0</v>
      </c>
      <c r="AU3160">
        <v>0</v>
      </c>
      <c r="AW3160">
        <v>0</v>
      </c>
      <c r="AX3160">
        <v>0</v>
      </c>
      <c r="AY3160">
        <v>70</v>
      </c>
      <c r="BA3160" t="str">
        <f t="shared" si="462"/>
        <v>9788928067343</v>
      </c>
      <c r="BC3160" t="str">
        <f t="shared" si="463"/>
        <v>9791137602113</v>
      </c>
      <c r="BE3160" t="str">
        <f t="shared" si="460"/>
        <v>판타지 웹소설 &gt; 현대 판타지</v>
      </c>
    </row>
    <row r="3161" spans="1:57" x14ac:dyDescent="0.3">
      <c r="A3161">
        <v>2313011955</v>
      </c>
      <c r="B3161">
        <v>2313012668</v>
      </c>
      <c r="C3161" t="str">
        <f>T("갓 오브 블랙필드 452화 (외전 33)")</f>
        <v>갓 오브 블랙필드 452화 (외전 33)</v>
      </c>
      <c r="D3161" t="str">
        <f>T("452")</f>
        <v>452</v>
      </c>
      <c r="E3161" t="str">
        <f t="shared" si="459"/>
        <v>무장</v>
      </c>
      <c r="H3161" t="str">
        <f t="shared" si="464"/>
        <v>스토리위즈</v>
      </c>
      <c r="I3161" t="str">
        <f t="shared" si="461"/>
        <v>갓 오브 블랙필드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/>
      <c r="AQ3161">
        <v>0</v>
      </c>
      <c r="AR3161">
        <v>0</v>
      </c>
      <c r="AT3161">
        <v>0</v>
      </c>
      <c r="AU3161">
        <v>0</v>
      </c>
      <c r="AW3161">
        <v>0</v>
      </c>
      <c r="AX3161">
        <v>0</v>
      </c>
      <c r="AY3161">
        <v>70</v>
      </c>
      <c r="BA3161" t="str">
        <f t="shared" si="462"/>
        <v>9788928067343</v>
      </c>
      <c r="BC3161" t="str">
        <f t="shared" si="463"/>
        <v>9791137602113</v>
      </c>
      <c r="BE3161" t="str">
        <f t="shared" si="460"/>
        <v>판타지 웹소설 &gt; 현대 판타지</v>
      </c>
    </row>
    <row r="3162" spans="1:57" x14ac:dyDescent="0.3">
      <c r="A3162">
        <v>2313011955</v>
      </c>
      <c r="B3162">
        <v>2313012669</v>
      </c>
      <c r="C3162" t="str">
        <f>T("갓 오브 블랙필드 453화 (외전 34)")</f>
        <v>갓 오브 블랙필드 453화 (외전 34)</v>
      </c>
      <c r="D3162" t="str">
        <f>T("453")</f>
        <v>453</v>
      </c>
      <c r="E3162" t="str">
        <f t="shared" si="459"/>
        <v>무장</v>
      </c>
      <c r="H3162" t="str">
        <f t="shared" si="464"/>
        <v>스토리위즈</v>
      </c>
      <c r="I3162" t="str">
        <f t="shared" si="461"/>
        <v>갓 오브 블랙필드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/>
      <c r="AQ3162">
        <v>0</v>
      </c>
      <c r="AR3162">
        <v>0</v>
      </c>
      <c r="AT3162">
        <v>0</v>
      </c>
      <c r="AU3162">
        <v>0</v>
      </c>
      <c r="AW3162">
        <v>0</v>
      </c>
      <c r="AX3162">
        <v>0</v>
      </c>
      <c r="AY3162">
        <v>70</v>
      </c>
      <c r="BA3162" t="str">
        <f t="shared" si="462"/>
        <v>9788928067343</v>
      </c>
      <c r="BC3162" t="str">
        <f t="shared" si="463"/>
        <v>9791137602113</v>
      </c>
      <c r="BE3162" t="str">
        <f t="shared" si="460"/>
        <v>판타지 웹소설 &gt; 현대 판타지</v>
      </c>
    </row>
    <row r="3163" spans="1:57" x14ac:dyDescent="0.3">
      <c r="A3163">
        <v>2313011955</v>
      </c>
      <c r="B3163">
        <v>2313012670</v>
      </c>
      <c r="C3163" t="str">
        <f>T("갓 오브 블랙필드 454화 (외전 35)")</f>
        <v>갓 오브 블랙필드 454화 (외전 35)</v>
      </c>
      <c r="D3163" t="str">
        <f>T("454")</f>
        <v>454</v>
      </c>
      <c r="E3163" t="str">
        <f t="shared" si="459"/>
        <v>무장</v>
      </c>
      <c r="H3163" t="str">
        <f t="shared" si="464"/>
        <v>스토리위즈</v>
      </c>
      <c r="I3163" t="str">
        <f t="shared" si="461"/>
        <v>갓 오브 블랙필드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/>
      <c r="AQ3163">
        <v>0</v>
      </c>
      <c r="AR3163">
        <v>0</v>
      </c>
      <c r="AT3163">
        <v>0</v>
      </c>
      <c r="AU3163">
        <v>0</v>
      </c>
      <c r="AW3163">
        <v>0</v>
      </c>
      <c r="AX3163">
        <v>0</v>
      </c>
      <c r="AY3163">
        <v>70</v>
      </c>
      <c r="BA3163" t="str">
        <f t="shared" si="462"/>
        <v>9788928067343</v>
      </c>
      <c r="BC3163" t="str">
        <f t="shared" si="463"/>
        <v>9791137602113</v>
      </c>
      <c r="BE3163" t="str">
        <f t="shared" si="460"/>
        <v>판타지 웹소설 &gt; 현대 판타지</v>
      </c>
    </row>
    <row r="3164" spans="1:57" x14ac:dyDescent="0.3">
      <c r="A3164">
        <v>2313011955</v>
      </c>
      <c r="B3164">
        <v>2313012671</v>
      </c>
      <c r="C3164" t="str">
        <f>T("갓 오브 블랙필드 455화 (외전 36)")</f>
        <v>갓 오브 블랙필드 455화 (외전 36)</v>
      </c>
      <c r="D3164" t="str">
        <f>T("455")</f>
        <v>455</v>
      </c>
      <c r="E3164" t="str">
        <f t="shared" si="459"/>
        <v>무장</v>
      </c>
      <c r="H3164" t="str">
        <f t="shared" si="464"/>
        <v>스토리위즈</v>
      </c>
      <c r="I3164" t="str">
        <f t="shared" si="461"/>
        <v>갓 오브 블랙필드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/>
      <c r="AQ3164">
        <v>0</v>
      </c>
      <c r="AR3164">
        <v>0</v>
      </c>
      <c r="AT3164">
        <v>0</v>
      </c>
      <c r="AU3164">
        <v>0</v>
      </c>
      <c r="AW3164">
        <v>0</v>
      </c>
      <c r="AX3164">
        <v>0</v>
      </c>
      <c r="AY3164">
        <v>70</v>
      </c>
      <c r="BA3164" t="str">
        <f t="shared" si="462"/>
        <v>9788928067343</v>
      </c>
      <c r="BC3164" t="str">
        <f t="shared" si="463"/>
        <v>9791137602113</v>
      </c>
      <c r="BE3164" t="str">
        <f t="shared" si="460"/>
        <v>판타지 웹소설 &gt; 현대 판타지</v>
      </c>
    </row>
    <row r="3165" spans="1:57" x14ac:dyDescent="0.3">
      <c r="A3165">
        <v>2313011955</v>
      </c>
      <c r="B3165">
        <v>2313012672</v>
      </c>
      <c r="C3165" t="str">
        <f>T("갓 오브 블랙필드 456화 (외전 37)")</f>
        <v>갓 오브 블랙필드 456화 (외전 37)</v>
      </c>
      <c r="D3165" t="str">
        <f>T("456")</f>
        <v>456</v>
      </c>
      <c r="E3165" t="str">
        <f t="shared" si="459"/>
        <v>무장</v>
      </c>
      <c r="H3165" t="str">
        <f t="shared" si="464"/>
        <v>스토리위즈</v>
      </c>
      <c r="I3165" t="str">
        <f t="shared" si="461"/>
        <v>갓 오브 블랙필드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/>
      <c r="AQ3165">
        <v>0</v>
      </c>
      <c r="AR3165">
        <v>0</v>
      </c>
      <c r="AT3165">
        <v>0</v>
      </c>
      <c r="AU3165">
        <v>0</v>
      </c>
      <c r="AW3165">
        <v>0</v>
      </c>
      <c r="AX3165">
        <v>0</v>
      </c>
      <c r="AY3165">
        <v>70</v>
      </c>
      <c r="BA3165" t="str">
        <f t="shared" si="462"/>
        <v>9788928067343</v>
      </c>
      <c r="BC3165" t="str">
        <f t="shared" si="463"/>
        <v>9791137602113</v>
      </c>
      <c r="BE3165" t="str">
        <f t="shared" si="460"/>
        <v>판타지 웹소설 &gt; 현대 판타지</v>
      </c>
    </row>
    <row r="3166" spans="1:57" x14ac:dyDescent="0.3">
      <c r="A3166">
        <v>2313011955</v>
      </c>
      <c r="B3166">
        <v>2313012673</v>
      </c>
      <c r="C3166" t="str">
        <f>T("갓 오브 블랙필드 457화 (외전 38)")</f>
        <v>갓 오브 블랙필드 457화 (외전 38)</v>
      </c>
      <c r="D3166" t="str">
        <f>T("457")</f>
        <v>457</v>
      </c>
      <c r="E3166" t="str">
        <f t="shared" si="459"/>
        <v>무장</v>
      </c>
      <c r="H3166" t="str">
        <f t="shared" si="464"/>
        <v>스토리위즈</v>
      </c>
      <c r="I3166" t="str">
        <f t="shared" si="461"/>
        <v>갓 오브 블랙필드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/>
      <c r="AQ3166">
        <v>0</v>
      </c>
      <c r="AR3166">
        <v>0</v>
      </c>
      <c r="AT3166">
        <v>0</v>
      </c>
      <c r="AU3166">
        <v>0</v>
      </c>
      <c r="AW3166">
        <v>0</v>
      </c>
      <c r="AX3166">
        <v>0</v>
      </c>
      <c r="AY3166">
        <v>70</v>
      </c>
      <c r="BA3166" t="str">
        <f t="shared" si="462"/>
        <v>9788928067343</v>
      </c>
      <c r="BC3166" t="str">
        <f t="shared" si="463"/>
        <v>9791137602113</v>
      </c>
      <c r="BE3166" t="str">
        <f t="shared" si="460"/>
        <v>판타지 웹소설 &gt; 현대 판타지</v>
      </c>
    </row>
    <row r="3167" spans="1:57" x14ac:dyDescent="0.3">
      <c r="A3167">
        <v>2313011955</v>
      </c>
      <c r="B3167">
        <v>2313012674</v>
      </c>
      <c r="C3167" t="str">
        <f>T("갓 오브 블랙필드 458화 (외전 39)")</f>
        <v>갓 오브 블랙필드 458화 (외전 39)</v>
      </c>
      <c r="D3167" t="str">
        <f>T("458")</f>
        <v>458</v>
      </c>
      <c r="E3167" t="str">
        <f t="shared" si="459"/>
        <v>무장</v>
      </c>
      <c r="H3167" t="str">
        <f t="shared" si="464"/>
        <v>스토리위즈</v>
      </c>
      <c r="I3167" t="str">
        <f t="shared" si="461"/>
        <v>갓 오브 블랙필드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/>
      <c r="AQ3167">
        <v>0</v>
      </c>
      <c r="AR3167">
        <v>0</v>
      </c>
      <c r="AT3167">
        <v>0</v>
      </c>
      <c r="AU3167">
        <v>0</v>
      </c>
      <c r="AW3167">
        <v>0</v>
      </c>
      <c r="AX3167">
        <v>0</v>
      </c>
      <c r="AY3167">
        <v>70</v>
      </c>
      <c r="BA3167" t="str">
        <f t="shared" si="462"/>
        <v>9788928067343</v>
      </c>
      <c r="BC3167" t="str">
        <f t="shared" si="463"/>
        <v>9791137602113</v>
      </c>
      <c r="BE3167" t="str">
        <f t="shared" si="460"/>
        <v>판타지 웹소설 &gt; 현대 판타지</v>
      </c>
    </row>
    <row r="3168" spans="1:57" x14ac:dyDescent="0.3">
      <c r="A3168">
        <v>2313011955</v>
      </c>
      <c r="B3168">
        <v>2313012675</v>
      </c>
      <c r="C3168" t="str">
        <f>T("갓 오브 블랙필드 459화 (외전 40)")</f>
        <v>갓 오브 블랙필드 459화 (외전 40)</v>
      </c>
      <c r="D3168" t="str">
        <f>T("459")</f>
        <v>459</v>
      </c>
      <c r="E3168" t="str">
        <f t="shared" si="459"/>
        <v>무장</v>
      </c>
      <c r="H3168" t="str">
        <f t="shared" si="464"/>
        <v>스토리위즈</v>
      </c>
      <c r="I3168" t="str">
        <f t="shared" si="461"/>
        <v>갓 오브 블랙필드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/>
      <c r="AQ3168">
        <v>0</v>
      </c>
      <c r="AR3168">
        <v>0</v>
      </c>
      <c r="AT3168">
        <v>0</v>
      </c>
      <c r="AU3168">
        <v>0</v>
      </c>
      <c r="AW3168">
        <v>0</v>
      </c>
      <c r="AX3168">
        <v>0</v>
      </c>
      <c r="AY3168">
        <v>70</v>
      </c>
      <c r="BA3168" t="str">
        <f t="shared" si="462"/>
        <v>9788928067343</v>
      </c>
      <c r="BC3168" t="str">
        <f t="shared" si="463"/>
        <v>9791137602113</v>
      </c>
      <c r="BE3168" t="str">
        <f t="shared" si="460"/>
        <v>판타지 웹소설 &gt; 현대 판타지</v>
      </c>
    </row>
    <row r="3169" spans="1:57" x14ac:dyDescent="0.3">
      <c r="A3169">
        <v>2313011955</v>
      </c>
      <c r="B3169">
        <v>2313012676</v>
      </c>
      <c r="C3169" t="str">
        <f>T("갓 오브 블랙필드 460화 (외전 41)")</f>
        <v>갓 오브 블랙필드 460화 (외전 41)</v>
      </c>
      <c r="D3169" t="str">
        <f>T("460")</f>
        <v>460</v>
      </c>
      <c r="E3169" t="str">
        <f t="shared" si="459"/>
        <v>무장</v>
      </c>
      <c r="H3169" t="str">
        <f t="shared" si="464"/>
        <v>스토리위즈</v>
      </c>
      <c r="I3169" t="str">
        <f t="shared" si="461"/>
        <v>갓 오브 블랙필드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/>
      <c r="AQ3169">
        <v>0</v>
      </c>
      <c r="AR3169">
        <v>0</v>
      </c>
      <c r="AT3169">
        <v>0</v>
      </c>
      <c r="AU3169">
        <v>0</v>
      </c>
      <c r="AW3169">
        <v>0</v>
      </c>
      <c r="AX3169">
        <v>0</v>
      </c>
      <c r="AY3169">
        <v>70</v>
      </c>
      <c r="BA3169" t="str">
        <f t="shared" si="462"/>
        <v>9788928067343</v>
      </c>
      <c r="BC3169" t="str">
        <f t="shared" si="463"/>
        <v>9791137602113</v>
      </c>
      <c r="BE3169" t="str">
        <f t="shared" si="460"/>
        <v>판타지 웹소설 &gt; 현대 판타지</v>
      </c>
    </row>
    <row r="3170" spans="1:57" x14ac:dyDescent="0.3">
      <c r="A3170">
        <v>2313011955</v>
      </c>
      <c r="B3170">
        <v>2313012677</v>
      </c>
      <c r="C3170" t="str">
        <f>T("갓 오브 블랙필드 461화 (외전 42)")</f>
        <v>갓 오브 블랙필드 461화 (외전 42)</v>
      </c>
      <c r="D3170" t="str">
        <f>T("461")</f>
        <v>461</v>
      </c>
      <c r="E3170" t="str">
        <f t="shared" si="459"/>
        <v>무장</v>
      </c>
      <c r="H3170" t="str">
        <f t="shared" si="464"/>
        <v>스토리위즈</v>
      </c>
      <c r="I3170" t="str">
        <f t="shared" si="461"/>
        <v>갓 오브 블랙필드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/>
      <c r="AQ3170">
        <v>0</v>
      </c>
      <c r="AR3170">
        <v>0</v>
      </c>
      <c r="AT3170">
        <v>0</v>
      </c>
      <c r="AU3170">
        <v>0</v>
      </c>
      <c r="AW3170">
        <v>0</v>
      </c>
      <c r="AX3170">
        <v>0</v>
      </c>
      <c r="AY3170">
        <v>70</v>
      </c>
      <c r="BA3170" t="str">
        <f t="shared" si="462"/>
        <v>9788928067343</v>
      </c>
      <c r="BC3170" t="str">
        <f t="shared" si="463"/>
        <v>9791137602113</v>
      </c>
      <c r="BE3170" t="str">
        <f t="shared" si="460"/>
        <v>판타지 웹소설 &gt; 현대 판타지</v>
      </c>
    </row>
    <row r="3171" spans="1:57" x14ac:dyDescent="0.3">
      <c r="A3171">
        <v>2313011955</v>
      </c>
      <c r="B3171">
        <v>2313012678</v>
      </c>
      <c r="C3171" t="str">
        <f>T("갓 오브 블랙필드 462화 (외전 43)")</f>
        <v>갓 오브 블랙필드 462화 (외전 43)</v>
      </c>
      <c r="D3171" t="str">
        <f>T("462")</f>
        <v>462</v>
      </c>
      <c r="E3171" t="str">
        <f t="shared" si="459"/>
        <v>무장</v>
      </c>
      <c r="H3171" t="str">
        <f t="shared" si="464"/>
        <v>스토리위즈</v>
      </c>
      <c r="I3171" t="str">
        <f t="shared" si="461"/>
        <v>갓 오브 블랙필드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/>
      <c r="AQ3171">
        <v>0</v>
      </c>
      <c r="AR3171">
        <v>0</v>
      </c>
      <c r="AT3171">
        <v>0</v>
      </c>
      <c r="AU3171">
        <v>0</v>
      </c>
      <c r="AW3171">
        <v>0</v>
      </c>
      <c r="AX3171">
        <v>0</v>
      </c>
      <c r="AY3171">
        <v>70</v>
      </c>
      <c r="BA3171" t="str">
        <f t="shared" si="462"/>
        <v>9788928067343</v>
      </c>
      <c r="BC3171" t="str">
        <f t="shared" si="463"/>
        <v>9791137602113</v>
      </c>
      <c r="BE3171" t="str">
        <f t="shared" si="460"/>
        <v>판타지 웹소설 &gt; 현대 판타지</v>
      </c>
    </row>
    <row r="3172" spans="1:57" x14ac:dyDescent="0.3">
      <c r="A3172">
        <v>2313011955</v>
      </c>
      <c r="B3172">
        <v>2313012679</v>
      </c>
      <c r="C3172" t="str">
        <f>T("갓 오브 블랙필드 463화 (외전 44)")</f>
        <v>갓 오브 블랙필드 463화 (외전 44)</v>
      </c>
      <c r="D3172" t="str">
        <f>T("463")</f>
        <v>463</v>
      </c>
      <c r="E3172" t="str">
        <f t="shared" si="459"/>
        <v>무장</v>
      </c>
      <c r="H3172" t="str">
        <f t="shared" si="464"/>
        <v>스토리위즈</v>
      </c>
      <c r="I3172" t="str">
        <f t="shared" si="461"/>
        <v>갓 오브 블랙필드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/>
      <c r="AQ3172">
        <v>0</v>
      </c>
      <c r="AR3172">
        <v>0</v>
      </c>
      <c r="AT3172">
        <v>0</v>
      </c>
      <c r="AU3172">
        <v>0</v>
      </c>
      <c r="AW3172">
        <v>0</v>
      </c>
      <c r="AX3172">
        <v>0</v>
      </c>
      <c r="AY3172">
        <v>70</v>
      </c>
      <c r="BA3172" t="str">
        <f t="shared" si="462"/>
        <v>9788928067343</v>
      </c>
      <c r="BC3172" t="str">
        <f t="shared" si="463"/>
        <v>9791137602113</v>
      </c>
      <c r="BE3172" t="str">
        <f t="shared" si="460"/>
        <v>판타지 웹소설 &gt; 현대 판타지</v>
      </c>
    </row>
    <row r="3173" spans="1:57" x14ac:dyDescent="0.3">
      <c r="A3173">
        <v>2313011955</v>
      </c>
      <c r="B3173">
        <v>2313012680</v>
      </c>
      <c r="C3173" t="str">
        <f>T("갓 오브 블랙필드 464화 (외전 45)")</f>
        <v>갓 오브 블랙필드 464화 (외전 45)</v>
      </c>
      <c r="D3173" t="str">
        <f>T("464")</f>
        <v>464</v>
      </c>
      <c r="E3173" t="str">
        <f t="shared" si="459"/>
        <v>무장</v>
      </c>
      <c r="H3173" t="str">
        <f t="shared" si="464"/>
        <v>스토리위즈</v>
      </c>
      <c r="I3173" t="str">
        <f t="shared" si="461"/>
        <v>갓 오브 블랙필드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/>
      <c r="AQ3173">
        <v>0</v>
      </c>
      <c r="AR3173">
        <v>0</v>
      </c>
      <c r="AT3173">
        <v>0</v>
      </c>
      <c r="AU3173">
        <v>0</v>
      </c>
      <c r="AW3173">
        <v>0</v>
      </c>
      <c r="AX3173">
        <v>0</v>
      </c>
      <c r="AY3173">
        <v>70</v>
      </c>
      <c r="BA3173" t="str">
        <f t="shared" si="462"/>
        <v>9788928067343</v>
      </c>
      <c r="BC3173" t="str">
        <f t="shared" si="463"/>
        <v>9791137602113</v>
      </c>
      <c r="BE3173" t="str">
        <f t="shared" si="460"/>
        <v>판타지 웹소설 &gt; 현대 판타지</v>
      </c>
    </row>
    <row r="3174" spans="1:57" x14ac:dyDescent="0.3">
      <c r="A3174">
        <v>2313011955</v>
      </c>
      <c r="B3174">
        <v>2313012681</v>
      </c>
      <c r="C3174" t="str">
        <f>T("갓 오브 블랙필드 465화 (외전 46)")</f>
        <v>갓 오브 블랙필드 465화 (외전 46)</v>
      </c>
      <c r="D3174" t="str">
        <f>T("465")</f>
        <v>465</v>
      </c>
      <c r="E3174" t="str">
        <f t="shared" si="459"/>
        <v>무장</v>
      </c>
      <c r="H3174" t="str">
        <f t="shared" si="464"/>
        <v>스토리위즈</v>
      </c>
      <c r="I3174" t="str">
        <f t="shared" si="461"/>
        <v>갓 오브 블랙필드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/>
      <c r="AQ3174">
        <v>0</v>
      </c>
      <c r="AR3174">
        <v>0</v>
      </c>
      <c r="AT3174">
        <v>0</v>
      </c>
      <c r="AU3174">
        <v>0</v>
      </c>
      <c r="AW3174">
        <v>0</v>
      </c>
      <c r="AX3174">
        <v>0</v>
      </c>
      <c r="AY3174">
        <v>70</v>
      </c>
      <c r="BA3174" t="str">
        <f t="shared" si="462"/>
        <v>9788928067343</v>
      </c>
      <c r="BC3174" t="str">
        <f t="shared" si="463"/>
        <v>9791137602113</v>
      </c>
      <c r="BE3174" t="str">
        <f t="shared" si="460"/>
        <v>판타지 웹소설 &gt; 현대 판타지</v>
      </c>
    </row>
    <row r="3175" spans="1:57" x14ac:dyDescent="0.3">
      <c r="A3175">
        <v>2313011955</v>
      </c>
      <c r="B3175">
        <v>2313012682</v>
      </c>
      <c r="C3175" t="str">
        <f>T("갓 오브 블랙필드 466화 (외전 47)")</f>
        <v>갓 오브 블랙필드 466화 (외전 47)</v>
      </c>
      <c r="D3175" t="str">
        <f>T("466")</f>
        <v>466</v>
      </c>
      <c r="E3175" t="str">
        <f t="shared" si="459"/>
        <v>무장</v>
      </c>
      <c r="H3175" t="str">
        <f t="shared" si="464"/>
        <v>스토리위즈</v>
      </c>
      <c r="I3175" t="str">
        <f t="shared" si="461"/>
        <v>갓 오브 블랙필드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/>
      <c r="AQ3175">
        <v>0</v>
      </c>
      <c r="AR3175">
        <v>0</v>
      </c>
      <c r="AT3175">
        <v>0</v>
      </c>
      <c r="AU3175">
        <v>0</v>
      </c>
      <c r="AW3175">
        <v>0</v>
      </c>
      <c r="AX3175">
        <v>0</v>
      </c>
      <c r="AY3175">
        <v>70</v>
      </c>
      <c r="BA3175" t="str">
        <f t="shared" si="462"/>
        <v>9788928067343</v>
      </c>
      <c r="BC3175" t="str">
        <f t="shared" si="463"/>
        <v>9791137602113</v>
      </c>
      <c r="BE3175" t="str">
        <f t="shared" si="460"/>
        <v>판타지 웹소설 &gt; 현대 판타지</v>
      </c>
    </row>
    <row r="3176" spans="1:57" x14ac:dyDescent="0.3">
      <c r="A3176">
        <v>2313011955</v>
      </c>
      <c r="B3176">
        <v>2313012683</v>
      </c>
      <c r="C3176" t="str">
        <f>T("갓 오브 블랙필드 467화 (외전 48)")</f>
        <v>갓 오브 블랙필드 467화 (외전 48)</v>
      </c>
      <c r="D3176" t="str">
        <f>T("467")</f>
        <v>467</v>
      </c>
      <c r="E3176" t="str">
        <f t="shared" si="459"/>
        <v>무장</v>
      </c>
      <c r="H3176" t="str">
        <f t="shared" si="464"/>
        <v>스토리위즈</v>
      </c>
      <c r="I3176" t="str">
        <f t="shared" si="461"/>
        <v>갓 오브 블랙필드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/>
      <c r="AQ3176">
        <v>0</v>
      </c>
      <c r="AR3176">
        <v>0</v>
      </c>
      <c r="AT3176">
        <v>0</v>
      </c>
      <c r="AU3176">
        <v>0</v>
      </c>
      <c r="AW3176">
        <v>0</v>
      </c>
      <c r="AX3176">
        <v>0</v>
      </c>
      <c r="AY3176">
        <v>70</v>
      </c>
      <c r="BA3176" t="str">
        <f t="shared" si="462"/>
        <v>9788928067343</v>
      </c>
      <c r="BC3176" t="str">
        <f t="shared" si="463"/>
        <v>9791137602113</v>
      </c>
      <c r="BE3176" t="str">
        <f t="shared" si="460"/>
        <v>판타지 웹소설 &gt; 현대 판타지</v>
      </c>
    </row>
    <row r="3177" spans="1:57" x14ac:dyDescent="0.3">
      <c r="A3177">
        <v>2313011955</v>
      </c>
      <c r="B3177">
        <v>2313012684</v>
      </c>
      <c r="C3177" t="str">
        <f>T("갓 오브 블랙필드 468화 (외전 49)")</f>
        <v>갓 오브 블랙필드 468화 (외전 49)</v>
      </c>
      <c r="D3177" t="str">
        <f>T("468")</f>
        <v>468</v>
      </c>
      <c r="E3177" t="str">
        <f t="shared" si="459"/>
        <v>무장</v>
      </c>
      <c r="H3177" t="str">
        <f t="shared" si="464"/>
        <v>스토리위즈</v>
      </c>
      <c r="I3177" t="str">
        <f t="shared" si="461"/>
        <v>갓 오브 블랙필드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/>
      <c r="AQ3177">
        <v>0</v>
      </c>
      <c r="AR3177">
        <v>0</v>
      </c>
      <c r="AT3177">
        <v>0</v>
      </c>
      <c r="AU3177">
        <v>0</v>
      </c>
      <c r="AW3177">
        <v>0</v>
      </c>
      <c r="AX3177">
        <v>0</v>
      </c>
      <c r="AY3177">
        <v>70</v>
      </c>
      <c r="BA3177" t="str">
        <f t="shared" si="462"/>
        <v>9788928067343</v>
      </c>
      <c r="BC3177" t="str">
        <f t="shared" si="463"/>
        <v>9791137602113</v>
      </c>
      <c r="BE3177" t="str">
        <f t="shared" si="460"/>
        <v>판타지 웹소설 &gt; 현대 판타지</v>
      </c>
    </row>
    <row r="3178" spans="1:57" x14ac:dyDescent="0.3">
      <c r="A3178">
        <v>2313011955</v>
      </c>
      <c r="B3178">
        <v>2313012685</v>
      </c>
      <c r="C3178" t="str">
        <f>T("갓 오브 블랙필드 469화 (외전 50)")</f>
        <v>갓 오브 블랙필드 469화 (외전 50)</v>
      </c>
      <c r="D3178" t="str">
        <f>T("469")</f>
        <v>469</v>
      </c>
      <c r="E3178" t="str">
        <f t="shared" si="459"/>
        <v>무장</v>
      </c>
      <c r="H3178" t="str">
        <f t="shared" si="464"/>
        <v>스토리위즈</v>
      </c>
      <c r="I3178" t="str">
        <f t="shared" si="461"/>
        <v>갓 오브 블랙필드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/>
      <c r="AQ3178">
        <v>0</v>
      </c>
      <c r="AR3178">
        <v>0</v>
      </c>
      <c r="AT3178">
        <v>0</v>
      </c>
      <c r="AU3178">
        <v>0</v>
      </c>
      <c r="AW3178">
        <v>0</v>
      </c>
      <c r="AX3178">
        <v>0</v>
      </c>
      <c r="AY3178">
        <v>70</v>
      </c>
      <c r="BA3178" t="str">
        <f t="shared" si="462"/>
        <v>9788928067343</v>
      </c>
      <c r="BC3178" t="str">
        <f t="shared" si="463"/>
        <v>9791137602113</v>
      </c>
      <c r="BE3178" t="str">
        <f t="shared" si="460"/>
        <v>판타지 웹소설 &gt; 현대 판타지</v>
      </c>
    </row>
    <row r="3179" spans="1:57" x14ac:dyDescent="0.3">
      <c r="A3179">
        <v>2313011955</v>
      </c>
      <c r="B3179">
        <v>2313012686</v>
      </c>
      <c r="C3179" t="str">
        <f>T("갓 오브 블랙필드 470화 (외전 51)")</f>
        <v>갓 오브 블랙필드 470화 (외전 51)</v>
      </c>
      <c r="D3179" t="str">
        <f>T("470")</f>
        <v>470</v>
      </c>
      <c r="E3179" t="str">
        <f t="shared" si="459"/>
        <v>무장</v>
      </c>
      <c r="H3179" t="str">
        <f t="shared" si="464"/>
        <v>스토리위즈</v>
      </c>
      <c r="I3179" t="str">
        <f t="shared" si="461"/>
        <v>갓 오브 블랙필드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/>
      <c r="AQ3179">
        <v>0</v>
      </c>
      <c r="AR3179">
        <v>0</v>
      </c>
      <c r="AT3179">
        <v>0</v>
      </c>
      <c r="AU3179">
        <v>0</v>
      </c>
      <c r="AW3179">
        <v>0</v>
      </c>
      <c r="AX3179">
        <v>0</v>
      </c>
      <c r="AY3179">
        <v>70</v>
      </c>
      <c r="BA3179" t="str">
        <f t="shared" si="462"/>
        <v>9788928067343</v>
      </c>
      <c r="BC3179" t="str">
        <f t="shared" si="463"/>
        <v>9791137602113</v>
      </c>
      <c r="BE3179" t="str">
        <f t="shared" si="460"/>
        <v>판타지 웹소설 &gt; 현대 판타지</v>
      </c>
    </row>
    <row r="3180" spans="1:57" x14ac:dyDescent="0.3">
      <c r="A3180">
        <v>2313011955</v>
      </c>
      <c r="B3180">
        <v>2313012687</v>
      </c>
      <c r="C3180" t="str">
        <f>T("갓 오브 블랙필드 471화 (외전 52)")</f>
        <v>갓 오브 블랙필드 471화 (외전 52)</v>
      </c>
      <c r="D3180" t="str">
        <f>T("471")</f>
        <v>471</v>
      </c>
      <c r="E3180" t="str">
        <f t="shared" si="459"/>
        <v>무장</v>
      </c>
      <c r="H3180" t="str">
        <f t="shared" si="464"/>
        <v>스토리위즈</v>
      </c>
      <c r="I3180" t="str">
        <f t="shared" si="461"/>
        <v>갓 오브 블랙필드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/>
      <c r="AQ3180">
        <v>0</v>
      </c>
      <c r="AR3180">
        <v>0</v>
      </c>
      <c r="AT3180">
        <v>0</v>
      </c>
      <c r="AU3180">
        <v>0</v>
      </c>
      <c r="AW3180">
        <v>0</v>
      </c>
      <c r="AX3180">
        <v>0</v>
      </c>
      <c r="AY3180">
        <v>70</v>
      </c>
      <c r="BA3180" t="str">
        <f t="shared" si="462"/>
        <v>9788928067343</v>
      </c>
      <c r="BC3180" t="str">
        <f t="shared" si="463"/>
        <v>9791137602113</v>
      </c>
      <c r="BE3180" t="str">
        <f t="shared" si="460"/>
        <v>판타지 웹소설 &gt; 현대 판타지</v>
      </c>
    </row>
    <row r="3181" spans="1:57" x14ac:dyDescent="0.3">
      <c r="A3181">
        <v>2313011955</v>
      </c>
      <c r="B3181">
        <v>2313012688</v>
      </c>
      <c r="C3181" t="str">
        <f>T("갓 오브 블랙필드 472화 (외전 53)")</f>
        <v>갓 오브 블랙필드 472화 (외전 53)</v>
      </c>
      <c r="D3181" t="str">
        <f>T("472")</f>
        <v>472</v>
      </c>
      <c r="E3181" t="str">
        <f t="shared" si="459"/>
        <v>무장</v>
      </c>
      <c r="H3181" t="str">
        <f t="shared" si="464"/>
        <v>스토리위즈</v>
      </c>
      <c r="I3181" t="str">
        <f t="shared" si="461"/>
        <v>갓 오브 블랙필드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/>
      <c r="AQ3181">
        <v>0</v>
      </c>
      <c r="AR3181">
        <v>0</v>
      </c>
      <c r="AT3181">
        <v>0</v>
      </c>
      <c r="AU3181">
        <v>0</v>
      </c>
      <c r="AW3181">
        <v>0</v>
      </c>
      <c r="AX3181">
        <v>0</v>
      </c>
      <c r="AY3181">
        <v>70</v>
      </c>
      <c r="BA3181" t="str">
        <f t="shared" si="462"/>
        <v>9788928067343</v>
      </c>
      <c r="BC3181" t="str">
        <f t="shared" si="463"/>
        <v>9791137602113</v>
      </c>
      <c r="BE3181" t="str">
        <f t="shared" si="460"/>
        <v>판타지 웹소설 &gt; 현대 판타지</v>
      </c>
    </row>
    <row r="3182" spans="1:57" x14ac:dyDescent="0.3">
      <c r="A3182">
        <v>2313011955</v>
      </c>
      <c r="B3182">
        <v>2313012689</v>
      </c>
      <c r="C3182" t="str">
        <f>T("갓 오브 블랙필드 473화 (외전 54)")</f>
        <v>갓 오브 블랙필드 473화 (외전 54)</v>
      </c>
      <c r="D3182" t="str">
        <f>T("473")</f>
        <v>473</v>
      </c>
      <c r="E3182" t="str">
        <f t="shared" si="459"/>
        <v>무장</v>
      </c>
      <c r="H3182" t="str">
        <f t="shared" si="464"/>
        <v>스토리위즈</v>
      </c>
      <c r="I3182" t="str">
        <f t="shared" si="461"/>
        <v>갓 오브 블랙필드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/>
      <c r="AQ3182">
        <v>0</v>
      </c>
      <c r="AR3182">
        <v>0</v>
      </c>
      <c r="AT3182">
        <v>0</v>
      </c>
      <c r="AU3182">
        <v>0</v>
      </c>
      <c r="AW3182">
        <v>0</v>
      </c>
      <c r="AX3182">
        <v>0</v>
      </c>
      <c r="AY3182">
        <v>70</v>
      </c>
      <c r="BA3182" t="str">
        <f t="shared" si="462"/>
        <v>9788928067343</v>
      </c>
      <c r="BC3182" t="str">
        <f t="shared" si="463"/>
        <v>9791137602113</v>
      </c>
      <c r="BE3182" t="str">
        <f t="shared" si="460"/>
        <v>판타지 웹소설 &gt; 현대 판타지</v>
      </c>
    </row>
    <row r="3183" spans="1:57" x14ac:dyDescent="0.3">
      <c r="A3183">
        <v>2313011955</v>
      </c>
      <c r="B3183">
        <v>2313012690</v>
      </c>
      <c r="C3183" t="str">
        <f>T("갓 오브 블랙필드 474화 (외전 55)")</f>
        <v>갓 오브 블랙필드 474화 (외전 55)</v>
      </c>
      <c r="D3183" t="str">
        <f>T("474")</f>
        <v>474</v>
      </c>
      <c r="E3183" t="str">
        <f t="shared" si="459"/>
        <v>무장</v>
      </c>
      <c r="H3183" t="str">
        <f t="shared" si="464"/>
        <v>스토리위즈</v>
      </c>
      <c r="I3183" t="str">
        <f t="shared" si="461"/>
        <v>갓 오브 블랙필드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/>
      <c r="AQ3183">
        <v>0</v>
      </c>
      <c r="AR3183">
        <v>0</v>
      </c>
      <c r="AT3183">
        <v>0</v>
      </c>
      <c r="AU3183">
        <v>0</v>
      </c>
      <c r="AW3183">
        <v>0</v>
      </c>
      <c r="AX3183">
        <v>0</v>
      </c>
      <c r="AY3183">
        <v>70</v>
      </c>
      <c r="BA3183" t="str">
        <f t="shared" si="462"/>
        <v>9788928067343</v>
      </c>
      <c r="BC3183" t="str">
        <f t="shared" si="463"/>
        <v>9791137602113</v>
      </c>
      <c r="BE3183" t="str">
        <f t="shared" si="460"/>
        <v>판타지 웹소설 &gt; 현대 판타지</v>
      </c>
    </row>
    <row r="3184" spans="1:57" x14ac:dyDescent="0.3">
      <c r="A3184">
        <v>2313011955</v>
      </c>
      <c r="B3184">
        <v>2313012691</v>
      </c>
      <c r="C3184" t="str">
        <f>T("갓 오브 블랙필드 475화 (외전 56)")</f>
        <v>갓 오브 블랙필드 475화 (외전 56)</v>
      </c>
      <c r="D3184" t="str">
        <f>T("475")</f>
        <v>475</v>
      </c>
      <c r="E3184" t="str">
        <f t="shared" si="459"/>
        <v>무장</v>
      </c>
      <c r="H3184" t="str">
        <f t="shared" si="464"/>
        <v>스토리위즈</v>
      </c>
      <c r="I3184" t="str">
        <f t="shared" si="461"/>
        <v>갓 오브 블랙필드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/>
      <c r="AQ3184">
        <v>0</v>
      </c>
      <c r="AR3184">
        <v>0</v>
      </c>
      <c r="AT3184">
        <v>0</v>
      </c>
      <c r="AU3184">
        <v>0</v>
      </c>
      <c r="AW3184">
        <v>0</v>
      </c>
      <c r="AX3184">
        <v>0</v>
      </c>
      <c r="AY3184">
        <v>70</v>
      </c>
      <c r="BA3184" t="str">
        <f t="shared" si="462"/>
        <v>9788928067343</v>
      </c>
      <c r="BC3184" t="str">
        <f t="shared" si="463"/>
        <v>9791137602113</v>
      </c>
      <c r="BE3184" t="str">
        <f t="shared" si="460"/>
        <v>판타지 웹소설 &gt; 현대 판타지</v>
      </c>
    </row>
    <row r="3185" spans="1:57" x14ac:dyDescent="0.3">
      <c r="A3185">
        <v>2313011955</v>
      </c>
      <c r="B3185">
        <v>2313012692</v>
      </c>
      <c r="C3185" t="str">
        <f>T("갓 오브 블랙필드 476화 (외전 57)")</f>
        <v>갓 오브 블랙필드 476화 (외전 57)</v>
      </c>
      <c r="D3185" t="str">
        <f>T("476")</f>
        <v>476</v>
      </c>
      <c r="E3185" t="str">
        <f t="shared" si="459"/>
        <v>무장</v>
      </c>
      <c r="H3185" t="str">
        <f t="shared" si="464"/>
        <v>스토리위즈</v>
      </c>
      <c r="I3185" t="str">
        <f t="shared" si="461"/>
        <v>갓 오브 블랙필드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/>
      <c r="AQ3185">
        <v>0</v>
      </c>
      <c r="AR3185">
        <v>0</v>
      </c>
      <c r="AT3185">
        <v>0</v>
      </c>
      <c r="AU3185">
        <v>0</v>
      </c>
      <c r="AW3185">
        <v>0</v>
      </c>
      <c r="AX3185">
        <v>0</v>
      </c>
      <c r="AY3185">
        <v>70</v>
      </c>
      <c r="BA3185" t="str">
        <f t="shared" si="462"/>
        <v>9788928067343</v>
      </c>
      <c r="BC3185" t="str">
        <f t="shared" si="463"/>
        <v>9791137602113</v>
      </c>
      <c r="BE3185" t="str">
        <f t="shared" si="460"/>
        <v>판타지 웹소설 &gt; 현대 판타지</v>
      </c>
    </row>
    <row r="3186" spans="1:57" x14ac:dyDescent="0.3">
      <c r="A3186">
        <v>2313011955</v>
      </c>
      <c r="B3186">
        <v>2313012693</v>
      </c>
      <c r="C3186" t="str">
        <f>T("갓 오브 블랙필드 477화 (외전 58)")</f>
        <v>갓 오브 블랙필드 477화 (외전 58)</v>
      </c>
      <c r="D3186" t="str">
        <f>T("477")</f>
        <v>477</v>
      </c>
      <c r="E3186" t="str">
        <f t="shared" si="459"/>
        <v>무장</v>
      </c>
      <c r="H3186" t="str">
        <f t="shared" si="464"/>
        <v>스토리위즈</v>
      </c>
      <c r="I3186" t="str">
        <f t="shared" si="461"/>
        <v>갓 오브 블랙필드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/>
      <c r="AQ3186">
        <v>0</v>
      </c>
      <c r="AR3186">
        <v>0</v>
      </c>
      <c r="AT3186">
        <v>0</v>
      </c>
      <c r="AU3186">
        <v>0</v>
      </c>
      <c r="AW3186">
        <v>0</v>
      </c>
      <c r="AX3186">
        <v>0</v>
      </c>
      <c r="AY3186">
        <v>70</v>
      </c>
      <c r="BA3186" t="str">
        <f t="shared" si="462"/>
        <v>9788928067343</v>
      </c>
      <c r="BC3186" t="str">
        <f t="shared" si="463"/>
        <v>9791137602113</v>
      </c>
      <c r="BE3186" t="str">
        <f t="shared" si="460"/>
        <v>판타지 웹소설 &gt; 현대 판타지</v>
      </c>
    </row>
    <row r="3187" spans="1:57" x14ac:dyDescent="0.3">
      <c r="A3187">
        <v>2313011955</v>
      </c>
      <c r="B3187">
        <v>2313012694</v>
      </c>
      <c r="C3187" t="str">
        <f>T("갓 오브 블랙필드 478화 (외전 59)")</f>
        <v>갓 오브 블랙필드 478화 (외전 59)</v>
      </c>
      <c r="D3187" t="str">
        <f>T("478")</f>
        <v>478</v>
      </c>
      <c r="E3187" t="str">
        <f t="shared" si="459"/>
        <v>무장</v>
      </c>
      <c r="H3187" t="str">
        <f t="shared" si="464"/>
        <v>스토리위즈</v>
      </c>
      <c r="I3187" t="str">
        <f t="shared" si="461"/>
        <v>갓 오브 블랙필드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/>
      <c r="AQ3187">
        <v>0</v>
      </c>
      <c r="AR3187">
        <v>0</v>
      </c>
      <c r="AT3187">
        <v>0</v>
      </c>
      <c r="AU3187">
        <v>0</v>
      </c>
      <c r="AW3187">
        <v>0</v>
      </c>
      <c r="AX3187">
        <v>0</v>
      </c>
      <c r="AY3187">
        <v>70</v>
      </c>
      <c r="BA3187" t="str">
        <f t="shared" si="462"/>
        <v>9788928067343</v>
      </c>
      <c r="BC3187" t="str">
        <f t="shared" si="463"/>
        <v>9791137602113</v>
      </c>
      <c r="BE3187" t="str">
        <f t="shared" si="460"/>
        <v>판타지 웹소설 &gt; 현대 판타지</v>
      </c>
    </row>
    <row r="3188" spans="1:57" x14ac:dyDescent="0.3">
      <c r="A3188">
        <v>2313011955</v>
      </c>
      <c r="B3188">
        <v>2313012695</v>
      </c>
      <c r="C3188" t="str">
        <f>T("갓 오브 블랙필드 479화 (외전 60)")</f>
        <v>갓 오브 블랙필드 479화 (외전 60)</v>
      </c>
      <c r="D3188" t="str">
        <f>T("479")</f>
        <v>479</v>
      </c>
      <c r="E3188" t="str">
        <f t="shared" si="459"/>
        <v>무장</v>
      </c>
      <c r="H3188" t="str">
        <f t="shared" si="464"/>
        <v>스토리위즈</v>
      </c>
      <c r="I3188" t="str">
        <f t="shared" si="461"/>
        <v>갓 오브 블랙필드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/>
      <c r="AQ3188">
        <v>0</v>
      </c>
      <c r="AR3188">
        <v>0</v>
      </c>
      <c r="AT3188">
        <v>0</v>
      </c>
      <c r="AU3188">
        <v>0</v>
      </c>
      <c r="AW3188">
        <v>0</v>
      </c>
      <c r="AX3188">
        <v>0</v>
      </c>
      <c r="AY3188">
        <v>70</v>
      </c>
      <c r="BA3188" t="str">
        <f t="shared" si="462"/>
        <v>9788928067343</v>
      </c>
      <c r="BC3188" t="str">
        <f t="shared" si="463"/>
        <v>9791137602113</v>
      </c>
      <c r="BE3188" t="str">
        <f t="shared" si="460"/>
        <v>판타지 웹소설 &gt; 현대 판타지</v>
      </c>
    </row>
    <row r="3189" spans="1:57" x14ac:dyDescent="0.3">
      <c r="A3189">
        <v>2313011955</v>
      </c>
      <c r="B3189">
        <v>2313012696</v>
      </c>
      <c r="C3189" t="str">
        <f>T("갓 오브 블랙필드 480화 (외전 61)")</f>
        <v>갓 오브 블랙필드 480화 (외전 61)</v>
      </c>
      <c r="D3189" t="str">
        <f>T("480")</f>
        <v>480</v>
      </c>
      <c r="E3189" t="str">
        <f t="shared" si="459"/>
        <v>무장</v>
      </c>
      <c r="H3189" t="str">
        <f t="shared" si="464"/>
        <v>스토리위즈</v>
      </c>
      <c r="I3189" t="str">
        <f t="shared" si="461"/>
        <v>갓 오브 블랙필드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/>
      <c r="AQ3189">
        <v>0</v>
      </c>
      <c r="AR3189">
        <v>0</v>
      </c>
      <c r="AT3189">
        <v>0</v>
      </c>
      <c r="AU3189">
        <v>0</v>
      </c>
      <c r="AW3189">
        <v>0</v>
      </c>
      <c r="AX3189">
        <v>0</v>
      </c>
      <c r="AY3189">
        <v>70</v>
      </c>
      <c r="BA3189" t="str">
        <f t="shared" si="462"/>
        <v>9788928067343</v>
      </c>
      <c r="BC3189" t="str">
        <f t="shared" si="463"/>
        <v>9791137602113</v>
      </c>
      <c r="BE3189" t="str">
        <f t="shared" si="460"/>
        <v>판타지 웹소설 &gt; 현대 판타지</v>
      </c>
    </row>
    <row r="3190" spans="1:57" x14ac:dyDescent="0.3">
      <c r="A3190">
        <v>2313011955</v>
      </c>
      <c r="B3190">
        <v>2313012759</v>
      </c>
      <c r="C3190" t="str">
        <f>T("갓 오브 블랙필드 2부 62화")</f>
        <v>갓 오브 블랙필드 2부 62화</v>
      </c>
      <c r="D3190" t="str">
        <f>T("543")</f>
        <v>543</v>
      </c>
      <c r="E3190" t="str">
        <f t="shared" si="459"/>
        <v>무장</v>
      </c>
      <c r="H3190" t="str">
        <f t="shared" si="464"/>
        <v>스토리위즈</v>
      </c>
      <c r="I3190" t="str">
        <f t="shared" si="461"/>
        <v>갓 오브 블랙필드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/>
      <c r="AQ3190">
        <v>0</v>
      </c>
      <c r="AR3190">
        <v>0</v>
      </c>
      <c r="AT3190">
        <v>0</v>
      </c>
      <c r="AU3190">
        <v>0</v>
      </c>
      <c r="AW3190">
        <v>0</v>
      </c>
      <c r="AX3190">
        <v>0</v>
      </c>
      <c r="AY3190">
        <v>70</v>
      </c>
      <c r="BC3190" t="str">
        <f t="shared" si="463"/>
        <v>9791137602113</v>
      </c>
      <c r="BE3190" t="str">
        <f t="shared" si="460"/>
        <v>판타지 웹소설 &gt; 현대 판타지</v>
      </c>
    </row>
    <row r="3191" spans="1:57" x14ac:dyDescent="0.3">
      <c r="A3191">
        <v>2313011955</v>
      </c>
      <c r="B3191">
        <v>2313012760</v>
      </c>
      <c r="C3191" t="str">
        <f>T("갓 오브 블랙필드 2부 63화")</f>
        <v>갓 오브 블랙필드 2부 63화</v>
      </c>
      <c r="D3191" t="str">
        <f>T("544")</f>
        <v>544</v>
      </c>
      <c r="E3191" t="str">
        <f t="shared" si="459"/>
        <v>무장</v>
      </c>
      <c r="H3191" t="str">
        <f t="shared" si="464"/>
        <v>스토리위즈</v>
      </c>
      <c r="I3191" t="str">
        <f t="shared" si="461"/>
        <v>갓 오브 블랙필드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/>
      <c r="AQ3191">
        <v>0</v>
      </c>
      <c r="AR3191">
        <v>0</v>
      </c>
      <c r="AT3191">
        <v>0</v>
      </c>
      <c r="AU3191">
        <v>0</v>
      </c>
      <c r="AW3191">
        <v>0</v>
      </c>
      <c r="AX3191">
        <v>0</v>
      </c>
      <c r="AY3191">
        <v>70</v>
      </c>
      <c r="BC3191" t="str">
        <f t="shared" si="463"/>
        <v>9791137602113</v>
      </c>
      <c r="BE3191" t="str">
        <f t="shared" si="460"/>
        <v>판타지 웹소설 &gt; 현대 판타지</v>
      </c>
    </row>
    <row r="3192" spans="1:57" x14ac:dyDescent="0.3">
      <c r="A3192">
        <v>2313011955</v>
      </c>
      <c r="B3192">
        <v>2313012761</v>
      </c>
      <c r="C3192" t="str">
        <f>T("갓 오브 블랙필드 2부 64화")</f>
        <v>갓 오브 블랙필드 2부 64화</v>
      </c>
      <c r="D3192" t="str">
        <f>T("545")</f>
        <v>545</v>
      </c>
      <c r="E3192" t="str">
        <f t="shared" ref="E3192:E3228" si="465">T("무장")</f>
        <v>무장</v>
      </c>
      <c r="H3192" t="str">
        <f t="shared" si="464"/>
        <v>스토리위즈</v>
      </c>
      <c r="I3192" t="str">
        <f t="shared" si="461"/>
        <v>갓 오브 블랙필드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/>
      <c r="AQ3192">
        <v>0</v>
      </c>
      <c r="AR3192">
        <v>0</v>
      </c>
      <c r="AT3192">
        <v>0</v>
      </c>
      <c r="AU3192">
        <v>0</v>
      </c>
      <c r="AW3192">
        <v>0</v>
      </c>
      <c r="AX3192">
        <v>0</v>
      </c>
      <c r="AY3192">
        <v>70</v>
      </c>
      <c r="BC3192" t="str">
        <f t="shared" si="463"/>
        <v>9791137602113</v>
      </c>
      <c r="BE3192" t="str">
        <f t="shared" ref="BE3192:BE3228" si="466">T("판타지 웹소설 &gt; 현대 판타지")</f>
        <v>판타지 웹소설 &gt; 현대 판타지</v>
      </c>
    </row>
    <row r="3193" spans="1:57" x14ac:dyDescent="0.3">
      <c r="A3193">
        <v>2313011955</v>
      </c>
      <c r="B3193">
        <v>2313012762</v>
      </c>
      <c r="C3193" t="str">
        <f>T("갓 오브 블랙필드 2부 65화")</f>
        <v>갓 오브 블랙필드 2부 65화</v>
      </c>
      <c r="D3193" t="str">
        <f>T("546")</f>
        <v>546</v>
      </c>
      <c r="E3193" t="str">
        <f t="shared" si="465"/>
        <v>무장</v>
      </c>
      <c r="H3193" t="str">
        <f t="shared" si="464"/>
        <v>스토리위즈</v>
      </c>
      <c r="I3193" t="str">
        <f t="shared" ref="I3193:I3228" si="467">T("갓 오브 블랙필드")</f>
        <v>갓 오브 블랙필드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/>
      <c r="AQ3193">
        <v>0</v>
      </c>
      <c r="AR3193">
        <v>0</v>
      </c>
      <c r="AT3193">
        <v>0</v>
      </c>
      <c r="AU3193">
        <v>0</v>
      </c>
      <c r="AW3193">
        <v>0</v>
      </c>
      <c r="AX3193">
        <v>0</v>
      </c>
      <c r="AY3193">
        <v>70</v>
      </c>
      <c r="BC3193" t="str">
        <f t="shared" ref="BC3193:BC3228" si="468">T("9791137602113")</f>
        <v>9791137602113</v>
      </c>
      <c r="BE3193" t="str">
        <f t="shared" si="466"/>
        <v>판타지 웹소설 &gt; 현대 판타지</v>
      </c>
    </row>
    <row r="3194" spans="1:57" x14ac:dyDescent="0.3">
      <c r="A3194">
        <v>2313011955</v>
      </c>
      <c r="B3194">
        <v>2313012763</v>
      </c>
      <c r="C3194" t="str">
        <f>T("갓 오브 블랙필드 2부 66화")</f>
        <v>갓 오브 블랙필드 2부 66화</v>
      </c>
      <c r="D3194" t="str">
        <f>T("547")</f>
        <v>547</v>
      </c>
      <c r="E3194" t="str">
        <f t="shared" si="465"/>
        <v>무장</v>
      </c>
      <c r="H3194" t="str">
        <f t="shared" si="464"/>
        <v>스토리위즈</v>
      </c>
      <c r="I3194" t="str">
        <f t="shared" si="467"/>
        <v>갓 오브 블랙필드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/>
      <c r="AQ3194">
        <v>0</v>
      </c>
      <c r="AR3194">
        <v>0</v>
      </c>
      <c r="AT3194">
        <v>0</v>
      </c>
      <c r="AU3194">
        <v>0</v>
      </c>
      <c r="AW3194">
        <v>0</v>
      </c>
      <c r="AX3194">
        <v>0</v>
      </c>
      <c r="AY3194">
        <v>70</v>
      </c>
      <c r="BC3194" t="str">
        <f t="shared" si="468"/>
        <v>9791137602113</v>
      </c>
      <c r="BE3194" t="str">
        <f t="shared" si="466"/>
        <v>판타지 웹소설 &gt; 현대 판타지</v>
      </c>
    </row>
    <row r="3195" spans="1:57" x14ac:dyDescent="0.3">
      <c r="A3195">
        <v>2313011955</v>
      </c>
      <c r="B3195">
        <v>2313012764</v>
      </c>
      <c r="C3195" t="str">
        <f>T("갓 오브 블랙필드 2부 67화")</f>
        <v>갓 오브 블랙필드 2부 67화</v>
      </c>
      <c r="D3195" t="str">
        <f>T("548")</f>
        <v>548</v>
      </c>
      <c r="E3195" t="str">
        <f t="shared" si="465"/>
        <v>무장</v>
      </c>
      <c r="H3195" t="str">
        <f t="shared" si="464"/>
        <v>스토리위즈</v>
      </c>
      <c r="I3195" t="str">
        <f t="shared" si="467"/>
        <v>갓 오브 블랙필드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/>
      <c r="AQ3195">
        <v>0</v>
      </c>
      <c r="AR3195">
        <v>0</v>
      </c>
      <c r="AT3195">
        <v>0</v>
      </c>
      <c r="AU3195">
        <v>0</v>
      </c>
      <c r="AW3195">
        <v>0</v>
      </c>
      <c r="AX3195">
        <v>0</v>
      </c>
      <c r="AY3195">
        <v>70</v>
      </c>
      <c r="BC3195" t="str">
        <f t="shared" si="468"/>
        <v>9791137602113</v>
      </c>
      <c r="BE3195" t="str">
        <f t="shared" si="466"/>
        <v>판타지 웹소설 &gt; 현대 판타지</v>
      </c>
    </row>
    <row r="3196" spans="1:57" x14ac:dyDescent="0.3">
      <c r="A3196">
        <v>2313011955</v>
      </c>
      <c r="B3196">
        <v>2313012765</v>
      </c>
      <c r="C3196" t="str">
        <f>T("갓 오브 블랙필드 2부 68화")</f>
        <v>갓 오브 블랙필드 2부 68화</v>
      </c>
      <c r="D3196" t="str">
        <f>T("549")</f>
        <v>549</v>
      </c>
      <c r="E3196" t="str">
        <f t="shared" si="465"/>
        <v>무장</v>
      </c>
      <c r="H3196" t="str">
        <f t="shared" si="464"/>
        <v>스토리위즈</v>
      </c>
      <c r="I3196" t="str">
        <f t="shared" si="467"/>
        <v>갓 오브 블랙필드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/>
      <c r="AQ3196">
        <v>0</v>
      </c>
      <c r="AR3196">
        <v>0</v>
      </c>
      <c r="AT3196">
        <v>0</v>
      </c>
      <c r="AU3196">
        <v>0</v>
      </c>
      <c r="AW3196">
        <v>0</v>
      </c>
      <c r="AX3196">
        <v>0</v>
      </c>
      <c r="AY3196">
        <v>70</v>
      </c>
      <c r="BC3196" t="str">
        <f t="shared" si="468"/>
        <v>9791137602113</v>
      </c>
      <c r="BE3196" t="str">
        <f t="shared" si="466"/>
        <v>판타지 웹소설 &gt; 현대 판타지</v>
      </c>
    </row>
    <row r="3197" spans="1:57" x14ac:dyDescent="0.3">
      <c r="A3197">
        <v>2313011955</v>
      </c>
      <c r="B3197">
        <v>2313012766</v>
      </c>
      <c r="C3197" t="str">
        <f>T("갓 오브 블랙필드 2부 69화")</f>
        <v>갓 오브 블랙필드 2부 69화</v>
      </c>
      <c r="D3197" t="str">
        <f>T("550")</f>
        <v>550</v>
      </c>
      <c r="E3197" t="str">
        <f t="shared" si="465"/>
        <v>무장</v>
      </c>
      <c r="H3197" t="str">
        <f t="shared" si="464"/>
        <v>스토리위즈</v>
      </c>
      <c r="I3197" t="str">
        <f t="shared" si="467"/>
        <v>갓 오브 블랙필드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/>
      <c r="AQ3197">
        <v>0</v>
      </c>
      <c r="AR3197">
        <v>0</v>
      </c>
      <c r="AT3197">
        <v>0</v>
      </c>
      <c r="AU3197">
        <v>0</v>
      </c>
      <c r="AW3197">
        <v>0</v>
      </c>
      <c r="AX3197">
        <v>0</v>
      </c>
      <c r="AY3197">
        <v>70</v>
      </c>
      <c r="BC3197" t="str">
        <f t="shared" si="468"/>
        <v>9791137602113</v>
      </c>
      <c r="BE3197" t="str">
        <f t="shared" si="466"/>
        <v>판타지 웹소설 &gt; 현대 판타지</v>
      </c>
    </row>
    <row r="3198" spans="1:57" x14ac:dyDescent="0.3">
      <c r="A3198">
        <v>2313011955</v>
      </c>
      <c r="B3198">
        <v>2313012767</v>
      </c>
      <c r="C3198" t="str">
        <f>T("갓 오브 블랙필드 2부 70화")</f>
        <v>갓 오브 블랙필드 2부 70화</v>
      </c>
      <c r="D3198" t="str">
        <f>T("551")</f>
        <v>551</v>
      </c>
      <c r="E3198" t="str">
        <f t="shared" si="465"/>
        <v>무장</v>
      </c>
      <c r="H3198" t="str">
        <f t="shared" si="464"/>
        <v>스토리위즈</v>
      </c>
      <c r="I3198" t="str">
        <f t="shared" si="467"/>
        <v>갓 오브 블랙필드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/>
      <c r="AQ3198">
        <v>0</v>
      </c>
      <c r="AR3198">
        <v>0</v>
      </c>
      <c r="AT3198">
        <v>0</v>
      </c>
      <c r="AU3198">
        <v>0</v>
      </c>
      <c r="AW3198">
        <v>0</v>
      </c>
      <c r="AX3198">
        <v>0</v>
      </c>
      <c r="AY3198">
        <v>70</v>
      </c>
      <c r="BC3198" t="str">
        <f t="shared" si="468"/>
        <v>9791137602113</v>
      </c>
      <c r="BE3198" t="str">
        <f t="shared" si="466"/>
        <v>판타지 웹소설 &gt; 현대 판타지</v>
      </c>
    </row>
    <row r="3199" spans="1:57" x14ac:dyDescent="0.3">
      <c r="A3199">
        <v>2313011955</v>
      </c>
      <c r="B3199">
        <v>2313012768</v>
      </c>
      <c r="C3199" t="str">
        <f>T("갓 오브 블랙필드 2부 71화")</f>
        <v>갓 오브 블랙필드 2부 71화</v>
      </c>
      <c r="D3199" t="str">
        <f>T("552")</f>
        <v>552</v>
      </c>
      <c r="E3199" t="str">
        <f t="shared" si="465"/>
        <v>무장</v>
      </c>
      <c r="H3199" t="str">
        <f t="shared" si="464"/>
        <v>스토리위즈</v>
      </c>
      <c r="I3199" t="str">
        <f t="shared" si="467"/>
        <v>갓 오브 블랙필드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/>
      <c r="AQ3199">
        <v>0</v>
      </c>
      <c r="AR3199">
        <v>0</v>
      </c>
      <c r="AT3199">
        <v>0</v>
      </c>
      <c r="AU3199">
        <v>0</v>
      </c>
      <c r="AW3199">
        <v>0</v>
      </c>
      <c r="AX3199">
        <v>0</v>
      </c>
      <c r="AY3199">
        <v>70</v>
      </c>
      <c r="BC3199" t="str">
        <f t="shared" si="468"/>
        <v>9791137602113</v>
      </c>
      <c r="BE3199" t="str">
        <f t="shared" si="466"/>
        <v>판타지 웹소설 &gt; 현대 판타지</v>
      </c>
    </row>
    <row r="3200" spans="1:57" x14ac:dyDescent="0.3">
      <c r="A3200">
        <v>2313011955</v>
      </c>
      <c r="B3200">
        <v>2313012769</v>
      </c>
      <c r="C3200" t="str">
        <f>T("갓 오브 블랙필드 2부 72화")</f>
        <v>갓 오브 블랙필드 2부 72화</v>
      </c>
      <c r="D3200" t="str">
        <f>T("553")</f>
        <v>553</v>
      </c>
      <c r="E3200" t="str">
        <f t="shared" si="465"/>
        <v>무장</v>
      </c>
      <c r="H3200" t="str">
        <f t="shared" si="464"/>
        <v>스토리위즈</v>
      </c>
      <c r="I3200" t="str">
        <f t="shared" si="467"/>
        <v>갓 오브 블랙필드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/>
      <c r="AQ3200">
        <v>0</v>
      </c>
      <c r="AR3200">
        <v>0</v>
      </c>
      <c r="AT3200">
        <v>0</v>
      </c>
      <c r="AU3200">
        <v>0</v>
      </c>
      <c r="AW3200">
        <v>0</v>
      </c>
      <c r="AX3200">
        <v>0</v>
      </c>
      <c r="AY3200">
        <v>70</v>
      </c>
      <c r="BC3200" t="str">
        <f t="shared" si="468"/>
        <v>9791137602113</v>
      </c>
      <c r="BE3200" t="str">
        <f t="shared" si="466"/>
        <v>판타지 웹소설 &gt; 현대 판타지</v>
      </c>
    </row>
    <row r="3201" spans="1:57" x14ac:dyDescent="0.3">
      <c r="A3201">
        <v>2313011955</v>
      </c>
      <c r="B3201">
        <v>2313012770</v>
      </c>
      <c r="C3201" t="str">
        <f>T("갓 오브 블랙필드 2부 73화")</f>
        <v>갓 오브 블랙필드 2부 73화</v>
      </c>
      <c r="D3201" t="str">
        <f>T("554")</f>
        <v>554</v>
      </c>
      <c r="E3201" t="str">
        <f t="shared" si="465"/>
        <v>무장</v>
      </c>
      <c r="H3201" t="str">
        <f t="shared" si="464"/>
        <v>스토리위즈</v>
      </c>
      <c r="I3201" t="str">
        <f t="shared" si="467"/>
        <v>갓 오브 블랙필드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/>
      <c r="AQ3201">
        <v>0</v>
      </c>
      <c r="AR3201">
        <v>0</v>
      </c>
      <c r="AT3201">
        <v>0</v>
      </c>
      <c r="AU3201">
        <v>0</v>
      </c>
      <c r="AW3201">
        <v>0</v>
      </c>
      <c r="AX3201">
        <v>0</v>
      </c>
      <c r="AY3201">
        <v>70</v>
      </c>
      <c r="BC3201" t="str">
        <f t="shared" si="468"/>
        <v>9791137602113</v>
      </c>
      <c r="BE3201" t="str">
        <f t="shared" si="466"/>
        <v>판타지 웹소설 &gt; 현대 판타지</v>
      </c>
    </row>
    <row r="3202" spans="1:57" x14ac:dyDescent="0.3">
      <c r="A3202">
        <v>2313011955</v>
      </c>
      <c r="B3202">
        <v>2313012771</v>
      </c>
      <c r="C3202" t="str">
        <f>T("갓 오브 블랙필드 2부 74화")</f>
        <v>갓 오브 블랙필드 2부 74화</v>
      </c>
      <c r="D3202" t="str">
        <f>T("555")</f>
        <v>555</v>
      </c>
      <c r="E3202" t="str">
        <f t="shared" si="465"/>
        <v>무장</v>
      </c>
      <c r="H3202" t="str">
        <f t="shared" si="464"/>
        <v>스토리위즈</v>
      </c>
      <c r="I3202" t="str">
        <f t="shared" si="467"/>
        <v>갓 오브 블랙필드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/>
      <c r="AQ3202">
        <v>0</v>
      </c>
      <c r="AR3202">
        <v>0</v>
      </c>
      <c r="AT3202">
        <v>0</v>
      </c>
      <c r="AU3202">
        <v>0</v>
      </c>
      <c r="AW3202">
        <v>0</v>
      </c>
      <c r="AX3202">
        <v>0</v>
      </c>
      <c r="AY3202">
        <v>70</v>
      </c>
      <c r="BC3202" t="str">
        <f t="shared" si="468"/>
        <v>9791137602113</v>
      </c>
      <c r="BE3202" t="str">
        <f t="shared" si="466"/>
        <v>판타지 웹소설 &gt; 현대 판타지</v>
      </c>
    </row>
    <row r="3203" spans="1:57" x14ac:dyDescent="0.3">
      <c r="A3203">
        <v>2313011955</v>
      </c>
      <c r="B3203">
        <v>2313012772</v>
      </c>
      <c r="C3203" t="str">
        <f>T("갓 오브 블랙필드 2부 75화")</f>
        <v>갓 오브 블랙필드 2부 75화</v>
      </c>
      <c r="D3203" t="str">
        <f>T("556")</f>
        <v>556</v>
      </c>
      <c r="E3203" t="str">
        <f t="shared" si="465"/>
        <v>무장</v>
      </c>
      <c r="H3203" t="str">
        <f t="shared" si="464"/>
        <v>스토리위즈</v>
      </c>
      <c r="I3203" t="str">
        <f t="shared" si="467"/>
        <v>갓 오브 블랙필드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/>
      <c r="AQ3203">
        <v>0</v>
      </c>
      <c r="AR3203">
        <v>0</v>
      </c>
      <c r="AT3203">
        <v>0</v>
      </c>
      <c r="AU3203">
        <v>0</v>
      </c>
      <c r="AW3203">
        <v>0</v>
      </c>
      <c r="AX3203">
        <v>0</v>
      </c>
      <c r="AY3203">
        <v>70</v>
      </c>
      <c r="BC3203" t="str">
        <f t="shared" si="468"/>
        <v>9791137602113</v>
      </c>
      <c r="BE3203" t="str">
        <f t="shared" si="466"/>
        <v>판타지 웹소설 &gt; 현대 판타지</v>
      </c>
    </row>
    <row r="3204" spans="1:57" x14ac:dyDescent="0.3">
      <c r="A3204">
        <v>2313011955</v>
      </c>
      <c r="B3204">
        <v>2313012773</v>
      </c>
      <c r="C3204" t="str">
        <f>T("갓 오브 블랙필드 2부 76화")</f>
        <v>갓 오브 블랙필드 2부 76화</v>
      </c>
      <c r="D3204" t="str">
        <f>T("557")</f>
        <v>557</v>
      </c>
      <c r="E3204" t="str">
        <f t="shared" si="465"/>
        <v>무장</v>
      </c>
      <c r="H3204" t="str">
        <f t="shared" si="464"/>
        <v>스토리위즈</v>
      </c>
      <c r="I3204" t="str">
        <f t="shared" si="467"/>
        <v>갓 오브 블랙필드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/>
      <c r="AQ3204">
        <v>0</v>
      </c>
      <c r="AR3204">
        <v>0</v>
      </c>
      <c r="AT3204">
        <v>0</v>
      </c>
      <c r="AU3204">
        <v>0</v>
      </c>
      <c r="AW3204">
        <v>0</v>
      </c>
      <c r="AX3204">
        <v>0</v>
      </c>
      <c r="AY3204">
        <v>70</v>
      </c>
      <c r="BC3204" t="str">
        <f t="shared" si="468"/>
        <v>9791137602113</v>
      </c>
      <c r="BE3204" t="str">
        <f t="shared" si="466"/>
        <v>판타지 웹소설 &gt; 현대 판타지</v>
      </c>
    </row>
    <row r="3205" spans="1:57" x14ac:dyDescent="0.3">
      <c r="A3205">
        <v>2313011955</v>
      </c>
      <c r="B3205">
        <v>2313012774</v>
      </c>
      <c r="C3205" t="str">
        <f>T("갓 오브 블랙필드 2부 77화")</f>
        <v>갓 오브 블랙필드 2부 77화</v>
      </c>
      <c r="D3205" t="str">
        <f>T("558")</f>
        <v>558</v>
      </c>
      <c r="E3205" t="str">
        <f t="shared" si="465"/>
        <v>무장</v>
      </c>
      <c r="H3205" t="str">
        <f t="shared" si="464"/>
        <v>스토리위즈</v>
      </c>
      <c r="I3205" t="str">
        <f t="shared" si="467"/>
        <v>갓 오브 블랙필드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/>
      <c r="AQ3205">
        <v>0</v>
      </c>
      <c r="AR3205">
        <v>0</v>
      </c>
      <c r="AT3205">
        <v>0</v>
      </c>
      <c r="AU3205">
        <v>0</v>
      </c>
      <c r="AW3205">
        <v>0</v>
      </c>
      <c r="AX3205">
        <v>0</v>
      </c>
      <c r="AY3205">
        <v>70</v>
      </c>
      <c r="BC3205" t="str">
        <f t="shared" si="468"/>
        <v>9791137602113</v>
      </c>
      <c r="BE3205" t="str">
        <f t="shared" si="466"/>
        <v>판타지 웹소설 &gt; 현대 판타지</v>
      </c>
    </row>
    <row r="3206" spans="1:57" x14ac:dyDescent="0.3">
      <c r="A3206">
        <v>2313011955</v>
      </c>
      <c r="B3206">
        <v>2313012775</v>
      </c>
      <c r="C3206" t="str">
        <f>T("갓 오브 블랙필드 2부 78화")</f>
        <v>갓 오브 블랙필드 2부 78화</v>
      </c>
      <c r="D3206" t="str">
        <f>T("559")</f>
        <v>559</v>
      </c>
      <c r="E3206" t="str">
        <f t="shared" si="465"/>
        <v>무장</v>
      </c>
      <c r="H3206" t="str">
        <f t="shared" si="464"/>
        <v>스토리위즈</v>
      </c>
      <c r="I3206" t="str">
        <f t="shared" si="467"/>
        <v>갓 오브 블랙필드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/>
      <c r="AQ3206">
        <v>0</v>
      </c>
      <c r="AR3206">
        <v>0</v>
      </c>
      <c r="AT3206">
        <v>0</v>
      </c>
      <c r="AU3206">
        <v>0</v>
      </c>
      <c r="AW3206">
        <v>0</v>
      </c>
      <c r="AX3206">
        <v>0</v>
      </c>
      <c r="AY3206">
        <v>70</v>
      </c>
      <c r="BC3206" t="str">
        <f t="shared" si="468"/>
        <v>9791137602113</v>
      </c>
      <c r="BE3206" t="str">
        <f t="shared" si="466"/>
        <v>판타지 웹소설 &gt; 현대 판타지</v>
      </c>
    </row>
    <row r="3207" spans="1:57" x14ac:dyDescent="0.3">
      <c r="A3207">
        <v>2313011955</v>
      </c>
      <c r="B3207">
        <v>2313012776</v>
      </c>
      <c r="C3207" t="str">
        <f>T("갓 오브 블랙필드 2부 79화")</f>
        <v>갓 오브 블랙필드 2부 79화</v>
      </c>
      <c r="D3207" t="str">
        <f>T("560")</f>
        <v>560</v>
      </c>
      <c r="E3207" t="str">
        <f t="shared" si="465"/>
        <v>무장</v>
      </c>
      <c r="H3207" t="str">
        <f t="shared" si="464"/>
        <v>스토리위즈</v>
      </c>
      <c r="I3207" t="str">
        <f t="shared" si="467"/>
        <v>갓 오브 블랙필드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/>
      <c r="AQ3207">
        <v>0</v>
      </c>
      <c r="AR3207">
        <v>0</v>
      </c>
      <c r="AT3207">
        <v>0</v>
      </c>
      <c r="AU3207">
        <v>0</v>
      </c>
      <c r="AW3207">
        <v>0</v>
      </c>
      <c r="AX3207">
        <v>0</v>
      </c>
      <c r="AY3207">
        <v>70</v>
      </c>
      <c r="BC3207" t="str">
        <f t="shared" si="468"/>
        <v>9791137602113</v>
      </c>
      <c r="BE3207" t="str">
        <f t="shared" si="466"/>
        <v>판타지 웹소설 &gt; 현대 판타지</v>
      </c>
    </row>
    <row r="3208" spans="1:57" x14ac:dyDescent="0.3">
      <c r="A3208">
        <v>2313011955</v>
      </c>
      <c r="B3208">
        <v>2313012777</v>
      </c>
      <c r="C3208" t="str">
        <f>T("갓 오브 블랙필드 2부 80화")</f>
        <v>갓 오브 블랙필드 2부 80화</v>
      </c>
      <c r="D3208" t="str">
        <f>T("561")</f>
        <v>561</v>
      </c>
      <c r="E3208" t="str">
        <f t="shared" si="465"/>
        <v>무장</v>
      </c>
      <c r="H3208" t="str">
        <f t="shared" si="464"/>
        <v>스토리위즈</v>
      </c>
      <c r="I3208" t="str">
        <f t="shared" si="467"/>
        <v>갓 오브 블랙필드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/>
      <c r="AQ3208">
        <v>0</v>
      </c>
      <c r="AR3208">
        <v>0</v>
      </c>
      <c r="AT3208">
        <v>0</v>
      </c>
      <c r="AU3208">
        <v>0</v>
      </c>
      <c r="AW3208">
        <v>0</v>
      </c>
      <c r="AX3208">
        <v>0</v>
      </c>
      <c r="AY3208">
        <v>70</v>
      </c>
      <c r="BC3208" t="str">
        <f t="shared" si="468"/>
        <v>9791137602113</v>
      </c>
      <c r="BE3208" t="str">
        <f t="shared" si="466"/>
        <v>판타지 웹소설 &gt; 현대 판타지</v>
      </c>
    </row>
    <row r="3209" spans="1:57" x14ac:dyDescent="0.3">
      <c r="A3209">
        <v>2313011955</v>
      </c>
      <c r="B3209">
        <v>2313012778</v>
      </c>
      <c r="C3209" t="str">
        <f>T("갓 오브 블랙필드 2부 81화")</f>
        <v>갓 오브 블랙필드 2부 81화</v>
      </c>
      <c r="D3209" t="str">
        <f>T("562")</f>
        <v>562</v>
      </c>
      <c r="E3209" t="str">
        <f t="shared" si="465"/>
        <v>무장</v>
      </c>
      <c r="H3209" t="str">
        <f t="shared" si="464"/>
        <v>스토리위즈</v>
      </c>
      <c r="I3209" t="str">
        <f t="shared" si="467"/>
        <v>갓 오브 블랙필드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/>
      <c r="AQ3209">
        <v>0</v>
      </c>
      <c r="AR3209">
        <v>0</v>
      </c>
      <c r="AT3209">
        <v>0</v>
      </c>
      <c r="AU3209">
        <v>0</v>
      </c>
      <c r="AW3209">
        <v>0</v>
      </c>
      <c r="AX3209">
        <v>0</v>
      </c>
      <c r="AY3209">
        <v>70</v>
      </c>
      <c r="BC3209" t="str">
        <f t="shared" si="468"/>
        <v>9791137602113</v>
      </c>
      <c r="BE3209" t="str">
        <f t="shared" si="466"/>
        <v>판타지 웹소설 &gt; 현대 판타지</v>
      </c>
    </row>
    <row r="3210" spans="1:57" x14ac:dyDescent="0.3">
      <c r="A3210">
        <v>2313011955</v>
      </c>
      <c r="B3210">
        <v>2313012779</v>
      </c>
      <c r="C3210" t="str">
        <f>T("갓 오브 블랙필드 2부 82화")</f>
        <v>갓 오브 블랙필드 2부 82화</v>
      </c>
      <c r="D3210" t="str">
        <f>T("563")</f>
        <v>563</v>
      </c>
      <c r="E3210" t="str">
        <f t="shared" si="465"/>
        <v>무장</v>
      </c>
      <c r="H3210" t="str">
        <f t="shared" si="464"/>
        <v>스토리위즈</v>
      </c>
      <c r="I3210" t="str">
        <f t="shared" si="467"/>
        <v>갓 오브 블랙필드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/>
      <c r="AQ3210">
        <v>0</v>
      </c>
      <c r="AR3210">
        <v>0</v>
      </c>
      <c r="AT3210">
        <v>0</v>
      </c>
      <c r="AU3210">
        <v>0</v>
      </c>
      <c r="AW3210">
        <v>0</v>
      </c>
      <c r="AX3210">
        <v>0</v>
      </c>
      <c r="AY3210">
        <v>70</v>
      </c>
      <c r="BC3210" t="str">
        <f t="shared" si="468"/>
        <v>9791137602113</v>
      </c>
      <c r="BE3210" t="str">
        <f t="shared" si="466"/>
        <v>판타지 웹소설 &gt; 현대 판타지</v>
      </c>
    </row>
    <row r="3211" spans="1:57" x14ac:dyDescent="0.3">
      <c r="A3211">
        <v>2313011955</v>
      </c>
      <c r="B3211">
        <v>2313012780</v>
      </c>
      <c r="C3211" t="str">
        <f>T("갓 오브 블랙필드 2부 83화")</f>
        <v>갓 오브 블랙필드 2부 83화</v>
      </c>
      <c r="D3211" t="str">
        <f>T("564")</f>
        <v>564</v>
      </c>
      <c r="E3211" t="str">
        <f t="shared" si="465"/>
        <v>무장</v>
      </c>
      <c r="H3211" t="str">
        <f t="shared" si="464"/>
        <v>스토리위즈</v>
      </c>
      <c r="I3211" t="str">
        <f t="shared" si="467"/>
        <v>갓 오브 블랙필드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/>
      <c r="AQ3211">
        <v>0</v>
      </c>
      <c r="AR3211">
        <v>0</v>
      </c>
      <c r="AT3211">
        <v>0</v>
      </c>
      <c r="AU3211">
        <v>0</v>
      </c>
      <c r="AW3211">
        <v>0</v>
      </c>
      <c r="AX3211">
        <v>0</v>
      </c>
      <c r="AY3211">
        <v>70</v>
      </c>
      <c r="BC3211" t="str">
        <f t="shared" si="468"/>
        <v>9791137602113</v>
      </c>
      <c r="BE3211" t="str">
        <f t="shared" si="466"/>
        <v>판타지 웹소설 &gt; 현대 판타지</v>
      </c>
    </row>
    <row r="3212" spans="1:57" x14ac:dyDescent="0.3">
      <c r="A3212">
        <v>2313011955</v>
      </c>
      <c r="B3212">
        <v>2313012781</v>
      </c>
      <c r="C3212" t="str">
        <f>T("갓 오브 블랙필드 2부 84화")</f>
        <v>갓 오브 블랙필드 2부 84화</v>
      </c>
      <c r="D3212" t="str">
        <f>T("565")</f>
        <v>565</v>
      </c>
      <c r="E3212" t="str">
        <f t="shared" si="465"/>
        <v>무장</v>
      </c>
      <c r="H3212" t="str">
        <f t="shared" si="464"/>
        <v>스토리위즈</v>
      </c>
      <c r="I3212" t="str">
        <f t="shared" si="467"/>
        <v>갓 오브 블랙필드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/>
      <c r="AQ3212">
        <v>0</v>
      </c>
      <c r="AR3212">
        <v>0</v>
      </c>
      <c r="AT3212">
        <v>0</v>
      </c>
      <c r="AU3212">
        <v>0</v>
      </c>
      <c r="AW3212">
        <v>0</v>
      </c>
      <c r="AX3212">
        <v>0</v>
      </c>
      <c r="AY3212">
        <v>70</v>
      </c>
      <c r="BC3212" t="str">
        <f t="shared" si="468"/>
        <v>9791137602113</v>
      </c>
      <c r="BE3212" t="str">
        <f t="shared" si="466"/>
        <v>판타지 웹소설 &gt; 현대 판타지</v>
      </c>
    </row>
    <row r="3213" spans="1:57" x14ac:dyDescent="0.3">
      <c r="A3213">
        <v>2313011955</v>
      </c>
      <c r="B3213">
        <v>2313012782</v>
      </c>
      <c r="C3213" t="str">
        <f>T("갓 오브 블랙필드 2부 85화")</f>
        <v>갓 오브 블랙필드 2부 85화</v>
      </c>
      <c r="D3213" t="str">
        <f>T("566")</f>
        <v>566</v>
      </c>
      <c r="E3213" t="str">
        <f t="shared" si="465"/>
        <v>무장</v>
      </c>
      <c r="H3213" t="str">
        <f t="shared" si="464"/>
        <v>스토리위즈</v>
      </c>
      <c r="I3213" t="str">
        <f t="shared" si="467"/>
        <v>갓 오브 블랙필드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/>
      <c r="AQ3213">
        <v>0</v>
      </c>
      <c r="AR3213">
        <v>0</v>
      </c>
      <c r="AT3213">
        <v>0</v>
      </c>
      <c r="AU3213">
        <v>0</v>
      </c>
      <c r="AW3213">
        <v>0</v>
      </c>
      <c r="AX3213">
        <v>0</v>
      </c>
      <c r="AY3213">
        <v>70</v>
      </c>
      <c r="BC3213" t="str">
        <f t="shared" si="468"/>
        <v>9791137602113</v>
      </c>
      <c r="BE3213" t="str">
        <f t="shared" si="466"/>
        <v>판타지 웹소설 &gt; 현대 판타지</v>
      </c>
    </row>
    <row r="3214" spans="1:57" x14ac:dyDescent="0.3">
      <c r="A3214">
        <v>2313011955</v>
      </c>
      <c r="B3214">
        <v>2313012783</v>
      </c>
      <c r="C3214" t="str">
        <f>T("갓 오브 블랙필드 2부 86화")</f>
        <v>갓 오브 블랙필드 2부 86화</v>
      </c>
      <c r="D3214" t="str">
        <f>T("567")</f>
        <v>567</v>
      </c>
      <c r="E3214" t="str">
        <f t="shared" si="465"/>
        <v>무장</v>
      </c>
      <c r="H3214" t="str">
        <f t="shared" si="464"/>
        <v>스토리위즈</v>
      </c>
      <c r="I3214" t="str">
        <f t="shared" si="467"/>
        <v>갓 오브 블랙필드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/>
      <c r="AQ3214">
        <v>0</v>
      </c>
      <c r="AR3214">
        <v>0</v>
      </c>
      <c r="AT3214">
        <v>0</v>
      </c>
      <c r="AU3214">
        <v>0</v>
      </c>
      <c r="AW3214">
        <v>0</v>
      </c>
      <c r="AX3214">
        <v>0</v>
      </c>
      <c r="AY3214">
        <v>70</v>
      </c>
      <c r="BC3214" t="str">
        <f t="shared" si="468"/>
        <v>9791137602113</v>
      </c>
      <c r="BE3214" t="str">
        <f t="shared" si="466"/>
        <v>판타지 웹소설 &gt; 현대 판타지</v>
      </c>
    </row>
    <row r="3215" spans="1:57" x14ac:dyDescent="0.3">
      <c r="A3215">
        <v>2313011955</v>
      </c>
      <c r="B3215">
        <v>2313012784</v>
      </c>
      <c r="C3215" t="str">
        <f>T("갓 오브 블랙필드 2부 87화")</f>
        <v>갓 오브 블랙필드 2부 87화</v>
      </c>
      <c r="D3215" t="str">
        <f>T("568")</f>
        <v>568</v>
      </c>
      <c r="E3215" t="str">
        <f t="shared" si="465"/>
        <v>무장</v>
      </c>
      <c r="H3215" t="str">
        <f t="shared" si="464"/>
        <v>스토리위즈</v>
      </c>
      <c r="I3215" t="str">
        <f t="shared" si="467"/>
        <v>갓 오브 블랙필드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/>
      <c r="AQ3215">
        <v>0</v>
      </c>
      <c r="AR3215">
        <v>0</v>
      </c>
      <c r="AT3215">
        <v>0</v>
      </c>
      <c r="AU3215">
        <v>0</v>
      </c>
      <c r="AW3215">
        <v>0</v>
      </c>
      <c r="AX3215">
        <v>0</v>
      </c>
      <c r="AY3215">
        <v>70</v>
      </c>
      <c r="BC3215" t="str">
        <f t="shared" si="468"/>
        <v>9791137602113</v>
      </c>
      <c r="BE3215" t="str">
        <f t="shared" si="466"/>
        <v>판타지 웹소설 &gt; 현대 판타지</v>
      </c>
    </row>
    <row r="3216" spans="1:57" x14ac:dyDescent="0.3">
      <c r="A3216">
        <v>2313011955</v>
      </c>
      <c r="B3216">
        <v>2313012785</v>
      </c>
      <c r="C3216" t="str">
        <f>T("갓 오브 블랙필드 2부 88화")</f>
        <v>갓 오브 블랙필드 2부 88화</v>
      </c>
      <c r="D3216" t="str">
        <f>T("569")</f>
        <v>569</v>
      </c>
      <c r="E3216" t="str">
        <f t="shared" si="465"/>
        <v>무장</v>
      </c>
      <c r="H3216" t="str">
        <f t="shared" si="464"/>
        <v>스토리위즈</v>
      </c>
      <c r="I3216" t="str">
        <f t="shared" si="467"/>
        <v>갓 오브 블랙필드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/>
      <c r="AQ3216">
        <v>0</v>
      </c>
      <c r="AR3216">
        <v>0</v>
      </c>
      <c r="AT3216">
        <v>0</v>
      </c>
      <c r="AU3216">
        <v>0</v>
      </c>
      <c r="AW3216">
        <v>0</v>
      </c>
      <c r="AX3216">
        <v>0</v>
      </c>
      <c r="AY3216">
        <v>70</v>
      </c>
      <c r="BC3216" t="str">
        <f t="shared" si="468"/>
        <v>9791137602113</v>
      </c>
      <c r="BE3216" t="str">
        <f t="shared" si="466"/>
        <v>판타지 웹소설 &gt; 현대 판타지</v>
      </c>
    </row>
    <row r="3217" spans="1:57" x14ac:dyDescent="0.3">
      <c r="A3217">
        <v>2313011955</v>
      </c>
      <c r="B3217">
        <v>2313012786</v>
      </c>
      <c r="C3217" t="str">
        <f>T("갓 오브 블랙필드 2부 89화")</f>
        <v>갓 오브 블랙필드 2부 89화</v>
      </c>
      <c r="D3217" t="str">
        <f>T("570")</f>
        <v>570</v>
      </c>
      <c r="E3217" t="str">
        <f t="shared" si="465"/>
        <v>무장</v>
      </c>
      <c r="H3217" t="str">
        <f t="shared" si="464"/>
        <v>스토리위즈</v>
      </c>
      <c r="I3217" t="str">
        <f t="shared" si="467"/>
        <v>갓 오브 블랙필드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/>
      <c r="AQ3217">
        <v>0</v>
      </c>
      <c r="AR3217">
        <v>0</v>
      </c>
      <c r="AT3217">
        <v>0</v>
      </c>
      <c r="AU3217">
        <v>0</v>
      </c>
      <c r="AW3217">
        <v>0</v>
      </c>
      <c r="AX3217">
        <v>0</v>
      </c>
      <c r="AY3217">
        <v>70</v>
      </c>
      <c r="BC3217" t="str">
        <f t="shared" si="468"/>
        <v>9791137602113</v>
      </c>
      <c r="BE3217" t="str">
        <f t="shared" si="466"/>
        <v>판타지 웹소설 &gt; 현대 판타지</v>
      </c>
    </row>
    <row r="3218" spans="1:57" x14ac:dyDescent="0.3">
      <c r="A3218">
        <v>2313011955</v>
      </c>
      <c r="B3218">
        <v>2313012787</v>
      </c>
      <c r="C3218" t="str">
        <f>T("갓 오브 블랙필드 2부 90화")</f>
        <v>갓 오브 블랙필드 2부 90화</v>
      </c>
      <c r="D3218" t="str">
        <f>T("571")</f>
        <v>571</v>
      </c>
      <c r="E3218" t="str">
        <f t="shared" si="465"/>
        <v>무장</v>
      </c>
      <c r="H3218" t="str">
        <f t="shared" si="464"/>
        <v>스토리위즈</v>
      </c>
      <c r="I3218" t="str">
        <f t="shared" si="467"/>
        <v>갓 오브 블랙필드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/>
      <c r="AQ3218">
        <v>0</v>
      </c>
      <c r="AR3218">
        <v>0</v>
      </c>
      <c r="AT3218">
        <v>0</v>
      </c>
      <c r="AU3218">
        <v>0</v>
      </c>
      <c r="AW3218">
        <v>0</v>
      </c>
      <c r="AX3218">
        <v>0</v>
      </c>
      <c r="AY3218">
        <v>70</v>
      </c>
      <c r="BC3218" t="str">
        <f t="shared" si="468"/>
        <v>9791137602113</v>
      </c>
      <c r="BE3218" t="str">
        <f t="shared" si="466"/>
        <v>판타지 웹소설 &gt; 현대 판타지</v>
      </c>
    </row>
    <row r="3219" spans="1:57" x14ac:dyDescent="0.3">
      <c r="A3219">
        <v>2313011955</v>
      </c>
      <c r="B3219">
        <v>2313012788</v>
      </c>
      <c r="C3219" t="str">
        <f>T("갓 오브 블랙필드 2부 91화")</f>
        <v>갓 오브 블랙필드 2부 91화</v>
      </c>
      <c r="D3219" t="str">
        <f>T("572")</f>
        <v>572</v>
      </c>
      <c r="E3219" t="str">
        <f t="shared" si="465"/>
        <v>무장</v>
      </c>
      <c r="H3219" t="str">
        <f t="shared" si="464"/>
        <v>스토리위즈</v>
      </c>
      <c r="I3219" t="str">
        <f t="shared" si="467"/>
        <v>갓 오브 블랙필드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/>
      <c r="AQ3219">
        <v>0</v>
      </c>
      <c r="AR3219">
        <v>0</v>
      </c>
      <c r="AT3219">
        <v>0</v>
      </c>
      <c r="AU3219">
        <v>0</v>
      </c>
      <c r="AW3219">
        <v>0</v>
      </c>
      <c r="AX3219">
        <v>0</v>
      </c>
      <c r="AY3219">
        <v>70</v>
      </c>
      <c r="BC3219" t="str">
        <f t="shared" si="468"/>
        <v>9791137602113</v>
      </c>
      <c r="BE3219" t="str">
        <f t="shared" si="466"/>
        <v>판타지 웹소설 &gt; 현대 판타지</v>
      </c>
    </row>
    <row r="3220" spans="1:57" x14ac:dyDescent="0.3">
      <c r="A3220">
        <v>2313011955</v>
      </c>
      <c r="B3220">
        <v>2313012789</v>
      </c>
      <c r="C3220" t="str">
        <f>T("갓 오브 블랙필드 2부 92화")</f>
        <v>갓 오브 블랙필드 2부 92화</v>
      </c>
      <c r="D3220" t="str">
        <f>T("573")</f>
        <v>573</v>
      </c>
      <c r="E3220" t="str">
        <f t="shared" si="465"/>
        <v>무장</v>
      </c>
      <c r="H3220" t="str">
        <f t="shared" si="464"/>
        <v>스토리위즈</v>
      </c>
      <c r="I3220" t="str">
        <f t="shared" si="467"/>
        <v>갓 오브 블랙필드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/>
      <c r="AQ3220">
        <v>0</v>
      </c>
      <c r="AR3220">
        <v>0</v>
      </c>
      <c r="AT3220">
        <v>0</v>
      </c>
      <c r="AU3220">
        <v>0</v>
      </c>
      <c r="AW3220">
        <v>0</v>
      </c>
      <c r="AX3220">
        <v>0</v>
      </c>
      <c r="AY3220">
        <v>70</v>
      </c>
      <c r="BC3220" t="str">
        <f t="shared" si="468"/>
        <v>9791137602113</v>
      </c>
      <c r="BE3220" t="str">
        <f t="shared" si="466"/>
        <v>판타지 웹소설 &gt; 현대 판타지</v>
      </c>
    </row>
    <row r="3221" spans="1:57" x14ac:dyDescent="0.3">
      <c r="A3221">
        <v>2313011955</v>
      </c>
      <c r="B3221">
        <v>2313012790</v>
      </c>
      <c r="C3221" t="str">
        <f>T("갓 오브 블랙필드 2부 93화")</f>
        <v>갓 오브 블랙필드 2부 93화</v>
      </c>
      <c r="D3221" t="str">
        <f>T("574")</f>
        <v>574</v>
      </c>
      <c r="E3221" t="str">
        <f t="shared" si="465"/>
        <v>무장</v>
      </c>
      <c r="H3221" t="str">
        <f t="shared" si="464"/>
        <v>스토리위즈</v>
      </c>
      <c r="I3221" t="str">
        <f t="shared" si="467"/>
        <v>갓 오브 블랙필드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/>
      <c r="AQ3221">
        <v>0</v>
      </c>
      <c r="AR3221">
        <v>0</v>
      </c>
      <c r="AT3221">
        <v>0</v>
      </c>
      <c r="AU3221">
        <v>0</v>
      </c>
      <c r="AW3221">
        <v>0</v>
      </c>
      <c r="AX3221">
        <v>0</v>
      </c>
      <c r="AY3221">
        <v>70</v>
      </c>
      <c r="BC3221" t="str">
        <f t="shared" si="468"/>
        <v>9791137602113</v>
      </c>
      <c r="BE3221" t="str">
        <f t="shared" si="466"/>
        <v>판타지 웹소설 &gt; 현대 판타지</v>
      </c>
    </row>
    <row r="3222" spans="1:57" x14ac:dyDescent="0.3">
      <c r="A3222">
        <v>2313011955</v>
      </c>
      <c r="B3222">
        <v>2313012791</v>
      </c>
      <c r="C3222" t="str">
        <f>T("갓 오브 블랙필드 2부 94화")</f>
        <v>갓 오브 블랙필드 2부 94화</v>
      </c>
      <c r="D3222" t="str">
        <f>T("575")</f>
        <v>575</v>
      </c>
      <c r="E3222" t="str">
        <f t="shared" si="465"/>
        <v>무장</v>
      </c>
      <c r="H3222" t="str">
        <f t="shared" si="464"/>
        <v>스토리위즈</v>
      </c>
      <c r="I3222" t="str">
        <f t="shared" si="467"/>
        <v>갓 오브 블랙필드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/>
      <c r="AQ3222">
        <v>0</v>
      </c>
      <c r="AR3222">
        <v>0</v>
      </c>
      <c r="AT3222">
        <v>0</v>
      </c>
      <c r="AU3222">
        <v>0</v>
      </c>
      <c r="AW3222">
        <v>0</v>
      </c>
      <c r="AX3222">
        <v>0</v>
      </c>
      <c r="AY3222">
        <v>70</v>
      </c>
      <c r="BC3222" t="str">
        <f t="shared" si="468"/>
        <v>9791137602113</v>
      </c>
      <c r="BE3222" t="str">
        <f t="shared" si="466"/>
        <v>판타지 웹소설 &gt; 현대 판타지</v>
      </c>
    </row>
    <row r="3223" spans="1:57" x14ac:dyDescent="0.3">
      <c r="A3223">
        <v>2313011955</v>
      </c>
      <c r="B3223">
        <v>2313012792</v>
      </c>
      <c r="C3223" t="str">
        <f>T("갓 오브 블랙필드 2부 95화")</f>
        <v>갓 오브 블랙필드 2부 95화</v>
      </c>
      <c r="D3223" t="str">
        <f>T("576")</f>
        <v>576</v>
      </c>
      <c r="E3223" t="str">
        <f t="shared" si="465"/>
        <v>무장</v>
      </c>
      <c r="H3223" t="str">
        <f t="shared" ref="H3223:H3286" si="469">T("스토리위즈")</f>
        <v>스토리위즈</v>
      </c>
      <c r="I3223" t="str">
        <f t="shared" si="467"/>
        <v>갓 오브 블랙필드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/>
      <c r="AQ3223">
        <v>0</v>
      </c>
      <c r="AR3223">
        <v>0</v>
      </c>
      <c r="AT3223">
        <v>0</v>
      </c>
      <c r="AU3223">
        <v>0</v>
      </c>
      <c r="AW3223">
        <v>0</v>
      </c>
      <c r="AX3223">
        <v>0</v>
      </c>
      <c r="AY3223">
        <v>70</v>
      </c>
      <c r="BC3223" t="str">
        <f t="shared" si="468"/>
        <v>9791137602113</v>
      </c>
      <c r="BE3223" t="str">
        <f t="shared" si="466"/>
        <v>판타지 웹소설 &gt; 현대 판타지</v>
      </c>
    </row>
    <row r="3224" spans="1:57" x14ac:dyDescent="0.3">
      <c r="A3224">
        <v>2313011955</v>
      </c>
      <c r="B3224">
        <v>2313012793</v>
      </c>
      <c r="C3224" t="str">
        <f>T("갓 오브 블랙필드 2부 96화")</f>
        <v>갓 오브 블랙필드 2부 96화</v>
      </c>
      <c r="D3224" t="str">
        <f>T("577")</f>
        <v>577</v>
      </c>
      <c r="E3224" t="str">
        <f t="shared" si="465"/>
        <v>무장</v>
      </c>
      <c r="H3224" t="str">
        <f t="shared" si="469"/>
        <v>스토리위즈</v>
      </c>
      <c r="I3224" t="str">
        <f t="shared" si="467"/>
        <v>갓 오브 블랙필드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/>
      <c r="AQ3224">
        <v>0</v>
      </c>
      <c r="AR3224">
        <v>0</v>
      </c>
      <c r="AT3224">
        <v>0</v>
      </c>
      <c r="AU3224">
        <v>0</v>
      </c>
      <c r="AW3224">
        <v>0</v>
      </c>
      <c r="AX3224">
        <v>0</v>
      </c>
      <c r="AY3224">
        <v>70</v>
      </c>
      <c r="BC3224" t="str">
        <f t="shared" si="468"/>
        <v>9791137602113</v>
      </c>
      <c r="BE3224" t="str">
        <f t="shared" si="466"/>
        <v>판타지 웹소설 &gt; 현대 판타지</v>
      </c>
    </row>
    <row r="3225" spans="1:57" x14ac:dyDescent="0.3">
      <c r="A3225">
        <v>2313011955</v>
      </c>
      <c r="B3225">
        <v>2313012794</v>
      </c>
      <c r="C3225" t="str">
        <f>T("갓 오브 블랙필드 2부 97화")</f>
        <v>갓 오브 블랙필드 2부 97화</v>
      </c>
      <c r="D3225" t="str">
        <f>T("578")</f>
        <v>578</v>
      </c>
      <c r="E3225" t="str">
        <f t="shared" si="465"/>
        <v>무장</v>
      </c>
      <c r="H3225" t="str">
        <f t="shared" si="469"/>
        <v>스토리위즈</v>
      </c>
      <c r="I3225" t="str">
        <f t="shared" si="467"/>
        <v>갓 오브 블랙필드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/>
      <c r="AQ3225">
        <v>0</v>
      </c>
      <c r="AR3225">
        <v>0</v>
      </c>
      <c r="AT3225">
        <v>0</v>
      </c>
      <c r="AU3225">
        <v>0</v>
      </c>
      <c r="AW3225">
        <v>0</v>
      </c>
      <c r="AX3225">
        <v>0</v>
      </c>
      <c r="AY3225">
        <v>70</v>
      </c>
      <c r="BC3225" t="str">
        <f t="shared" si="468"/>
        <v>9791137602113</v>
      </c>
      <c r="BE3225" t="str">
        <f t="shared" si="466"/>
        <v>판타지 웹소설 &gt; 현대 판타지</v>
      </c>
    </row>
    <row r="3226" spans="1:57" x14ac:dyDescent="0.3">
      <c r="A3226">
        <v>2313011955</v>
      </c>
      <c r="B3226">
        <v>2313012795</v>
      </c>
      <c r="C3226" t="str">
        <f>T("갓 오브 블랙필드 2부 98화")</f>
        <v>갓 오브 블랙필드 2부 98화</v>
      </c>
      <c r="D3226" t="str">
        <f>T("579")</f>
        <v>579</v>
      </c>
      <c r="E3226" t="str">
        <f t="shared" si="465"/>
        <v>무장</v>
      </c>
      <c r="H3226" t="str">
        <f t="shared" si="469"/>
        <v>스토리위즈</v>
      </c>
      <c r="I3226" t="str">
        <f t="shared" si="467"/>
        <v>갓 오브 블랙필드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/>
      <c r="AQ3226">
        <v>0</v>
      </c>
      <c r="AR3226">
        <v>0</v>
      </c>
      <c r="AT3226">
        <v>0</v>
      </c>
      <c r="AU3226">
        <v>0</v>
      </c>
      <c r="AW3226">
        <v>0</v>
      </c>
      <c r="AX3226">
        <v>0</v>
      </c>
      <c r="AY3226">
        <v>70</v>
      </c>
      <c r="BC3226" t="str">
        <f t="shared" si="468"/>
        <v>9791137602113</v>
      </c>
      <c r="BE3226" t="str">
        <f t="shared" si="466"/>
        <v>판타지 웹소설 &gt; 현대 판타지</v>
      </c>
    </row>
    <row r="3227" spans="1:57" x14ac:dyDescent="0.3">
      <c r="A3227">
        <v>2313011955</v>
      </c>
      <c r="B3227">
        <v>2313012796</v>
      </c>
      <c r="C3227" t="str">
        <f>T("갓 오브 블랙필드 2부 99화")</f>
        <v>갓 오브 블랙필드 2부 99화</v>
      </c>
      <c r="D3227" t="str">
        <f>T("580")</f>
        <v>580</v>
      </c>
      <c r="E3227" t="str">
        <f t="shared" si="465"/>
        <v>무장</v>
      </c>
      <c r="H3227" t="str">
        <f t="shared" si="469"/>
        <v>스토리위즈</v>
      </c>
      <c r="I3227" t="str">
        <f t="shared" si="467"/>
        <v>갓 오브 블랙필드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/>
      <c r="AQ3227">
        <v>0</v>
      </c>
      <c r="AR3227">
        <v>0</v>
      </c>
      <c r="AT3227">
        <v>0</v>
      </c>
      <c r="AU3227">
        <v>0</v>
      </c>
      <c r="AW3227">
        <v>0</v>
      </c>
      <c r="AX3227">
        <v>0</v>
      </c>
      <c r="AY3227">
        <v>70</v>
      </c>
      <c r="BC3227" t="str">
        <f t="shared" si="468"/>
        <v>9791137602113</v>
      </c>
      <c r="BE3227" t="str">
        <f t="shared" si="466"/>
        <v>판타지 웹소설 &gt; 현대 판타지</v>
      </c>
    </row>
    <row r="3228" spans="1:57" x14ac:dyDescent="0.3">
      <c r="A3228">
        <v>2313011955</v>
      </c>
      <c r="B3228">
        <v>2313012797</v>
      </c>
      <c r="C3228" t="str">
        <f>T("갓 오브 블랙필드 2부 100화 (완결)")</f>
        <v>갓 오브 블랙필드 2부 100화 (완결)</v>
      </c>
      <c r="D3228" t="str">
        <f>T("581")</f>
        <v>581</v>
      </c>
      <c r="E3228" t="str">
        <f t="shared" si="465"/>
        <v>무장</v>
      </c>
      <c r="H3228" t="str">
        <f t="shared" si="469"/>
        <v>스토리위즈</v>
      </c>
      <c r="I3228" t="str">
        <f t="shared" si="467"/>
        <v>갓 오브 블랙필드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/>
      <c r="AQ3228">
        <v>0</v>
      </c>
      <c r="AR3228">
        <v>0</v>
      </c>
      <c r="AT3228">
        <v>0</v>
      </c>
      <c r="AU3228">
        <v>0</v>
      </c>
      <c r="AW3228">
        <v>0</v>
      </c>
      <c r="AX3228">
        <v>0</v>
      </c>
      <c r="AY3228">
        <v>70</v>
      </c>
      <c r="BC3228" t="str">
        <f t="shared" si="468"/>
        <v>9791137602113</v>
      </c>
      <c r="BE3228" t="str">
        <f t="shared" si="466"/>
        <v>판타지 웹소설 &gt; 현대 판타지</v>
      </c>
    </row>
    <row r="3229" spans="1:57" x14ac:dyDescent="0.3">
      <c r="A3229">
        <v>2313012849</v>
      </c>
      <c r="B3229">
        <v>2313012924</v>
      </c>
      <c r="C3229" t="str">
        <f>T("디버프 마스터 76화")</f>
        <v>디버프 마스터 76화</v>
      </c>
      <c r="D3229" t="str">
        <f>T("76")</f>
        <v>76</v>
      </c>
      <c r="E3229" t="str">
        <f t="shared" ref="E3229:E3292" si="470">T("담화공")</f>
        <v>담화공</v>
      </c>
      <c r="H3229" t="str">
        <f t="shared" si="469"/>
        <v>스토리위즈</v>
      </c>
      <c r="I3229" t="str">
        <f t="shared" ref="I3229:I3292" si="471">T("디버프 마스터")</f>
        <v>디버프 마스터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0</v>
      </c>
      <c r="AL3229">
        <v>0</v>
      </c>
      <c r="AM3229">
        <v>120</v>
      </c>
      <c r="AN3229">
        <v>-12</v>
      </c>
      <c r="AO3229">
        <v>0</v>
      </c>
      <c r="AP3229"/>
      <c r="AQ3229">
        <v>0</v>
      </c>
      <c r="AR3229">
        <v>0</v>
      </c>
      <c r="AS3229">
        <v>120</v>
      </c>
      <c r="AT3229">
        <v>-12</v>
      </c>
      <c r="AU3229">
        <v>0</v>
      </c>
      <c r="AW3229">
        <v>0</v>
      </c>
      <c r="AX3229">
        <v>0</v>
      </c>
      <c r="AY3229">
        <v>75.599999999999994</v>
      </c>
      <c r="BC3229" t="str">
        <f t="shared" ref="BC3229:BC3292" si="472">T("9791137602663")</f>
        <v>9791137602663</v>
      </c>
      <c r="BE3229" t="str">
        <f t="shared" ref="BE3229:BE3292" si="473">T("판타지 웹소설 &gt; 퓨전 판타지")</f>
        <v>판타지 웹소설 &gt; 퓨전 판타지</v>
      </c>
    </row>
    <row r="3230" spans="1:57" x14ac:dyDescent="0.3">
      <c r="A3230">
        <v>2313012849</v>
      </c>
      <c r="B3230">
        <v>2313012925</v>
      </c>
      <c r="C3230" t="str">
        <f>T("디버프 마스터 77화")</f>
        <v>디버프 마스터 77화</v>
      </c>
      <c r="D3230" t="str">
        <f>T("77")</f>
        <v>77</v>
      </c>
      <c r="E3230" t="str">
        <f t="shared" si="470"/>
        <v>담화공</v>
      </c>
      <c r="H3230" t="str">
        <f t="shared" si="469"/>
        <v>스토리위즈</v>
      </c>
      <c r="I3230" t="str">
        <f t="shared" si="471"/>
        <v>디버프 마스터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0</v>
      </c>
      <c r="AL3230">
        <v>0</v>
      </c>
      <c r="AM3230">
        <v>120</v>
      </c>
      <c r="AN3230">
        <v>-12</v>
      </c>
      <c r="AO3230">
        <v>0</v>
      </c>
      <c r="AP3230"/>
      <c r="AQ3230">
        <v>0</v>
      </c>
      <c r="AR3230">
        <v>0</v>
      </c>
      <c r="AS3230">
        <v>120</v>
      </c>
      <c r="AT3230">
        <v>-12</v>
      </c>
      <c r="AU3230">
        <v>0</v>
      </c>
      <c r="AW3230">
        <v>0</v>
      </c>
      <c r="AX3230">
        <v>0</v>
      </c>
      <c r="AY3230">
        <v>75.599999999999994</v>
      </c>
      <c r="BC3230" t="str">
        <f t="shared" si="472"/>
        <v>9791137602663</v>
      </c>
      <c r="BE3230" t="str">
        <f t="shared" si="473"/>
        <v>판타지 웹소설 &gt; 퓨전 판타지</v>
      </c>
    </row>
    <row r="3231" spans="1:57" x14ac:dyDescent="0.3">
      <c r="A3231">
        <v>2313012849</v>
      </c>
      <c r="B3231">
        <v>2313012926</v>
      </c>
      <c r="C3231" t="str">
        <f>T("디버프 마스터 78화")</f>
        <v>디버프 마스터 78화</v>
      </c>
      <c r="D3231" t="str">
        <f>T("78")</f>
        <v>78</v>
      </c>
      <c r="E3231" t="str">
        <f t="shared" si="470"/>
        <v>담화공</v>
      </c>
      <c r="H3231" t="str">
        <f t="shared" si="469"/>
        <v>스토리위즈</v>
      </c>
      <c r="I3231" t="str">
        <f t="shared" si="471"/>
        <v>디버프 마스터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120</v>
      </c>
      <c r="AN3231">
        <v>-12</v>
      </c>
      <c r="AO3231">
        <v>0</v>
      </c>
      <c r="AP3231"/>
      <c r="AQ3231">
        <v>0</v>
      </c>
      <c r="AR3231">
        <v>0</v>
      </c>
      <c r="AS3231">
        <v>120</v>
      </c>
      <c r="AT3231">
        <v>-12</v>
      </c>
      <c r="AU3231">
        <v>0</v>
      </c>
      <c r="AW3231">
        <v>0</v>
      </c>
      <c r="AX3231">
        <v>0</v>
      </c>
      <c r="AY3231">
        <v>75.599999999999994</v>
      </c>
      <c r="BC3231" t="str">
        <f t="shared" si="472"/>
        <v>9791137602663</v>
      </c>
      <c r="BE3231" t="str">
        <f t="shared" si="473"/>
        <v>판타지 웹소설 &gt; 퓨전 판타지</v>
      </c>
    </row>
    <row r="3232" spans="1:57" x14ac:dyDescent="0.3">
      <c r="A3232">
        <v>2313012849</v>
      </c>
      <c r="B3232">
        <v>2313012927</v>
      </c>
      <c r="C3232" t="str">
        <f>T("디버프 마스터 79화")</f>
        <v>디버프 마스터 79화</v>
      </c>
      <c r="D3232" t="str">
        <f>T("79")</f>
        <v>79</v>
      </c>
      <c r="E3232" t="str">
        <f t="shared" si="470"/>
        <v>담화공</v>
      </c>
      <c r="H3232" t="str">
        <f t="shared" si="469"/>
        <v>스토리위즈</v>
      </c>
      <c r="I3232" t="str">
        <f t="shared" si="471"/>
        <v>디버프 마스터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120</v>
      </c>
      <c r="AN3232">
        <v>-12</v>
      </c>
      <c r="AO3232">
        <v>0</v>
      </c>
      <c r="AP3232"/>
      <c r="AQ3232">
        <v>0</v>
      </c>
      <c r="AR3232">
        <v>0</v>
      </c>
      <c r="AS3232">
        <v>120</v>
      </c>
      <c r="AT3232">
        <v>-12</v>
      </c>
      <c r="AU3232">
        <v>0</v>
      </c>
      <c r="AW3232">
        <v>0</v>
      </c>
      <c r="AX3232">
        <v>0</v>
      </c>
      <c r="AY3232">
        <v>75.599999999999994</v>
      </c>
      <c r="BC3232" t="str">
        <f t="shared" si="472"/>
        <v>9791137602663</v>
      </c>
      <c r="BE3232" t="str">
        <f t="shared" si="473"/>
        <v>판타지 웹소설 &gt; 퓨전 판타지</v>
      </c>
    </row>
    <row r="3233" spans="1:57" x14ac:dyDescent="0.3">
      <c r="A3233">
        <v>2313012849</v>
      </c>
      <c r="B3233">
        <v>2313012928</v>
      </c>
      <c r="C3233" t="str">
        <f>T("디버프 마스터 80화")</f>
        <v>디버프 마스터 80화</v>
      </c>
      <c r="D3233" t="str">
        <f>T("80")</f>
        <v>80</v>
      </c>
      <c r="E3233" t="str">
        <f t="shared" si="470"/>
        <v>담화공</v>
      </c>
      <c r="H3233" t="str">
        <f t="shared" si="469"/>
        <v>스토리위즈</v>
      </c>
      <c r="I3233" t="str">
        <f t="shared" si="471"/>
        <v>디버프 마스터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0</v>
      </c>
      <c r="AL3233">
        <v>0</v>
      </c>
      <c r="AM3233">
        <v>120</v>
      </c>
      <c r="AN3233">
        <v>-12</v>
      </c>
      <c r="AO3233">
        <v>0</v>
      </c>
      <c r="AP3233"/>
      <c r="AQ3233">
        <v>0</v>
      </c>
      <c r="AR3233">
        <v>0</v>
      </c>
      <c r="AS3233">
        <v>120</v>
      </c>
      <c r="AT3233">
        <v>-12</v>
      </c>
      <c r="AU3233">
        <v>0</v>
      </c>
      <c r="AW3233">
        <v>0</v>
      </c>
      <c r="AX3233">
        <v>0</v>
      </c>
      <c r="AY3233">
        <v>75.599999999999994</v>
      </c>
      <c r="BC3233" t="str">
        <f t="shared" si="472"/>
        <v>9791137602663</v>
      </c>
      <c r="BE3233" t="str">
        <f t="shared" si="473"/>
        <v>판타지 웹소설 &gt; 퓨전 판타지</v>
      </c>
    </row>
    <row r="3234" spans="1:57" x14ac:dyDescent="0.3">
      <c r="A3234">
        <v>2313012849</v>
      </c>
      <c r="B3234">
        <v>2313012929</v>
      </c>
      <c r="C3234" t="str">
        <f>T("디버프 마스터 81화")</f>
        <v>디버프 마스터 81화</v>
      </c>
      <c r="D3234" t="str">
        <f>T("81")</f>
        <v>81</v>
      </c>
      <c r="E3234" t="str">
        <f t="shared" si="470"/>
        <v>담화공</v>
      </c>
      <c r="H3234" t="str">
        <f t="shared" si="469"/>
        <v>스토리위즈</v>
      </c>
      <c r="I3234" t="str">
        <f t="shared" si="471"/>
        <v>디버프 마스터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0</v>
      </c>
      <c r="AL3234">
        <v>0</v>
      </c>
      <c r="AM3234">
        <v>120</v>
      </c>
      <c r="AN3234">
        <v>-12</v>
      </c>
      <c r="AO3234">
        <v>0</v>
      </c>
      <c r="AP3234"/>
      <c r="AQ3234">
        <v>0</v>
      </c>
      <c r="AR3234">
        <v>0</v>
      </c>
      <c r="AS3234">
        <v>120</v>
      </c>
      <c r="AT3234">
        <v>-12</v>
      </c>
      <c r="AU3234">
        <v>0</v>
      </c>
      <c r="AW3234">
        <v>0</v>
      </c>
      <c r="AX3234">
        <v>0</v>
      </c>
      <c r="AY3234">
        <v>75.599999999999994</v>
      </c>
      <c r="BC3234" t="str">
        <f t="shared" si="472"/>
        <v>9791137602663</v>
      </c>
      <c r="BE3234" t="str">
        <f t="shared" si="473"/>
        <v>판타지 웹소설 &gt; 퓨전 판타지</v>
      </c>
    </row>
    <row r="3235" spans="1:57" x14ac:dyDescent="0.3">
      <c r="A3235">
        <v>2313012849</v>
      </c>
      <c r="B3235">
        <v>2313012930</v>
      </c>
      <c r="C3235" t="str">
        <f>T("디버프 마스터 82화")</f>
        <v>디버프 마스터 82화</v>
      </c>
      <c r="D3235" t="str">
        <f>T("82")</f>
        <v>82</v>
      </c>
      <c r="E3235" t="str">
        <f t="shared" si="470"/>
        <v>담화공</v>
      </c>
      <c r="H3235" t="str">
        <f t="shared" si="469"/>
        <v>스토리위즈</v>
      </c>
      <c r="I3235" t="str">
        <f t="shared" si="471"/>
        <v>디버프 마스터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0</v>
      </c>
      <c r="AL3235">
        <v>0</v>
      </c>
      <c r="AM3235">
        <v>120</v>
      </c>
      <c r="AN3235">
        <v>-12</v>
      </c>
      <c r="AO3235">
        <v>0</v>
      </c>
      <c r="AP3235"/>
      <c r="AQ3235">
        <v>0</v>
      </c>
      <c r="AR3235">
        <v>0</v>
      </c>
      <c r="AS3235">
        <v>120</v>
      </c>
      <c r="AT3235">
        <v>-12</v>
      </c>
      <c r="AU3235">
        <v>0</v>
      </c>
      <c r="AW3235">
        <v>0</v>
      </c>
      <c r="AX3235">
        <v>0</v>
      </c>
      <c r="AY3235">
        <v>75.599999999999994</v>
      </c>
      <c r="BC3235" t="str">
        <f t="shared" si="472"/>
        <v>9791137602663</v>
      </c>
      <c r="BE3235" t="str">
        <f t="shared" si="473"/>
        <v>판타지 웹소설 &gt; 퓨전 판타지</v>
      </c>
    </row>
    <row r="3236" spans="1:57" x14ac:dyDescent="0.3">
      <c r="A3236">
        <v>2313012849</v>
      </c>
      <c r="B3236">
        <v>2313012931</v>
      </c>
      <c r="C3236" t="str">
        <f>T("디버프 마스터 83화")</f>
        <v>디버프 마스터 83화</v>
      </c>
      <c r="D3236" t="str">
        <f>T("83")</f>
        <v>83</v>
      </c>
      <c r="E3236" t="str">
        <f t="shared" si="470"/>
        <v>담화공</v>
      </c>
      <c r="H3236" t="str">
        <f t="shared" si="469"/>
        <v>스토리위즈</v>
      </c>
      <c r="I3236" t="str">
        <f t="shared" si="471"/>
        <v>디버프 마스터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0</v>
      </c>
      <c r="AL3236">
        <v>0</v>
      </c>
      <c r="AM3236">
        <v>120</v>
      </c>
      <c r="AN3236">
        <v>-12</v>
      </c>
      <c r="AO3236">
        <v>0</v>
      </c>
      <c r="AP3236"/>
      <c r="AQ3236">
        <v>0</v>
      </c>
      <c r="AR3236">
        <v>0</v>
      </c>
      <c r="AS3236">
        <v>120</v>
      </c>
      <c r="AT3236">
        <v>-12</v>
      </c>
      <c r="AU3236">
        <v>0</v>
      </c>
      <c r="AW3236">
        <v>0</v>
      </c>
      <c r="AX3236">
        <v>0</v>
      </c>
      <c r="AY3236">
        <v>75.599999999999994</v>
      </c>
      <c r="BC3236" t="str">
        <f t="shared" si="472"/>
        <v>9791137602663</v>
      </c>
      <c r="BE3236" t="str">
        <f t="shared" si="473"/>
        <v>판타지 웹소설 &gt; 퓨전 판타지</v>
      </c>
    </row>
    <row r="3237" spans="1:57" x14ac:dyDescent="0.3">
      <c r="A3237">
        <v>2313012849</v>
      </c>
      <c r="B3237">
        <v>2313012932</v>
      </c>
      <c r="C3237" t="str">
        <f>T("디버프 마스터 84화")</f>
        <v>디버프 마스터 84화</v>
      </c>
      <c r="D3237" t="str">
        <f>T("84")</f>
        <v>84</v>
      </c>
      <c r="E3237" t="str">
        <f t="shared" si="470"/>
        <v>담화공</v>
      </c>
      <c r="H3237" t="str">
        <f t="shared" si="469"/>
        <v>스토리위즈</v>
      </c>
      <c r="I3237" t="str">
        <f t="shared" si="471"/>
        <v>디버프 마스터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0</v>
      </c>
      <c r="AL3237">
        <v>0</v>
      </c>
      <c r="AM3237">
        <v>120</v>
      </c>
      <c r="AN3237">
        <v>-12</v>
      </c>
      <c r="AO3237">
        <v>0</v>
      </c>
      <c r="AP3237"/>
      <c r="AQ3237">
        <v>0</v>
      </c>
      <c r="AR3237">
        <v>0</v>
      </c>
      <c r="AS3237">
        <v>120</v>
      </c>
      <c r="AT3237">
        <v>-12</v>
      </c>
      <c r="AU3237">
        <v>0</v>
      </c>
      <c r="AW3237">
        <v>0</v>
      </c>
      <c r="AX3237">
        <v>0</v>
      </c>
      <c r="AY3237">
        <v>75.599999999999994</v>
      </c>
      <c r="BC3237" t="str">
        <f t="shared" si="472"/>
        <v>9791137602663</v>
      </c>
      <c r="BE3237" t="str">
        <f t="shared" si="473"/>
        <v>판타지 웹소설 &gt; 퓨전 판타지</v>
      </c>
    </row>
    <row r="3238" spans="1:57" x14ac:dyDescent="0.3">
      <c r="A3238">
        <v>2313012849</v>
      </c>
      <c r="B3238">
        <v>2313012933</v>
      </c>
      <c r="C3238" t="str">
        <f>T("디버프 마스터 85화")</f>
        <v>디버프 마스터 85화</v>
      </c>
      <c r="D3238" t="str">
        <f>T("85")</f>
        <v>85</v>
      </c>
      <c r="E3238" t="str">
        <f t="shared" si="470"/>
        <v>담화공</v>
      </c>
      <c r="H3238" t="str">
        <f t="shared" si="469"/>
        <v>스토리위즈</v>
      </c>
      <c r="I3238" t="str">
        <f t="shared" si="471"/>
        <v>디버프 마스터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120</v>
      </c>
      <c r="AN3238">
        <v>-12</v>
      </c>
      <c r="AO3238">
        <v>0</v>
      </c>
      <c r="AP3238"/>
      <c r="AQ3238">
        <v>0</v>
      </c>
      <c r="AR3238">
        <v>0</v>
      </c>
      <c r="AS3238">
        <v>120</v>
      </c>
      <c r="AT3238">
        <v>-12</v>
      </c>
      <c r="AU3238">
        <v>0</v>
      </c>
      <c r="AW3238">
        <v>0</v>
      </c>
      <c r="AX3238">
        <v>0</v>
      </c>
      <c r="AY3238">
        <v>75.599999999999994</v>
      </c>
      <c r="BC3238" t="str">
        <f t="shared" si="472"/>
        <v>9791137602663</v>
      </c>
      <c r="BE3238" t="str">
        <f t="shared" si="473"/>
        <v>판타지 웹소설 &gt; 퓨전 판타지</v>
      </c>
    </row>
    <row r="3239" spans="1:57" x14ac:dyDescent="0.3">
      <c r="A3239">
        <v>2313012849</v>
      </c>
      <c r="B3239">
        <v>2313012934</v>
      </c>
      <c r="C3239" t="str">
        <f>T("디버프 마스터 86화")</f>
        <v>디버프 마스터 86화</v>
      </c>
      <c r="D3239" t="str">
        <f>T("86")</f>
        <v>86</v>
      </c>
      <c r="E3239" t="str">
        <f t="shared" si="470"/>
        <v>담화공</v>
      </c>
      <c r="H3239" t="str">
        <f t="shared" si="469"/>
        <v>스토리위즈</v>
      </c>
      <c r="I3239" t="str">
        <f t="shared" si="471"/>
        <v>디버프 마스터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120</v>
      </c>
      <c r="AN3239">
        <v>-12</v>
      </c>
      <c r="AO3239">
        <v>0</v>
      </c>
      <c r="AP3239"/>
      <c r="AQ3239">
        <v>0</v>
      </c>
      <c r="AR3239">
        <v>0</v>
      </c>
      <c r="AS3239">
        <v>120</v>
      </c>
      <c r="AT3239">
        <v>-12</v>
      </c>
      <c r="AU3239">
        <v>0</v>
      </c>
      <c r="AW3239">
        <v>0</v>
      </c>
      <c r="AX3239">
        <v>0</v>
      </c>
      <c r="AY3239">
        <v>75.599999999999994</v>
      </c>
      <c r="BC3239" t="str">
        <f t="shared" si="472"/>
        <v>9791137602663</v>
      </c>
      <c r="BE3239" t="str">
        <f t="shared" si="473"/>
        <v>판타지 웹소설 &gt; 퓨전 판타지</v>
      </c>
    </row>
    <row r="3240" spans="1:57" x14ac:dyDescent="0.3">
      <c r="A3240">
        <v>2313012849</v>
      </c>
      <c r="B3240">
        <v>2313012935</v>
      </c>
      <c r="C3240" t="str">
        <f>T("디버프 마스터 87화")</f>
        <v>디버프 마스터 87화</v>
      </c>
      <c r="D3240" t="str">
        <f>T("87")</f>
        <v>87</v>
      </c>
      <c r="E3240" t="str">
        <f t="shared" si="470"/>
        <v>담화공</v>
      </c>
      <c r="H3240" t="str">
        <f t="shared" si="469"/>
        <v>스토리위즈</v>
      </c>
      <c r="I3240" t="str">
        <f t="shared" si="471"/>
        <v>디버프 마스터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120</v>
      </c>
      <c r="AN3240">
        <v>-12</v>
      </c>
      <c r="AO3240">
        <v>0</v>
      </c>
      <c r="AP3240"/>
      <c r="AQ3240">
        <v>0</v>
      </c>
      <c r="AR3240">
        <v>0</v>
      </c>
      <c r="AS3240">
        <v>120</v>
      </c>
      <c r="AT3240">
        <v>-12</v>
      </c>
      <c r="AU3240">
        <v>0</v>
      </c>
      <c r="AW3240">
        <v>0</v>
      </c>
      <c r="AX3240">
        <v>0</v>
      </c>
      <c r="AY3240">
        <v>75.599999999999994</v>
      </c>
      <c r="BC3240" t="str">
        <f t="shared" si="472"/>
        <v>9791137602663</v>
      </c>
      <c r="BE3240" t="str">
        <f t="shared" si="473"/>
        <v>판타지 웹소설 &gt; 퓨전 판타지</v>
      </c>
    </row>
    <row r="3241" spans="1:57" x14ac:dyDescent="0.3">
      <c r="A3241">
        <v>2313012849</v>
      </c>
      <c r="B3241">
        <v>2313012936</v>
      </c>
      <c r="C3241" t="str">
        <f>T("디버프 마스터 88화")</f>
        <v>디버프 마스터 88화</v>
      </c>
      <c r="D3241" t="str">
        <f>T("88")</f>
        <v>88</v>
      </c>
      <c r="E3241" t="str">
        <f t="shared" si="470"/>
        <v>담화공</v>
      </c>
      <c r="H3241" t="str">
        <f t="shared" si="469"/>
        <v>스토리위즈</v>
      </c>
      <c r="I3241" t="str">
        <f t="shared" si="471"/>
        <v>디버프 마스터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120</v>
      </c>
      <c r="AN3241">
        <v>-12</v>
      </c>
      <c r="AO3241">
        <v>0</v>
      </c>
      <c r="AP3241"/>
      <c r="AQ3241">
        <v>0</v>
      </c>
      <c r="AR3241">
        <v>0</v>
      </c>
      <c r="AS3241">
        <v>120</v>
      </c>
      <c r="AT3241">
        <v>-12</v>
      </c>
      <c r="AU3241">
        <v>0</v>
      </c>
      <c r="AW3241">
        <v>0</v>
      </c>
      <c r="AX3241">
        <v>0</v>
      </c>
      <c r="AY3241">
        <v>75.599999999999994</v>
      </c>
      <c r="BC3241" t="str">
        <f t="shared" si="472"/>
        <v>9791137602663</v>
      </c>
      <c r="BE3241" t="str">
        <f t="shared" si="473"/>
        <v>판타지 웹소설 &gt; 퓨전 판타지</v>
      </c>
    </row>
    <row r="3242" spans="1:57" x14ac:dyDescent="0.3">
      <c r="A3242">
        <v>2313012849</v>
      </c>
      <c r="B3242">
        <v>2313012937</v>
      </c>
      <c r="C3242" t="str">
        <f>T("디버프 마스터 89화")</f>
        <v>디버프 마스터 89화</v>
      </c>
      <c r="D3242" t="str">
        <f>T("89")</f>
        <v>89</v>
      </c>
      <c r="E3242" t="str">
        <f t="shared" si="470"/>
        <v>담화공</v>
      </c>
      <c r="H3242" t="str">
        <f t="shared" si="469"/>
        <v>스토리위즈</v>
      </c>
      <c r="I3242" t="str">
        <f t="shared" si="471"/>
        <v>디버프 마스터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120</v>
      </c>
      <c r="AN3242">
        <v>-12</v>
      </c>
      <c r="AO3242">
        <v>0</v>
      </c>
      <c r="AP3242"/>
      <c r="AQ3242">
        <v>0</v>
      </c>
      <c r="AR3242">
        <v>0</v>
      </c>
      <c r="AS3242">
        <v>120</v>
      </c>
      <c r="AT3242">
        <v>-12</v>
      </c>
      <c r="AU3242">
        <v>0</v>
      </c>
      <c r="AW3242">
        <v>0</v>
      </c>
      <c r="AX3242">
        <v>0</v>
      </c>
      <c r="AY3242">
        <v>75.599999999999994</v>
      </c>
      <c r="BC3242" t="str">
        <f t="shared" si="472"/>
        <v>9791137602663</v>
      </c>
      <c r="BE3242" t="str">
        <f t="shared" si="473"/>
        <v>판타지 웹소설 &gt; 퓨전 판타지</v>
      </c>
    </row>
    <row r="3243" spans="1:57" x14ac:dyDescent="0.3">
      <c r="A3243">
        <v>2313012849</v>
      </c>
      <c r="B3243">
        <v>2313012938</v>
      </c>
      <c r="C3243" t="str">
        <f>T("디버프 마스터 90화")</f>
        <v>디버프 마스터 90화</v>
      </c>
      <c r="D3243" t="str">
        <f>T("90")</f>
        <v>90</v>
      </c>
      <c r="E3243" t="str">
        <f t="shared" si="470"/>
        <v>담화공</v>
      </c>
      <c r="H3243" t="str">
        <f t="shared" si="469"/>
        <v>스토리위즈</v>
      </c>
      <c r="I3243" t="str">
        <f t="shared" si="471"/>
        <v>디버프 마스터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120</v>
      </c>
      <c r="AN3243">
        <v>-12</v>
      </c>
      <c r="AO3243">
        <v>0</v>
      </c>
      <c r="AP3243"/>
      <c r="AQ3243">
        <v>0</v>
      </c>
      <c r="AR3243">
        <v>0</v>
      </c>
      <c r="AS3243">
        <v>120</v>
      </c>
      <c r="AT3243">
        <v>-12</v>
      </c>
      <c r="AU3243">
        <v>0</v>
      </c>
      <c r="AW3243">
        <v>0</v>
      </c>
      <c r="AX3243">
        <v>0</v>
      </c>
      <c r="AY3243">
        <v>75.599999999999994</v>
      </c>
      <c r="BC3243" t="str">
        <f t="shared" si="472"/>
        <v>9791137602663</v>
      </c>
      <c r="BE3243" t="str">
        <f t="shared" si="473"/>
        <v>판타지 웹소설 &gt; 퓨전 판타지</v>
      </c>
    </row>
    <row r="3244" spans="1:57" x14ac:dyDescent="0.3">
      <c r="A3244">
        <v>2313012849</v>
      </c>
      <c r="B3244">
        <v>2313012939</v>
      </c>
      <c r="C3244" t="str">
        <f>T("디버프 마스터 91화")</f>
        <v>디버프 마스터 91화</v>
      </c>
      <c r="D3244" t="str">
        <f>T("91")</f>
        <v>91</v>
      </c>
      <c r="E3244" t="str">
        <f t="shared" si="470"/>
        <v>담화공</v>
      </c>
      <c r="H3244" t="str">
        <f t="shared" si="469"/>
        <v>스토리위즈</v>
      </c>
      <c r="I3244" t="str">
        <f t="shared" si="471"/>
        <v>디버프 마스터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120</v>
      </c>
      <c r="AN3244">
        <v>-12</v>
      </c>
      <c r="AO3244">
        <v>0</v>
      </c>
      <c r="AP3244"/>
      <c r="AQ3244">
        <v>0</v>
      </c>
      <c r="AR3244">
        <v>0</v>
      </c>
      <c r="AS3244">
        <v>120</v>
      </c>
      <c r="AT3244">
        <v>-12</v>
      </c>
      <c r="AU3244">
        <v>0</v>
      </c>
      <c r="AW3244">
        <v>0</v>
      </c>
      <c r="AX3244">
        <v>0</v>
      </c>
      <c r="AY3244">
        <v>75.599999999999994</v>
      </c>
      <c r="BC3244" t="str">
        <f t="shared" si="472"/>
        <v>9791137602663</v>
      </c>
      <c r="BE3244" t="str">
        <f t="shared" si="473"/>
        <v>판타지 웹소설 &gt; 퓨전 판타지</v>
      </c>
    </row>
    <row r="3245" spans="1:57" x14ac:dyDescent="0.3">
      <c r="A3245">
        <v>2313012849</v>
      </c>
      <c r="B3245">
        <v>2313012940</v>
      </c>
      <c r="C3245" t="str">
        <f>T("디버프 마스터 92화")</f>
        <v>디버프 마스터 92화</v>
      </c>
      <c r="D3245" t="str">
        <f>T("92")</f>
        <v>92</v>
      </c>
      <c r="E3245" t="str">
        <f t="shared" si="470"/>
        <v>담화공</v>
      </c>
      <c r="H3245" t="str">
        <f t="shared" si="469"/>
        <v>스토리위즈</v>
      </c>
      <c r="I3245" t="str">
        <f t="shared" si="471"/>
        <v>디버프 마스터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120</v>
      </c>
      <c r="AN3245">
        <v>-12</v>
      </c>
      <c r="AO3245">
        <v>0</v>
      </c>
      <c r="AP3245"/>
      <c r="AQ3245">
        <v>0</v>
      </c>
      <c r="AR3245">
        <v>0</v>
      </c>
      <c r="AS3245">
        <v>120</v>
      </c>
      <c r="AT3245">
        <v>-12</v>
      </c>
      <c r="AU3245">
        <v>0</v>
      </c>
      <c r="AW3245">
        <v>0</v>
      </c>
      <c r="AX3245">
        <v>0</v>
      </c>
      <c r="AY3245">
        <v>75.599999999999994</v>
      </c>
      <c r="BC3245" t="str">
        <f t="shared" si="472"/>
        <v>9791137602663</v>
      </c>
      <c r="BE3245" t="str">
        <f t="shared" si="473"/>
        <v>판타지 웹소설 &gt; 퓨전 판타지</v>
      </c>
    </row>
    <row r="3246" spans="1:57" x14ac:dyDescent="0.3">
      <c r="A3246">
        <v>2313012849</v>
      </c>
      <c r="B3246">
        <v>2313012941</v>
      </c>
      <c r="C3246" t="str">
        <f>T("디버프 마스터 93화")</f>
        <v>디버프 마스터 93화</v>
      </c>
      <c r="D3246" t="str">
        <f>T("93")</f>
        <v>93</v>
      </c>
      <c r="E3246" t="str">
        <f t="shared" si="470"/>
        <v>담화공</v>
      </c>
      <c r="H3246" t="str">
        <f t="shared" si="469"/>
        <v>스토리위즈</v>
      </c>
      <c r="I3246" t="str">
        <f t="shared" si="471"/>
        <v>디버프 마스터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120</v>
      </c>
      <c r="AN3246">
        <v>-12</v>
      </c>
      <c r="AO3246">
        <v>0</v>
      </c>
      <c r="AP3246"/>
      <c r="AQ3246">
        <v>0</v>
      </c>
      <c r="AR3246">
        <v>0</v>
      </c>
      <c r="AS3246">
        <v>120</v>
      </c>
      <c r="AT3246">
        <v>-12</v>
      </c>
      <c r="AU3246">
        <v>0</v>
      </c>
      <c r="AW3246">
        <v>0</v>
      </c>
      <c r="AX3246">
        <v>0</v>
      </c>
      <c r="AY3246">
        <v>75.599999999999994</v>
      </c>
      <c r="BC3246" t="str">
        <f t="shared" si="472"/>
        <v>9791137602663</v>
      </c>
      <c r="BE3246" t="str">
        <f t="shared" si="473"/>
        <v>판타지 웹소설 &gt; 퓨전 판타지</v>
      </c>
    </row>
    <row r="3247" spans="1:57" x14ac:dyDescent="0.3">
      <c r="A3247">
        <v>2313012849</v>
      </c>
      <c r="B3247">
        <v>2313012942</v>
      </c>
      <c r="C3247" t="str">
        <f>T("디버프 마스터 94화")</f>
        <v>디버프 마스터 94화</v>
      </c>
      <c r="D3247" t="str">
        <f>T("94")</f>
        <v>94</v>
      </c>
      <c r="E3247" t="str">
        <f t="shared" si="470"/>
        <v>담화공</v>
      </c>
      <c r="H3247" t="str">
        <f t="shared" si="469"/>
        <v>스토리위즈</v>
      </c>
      <c r="I3247" t="str">
        <f t="shared" si="471"/>
        <v>디버프 마스터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120</v>
      </c>
      <c r="AN3247">
        <v>-12</v>
      </c>
      <c r="AO3247">
        <v>0</v>
      </c>
      <c r="AP3247"/>
      <c r="AQ3247">
        <v>0</v>
      </c>
      <c r="AR3247">
        <v>0</v>
      </c>
      <c r="AS3247">
        <v>120</v>
      </c>
      <c r="AT3247">
        <v>-12</v>
      </c>
      <c r="AU3247">
        <v>0</v>
      </c>
      <c r="AW3247">
        <v>0</v>
      </c>
      <c r="AX3247">
        <v>0</v>
      </c>
      <c r="AY3247">
        <v>75.599999999999994</v>
      </c>
      <c r="BC3247" t="str">
        <f t="shared" si="472"/>
        <v>9791137602663</v>
      </c>
      <c r="BE3247" t="str">
        <f t="shared" si="473"/>
        <v>판타지 웹소설 &gt; 퓨전 판타지</v>
      </c>
    </row>
    <row r="3248" spans="1:57" x14ac:dyDescent="0.3">
      <c r="A3248">
        <v>2313012849</v>
      </c>
      <c r="B3248">
        <v>2313012943</v>
      </c>
      <c r="C3248" t="str">
        <f>T("디버프 마스터 95화")</f>
        <v>디버프 마스터 95화</v>
      </c>
      <c r="D3248" t="str">
        <f>T("95")</f>
        <v>95</v>
      </c>
      <c r="E3248" t="str">
        <f t="shared" si="470"/>
        <v>담화공</v>
      </c>
      <c r="H3248" t="str">
        <f t="shared" si="469"/>
        <v>스토리위즈</v>
      </c>
      <c r="I3248" t="str">
        <f t="shared" si="471"/>
        <v>디버프 마스터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120</v>
      </c>
      <c r="AN3248">
        <v>-12</v>
      </c>
      <c r="AO3248">
        <v>0</v>
      </c>
      <c r="AP3248"/>
      <c r="AQ3248">
        <v>0</v>
      </c>
      <c r="AR3248">
        <v>0</v>
      </c>
      <c r="AS3248">
        <v>120</v>
      </c>
      <c r="AT3248">
        <v>-12</v>
      </c>
      <c r="AU3248">
        <v>0</v>
      </c>
      <c r="AW3248">
        <v>0</v>
      </c>
      <c r="AX3248">
        <v>0</v>
      </c>
      <c r="AY3248">
        <v>75.599999999999994</v>
      </c>
      <c r="BC3248" t="str">
        <f t="shared" si="472"/>
        <v>9791137602663</v>
      </c>
      <c r="BE3248" t="str">
        <f t="shared" si="473"/>
        <v>판타지 웹소설 &gt; 퓨전 판타지</v>
      </c>
    </row>
    <row r="3249" spans="1:57" x14ac:dyDescent="0.3">
      <c r="A3249">
        <v>2313012849</v>
      </c>
      <c r="B3249">
        <v>2313012944</v>
      </c>
      <c r="C3249" t="str">
        <f>T("디버프 마스터 96화")</f>
        <v>디버프 마스터 96화</v>
      </c>
      <c r="D3249" t="str">
        <f>T("96")</f>
        <v>96</v>
      </c>
      <c r="E3249" t="str">
        <f t="shared" si="470"/>
        <v>담화공</v>
      </c>
      <c r="H3249" t="str">
        <f t="shared" si="469"/>
        <v>스토리위즈</v>
      </c>
      <c r="I3249" t="str">
        <f t="shared" si="471"/>
        <v>디버프 마스터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0</v>
      </c>
      <c r="AL3249">
        <v>0</v>
      </c>
      <c r="AM3249">
        <v>120</v>
      </c>
      <c r="AN3249">
        <v>-12</v>
      </c>
      <c r="AO3249">
        <v>0</v>
      </c>
      <c r="AP3249"/>
      <c r="AQ3249">
        <v>0</v>
      </c>
      <c r="AR3249">
        <v>0</v>
      </c>
      <c r="AS3249">
        <v>120</v>
      </c>
      <c r="AT3249">
        <v>-12</v>
      </c>
      <c r="AU3249">
        <v>0</v>
      </c>
      <c r="AW3249">
        <v>0</v>
      </c>
      <c r="AX3249">
        <v>0</v>
      </c>
      <c r="AY3249">
        <v>75.599999999999994</v>
      </c>
      <c r="BC3249" t="str">
        <f t="shared" si="472"/>
        <v>9791137602663</v>
      </c>
      <c r="BE3249" t="str">
        <f t="shared" si="473"/>
        <v>판타지 웹소설 &gt; 퓨전 판타지</v>
      </c>
    </row>
    <row r="3250" spans="1:57" x14ac:dyDescent="0.3">
      <c r="A3250">
        <v>2313012849</v>
      </c>
      <c r="B3250">
        <v>2313012945</v>
      </c>
      <c r="C3250" t="str">
        <f>T("디버프 마스터 97화")</f>
        <v>디버프 마스터 97화</v>
      </c>
      <c r="D3250" t="str">
        <f>T("97")</f>
        <v>97</v>
      </c>
      <c r="E3250" t="str">
        <f t="shared" si="470"/>
        <v>담화공</v>
      </c>
      <c r="H3250" t="str">
        <f t="shared" si="469"/>
        <v>스토리위즈</v>
      </c>
      <c r="I3250" t="str">
        <f t="shared" si="471"/>
        <v>디버프 마스터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120</v>
      </c>
      <c r="AN3250">
        <v>-12</v>
      </c>
      <c r="AO3250">
        <v>0</v>
      </c>
      <c r="AP3250"/>
      <c r="AQ3250">
        <v>0</v>
      </c>
      <c r="AR3250">
        <v>0</v>
      </c>
      <c r="AS3250">
        <v>120</v>
      </c>
      <c r="AT3250">
        <v>-12</v>
      </c>
      <c r="AU3250">
        <v>0</v>
      </c>
      <c r="AW3250">
        <v>0</v>
      </c>
      <c r="AX3250">
        <v>0</v>
      </c>
      <c r="AY3250">
        <v>75.599999999999994</v>
      </c>
      <c r="BC3250" t="str">
        <f t="shared" si="472"/>
        <v>9791137602663</v>
      </c>
      <c r="BE3250" t="str">
        <f t="shared" si="473"/>
        <v>판타지 웹소설 &gt; 퓨전 판타지</v>
      </c>
    </row>
    <row r="3251" spans="1:57" x14ac:dyDescent="0.3">
      <c r="A3251">
        <v>2313012849</v>
      </c>
      <c r="B3251">
        <v>2313012946</v>
      </c>
      <c r="C3251" t="str">
        <f>T("디버프 마스터 98화")</f>
        <v>디버프 마스터 98화</v>
      </c>
      <c r="D3251" t="str">
        <f>T("98")</f>
        <v>98</v>
      </c>
      <c r="E3251" t="str">
        <f t="shared" si="470"/>
        <v>담화공</v>
      </c>
      <c r="H3251" t="str">
        <f t="shared" si="469"/>
        <v>스토리위즈</v>
      </c>
      <c r="I3251" t="str">
        <f t="shared" si="471"/>
        <v>디버프 마스터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120</v>
      </c>
      <c r="AN3251">
        <v>-12</v>
      </c>
      <c r="AO3251">
        <v>0</v>
      </c>
      <c r="AP3251"/>
      <c r="AQ3251">
        <v>0</v>
      </c>
      <c r="AR3251">
        <v>0</v>
      </c>
      <c r="AS3251">
        <v>120</v>
      </c>
      <c r="AT3251">
        <v>-12</v>
      </c>
      <c r="AU3251">
        <v>0</v>
      </c>
      <c r="AW3251">
        <v>0</v>
      </c>
      <c r="AX3251">
        <v>0</v>
      </c>
      <c r="AY3251">
        <v>75.599999999999994</v>
      </c>
      <c r="BC3251" t="str">
        <f t="shared" si="472"/>
        <v>9791137602663</v>
      </c>
      <c r="BE3251" t="str">
        <f t="shared" si="473"/>
        <v>판타지 웹소설 &gt; 퓨전 판타지</v>
      </c>
    </row>
    <row r="3252" spans="1:57" x14ac:dyDescent="0.3">
      <c r="A3252">
        <v>2313012849</v>
      </c>
      <c r="B3252">
        <v>2313012947</v>
      </c>
      <c r="C3252" t="str">
        <f>T("디버프 마스터 99화")</f>
        <v>디버프 마스터 99화</v>
      </c>
      <c r="D3252" t="str">
        <f>T("99")</f>
        <v>99</v>
      </c>
      <c r="E3252" t="str">
        <f t="shared" si="470"/>
        <v>담화공</v>
      </c>
      <c r="H3252" t="str">
        <f t="shared" si="469"/>
        <v>스토리위즈</v>
      </c>
      <c r="I3252" t="str">
        <f t="shared" si="471"/>
        <v>디버프 마스터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120</v>
      </c>
      <c r="AN3252">
        <v>-12</v>
      </c>
      <c r="AO3252">
        <v>0</v>
      </c>
      <c r="AP3252"/>
      <c r="AQ3252">
        <v>0</v>
      </c>
      <c r="AR3252">
        <v>0</v>
      </c>
      <c r="AS3252">
        <v>120</v>
      </c>
      <c r="AT3252">
        <v>-12</v>
      </c>
      <c r="AU3252">
        <v>0</v>
      </c>
      <c r="AW3252">
        <v>0</v>
      </c>
      <c r="AX3252">
        <v>0</v>
      </c>
      <c r="AY3252">
        <v>75.599999999999994</v>
      </c>
      <c r="BC3252" t="str">
        <f t="shared" si="472"/>
        <v>9791137602663</v>
      </c>
      <c r="BE3252" t="str">
        <f t="shared" si="473"/>
        <v>판타지 웹소설 &gt; 퓨전 판타지</v>
      </c>
    </row>
    <row r="3253" spans="1:57" x14ac:dyDescent="0.3">
      <c r="A3253">
        <v>2313012849</v>
      </c>
      <c r="B3253">
        <v>2313012948</v>
      </c>
      <c r="C3253" t="str">
        <f>T("디버프 마스터 100화")</f>
        <v>디버프 마스터 100화</v>
      </c>
      <c r="D3253" t="str">
        <f>T("100")</f>
        <v>100</v>
      </c>
      <c r="E3253" t="str">
        <f t="shared" si="470"/>
        <v>담화공</v>
      </c>
      <c r="H3253" t="str">
        <f t="shared" si="469"/>
        <v>스토리위즈</v>
      </c>
      <c r="I3253" t="str">
        <f t="shared" si="471"/>
        <v>디버프 마스터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120</v>
      </c>
      <c r="AN3253">
        <v>-12</v>
      </c>
      <c r="AO3253">
        <v>0</v>
      </c>
      <c r="AP3253"/>
      <c r="AQ3253">
        <v>0</v>
      </c>
      <c r="AR3253">
        <v>0</v>
      </c>
      <c r="AS3253">
        <v>120</v>
      </c>
      <c r="AT3253">
        <v>-12</v>
      </c>
      <c r="AU3253">
        <v>0</v>
      </c>
      <c r="AW3253">
        <v>0</v>
      </c>
      <c r="AX3253">
        <v>0</v>
      </c>
      <c r="AY3253">
        <v>75.599999999999994</v>
      </c>
      <c r="BC3253" t="str">
        <f t="shared" si="472"/>
        <v>9791137602663</v>
      </c>
      <c r="BE3253" t="str">
        <f t="shared" si="473"/>
        <v>판타지 웹소설 &gt; 퓨전 판타지</v>
      </c>
    </row>
    <row r="3254" spans="1:57" x14ac:dyDescent="0.3">
      <c r="A3254">
        <v>2313012849</v>
      </c>
      <c r="B3254">
        <v>2313012949</v>
      </c>
      <c r="C3254" t="str">
        <f>T("디버프 마스터 101화")</f>
        <v>디버프 마스터 101화</v>
      </c>
      <c r="D3254" t="str">
        <f>T("101")</f>
        <v>101</v>
      </c>
      <c r="E3254" t="str">
        <f t="shared" si="470"/>
        <v>담화공</v>
      </c>
      <c r="H3254" t="str">
        <f t="shared" si="469"/>
        <v>스토리위즈</v>
      </c>
      <c r="I3254" t="str">
        <f t="shared" si="471"/>
        <v>디버프 마스터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120</v>
      </c>
      <c r="AN3254">
        <v>-12</v>
      </c>
      <c r="AO3254">
        <v>0</v>
      </c>
      <c r="AP3254"/>
      <c r="AQ3254">
        <v>0</v>
      </c>
      <c r="AR3254">
        <v>0</v>
      </c>
      <c r="AS3254">
        <v>120</v>
      </c>
      <c r="AT3254">
        <v>-12</v>
      </c>
      <c r="AU3254">
        <v>0</v>
      </c>
      <c r="AW3254">
        <v>0</v>
      </c>
      <c r="AX3254">
        <v>0</v>
      </c>
      <c r="AY3254">
        <v>75.599999999999994</v>
      </c>
      <c r="BC3254" t="str">
        <f t="shared" si="472"/>
        <v>9791137602663</v>
      </c>
      <c r="BE3254" t="str">
        <f t="shared" si="473"/>
        <v>판타지 웹소설 &gt; 퓨전 판타지</v>
      </c>
    </row>
    <row r="3255" spans="1:57" x14ac:dyDescent="0.3">
      <c r="A3255">
        <v>2313012849</v>
      </c>
      <c r="B3255">
        <v>2313012950</v>
      </c>
      <c r="C3255" t="str">
        <f>T("디버프 마스터 102화")</f>
        <v>디버프 마스터 102화</v>
      </c>
      <c r="D3255" t="str">
        <f>T("102")</f>
        <v>102</v>
      </c>
      <c r="E3255" t="str">
        <f t="shared" si="470"/>
        <v>담화공</v>
      </c>
      <c r="H3255" t="str">
        <f t="shared" si="469"/>
        <v>스토리위즈</v>
      </c>
      <c r="I3255" t="str">
        <f t="shared" si="471"/>
        <v>디버프 마스터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120</v>
      </c>
      <c r="AN3255">
        <v>-12</v>
      </c>
      <c r="AO3255">
        <v>0</v>
      </c>
      <c r="AP3255"/>
      <c r="AQ3255">
        <v>0</v>
      </c>
      <c r="AR3255">
        <v>0</v>
      </c>
      <c r="AS3255">
        <v>120</v>
      </c>
      <c r="AT3255">
        <v>-12</v>
      </c>
      <c r="AU3255">
        <v>0</v>
      </c>
      <c r="AW3255">
        <v>0</v>
      </c>
      <c r="AX3255">
        <v>0</v>
      </c>
      <c r="AY3255">
        <v>75.599999999999994</v>
      </c>
      <c r="BC3255" t="str">
        <f t="shared" si="472"/>
        <v>9791137602663</v>
      </c>
      <c r="BE3255" t="str">
        <f t="shared" si="473"/>
        <v>판타지 웹소설 &gt; 퓨전 판타지</v>
      </c>
    </row>
    <row r="3256" spans="1:57" x14ac:dyDescent="0.3">
      <c r="A3256">
        <v>2313012849</v>
      </c>
      <c r="B3256">
        <v>2313012951</v>
      </c>
      <c r="C3256" t="str">
        <f>T("디버프 마스터 103화")</f>
        <v>디버프 마스터 103화</v>
      </c>
      <c r="D3256" t="str">
        <f>T("103")</f>
        <v>103</v>
      </c>
      <c r="E3256" t="str">
        <f t="shared" si="470"/>
        <v>담화공</v>
      </c>
      <c r="H3256" t="str">
        <f t="shared" si="469"/>
        <v>스토리위즈</v>
      </c>
      <c r="I3256" t="str">
        <f t="shared" si="471"/>
        <v>디버프 마스터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0</v>
      </c>
      <c r="AL3256">
        <v>0</v>
      </c>
      <c r="AM3256">
        <v>120</v>
      </c>
      <c r="AN3256">
        <v>-12</v>
      </c>
      <c r="AO3256">
        <v>0</v>
      </c>
      <c r="AP3256"/>
      <c r="AQ3256">
        <v>0</v>
      </c>
      <c r="AR3256">
        <v>0</v>
      </c>
      <c r="AS3256">
        <v>120</v>
      </c>
      <c r="AT3256">
        <v>-12</v>
      </c>
      <c r="AU3256">
        <v>0</v>
      </c>
      <c r="AW3256">
        <v>0</v>
      </c>
      <c r="AX3256">
        <v>0</v>
      </c>
      <c r="AY3256">
        <v>75.599999999999994</v>
      </c>
      <c r="BC3256" t="str">
        <f t="shared" si="472"/>
        <v>9791137602663</v>
      </c>
      <c r="BE3256" t="str">
        <f t="shared" si="473"/>
        <v>판타지 웹소설 &gt; 퓨전 판타지</v>
      </c>
    </row>
    <row r="3257" spans="1:57" x14ac:dyDescent="0.3">
      <c r="A3257">
        <v>2313012849</v>
      </c>
      <c r="B3257">
        <v>2313012952</v>
      </c>
      <c r="C3257" t="str">
        <f>T("디버프 마스터 104화")</f>
        <v>디버프 마스터 104화</v>
      </c>
      <c r="D3257" t="str">
        <f>T("104")</f>
        <v>104</v>
      </c>
      <c r="E3257" t="str">
        <f t="shared" si="470"/>
        <v>담화공</v>
      </c>
      <c r="H3257" t="str">
        <f t="shared" si="469"/>
        <v>스토리위즈</v>
      </c>
      <c r="I3257" t="str">
        <f t="shared" si="471"/>
        <v>디버프 마스터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120</v>
      </c>
      <c r="AN3257">
        <v>-12</v>
      </c>
      <c r="AO3257">
        <v>0</v>
      </c>
      <c r="AP3257"/>
      <c r="AQ3257">
        <v>0</v>
      </c>
      <c r="AR3257">
        <v>0</v>
      </c>
      <c r="AS3257">
        <v>120</v>
      </c>
      <c r="AT3257">
        <v>-12</v>
      </c>
      <c r="AU3257">
        <v>0</v>
      </c>
      <c r="AW3257">
        <v>0</v>
      </c>
      <c r="AX3257">
        <v>0</v>
      </c>
      <c r="AY3257">
        <v>75.599999999999994</v>
      </c>
      <c r="BC3257" t="str">
        <f t="shared" si="472"/>
        <v>9791137602663</v>
      </c>
      <c r="BE3257" t="str">
        <f t="shared" si="473"/>
        <v>판타지 웹소설 &gt; 퓨전 판타지</v>
      </c>
    </row>
    <row r="3258" spans="1:57" x14ac:dyDescent="0.3">
      <c r="A3258">
        <v>2313012849</v>
      </c>
      <c r="B3258">
        <v>2313012953</v>
      </c>
      <c r="C3258" t="str">
        <f>T("디버프 마스터 105화")</f>
        <v>디버프 마스터 105화</v>
      </c>
      <c r="D3258" t="str">
        <f>T("105")</f>
        <v>105</v>
      </c>
      <c r="E3258" t="str">
        <f t="shared" si="470"/>
        <v>담화공</v>
      </c>
      <c r="H3258" t="str">
        <f t="shared" si="469"/>
        <v>스토리위즈</v>
      </c>
      <c r="I3258" t="str">
        <f t="shared" si="471"/>
        <v>디버프 마스터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120</v>
      </c>
      <c r="AN3258">
        <v>-12</v>
      </c>
      <c r="AO3258">
        <v>0</v>
      </c>
      <c r="AP3258"/>
      <c r="AQ3258">
        <v>0</v>
      </c>
      <c r="AR3258">
        <v>0</v>
      </c>
      <c r="AS3258">
        <v>120</v>
      </c>
      <c r="AT3258">
        <v>-12</v>
      </c>
      <c r="AU3258">
        <v>0</v>
      </c>
      <c r="AW3258">
        <v>0</v>
      </c>
      <c r="AX3258">
        <v>0</v>
      </c>
      <c r="AY3258">
        <v>75.599999999999994</v>
      </c>
      <c r="BC3258" t="str">
        <f t="shared" si="472"/>
        <v>9791137602663</v>
      </c>
      <c r="BE3258" t="str">
        <f t="shared" si="473"/>
        <v>판타지 웹소설 &gt; 퓨전 판타지</v>
      </c>
    </row>
    <row r="3259" spans="1:57" x14ac:dyDescent="0.3">
      <c r="A3259">
        <v>2313012849</v>
      </c>
      <c r="B3259">
        <v>2313012954</v>
      </c>
      <c r="C3259" t="str">
        <f>T("디버프 마스터 106화")</f>
        <v>디버프 마스터 106화</v>
      </c>
      <c r="D3259" t="str">
        <f>T("106")</f>
        <v>106</v>
      </c>
      <c r="E3259" t="str">
        <f t="shared" si="470"/>
        <v>담화공</v>
      </c>
      <c r="H3259" t="str">
        <f t="shared" si="469"/>
        <v>스토리위즈</v>
      </c>
      <c r="I3259" t="str">
        <f t="shared" si="471"/>
        <v>디버프 마스터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0</v>
      </c>
      <c r="AL3259">
        <v>0</v>
      </c>
      <c r="AM3259">
        <v>120</v>
      </c>
      <c r="AN3259">
        <v>-12</v>
      </c>
      <c r="AO3259">
        <v>0</v>
      </c>
      <c r="AP3259"/>
      <c r="AQ3259">
        <v>0</v>
      </c>
      <c r="AR3259">
        <v>0</v>
      </c>
      <c r="AS3259">
        <v>120</v>
      </c>
      <c r="AT3259">
        <v>-12</v>
      </c>
      <c r="AU3259">
        <v>0</v>
      </c>
      <c r="AW3259">
        <v>0</v>
      </c>
      <c r="AX3259">
        <v>0</v>
      </c>
      <c r="AY3259">
        <v>75.599999999999994</v>
      </c>
      <c r="BC3259" t="str">
        <f t="shared" si="472"/>
        <v>9791137602663</v>
      </c>
      <c r="BE3259" t="str">
        <f t="shared" si="473"/>
        <v>판타지 웹소설 &gt; 퓨전 판타지</v>
      </c>
    </row>
    <row r="3260" spans="1:57" x14ac:dyDescent="0.3">
      <c r="A3260">
        <v>2313012849</v>
      </c>
      <c r="B3260">
        <v>2313012955</v>
      </c>
      <c r="C3260" t="str">
        <f>T("디버프 마스터 107화")</f>
        <v>디버프 마스터 107화</v>
      </c>
      <c r="D3260" t="str">
        <f>T("107")</f>
        <v>107</v>
      </c>
      <c r="E3260" t="str">
        <f t="shared" si="470"/>
        <v>담화공</v>
      </c>
      <c r="H3260" t="str">
        <f t="shared" si="469"/>
        <v>스토리위즈</v>
      </c>
      <c r="I3260" t="str">
        <f t="shared" si="471"/>
        <v>디버프 마스터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0</v>
      </c>
      <c r="AL3260">
        <v>0</v>
      </c>
      <c r="AM3260">
        <v>120</v>
      </c>
      <c r="AN3260">
        <v>-12</v>
      </c>
      <c r="AO3260">
        <v>0</v>
      </c>
      <c r="AP3260"/>
      <c r="AQ3260">
        <v>0</v>
      </c>
      <c r="AR3260">
        <v>0</v>
      </c>
      <c r="AS3260">
        <v>120</v>
      </c>
      <c r="AT3260">
        <v>-12</v>
      </c>
      <c r="AU3260">
        <v>0</v>
      </c>
      <c r="AW3260">
        <v>0</v>
      </c>
      <c r="AX3260">
        <v>0</v>
      </c>
      <c r="AY3260">
        <v>75.599999999999994</v>
      </c>
      <c r="BC3260" t="str">
        <f t="shared" si="472"/>
        <v>9791137602663</v>
      </c>
      <c r="BE3260" t="str">
        <f t="shared" si="473"/>
        <v>판타지 웹소설 &gt; 퓨전 판타지</v>
      </c>
    </row>
    <row r="3261" spans="1:57" x14ac:dyDescent="0.3">
      <c r="A3261">
        <v>2313012849</v>
      </c>
      <c r="B3261">
        <v>2313012956</v>
      </c>
      <c r="C3261" t="str">
        <f>T("디버프 마스터 108화")</f>
        <v>디버프 마스터 108화</v>
      </c>
      <c r="D3261" t="str">
        <f>T("108")</f>
        <v>108</v>
      </c>
      <c r="E3261" t="str">
        <f t="shared" si="470"/>
        <v>담화공</v>
      </c>
      <c r="H3261" t="str">
        <f t="shared" si="469"/>
        <v>스토리위즈</v>
      </c>
      <c r="I3261" t="str">
        <f t="shared" si="471"/>
        <v>디버프 마스터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120</v>
      </c>
      <c r="AN3261">
        <v>-12</v>
      </c>
      <c r="AO3261">
        <v>0</v>
      </c>
      <c r="AP3261"/>
      <c r="AQ3261">
        <v>0</v>
      </c>
      <c r="AR3261">
        <v>0</v>
      </c>
      <c r="AS3261">
        <v>120</v>
      </c>
      <c r="AT3261">
        <v>-12</v>
      </c>
      <c r="AU3261">
        <v>0</v>
      </c>
      <c r="AW3261">
        <v>0</v>
      </c>
      <c r="AX3261">
        <v>0</v>
      </c>
      <c r="AY3261">
        <v>75.599999999999994</v>
      </c>
      <c r="BC3261" t="str">
        <f t="shared" si="472"/>
        <v>9791137602663</v>
      </c>
      <c r="BE3261" t="str">
        <f t="shared" si="473"/>
        <v>판타지 웹소설 &gt; 퓨전 판타지</v>
      </c>
    </row>
    <row r="3262" spans="1:57" x14ac:dyDescent="0.3">
      <c r="A3262">
        <v>2313012849</v>
      </c>
      <c r="B3262">
        <v>2313012957</v>
      </c>
      <c r="C3262" t="str">
        <f>T("디버프 마스터 109화")</f>
        <v>디버프 마스터 109화</v>
      </c>
      <c r="D3262" t="str">
        <f>T("109")</f>
        <v>109</v>
      </c>
      <c r="E3262" t="str">
        <f t="shared" si="470"/>
        <v>담화공</v>
      </c>
      <c r="H3262" t="str">
        <f t="shared" si="469"/>
        <v>스토리위즈</v>
      </c>
      <c r="I3262" t="str">
        <f t="shared" si="471"/>
        <v>디버프 마스터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120</v>
      </c>
      <c r="AN3262">
        <v>-12</v>
      </c>
      <c r="AO3262">
        <v>0</v>
      </c>
      <c r="AP3262"/>
      <c r="AQ3262">
        <v>0</v>
      </c>
      <c r="AR3262">
        <v>0</v>
      </c>
      <c r="AS3262">
        <v>120</v>
      </c>
      <c r="AT3262">
        <v>-12</v>
      </c>
      <c r="AU3262">
        <v>0</v>
      </c>
      <c r="AW3262">
        <v>0</v>
      </c>
      <c r="AX3262">
        <v>0</v>
      </c>
      <c r="AY3262">
        <v>75.599999999999994</v>
      </c>
      <c r="BC3262" t="str">
        <f t="shared" si="472"/>
        <v>9791137602663</v>
      </c>
      <c r="BE3262" t="str">
        <f t="shared" si="473"/>
        <v>판타지 웹소설 &gt; 퓨전 판타지</v>
      </c>
    </row>
    <row r="3263" spans="1:57" x14ac:dyDescent="0.3">
      <c r="A3263">
        <v>2313012849</v>
      </c>
      <c r="B3263">
        <v>2313012958</v>
      </c>
      <c r="C3263" t="str">
        <f>T("디버프 마스터 110화")</f>
        <v>디버프 마스터 110화</v>
      </c>
      <c r="D3263" t="str">
        <f>T("110")</f>
        <v>110</v>
      </c>
      <c r="E3263" t="str">
        <f t="shared" si="470"/>
        <v>담화공</v>
      </c>
      <c r="H3263" t="str">
        <f t="shared" si="469"/>
        <v>스토리위즈</v>
      </c>
      <c r="I3263" t="str">
        <f t="shared" si="471"/>
        <v>디버프 마스터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120</v>
      </c>
      <c r="AN3263">
        <v>-12</v>
      </c>
      <c r="AO3263">
        <v>0</v>
      </c>
      <c r="AP3263"/>
      <c r="AQ3263">
        <v>0</v>
      </c>
      <c r="AR3263">
        <v>0</v>
      </c>
      <c r="AS3263">
        <v>120</v>
      </c>
      <c r="AT3263">
        <v>-12</v>
      </c>
      <c r="AU3263">
        <v>0</v>
      </c>
      <c r="AW3263">
        <v>0</v>
      </c>
      <c r="AX3263">
        <v>0</v>
      </c>
      <c r="AY3263">
        <v>75.599999999999994</v>
      </c>
      <c r="BC3263" t="str">
        <f t="shared" si="472"/>
        <v>9791137602663</v>
      </c>
      <c r="BE3263" t="str">
        <f t="shared" si="473"/>
        <v>판타지 웹소설 &gt; 퓨전 판타지</v>
      </c>
    </row>
    <row r="3264" spans="1:57" x14ac:dyDescent="0.3">
      <c r="A3264">
        <v>2313012849</v>
      </c>
      <c r="B3264">
        <v>2313012959</v>
      </c>
      <c r="C3264" t="str">
        <f>T("디버프 마스터 111화")</f>
        <v>디버프 마스터 111화</v>
      </c>
      <c r="D3264" t="str">
        <f>T("111")</f>
        <v>111</v>
      </c>
      <c r="E3264" t="str">
        <f t="shared" si="470"/>
        <v>담화공</v>
      </c>
      <c r="H3264" t="str">
        <f t="shared" si="469"/>
        <v>스토리위즈</v>
      </c>
      <c r="I3264" t="str">
        <f t="shared" si="471"/>
        <v>디버프 마스터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120</v>
      </c>
      <c r="AN3264">
        <v>-12</v>
      </c>
      <c r="AO3264">
        <v>0</v>
      </c>
      <c r="AP3264"/>
      <c r="AQ3264">
        <v>0</v>
      </c>
      <c r="AR3264">
        <v>0</v>
      </c>
      <c r="AS3264">
        <v>120</v>
      </c>
      <c r="AT3264">
        <v>-12</v>
      </c>
      <c r="AU3264">
        <v>0</v>
      </c>
      <c r="AW3264">
        <v>0</v>
      </c>
      <c r="AX3264">
        <v>0</v>
      </c>
      <c r="AY3264">
        <v>75.599999999999994</v>
      </c>
      <c r="BC3264" t="str">
        <f t="shared" si="472"/>
        <v>9791137602663</v>
      </c>
      <c r="BE3264" t="str">
        <f t="shared" si="473"/>
        <v>판타지 웹소설 &gt; 퓨전 판타지</v>
      </c>
    </row>
    <row r="3265" spans="1:57" x14ac:dyDescent="0.3">
      <c r="A3265">
        <v>2313012849</v>
      </c>
      <c r="B3265">
        <v>2313012960</v>
      </c>
      <c r="C3265" t="str">
        <f>T("디버프 마스터 112화")</f>
        <v>디버프 마스터 112화</v>
      </c>
      <c r="D3265" t="str">
        <f>T("112")</f>
        <v>112</v>
      </c>
      <c r="E3265" t="str">
        <f t="shared" si="470"/>
        <v>담화공</v>
      </c>
      <c r="H3265" t="str">
        <f t="shared" si="469"/>
        <v>스토리위즈</v>
      </c>
      <c r="I3265" t="str">
        <f t="shared" si="471"/>
        <v>디버프 마스터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120</v>
      </c>
      <c r="AN3265">
        <v>-12</v>
      </c>
      <c r="AO3265">
        <v>0</v>
      </c>
      <c r="AP3265"/>
      <c r="AQ3265">
        <v>0</v>
      </c>
      <c r="AR3265">
        <v>0</v>
      </c>
      <c r="AS3265">
        <v>120</v>
      </c>
      <c r="AT3265">
        <v>-12</v>
      </c>
      <c r="AU3265">
        <v>0</v>
      </c>
      <c r="AW3265">
        <v>0</v>
      </c>
      <c r="AX3265">
        <v>0</v>
      </c>
      <c r="AY3265">
        <v>75.599999999999994</v>
      </c>
      <c r="BC3265" t="str">
        <f t="shared" si="472"/>
        <v>9791137602663</v>
      </c>
      <c r="BE3265" t="str">
        <f t="shared" si="473"/>
        <v>판타지 웹소설 &gt; 퓨전 판타지</v>
      </c>
    </row>
    <row r="3266" spans="1:57" x14ac:dyDescent="0.3">
      <c r="A3266">
        <v>2313012849</v>
      </c>
      <c r="B3266">
        <v>2313012961</v>
      </c>
      <c r="C3266" t="str">
        <f>T("디버프 마스터 113화")</f>
        <v>디버프 마스터 113화</v>
      </c>
      <c r="D3266" t="str">
        <f>T("113")</f>
        <v>113</v>
      </c>
      <c r="E3266" t="str">
        <f t="shared" si="470"/>
        <v>담화공</v>
      </c>
      <c r="H3266" t="str">
        <f t="shared" si="469"/>
        <v>스토리위즈</v>
      </c>
      <c r="I3266" t="str">
        <f t="shared" si="471"/>
        <v>디버프 마스터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0</v>
      </c>
      <c r="AL3266">
        <v>0</v>
      </c>
      <c r="AM3266">
        <v>120</v>
      </c>
      <c r="AN3266">
        <v>-12</v>
      </c>
      <c r="AO3266">
        <v>0</v>
      </c>
      <c r="AP3266"/>
      <c r="AQ3266">
        <v>0</v>
      </c>
      <c r="AR3266">
        <v>0</v>
      </c>
      <c r="AS3266">
        <v>120</v>
      </c>
      <c r="AT3266">
        <v>-12</v>
      </c>
      <c r="AU3266">
        <v>0</v>
      </c>
      <c r="AW3266">
        <v>0</v>
      </c>
      <c r="AX3266">
        <v>0</v>
      </c>
      <c r="AY3266">
        <v>75.599999999999994</v>
      </c>
      <c r="BC3266" t="str">
        <f t="shared" si="472"/>
        <v>9791137602663</v>
      </c>
      <c r="BE3266" t="str">
        <f t="shared" si="473"/>
        <v>판타지 웹소설 &gt; 퓨전 판타지</v>
      </c>
    </row>
    <row r="3267" spans="1:57" x14ac:dyDescent="0.3">
      <c r="A3267">
        <v>2313012849</v>
      </c>
      <c r="B3267">
        <v>2313012962</v>
      </c>
      <c r="C3267" t="str">
        <f>T("디버프 마스터 114화")</f>
        <v>디버프 마스터 114화</v>
      </c>
      <c r="D3267" t="str">
        <f>T("114")</f>
        <v>114</v>
      </c>
      <c r="E3267" t="str">
        <f t="shared" si="470"/>
        <v>담화공</v>
      </c>
      <c r="H3267" t="str">
        <f t="shared" si="469"/>
        <v>스토리위즈</v>
      </c>
      <c r="I3267" t="str">
        <f t="shared" si="471"/>
        <v>디버프 마스터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0</v>
      </c>
      <c r="AL3267">
        <v>0</v>
      </c>
      <c r="AM3267">
        <v>120</v>
      </c>
      <c r="AN3267">
        <v>-12</v>
      </c>
      <c r="AO3267">
        <v>0</v>
      </c>
      <c r="AP3267"/>
      <c r="AQ3267">
        <v>0</v>
      </c>
      <c r="AR3267">
        <v>0</v>
      </c>
      <c r="AS3267">
        <v>120</v>
      </c>
      <c r="AT3267">
        <v>-12</v>
      </c>
      <c r="AU3267">
        <v>0</v>
      </c>
      <c r="AW3267">
        <v>0</v>
      </c>
      <c r="AX3267">
        <v>0</v>
      </c>
      <c r="AY3267">
        <v>75.599999999999994</v>
      </c>
      <c r="BC3267" t="str">
        <f t="shared" si="472"/>
        <v>9791137602663</v>
      </c>
      <c r="BE3267" t="str">
        <f t="shared" si="473"/>
        <v>판타지 웹소설 &gt; 퓨전 판타지</v>
      </c>
    </row>
    <row r="3268" spans="1:57" x14ac:dyDescent="0.3">
      <c r="A3268">
        <v>2313012849</v>
      </c>
      <c r="B3268">
        <v>2313012963</v>
      </c>
      <c r="C3268" t="str">
        <f>T("디버프 마스터 115화")</f>
        <v>디버프 마스터 115화</v>
      </c>
      <c r="D3268" t="str">
        <f>T("115")</f>
        <v>115</v>
      </c>
      <c r="E3268" t="str">
        <f t="shared" si="470"/>
        <v>담화공</v>
      </c>
      <c r="H3268" t="str">
        <f t="shared" si="469"/>
        <v>스토리위즈</v>
      </c>
      <c r="I3268" t="str">
        <f t="shared" si="471"/>
        <v>디버프 마스터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120</v>
      </c>
      <c r="AN3268">
        <v>-12</v>
      </c>
      <c r="AO3268">
        <v>0</v>
      </c>
      <c r="AP3268"/>
      <c r="AQ3268">
        <v>0</v>
      </c>
      <c r="AR3268">
        <v>0</v>
      </c>
      <c r="AS3268">
        <v>120</v>
      </c>
      <c r="AT3268">
        <v>-12</v>
      </c>
      <c r="AU3268">
        <v>0</v>
      </c>
      <c r="AW3268">
        <v>0</v>
      </c>
      <c r="AX3268">
        <v>0</v>
      </c>
      <c r="AY3268">
        <v>75.599999999999994</v>
      </c>
      <c r="BC3268" t="str">
        <f t="shared" si="472"/>
        <v>9791137602663</v>
      </c>
      <c r="BE3268" t="str">
        <f t="shared" si="473"/>
        <v>판타지 웹소설 &gt; 퓨전 판타지</v>
      </c>
    </row>
    <row r="3269" spans="1:57" x14ac:dyDescent="0.3">
      <c r="A3269">
        <v>2313012849</v>
      </c>
      <c r="B3269">
        <v>2313012964</v>
      </c>
      <c r="C3269" t="str">
        <f>T("디버프 마스터 116화")</f>
        <v>디버프 마스터 116화</v>
      </c>
      <c r="D3269" t="str">
        <f>T("116")</f>
        <v>116</v>
      </c>
      <c r="E3269" t="str">
        <f t="shared" si="470"/>
        <v>담화공</v>
      </c>
      <c r="H3269" t="str">
        <f t="shared" si="469"/>
        <v>스토리위즈</v>
      </c>
      <c r="I3269" t="str">
        <f t="shared" si="471"/>
        <v>디버프 마스터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120</v>
      </c>
      <c r="AN3269">
        <v>-12</v>
      </c>
      <c r="AO3269">
        <v>0</v>
      </c>
      <c r="AP3269"/>
      <c r="AQ3269">
        <v>0</v>
      </c>
      <c r="AR3269">
        <v>0</v>
      </c>
      <c r="AS3269">
        <v>120</v>
      </c>
      <c r="AT3269">
        <v>-12</v>
      </c>
      <c r="AU3269">
        <v>0</v>
      </c>
      <c r="AW3269">
        <v>0</v>
      </c>
      <c r="AX3269">
        <v>0</v>
      </c>
      <c r="AY3269">
        <v>75.599999999999994</v>
      </c>
      <c r="BC3269" t="str">
        <f t="shared" si="472"/>
        <v>9791137602663</v>
      </c>
      <c r="BE3269" t="str">
        <f t="shared" si="473"/>
        <v>판타지 웹소설 &gt; 퓨전 판타지</v>
      </c>
    </row>
    <row r="3270" spans="1:57" x14ac:dyDescent="0.3">
      <c r="A3270">
        <v>2313012849</v>
      </c>
      <c r="B3270">
        <v>2313012965</v>
      </c>
      <c r="C3270" t="str">
        <f>T("디버프 마스터 117화")</f>
        <v>디버프 마스터 117화</v>
      </c>
      <c r="D3270" t="str">
        <f>T("117")</f>
        <v>117</v>
      </c>
      <c r="E3270" t="str">
        <f t="shared" si="470"/>
        <v>담화공</v>
      </c>
      <c r="H3270" t="str">
        <f t="shared" si="469"/>
        <v>스토리위즈</v>
      </c>
      <c r="I3270" t="str">
        <f t="shared" si="471"/>
        <v>디버프 마스터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120</v>
      </c>
      <c r="AN3270">
        <v>-12</v>
      </c>
      <c r="AO3270">
        <v>0</v>
      </c>
      <c r="AP3270"/>
      <c r="AQ3270">
        <v>0</v>
      </c>
      <c r="AR3270">
        <v>0</v>
      </c>
      <c r="AS3270">
        <v>120</v>
      </c>
      <c r="AT3270">
        <v>-12</v>
      </c>
      <c r="AU3270">
        <v>0</v>
      </c>
      <c r="AW3270">
        <v>0</v>
      </c>
      <c r="AX3270">
        <v>0</v>
      </c>
      <c r="AY3270">
        <v>75.599999999999994</v>
      </c>
      <c r="BC3270" t="str">
        <f t="shared" si="472"/>
        <v>9791137602663</v>
      </c>
      <c r="BE3270" t="str">
        <f t="shared" si="473"/>
        <v>판타지 웹소설 &gt; 퓨전 판타지</v>
      </c>
    </row>
    <row r="3271" spans="1:57" x14ac:dyDescent="0.3">
      <c r="A3271">
        <v>2313012849</v>
      </c>
      <c r="B3271">
        <v>2313012966</v>
      </c>
      <c r="C3271" t="str">
        <f>T("디버프 마스터 118화")</f>
        <v>디버프 마스터 118화</v>
      </c>
      <c r="D3271" t="str">
        <f>T("118")</f>
        <v>118</v>
      </c>
      <c r="E3271" t="str">
        <f t="shared" si="470"/>
        <v>담화공</v>
      </c>
      <c r="H3271" t="str">
        <f t="shared" si="469"/>
        <v>스토리위즈</v>
      </c>
      <c r="I3271" t="str">
        <f t="shared" si="471"/>
        <v>디버프 마스터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120</v>
      </c>
      <c r="AN3271">
        <v>-12</v>
      </c>
      <c r="AO3271">
        <v>0</v>
      </c>
      <c r="AP3271"/>
      <c r="AQ3271">
        <v>0</v>
      </c>
      <c r="AR3271">
        <v>0</v>
      </c>
      <c r="AS3271">
        <v>120</v>
      </c>
      <c r="AT3271">
        <v>-12</v>
      </c>
      <c r="AU3271">
        <v>0</v>
      </c>
      <c r="AW3271">
        <v>0</v>
      </c>
      <c r="AX3271">
        <v>0</v>
      </c>
      <c r="AY3271">
        <v>75.599999999999994</v>
      </c>
      <c r="BC3271" t="str">
        <f t="shared" si="472"/>
        <v>9791137602663</v>
      </c>
      <c r="BE3271" t="str">
        <f t="shared" si="473"/>
        <v>판타지 웹소설 &gt; 퓨전 판타지</v>
      </c>
    </row>
    <row r="3272" spans="1:57" x14ac:dyDescent="0.3">
      <c r="A3272">
        <v>2313012849</v>
      </c>
      <c r="B3272">
        <v>2313012967</v>
      </c>
      <c r="C3272" t="str">
        <f>T("디버프 마스터 119화")</f>
        <v>디버프 마스터 119화</v>
      </c>
      <c r="D3272" t="str">
        <f>T("119")</f>
        <v>119</v>
      </c>
      <c r="E3272" t="str">
        <f t="shared" si="470"/>
        <v>담화공</v>
      </c>
      <c r="H3272" t="str">
        <f t="shared" si="469"/>
        <v>스토리위즈</v>
      </c>
      <c r="I3272" t="str">
        <f t="shared" si="471"/>
        <v>디버프 마스터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120</v>
      </c>
      <c r="AN3272">
        <v>-12</v>
      </c>
      <c r="AO3272">
        <v>0</v>
      </c>
      <c r="AP3272"/>
      <c r="AQ3272">
        <v>0</v>
      </c>
      <c r="AR3272">
        <v>0</v>
      </c>
      <c r="AS3272">
        <v>120</v>
      </c>
      <c r="AT3272">
        <v>-12</v>
      </c>
      <c r="AU3272">
        <v>0</v>
      </c>
      <c r="AW3272">
        <v>0</v>
      </c>
      <c r="AX3272">
        <v>0</v>
      </c>
      <c r="AY3272">
        <v>75.599999999999994</v>
      </c>
      <c r="BC3272" t="str">
        <f t="shared" si="472"/>
        <v>9791137602663</v>
      </c>
      <c r="BE3272" t="str">
        <f t="shared" si="473"/>
        <v>판타지 웹소설 &gt; 퓨전 판타지</v>
      </c>
    </row>
    <row r="3273" spans="1:57" x14ac:dyDescent="0.3">
      <c r="A3273">
        <v>2313012849</v>
      </c>
      <c r="B3273">
        <v>2313012968</v>
      </c>
      <c r="C3273" t="str">
        <f>T("디버프 마스터 120화")</f>
        <v>디버프 마스터 120화</v>
      </c>
      <c r="D3273" t="str">
        <f>T("120")</f>
        <v>120</v>
      </c>
      <c r="E3273" t="str">
        <f t="shared" si="470"/>
        <v>담화공</v>
      </c>
      <c r="H3273" t="str">
        <f t="shared" si="469"/>
        <v>스토리위즈</v>
      </c>
      <c r="I3273" t="str">
        <f t="shared" si="471"/>
        <v>디버프 마스터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120</v>
      </c>
      <c r="AN3273">
        <v>-12</v>
      </c>
      <c r="AO3273">
        <v>0</v>
      </c>
      <c r="AP3273"/>
      <c r="AQ3273">
        <v>0</v>
      </c>
      <c r="AR3273">
        <v>0</v>
      </c>
      <c r="AS3273">
        <v>120</v>
      </c>
      <c r="AT3273">
        <v>-12</v>
      </c>
      <c r="AU3273">
        <v>0</v>
      </c>
      <c r="AW3273">
        <v>0</v>
      </c>
      <c r="AX3273">
        <v>0</v>
      </c>
      <c r="AY3273">
        <v>75.599999999999994</v>
      </c>
      <c r="BC3273" t="str">
        <f t="shared" si="472"/>
        <v>9791137602663</v>
      </c>
      <c r="BE3273" t="str">
        <f t="shared" si="473"/>
        <v>판타지 웹소설 &gt; 퓨전 판타지</v>
      </c>
    </row>
    <row r="3274" spans="1:57" x14ac:dyDescent="0.3">
      <c r="A3274">
        <v>2313012849</v>
      </c>
      <c r="B3274">
        <v>2313012969</v>
      </c>
      <c r="C3274" t="str">
        <f>T("디버프 마스터 121화")</f>
        <v>디버프 마스터 121화</v>
      </c>
      <c r="D3274" t="str">
        <f>T("121")</f>
        <v>121</v>
      </c>
      <c r="E3274" t="str">
        <f t="shared" si="470"/>
        <v>담화공</v>
      </c>
      <c r="H3274" t="str">
        <f t="shared" si="469"/>
        <v>스토리위즈</v>
      </c>
      <c r="I3274" t="str">
        <f t="shared" si="471"/>
        <v>디버프 마스터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120</v>
      </c>
      <c r="AN3274">
        <v>-12</v>
      </c>
      <c r="AO3274">
        <v>0</v>
      </c>
      <c r="AP3274"/>
      <c r="AQ3274">
        <v>0</v>
      </c>
      <c r="AR3274">
        <v>0</v>
      </c>
      <c r="AS3274">
        <v>120</v>
      </c>
      <c r="AT3274">
        <v>-12</v>
      </c>
      <c r="AU3274">
        <v>0</v>
      </c>
      <c r="AW3274">
        <v>0</v>
      </c>
      <c r="AX3274">
        <v>0</v>
      </c>
      <c r="AY3274">
        <v>75.599999999999994</v>
      </c>
      <c r="BC3274" t="str">
        <f t="shared" si="472"/>
        <v>9791137602663</v>
      </c>
      <c r="BE3274" t="str">
        <f t="shared" si="473"/>
        <v>판타지 웹소설 &gt; 퓨전 판타지</v>
      </c>
    </row>
    <row r="3275" spans="1:57" x14ac:dyDescent="0.3">
      <c r="A3275">
        <v>2313012849</v>
      </c>
      <c r="B3275">
        <v>2313012970</v>
      </c>
      <c r="C3275" t="str">
        <f>T("디버프 마스터 122화")</f>
        <v>디버프 마스터 122화</v>
      </c>
      <c r="D3275" t="str">
        <f>T("122")</f>
        <v>122</v>
      </c>
      <c r="E3275" t="str">
        <f t="shared" si="470"/>
        <v>담화공</v>
      </c>
      <c r="H3275" t="str">
        <f t="shared" si="469"/>
        <v>스토리위즈</v>
      </c>
      <c r="I3275" t="str">
        <f t="shared" si="471"/>
        <v>디버프 마스터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120</v>
      </c>
      <c r="AN3275">
        <v>-12</v>
      </c>
      <c r="AO3275">
        <v>0</v>
      </c>
      <c r="AP3275"/>
      <c r="AQ3275">
        <v>0</v>
      </c>
      <c r="AR3275">
        <v>0</v>
      </c>
      <c r="AS3275">
        <v>120</v>
      </c>
      <c r="AT3275">
        <v>-12</v>
      </c>
      <c r="AU3275">
        <v>0</v>
      </c>
      <c r="AW3275">
        <v>0</v>
      </c>
      <c r="AX3275">
        <v>0</v>
      </c>
      <c r="AY3275">
        <v>75.599999999999994</v>
      </c>
      <c r="BC3275" t="str">
        <f t="shared" si="472"/>
        <v>9791137602663</v>
      </c>
      <c r="BE3275" t="str">
        <f t="shared" si="473"/>
        <v>판타지 웹소설 &gt; 퓨전 판타지</v>
      </c>
    </row>
    <row r="3276" spans="1:57" x14ac:dyDescent="0.3">
      <c r="A3276">
        <v>2313012849</v>
      </c>
      <c r="B3276">
        <v>2313012971</v>
      </c>
      <c r="C3276" t="str">
        <f>T("디버프 마스터 123화")</f>
        <v>디버프 마스터 123화</v>
      </c>
      <c r="D3276" t="str">
        <f>T("123")</f>
        <v>123</v>
      </c>
      <c r="E3276" t="str">
        <f t="shared" si="470"/>
        <v>담화공</v>
      </c>
      <c r="H3276" t="str">
        <f t="shared" si="469"/>
        <v>스토리위즈</v>
      </c>
      <c r="I3276" t="str">
        <f t="shared" si="471"/>
        <v>디버프 마스터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0</v>
      </c>
      <c r="AL3276">
        <v>0</v>
      </c>
      <c r="AM3276">
        <v>120</v>
      </c>
      <c r="AN3276">
        <v>-12</v>
      </c>
      <c r="AO3276">
        <v>0</v>
      </c>
      <c r="AP3276"/>
      <c r="AQ3276">
        <v>0</v>
      </c>
      <c r="AR3276">
        <v>0</v>
      </c>
      <c r="AS3276">
        <v>120</v>
      </c>
      <c r="AT3276">
        <v>-12</v>
      </c>
      <c r="AU3276">
        <v>0</v>
      </c>
      <c r="AW3276">
        <v>0</v>
      </c>
      <c r="AX3276">
        <v>0</v>
      </c>
      <c r="AY3276">
        <v>75.599999999999994</v>
      </c>
      <c r="BC3276" t="str">
        <f t="shared" si="472"/>
        <v>9791137602663</v>
      </c>
      <c r="BE3276" t="str">
        <f t="shared" si="473"/>
        <v>판타지 웹소설 &gt; 퓨전 판타지</v>
      </c>
    </row>
    <row r="3277" spans="1:57" x14ac:dyDescent="0.3">
      <c r="A3277">
        <v>2313012849</v>
      </c>
      <c r="B3277">
        <v>2313012972</v>
      </c>
      <c r="C3277" t="str">
        <f>T("디버프 마스터 124화")</f>
        <v>디버프 마스터 124화</v>
      </c>
      <c r="D3277" t="str">
        <f>T("124")</f>
        <v>124</v>
      </c>
      <c r="E3277" t="str">
        <f t="shared" si="470"/>
        <v>담화공</v>
      </c>
      <c r="H3277" t="str">
        <f t="shared" si="469"/>
        <v>스토리위즈</v>
      </c>
      <c r="I3277" t="str">
        <f t="shared" si="471"/>
        <v>디버프 마스터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0</v>
      </c>
      <c r="AL3277">
        <v>0</v>
      </c>
      <c r="AM3277">
        <v>120</v>
      </c>
      <c r="AN3277">
        <v>-12</v>
      </c>
      <c r="AO3277">
        <v>0</v>
      </c>
      <c r="AP3277"/>
      <c r="AQ3277">
        <v>0</v>
      </c>
      <c r="AR3277">
        <v>0</v>
      </c>
      <c r="AS3277">
        <v>120</v>
      </c>
      <c r="AT3277">
        <v>-12</v>
      </c>
      <c r="AU3277">
        <v>0</v>
      </c>
      <c r="AW3277">
        <v>0</v>
      </c>
      <c r="AX3277">
        <v>0</v>
      </c>
      <c r="AY3277">
        <v>75.599999999999994</v>
      </c>
      <c r="BC3277" t="str">
        <f t="shared" si="472"/>
        <v>9791137602663</v>
      </c>
      <c r="BE3277" t="str">
        <f t="shared" si="473"/>
        <v>판타지 웹소설 &gt; 퓨전 판타지</v>
      </c>
    </row>
    <row r="3278" spans="1:57" x14ac:dyDescent="0.3">
      <c r="A3278">
        <v>2313012849</v>
      </c>
      <c r="B3278">
        <v>2313012973</v>
      </c>
      <c r="C3278" t="str">
        <f>T("디버프 마스터 125화")</f>
        <v>디버프 마스터 125화</v>
      </c>
      <c r="D3278" t="str">
        <f>T("125")</f>
        <v>125</v>
      </c>
      <c r="E3278" t="str">
        <f t="shared" si="470"/>
        <v>담화공</v>
      </c>
      <c r="H3278" t="str">
        <f t="shared" si="469"/>
        <v>스토리위즈</v>
      </c>
      <c r="I3278" t="str">
        <f t="shared" si="471"/>
        <v>디버프 마스터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120</v>
      </c>
      <c r="AN3278">
        <v>-12</v>
      </c>
      <c r="AO3278">
        <v>0</v>
      </c>
      <c r="AP3278"/>
      <c r="AQ3278">
        <v>0</v>
      </c>
      <c r="AR3278">
        <v>0</v>
      </c>
      <c r="AS3278">
        <v>120</v>
      </c>
      <c r="AT3278">
        <v>-12</v>
      </c>
      <c r="AU3278">
        <v>0</v>
      </c>
      <c r="AW3278">
        <v>0</v>
      </c>
      <c r="AX3278">
        <v>0</v>
      </c>
      <c r="AY3278">
        <v>75.599999999999994</v>
      </c>
      <c r="BC3278" t="str">
        <f t="shared" si="472"/>
        <v>9791137602663</v>
      </c>
      <c r="BE3278" t="str">
        <f t="shared" si="473"/>
        <v>판타지 웹소설 &gt; 퓨전 판타지</v>
      </c>
    </row>
    <row r="3279" spans="1:57" x14ac:dyDescent="0.3">
      <c r="A3279">
        <v>2313012849</v>
      </c>
      <c r="B3279">
        <v>2313012974</v>
      </c>
      <c r="C3279" t="str">
        <f>T("디버프 마스터 126화")</f>
        <v>디버프 마스터 126화</v>
      </c>
      <c r="D3279" t="str">
        <f>T("126")</f>
        <v>126</v>
      </c>
      <c r="E3279" t="str">
        <f t="shared" si="470"/>
        <v>담화공</v>
      </c>
      <c r="H3279" t="str">
        <f t="shared" si="469"/>
        <v>스토리위즈</v>
      </c>
      <c r="I3279" t="str">
        <f t="shared" si="471"/>
        <v>디버프 마스터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120</v>
      </c>
      <c r="AN3279">
        <v>-12</v>
      </c>
      <c r="AO3279">
        <v>0</v>
      </c>
      <c r="AP3279"/>
      <c r="AQ3279">
        <v>0</v>
      </c>
      <c r="AR3279">
        <v>0</v>
      </c>
      <c r="AS3279">
        <v>120</v>
      </c>
      <c r="AT3279">
        <v>-12</v>
      </c>
      <c r="AU3279">
        <v>0</v>
      </c>
      <c r="AW3279">
        <v>0</v>
      </c>
      <c r="AX3279">
        <v>0</v>
      </c>
      <c r="AY3279">
        <v>75.599999999999994</v>
      </c>
      <c r="BC3279" t="str">
        <f t="shared" si="472"/>
        <v>9791137602663</v>
      </c>
      <c r="BE3279" t="str">
        <f t="shared" si="473"/>
        <v>판타지 웹소설 &gt; 퓨전 판타지</v>
      </c>
    </row>
    <row r="3280" spans="1:57" x14ac:dyDescent="0.3">
      <c r="A3280">
        <v>2313012849</v>
      </c>
      <c r="B3280">
        <v>2313012975</v>
      </c>
      <c r="C3280" t="str">
        <f>T("디버프 마스터 127화")</f>
        <v>디버프 마스터 127화</v>
      </c>
      <c r="D3280" t="str">
        <f>T("127")</f>
        <v>127</v>
      </c>
      <c r="E3280" t="str">
        <f t="shared" si="470"/>
        <v>담화공</v>
      </c>
      <c r="H3280" t="str">
        <f t="shared" si="469"/>
        <v>스토리위즈</v>
      </c>
      <c r="I3280" t="str">
        <f t="shared" si="471"/>
        <v>디버프 마스터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0</v>
      </c>
      <c r="AL3280">
        <v>0</v>
      </c>
      <c r="AM3280">
        <v>120</v>
      </c>
      <c r="AN3280">
        <v>-12</v>
      </c>
      <c r="AO3280">
        <v>0</v>
      </c>
      <c r="AP3280"/>
      <c r="AQ3280">
        <v>0</v>
      </c>
      <c r="AR3280">
        <v>0</v>
      </c>
      <c r="AS3280">
        <v>120</v>
      </c>
      <c r="AT3280">
        <v>-12</v>
      </c>
      <c r="AU3280">
        <v>0</v>
      </c>
      <c r="AW3280">
        <v>0</v>
      </c>
      <c r="AX3280">
        <v>0</v>
      </c>
      <c r="AY3280">
        <v>75.599999999999994</v>
      </c>
      <c r="BC3280" t="str">
        <f t="shared" si="472"/>
        <v>9791137602663</v>
      </c>
      <c r="BE3280" t="str">
        <f t="shared" si="473"/>
        <v>판타지 웹소설 &gt; 퓨전 판타지</v>
      </c>
    </row>
    <row r="3281" spans="1:57" x14ac:dyDescent="0.3">
      <c r="A3281">
        <v>2313012849</v>
      </c>
      <c r="B3281">
        <v>2313012976</v>
      </c>
      <c r="C3281" t="str">
        <f>T("디버프 마스터 128화")</f>
        <v>디버프 마스터 128화</v>
      </c>
      <c r="D3281" t="str">
        <f>T("128")</f>
        <v>128</v>
      </c>
      <c r="E3281" t="str">
        <f t="shared" si="470"/>
        <v>담화공</v>
      </c>
      <c r="H3281" t="str">
        <f t="shared" si="469"/>
        <v>스토리위즈</v>
      </c>
      <c r="I3281" t="str">
        <f t="shared" si="471"/>
        <v>디버프 마스터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0</v>
      </c>
      <c r="AL3281">
        <v>0</v>
      </c>
      <c r="AM3281">
        <v>120</v>
      </c>
      <c r="AN3281">
        <v>-12</v>
      </c>
      <c r="AO3281">
        <v>0</v>
      </c>
      <c r="AP3281"/>
      <c r="AQ3281">
        <v>0</v>
      </c>
      <c r="AR3281">
        <v>0</v>
      </c>
      <c r="AS3281">
        <v>120</v>
      </c>
      <c r="AT3281">
        <v>-12</v>
      </c>
      <c r="AU3281">
        <v>0</v>
      </c>
      <c r="AW3281">
        <v>0</v>
      </c>
      <c r="AX3281">
        <v>0</v>
      </c>
      <c r="AY3281">
        <v>75.599999999999994</v>
      </c>
      <c r="BC3281" t="str">
        <f t="shared" si="472"/>
        <v>9791137602663</v>
      </c>
      <c r="BE3281" t="str">
        <f t="shared" si="473"/>
        <v>판타지 웹소설 &gt; 퓨전 판타지</v>
      </c>
    </row>
    <row r="3282" spans="1:57" x14ac:dyDescent="0.3">
      <c r="A3282">
        <v>2313012849</v>
      </c>
      <c r="B3282">
        <v>2313012977</v>
      </c>
      <c r="C3282" t="str">
        <f>T("디버프 마스터 129화")</f>
        <v>디버프 마스터 129화</v>
      </c>
      <c r="D3282" t="str">
        <f>T("129")</f>
        <v>129</v>
      </c>
      <c r="E3282" t="str">
        <f t="shared" si="470"/>
        <v>담화공</v>
      </c>
      <c r="H3282" t="str">
        <f t="shared" si="469"/>
        <v>스토리위즈</v>
      </c>
      <c r="I3282" t="str">
        <f t="shared" si="471"/>
        <v>디버프 마스터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120</v>
      </c>
      <c r="AN3282">
        <v>-12</v>
      </c>
      <c r="AO3282">
        <v>0</v>
      </c>
      <c r="AP3282"/>
      <c r="AQ3282">
        <v>0</v>
      </c>
      <c r="AR3282">
        <v>0</v>
      </c>
      <c r="AS3282">
        <v>120</v>
      </c>
      <c r="AT3282">
        <v>-12</v>
      </c>
      <c r="AU3282">
        <v>0</v>
      </c>
      <c r="AW3282">
        <v>0</v>
      </c>
      <c r="AX3282">
        <v>0</v>
      </c>
      <c r="AY3282">
        <v>75.599999999999994</v>
      </c>
      <c r="BC3282" t="str">
        <f t="shared" si="472"/>
        <v>9791137602663</v>
      </c>
      <c r="BE3282" t="str">
        <f t="shared" si="473"/>
        <v>판타지 웹소설 &gt; 퓨전 판타지</v>
      </c>
    </row>
    <row r="3283" spans="1:57" x14ac:dyDescent="0.3">
      <c r="A3283">
        <v>2313012849</v>
      </c>
      <c r="B3283">
        <v>2313012978</v>
      </c>
      <c r="C3283" t="str">
        <f>T("디버프 마스터 130화")</f>
        <v>디버프 마스터 130화</v>
      </c>
      <c r="D3283" t="str">
        <f>T("130")</f>
        <v>130</v>
      </c>
      <c r="E3283" t="str">
        <f t="shared" si="470"/>
        <v>담화공</v>
      </c>
      <c r="H3283" t="str">
        <f t="shared" si="469"/>
        <v>스토리위즈</v>
      </c>
      <c r="I3283" t="str">
        <f t="shared" si="471"/>
        <v>디버프 마스터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0</v>
      </c>
      <c r="AL3283">
        <v>0</v>
      </c>
      <c r="AM3283">
        <v>120</v>
      </c>
      <c r="AN3283">
        <v>-12</v>
      </c>
      <c r="AO3283">
        <v>0</v>
      </c>
      <c r="AP3283"/>
      <c r="AQ3283">
        <v>0</v>
      </c>
      <c r="AR3283">
        <v>0</v>
      </c>
      <c r="AS3283">
        <v>120</v>
      </c>
      <c r="AT3283">
        <v>-12</v>
      </c>
      <c r="AU3283">
        <v>0</v>
      </c>
      <c r="AW3283">
        <v>0</v>
      </c>
      <c r="AX3283">
        <v>0</v>
      </c>
      <c r="AY3283">
        <v>75.599999999999994</v>
      </c>
      <c r="BC3283" t="str">
        <f t="shared" si="472"/>
        <v>9791137602663</v>
      </c>
      <c r="BE3283" t="str">
        <f t="shared" si="473"/>
        <v>판타지 웹소설 &gt; 퓨전 판타지</v>
      </c>
    </row>
    <row r="3284" spans="1:57" x14ac:dyDescent="0.3">
      <c r="A3284">
        <v>2313012849</v>
      </c>
      <c r="B3284">
        <v>2313012979</v>
      </c>
      <c r="C3284" t="str">
        <f>T("디버프 마스터 131화")</f>
        <v>디버프 마스터 131화</v>
      </c>
      <c r="D3284" t="str">
        <f>T("131")</f>
        <v>131</v>
      </c>
      <c r="E3284" t="str">
        <f t="shared" si="470"/>
        <v>담화공</v>
      </c>
      <c r="H3284" t="str">
        <f t="shared" si="469"/>
        <v>스토리위즈</v>
      </c>
      <c r="I3284" t="str">
        <f t="shared" si="471"/>
        <v>디버프 마스터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0</v>
      </c>
      <c r="AL3284">
        <v>0</v>
      </c>
      <c r="AM3284">
        <v>120</v>
      </c>
      <c r="AN3284">
        <v>-12</v>
      </c>
      <c r="AO3284">
        <v>0</v>
      </c>
      <c r="AP3284"/>
      <c r="AQ3284">
        <v>0</v>
      </c>
      <c r="AR3284">
        <v>0</v>
      </c>
      <c r="AS3284">
        <v>120</v>
      </c>
      <c r="AT3284">
        <v>-12</v>
      </c>
      <c r="AU3284">
        <v>0</v>
      </c>
      <c r="AW3284">
        <v>0</v>
      </c>
      <c r="AX3284">
        <v>0</v>
      </c>
      <c r="AY3284">
        <v>75.599999999999994</v>
      </c>
      <c r="BC3284" t="str">
        <f t="shared" si="472"/>
        <v>9791137602663</v>
      </c>
      <c r="BE3284" t="str">
        <f t="shared" si="473"/>
        <v>판타지 웹소설 &gt; 퓨전 판타지</v>
      </c>
    </row>
    <row r="3285" spans="1:57" x14ac:dyDescent="0.3">
      <c r="A3285">
        <v>2313012849</v>
      </c>
      <c r="B3285">
        <v>2313012980</v>
      </c>
      <c r="C3285" t="str">
        <f>T("디버프 마스터 132화")</f>
        <v>디버프 마스터 132화</v>
      </c>
      <c r="D3285" t="str">
        <f>T("132")</f>
        <v>132</v>
      </c>
      <c r="E3285" t="str">
        <f t="shared" si="470"/>
        <v>담화공</v>
      </c>
      <c r="H3285" t="str">
        <f t="shared" si="469"/>
        <v>스토리위즈</v>
      </c>
      <c r="I3285" t="str">
        <f t="shared" si="471"/>
        <v>디버프 마스터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0</v>
      </c>
      <c r="AL3285">
        <v>0</v>
      </c>
      <c r="AM3285">
        <v>120</v>
      </c>
      <c r="AN3285">
        <v>-12</v>
      </c>
      <c r="AO3285">
        <v>0</v>
      </c>
      <c r="AP3285"/>
      <c r="AQ3285">
        <v>0</v>
      </c>
      <c r="AR3285">
        <v>0</v>
      </c>
      <c r="AS3285">
        <v>120</v>
      </c>
      <c r="AT3285">
        <v>-12</v>
      </c>
      <c r="AU3285">
        <v>0</v>
      </c>
      <c r="AW3285">
        <v>0</v>
      </c>
      <c r="AX3285">
        <v>0</v>
      </c>
      <c r="AY3285">
        <v>75.599999999999994</v>
      </c>
      <c r="BC3285" t="str">
        <f t="shared" si="472"/>
        <v>9791137602663</v>
      </c>
      <c r="BE3285" t="str">
        <f t="shared" si="473"/>
        <v>판타지 웹소설 &gt; 퓨전 판타지</v>
      </c>
    </row>
    <row r="3286" spans="1:57" x14ac:dyDescent="0.3">
      <c r="A3286">
        <v>2313012849</v>
      </c>
      <c r="B3286">
        <v>2313012981</v>
      </c>
      <c r="C3286" t="str">
        <f>T("디버프 마스터 133화")</f>
        <v>디버프 마스터 133화</v>
      </c>
      <c r="D3286" t="str">
        <f>T("133")</f>
        <v>133</v>
      </c>
      <c r="E3286" t="str">
        <f t="shared" si="470"/>
        <v>담화공</v>
      </c>
      <c r="H3286" t="str">
        <f t="shared" si="469"/>
        <v>스토리위즈</v>
      </c>
      <c r="I3286" t="str">
        <f t="shared" si="471"/>
        <v>디버프 마스터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0</v>
      </c>
      <c r="AL3286">
        <v>0</v>
      </c>
      <c r="AM3286">
        <v>120</v>
      </c>
      <c r="AN3286">
        <v>-12</v>
      </c>
      <c r="AO3286">
        <v>0</v>
      </c>
      <c r="AP3286"/>
      <c r="AQ3286">
        <v>0</v>
      </c>
      <c r="AR3286">
        <v>0</v>
      </c>
      <c r="AS3286">
        <v>120</v>
      </c>
      <c r="AT3286">
        <v>-12</v>
      </c>
      <c r="AU3286">
        <v>0</v>
      </c>
      <c r="AW3286">
        <v>0</v>
      </c>
      <c r="AX3286">
        <v>0</v>
      </c>
      <c r="AY3286">
        <v>75.599999999999994</v>
      </c>
      <c r="BC3286" t="str">
        <f t="shared" si="472"/>
        <v>9791137602663</v>
      </c>
      <c r="BE3286" t="str">
        <f t="shared" si="473"/>
        <v>판타지 웹소설 &gt; 퓨전 판타지</v>
      </c>
    </row>
    <row r="3287" spans="1:57" x14ac:dyDescent="0.3">
      <c r="A3287">
        <v>2313012849</v>
      </c>
      <c r="B3287">
        <v>2313012983</v>
      </c>
      <c r="C3287" t="str">
        <f>T("디버프 마스터 135화")</f>
        <v>디버프 마스터 135화</v>
      </c>
      <c r="D3287" t="str">
        <f>T("135")</f>
        <v>135</v>
      </c>
      <c r="E3287" t="str">
        <f t="shared" si="470"/>
        <v>담화공</v>
      </c>
      <c r="H3287" t="str">
        <f t="shared" ref="H3287:H3350" si="474">T("스토리위즈")</f>
        <v>스토리위즈</v>
      </c>
      <c r="I3287" t="str">
        <f t="shared" si="471"/>
        <v>디버프 마스터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120</v>
      </c>
      <c r="AN3287">
        <v>-12</v>
      </c>
      <c r="AO3287">
        <v>0</v>
      </c>
      <c r="AP3287"/>
      <c r="AQ3287">
        <v>0</v>
      </c>
      <c r="AR3287">
        <v>0</v>
      </c>
      <c r="AS3287">
        <v>120</v>
      </c>
      <c r="AT3287">
        <v>-12</v>
      </c>
      <c r="AU3287">
        <v>0</v>
      </c>
      <c r="AW3287">
        <v>0</v>
      </c>
      <c r="AX3287">
        <v>0</v>
      </c>
      <c r="AY3287">
        <v>75.599999999999994</v>
      </c>
      <c r="BC3287" t="str">
        <f t="shared" si="472"/>
        <v>9791137602663</v>
      </c>
      <c r="BE3287" t="str">
        <f t="shared" si="473"/>
        <v>판타지 웹소설 &gt; 퓨전 판타지</v>
      </c>
    </row>
    <row r="3288" spans="1:57" x14ac:dyDescent="0.3">
      <c r="A3288">
        <v>2313012849</v>
      </c>
      <c r="B3288">
        <v>2313012984</v>
      </c>
      <c r="C3288" t="str">
        <f>T("디버프 마스터 136화")</f>
        <v>디버프 마스터 136화</v>
      </c>
      <c r="D3288" t="str">
        <f>T("136")</f>
        <v>136</v>
      </c>
      <c r="E3288" t="str">
        <f t="shared" si="470"/>
        <v>담화공</v>
      </c>
      <c r="H3288" t="str">
        <f t="shared" si="474"/>
        <v>스토리위즈</v>
      </c>
      <c r="I3288" t="str">
        <f t="shared" si="471"/>
        <v>디버프 마스터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0</v>
      </c>
      <c r="AL3288">
        <v>0</v>
      </c>
      <c r="AM3288">
        <v>120</v>
      </c>
      <c r="AN3288">
        <v>-12</v>
      </c>
      <c r="AO3288">
        <v>0</v>
      </c>
      <c r="AP3288"/>
      <c r="AQ3288">
        <v>0</v>
      </c>
      <c r="AR3288">
        <v>0</v>
      </c>
      <c r="AS3288">
        <v>120</v>
      </c>
      <c r="AT3288">
        <v>-12</v>
      </c>
      <c r="AU3288">
        <v>0</v>
      </c>
      <c r="AW3288">
        <v>0</v>
      </c>
      <c r="AX3288">
        <v>0</v>
      </c>
      <c r="AY3288">
        <v>75.599999999999994</v>
      </c>
      <c r="BC3288" t="str">
        <f t="shared" si="472"/>
        <v>9791137602663</v>
      </c>
      <c r="BE3288" t="str">
        <f t="shared" si="473"/>
        <v>판타지 웹소설 &gt; 퓨전 판타지</v>
      </c>
    </row>
    <row r="3289" spans="1:57" x14ac:dyDescent="0.3">
      <c r="A3289">
        <v>2313012849</v>
      </c>
      <c r="B3289">
        <v>2313012985</v>
      </c>
      <c r="C3289" t="str">
        <f>T("디버프 마스터 137화")</f>
        <v>디버프 마스터 137화</v>
      </c>
      <c r="D3289" t="str">
        <f>T("137")</f>
        <v>137</v>
      </c>
      <c r="E3289" t="str">
        <f t="shared" si="470"/>
        <v>담화공</v>
      </c>
      <c r="H3289" t="str">
        <f t="shared" si="474"/>
        <v>스토리위즈</v>
      </c>
      <c r="I3289" t="str">
        <f t="shared" si="471"/>
        <v>디버프 마스터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120</v>
      </c>
      <c r="AN3289">
        <v>-12</v>
      </c>
      <c r="AO3289">
        <v>0</v>
      </c>
      <c r="AP3289"/>
      <c r="AQ3289">
        <v>0</v>
      </c>
      <c r="AR3289">
        <v>0</v>
      </c>
      <c r="AS3289">
        <v>120</v>
      </c>
      <c r="AT3289">
        <v>-12</v>
      </c>
      <c r="AU3289">
        <v>0</v>
      </c>
      <c r="AW3289">
        <v>0</v>
      </c>
      <c r="AX3289">
        <v>0</v>
      </c>
      <c r="AY3289">
        <v>75.599999999999994</v>
      </c>
      <c r="BC3289" t="str">
        <f t="shared" si="472"/>
        <v>9791137602663</v>
      </c>
      <c r="BE3289" t="str">
        <f t="shared" si="473"/>
        <v>판타지 웹소설 &gt; 퓨전 판타지</v>
      </c>
    </row>
    <row r="3290" spans="1:57" x14ac:dyDescent="0.3">
      <c r="A3290">
        <v>2313012849</v>
      </c>
      <c r="B3290">
        <v>2313012986</v>
      </c>
      <c r="C3290" t="str">
        <f>T("디버프 마스터 138화")</f>
        <v>디버프 마스터 138화</v>
      </c>
      <c r="D3290" t="str">
        <f>T("138")</f>
        <v>138</v>
      </c>
      <c r="E3290" t="str">
        <f t="shared" si="470"/>
        <v>담화공</v>
      </c>
      <c r="H3290" t="str">
        <f t="shared" si="474"/>
        <v>스토리위즈</v>
      </c>
      <c r="I3290" t="str">
        <f t="shared" si="471"/>
        <v>디버프 마스터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120</v>
      </c>
      <c r="AN3290">
        <v>-12</v>
      </c>
      <c r="AO3290">
        <v>0</v>
      </c>
      <c r="AP3290"/>
      <c r="AQ3290">
        <v>0</v>
      </c>
      <c r="AR3290">
        <v>0</v>
      </c>
      <c r="AS3290">
        <v>120</v>
      </c>
      <c r="AT3290">
        <v>-12</v>
      </c>
      <c r="AU3290">
        <v>0</v>
      </c>
      <c r="AW3290">
        <v>0</v>
      </c>
      <c r="AX3290">
        <v>0</v>
      </c>
      <c r="AY3290">
        <v>75.599999999999994</v>
      </c>
      <c r="BC3290" t="str">
        <f t="shared" si="472"/>
        <v>9791137602663</v>
      </c>
      <c r="BE3290" t="str">
        <f t="shared" si="473"/>
        <v>판타지 웹소설 &gt; 퓨전 판타지</v>
      </c>
    </row>
    <row r="3291" spans="1:57" x14ac:dyDescent="0.3">
      <c r="A3291">
        <v>2313012849</v>
      </c>
      <c r="B3291">
        <v>2313012987</v>
      </c>
      <c r="C3291" t="str">
        <f>T("디버프 마스터 139화")</f>
        <v>디버프 마스터 139화</v>
      </c>
      <c r="D3291" t="str">
        <f>T("139")</f>
        <v>139</v>
      </c>
      <c r="E3291" t="str">
        <f t="shared" si="470"/>
        <v>담화공</v>
      </c>
      <c r="H3291" t="str">
        <f t="shared" si="474"/>
        <v>스토리위즈</v>
      </c>
      <c r="I3291" t="str">
        <f t="shared" si="471"/>
        <v>디버프 마스터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0</v>
      </c>
      <c r="AL3291">
        <v>0</v>
      </c>
      <c r="AM3291">
        <v>120</v>
      </c>
      <c r="AN3291">
        <v>-12</v>
      </c>
      <c r="AO3291">
        <v>0</v>
      </c>
      <c r="AP3291"/>
      <c r="AQ3291">
        <v>0</v>
      </c>
      <c r="AR3291">
        <v>0</v>
      </c>
      <c r="AS3291">
        <v>120</v>
      </c>
      <c r="AT3291">
        <v>-12</v>
      </c>
      <c r="AU3291">
        <v>0</v>
      </c>
      <c r="AW3291">
        <v>0</v>
      </c>
      <c r="AX3291">
        <v>0</v>
      </c>
      <c r="AY3291">
        <v>75.599999999999994</v>
      </c>
      <c r="BC3291" t="str">
        <f t="shared" si="472"/>
        <v>9791137602663</v>
      </c>
      <c r="BE3291" t="str">
        <f t="shared" si="473"/>
        <v>판타지 웹소설 &gt; 퓨전 판타지</v>
      </c>
    </row>
    <row r="3292" spans="1:57" x14ac:dyDescent="0.3">
      <c r="A3292">
        <v>2313012849</v>
      </c>
      <c r="B3292">
        <v>2313012988</v>
      </c>
      <c r="C3292" t="str">
        <f>T("디버프 마스터 140화")</f>
        <v>디버프 마스터 140화</v>
      </c>
      <c r="D3292" t="str">
        <f>T("140")</f>
        <v>140</v>
      </c>
      <c r="E3292" t="str">
        <f t="shared" si="470"/>
        <v>담화공</v>
      </c>
      <c r="H3292" t="str">
        <f t="shared" si="474"/>
        <v>스토리위즈</v>
      </c>
      <c r="I3292" t="str">
        <f t="shared" si="471"/>
        <v>디버프 마스터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120</v>
      </c>
      <c r="AN3292">
        <v>-12</v>
      </c>
      <c r="AO3292">
        <v>0</v>
      </c>
      <c r="AP3292"/>
      <c r="AQ3292">
        <v>0</v>
      </c>
      <c r="AR3292">
        <v>0</v>
      </c>
      <c r="AS3292">
        <v>120</v>
      </c>
      <c r="AT3292">
        <v>-12</v>
      </c>
      <c r="AU3292">
        <v>0</v>
      </c>
      <c r="AW3292">
        <v>0</v>
      </c>
      <c r="AX3292">
        <v>0</v>
      </c>
      <c r="AY3292">
        <v>75.599999999999994</v>
      </c>
      <c r="BC3292" t="str">
        <f t="shared" si="472"/>
        <v>9791137602663</v>
      </c>
      <c r="BE3292" t="str">
        <f t="shared" si="473"/>
        <v>판타지 웹소설 &gt; 퓨전 판타지</v>
      </c>
    </row>
    <row r="3293" spans="1:57" x14ac:dyDescent="0.3">
      <c r="A3293">
        <v>2313012849</v>
      </c>
      <c r="B3293">
        <v>2313012989</v>
      </c>
      <c r="C3293" t="str">
        <f>T("디버프 마스터 141화")</f>
        <v>디버프 마스터 141화</v>
      </c>
      <c r="D3293" t="str">
        <f>T("141")</f>
        <v>141</v>
      </c>
      <c r="E3293" t="str">
        <f t="shared" ref="E3293:E3356" si="475">T("담화공")</f>
        <v>담화공</v>
      </c>
      <c r="H3293" t="str">
        <f t="shared" si="474"/>
        <v>스토리위즈</v>
      </c>
      <c r="I3293" t="str">
        <f t="shared" ref="I3293:I3356" si="476">T("디버프 마스터")</f>
        <v>디버프 마스터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120</v>
      </c>
      <c r="AN3293">
        <v>-12</v>
      </c>
      <c r="AO3293">
        <v>0</v>
      </c>
      <c r="AP3293"/>
      <c r="AQ3293">
        <v>0</v>
      </c>
      <c r="AR3293">
        <v>0</v>
      </c>
      <c r="AS3293">
        <v>120</v>
      </c>
      <c r="AT3293">
        <v>-12</v>
      </c>
      <c r="AU3293">
        <v>0</v>
      </c>
      <c r="AW3293">
        <v>0</v>
      </c>
      <c r="AX3293">
        <v>0</v>
      </c>
      <c r="AY3293">
        <v>75.599999999999994</v>
      </c>
      <c r="BC3293" t="str">
        <f t="shared" ref="BC3293:BC3356" si="477">T("9791137602663")</f>
        <v>9791137602663</v>
      </c>
      <c r="BE3293" t="str">
        <f t="shared" ref="BE3293:BE3356" si="478">T("판타지 웹소설 &gt; 퓨전 판타지")</f>
        <v>판타지 웹소설 &gt; 퓨전 판타지</v>
      </c>
    </row>
    <row r="3294" spans="1:57" x14ac:dyDescent="0.3">
      <c r="A3294">
        <v>2313012849</v>
      </c>
      <c r="B3294">
        <v>2313012990</v>
      </c>
      <c r="C3294" t="str">
        <f>T("디버프 마스터 142화")</f>
        <v>디버프 마스터 142화</v>
      </c>
      <c r="D3294" t="str">
        <f>T("142")</f>
        <v>142</v>
      </c>
      <c r="E3294" t="str">
        <f t="shared" si="475"/>
        <v>담화공</v>
      </c>
      <c r="H3294" t="str">
        <f t="shared" si="474"/>
        <v>스토리위즈</v>
      </c>
      <c r="I3294" t="str">
        <f t="shared" si="476"/>
        <v>디버프 마스터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120</v>
      </c>
      <c r="AN3294">
        <v>-12</v>
      </c>
      <c r="AO3294">
        <v>0</v>
      </c>
      <c r="AP3294"/>
      <c r="AQ3294">
        <v>0</v>
      </c>
      <c r="AR3294">
        <v>0</v>
      </c>
      <c r="AS3294">
        <v>120</v>
      </c>
      <c r="AT3294">
        <v>-12</v>
      </c>
      <c r="AU3294">
        <v>0</v>
      </c>
      <c r="AW3294">
        <v>0</v>
      </c>
      <c r="AX3294">
        <v>0</v>
      </c>
      <c r="AY3294">
        <v>75.599999999999994</v>
      </c>
      <c r="BC3294" t="str">
        <f t="shared" si="477"/>
        <v>9791137602663</v>
      </c>
      <c r="BE3294" t="str">
        <f t="shared" si="478"/>
        <v>판타지 웹소설 &gt; 퓨전 판타지</v>
      </c>
    </row>
    <row r="3295" spans="1:57" x14ac:dyDescent="0.3">
      <c r="A3295">
        <v>2313012849</v>
      </c>
      <c r="B3295">
        <v>2313012991</v>
      </c>
      <c r="C3295" t="str">
        <f>T("디버프 마스터 143화")</f>
        <v>디버프 마스터 143화</v>
      </c>
      <c r="D3295" t="str">
        <f>T("143")</f>
        <v>143</v>
      </c>
      <c r="E3295" t="str">
        <f t="shared" si="475"/>
        <v>담화공</v>
      </c>
      <c r="H3295" t="str">
        <f t="shared" si="474"/>
        <v>스토리위즈</v>
      </c>
      <c r="I3295" t="str">
        <f t="shared" si="476"/>
        <v>디버프 마스터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120</v>
      </c>
      <c r="AN3295">
        <v>-12</v>
      </c>
      <c r="AO3295">
        <v>0</v>
      </c>
      <c r="AP3295"/>
      <c r="AQ3295">
        <v>0</v>
      </c>
      <c r="AR3295">
        <v>0</v>
      </c>
      <c r="AS3295">
        <v>120</v>
      </c>
      <c r="AT3295">
        <v>-12</v>
      </c>
      <c r="AU3295">
        <v>0</v>
      </c>
      <c r="AW3295">
        <v>0</v>
      </c>
      <c r="AX3295">
        <v>0</v>
      </c>
      <c r="AY3295">
        <v>75.599999999999994</v>
      </c>
      <c r="BC3295" t="str">
        <f t="shared" si="477"/>
        <v>9791137602663</v>
      </c>
      <c r="BE3295" t="str">
        <f t="shared" si="478"/>
        <v>판타지 웹소설 &gt; 퓨전 판타지</v>
      </c>
    </row>
    <row r="3296" spans="1:57" x14ac:dyDescent="0.3">
      <c r="A3296">
        <v>2313012849</v>
      </c>
      <c r="B3296">
        <v>2313012992</v>
      </c>
      <c r="C3296" t="str">
        <f>T("디버프 마스터 144화")</f>
        <v>디버프 마스터 144화</v>
      </c>
      <c r="D3296" t="str">
        <f>T("144")</f>
        <v>144</v>
      </c>
      <c r="E3296" t="str">
        <f t="shared" si="475"/>
        <v>담화공</v>
      </c>
      <c r="H3296" t="str">
        <f t="shared" si="474"/>
        <v>스토리위즈</v>
      </c>
      <c r="I3296" t="str">
        <f t="shared" si="476"/>
        <v>디버프 마스터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0</v>
      </c>
      <c r="AL3296">
        <v>0</v>
      </c>
      <c r="AM3296">
        <v>120</v>
      </c>
      <c r="AN3296">
        <v>-12</v>
      </c>
      <c r="AO3296">
        <v>0</v>
      </c>
      <c r="AP3296"/>
      <c r="AQ3296">
        <v>0</v>
      </c>
      <c r="AR3296">
        <v>0</v>
      </c>
      <c r="AS3296">
        <v>120</v>
      </c>
      <c r="AT3296">
        <v>-12</v>
      </c>
      <c r="AU3296">
        <v>0</v>
      </c>
      <c r="AW3296">
        <v>0</v>
      </c>
      <c r="AX3296">
        <v>0</v>
      </c>
      <c r="AY3296">
        <v>75.599999999999994</v>
      </c>
      <c r="BC3296" t="str">
        <f t="shared" si="477"/>
        <v>9791137602663</v>
      </c>
      <c r="BE3296" t="str">
        <f t="shared" si="478"/>
        <v>판타지 웹소설 &gt; 퓨전 판타지</v>
      </c>
    </row>
    <row r="3297" spans="1:57" x14ac:dyDescent="0.3">
      <c r="A3297">
        <v>2313012849</v>
      </c>
      <c r="B3297">
        <v>2313012993</v>
      </c>
      <c r="C3297" t="str">
        <f>T("디버프 마스터 145화")</f>
        <v>디버프 마스터 145화</v>
      </c>
      <c r="D3297" t="str">
        <f>T("145")</f>
        <v>145</v>
      </c>
      <c r="E3297" t="str">
        <f t="shared" si="475"/>
        <v>담화공</v>
      </c>
      <c r="H3297" t="str">
        <f t="shared" si="474"/>
        <v>스토리위즈</v>
      </c>
      <c r="I3297" t="str">
        <f t="shared" si="476"/>
        <v>디버프 마스터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0</v>
      </c>
      <c r="AL3297">
        <v>0</v>
      </c>
      <c r="AM3297">
        <v>120</v>
      </c>
      <c r="AN3297">
        <v>-12</v>
      </c>
      <c r="AO3297">
        <v>0</v>
      </c>
      <c r="AP3297"/>
      <c r="AQ3297">
        <v>0</v>
      </c>
      <c r="AR3297">
        <v>0</v>
      </c>
      <c r="AS3297">
        <v>120</v>
      </c>
      <c r="AT3297">
        <v>-12</v>
      </c>
      <c r="AU3297">
        <v>0</v>
      </c>
      <c r="AW3297">
        <v>0</v>
      </c>
      <c r="AX3297">
        <v>0</v>
      </c>
      <c r="AY3297">
        <v>75.599999999999994</v>
      </c>
      <c r="BC3297" t="str">
        <f t="shared" si="477"/>
        <v>9791137602663</v>
      </c>
      <c r="BE3297" t="str">
        <f t="shared" si="478"/>
        <v>판타지 웹소설 &gt; 퓨전 판타지</v>
      </c>
    </row>
    <row r="3298" spans="1:57" x14ac:dyDescent="0.3">
      <c r="A3298">
        <v>2313012849</v>
      </c>
      <c r="B3298">
        <v>2313012994</v>
      </c>
      <c r="C3298" t="str">
        <f>T("디버프 마스터 146화")</f>
        <v>디버프 마스터 146화</v>
      </c>
      <c r="D3298" t="str">
        <f>T("146")</f>
        <v>146</v>
      </c>
      <c r="E3298" t="str">
        <f t="shared" si="475"/>
        <v>담화공</v>
      </c>
      <c r="H3298" t="str">
        <f t="shared" si="474"/>
        <v>스토리위즈</v>
      </c>
      <c r="I3298" t="str">
        <f t="shared" si="476"/>
        <v>디버프 마스터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120</v>
      </c>
      <c r="AN3298">
        <v>-12</v>
      </c>
      <c r="AO3298">
        <v>0</v>
      </c>
      <c r="AP3298"/>
      <c r="AQ3298">
        <v>0</v>
      </c>
      <c r="AR3298">
        <v>0</v>
      </c>
      <c r="AS3298">
        <v>120</v>
      </c>
      <c r="AT3298">
        <v>-12</v>
      </c>
      <c r="AU3298">
        <v>0</v>
      </c>
      <c r="AW3298">
        <v>0</v>
      </c>
      <c r="AX3298">
        <v>0</v>
      </c>
      <c r="AY3298">
        <v>75.599999999999994</v>
      </c>
      <c r="BC3298" t="str">
        <f t="shared" si="477"/>
        <v>9791137602663</v>
      </c>
      <c r="BE3298" t="str">
        <f t="shared" si="478"/>
        <v>판타지 웹소설 &gt; 퓨전 판타지</v>
      </c>
    </row>
    <row r="3299" spans="1:57" x14ac:dyDescent="0.3">
      <c r="A3299">
        <v>2313012849</v>
      </c>
      <c r="B3299">
        <v>2313012995</v>
      </c>
      <c r="C3299" t="str">
        <f>T("디버프 마스터 147화")</f>
        <v>디버프 마스터 147화</v>
      </c>
      <c r="D3299" t="str">
        <f>T("147")</f>
        <v>147</v>
      </c>
      <c r="E3299" t="str">
        <f t="shared" si="475"/>
        <v>담화공</v>
      </c>
      <c r="H3299" t="str">
        <f t="shared" si="474"/>
        <v>스토리위즈</v>
      </c>
      <c r="I3299" t="str">
        <f t="shared" si="476"/>
        <v>디버프 마스터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120</v>
      </c>
      <c r="AN3299">
        <v>-12</v>
      </c>
      <c r="AO3299">
        <v>0</v>
      </c>
      <c r="AP3299"/>
      <c r="AQ3299">
        <v>0</v>
      </c>
      <c r="AR3299">
        <v>0</v>
      </c>
      <c r="AS3299">
        <v>120</v>
      </c>
      <c r="AT3299">
        <v>-12</v>
      </c>
      <c r="AU3299">
        <v>0</v>
      </c>
      <c r="AW3299">
        <v>0</v>
      </c>
      <c r="AX3299">
        <v>0</v>
      </c>
      <c r="AY3299">
        <v>75.599999999999994</v>
      </c>
      <c r="BC3299" t="str">
        <f t="shared" si="477"/>
        <v>9791137602663</v>
      </c>
      <c r="BE3299" t="str">
        <f t="shared" si="478"/>
        <v>판타지 웹소설 &gt; 퓨전 판타지</v>
      </c>
    </row>
    <row r="3300" spans="1:57" x14ac:dyDescent="0.3">
      <c r="A3300">
        <v>2313012849</v>
      </c>
      <c r="B3300">
        <v>2313012996</v>
      </c>
      <c r="C3300" t="str">
        <f>T("디버프 마스터 148화")</f>
        <v>디버프 마스터 148화</v>
      </c>
      <c r="D3300" t="str">
        <f>T("148")</f>
        <v>148</v>
      </c>
      <c r="E3300" t="str">
        <f t="shared" si="475"/>
        <v>담화공</v>
      </c>
      <c r="H3300" t="str">
        <f t="shared" si="474"/>
        <v>스토리위즈</v>
      </c>
      <c r="I3300" t="str">
        <f t="shared" si="476"/>
        <v>디버프 마스터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120</v>
      </c>
      <c r="AN3300">
        <v>-12</v>
      </c>
      <c r="AO3300">
        <v>0</v>
      </c>
      <c r="AP3300"/>
      <c r="AQ3300">
        <v>0</v>
      </c>
      <c r="AR3300">
        <v>0</v>
      </c>
      <c r="AS3300">
        <v>120</v>
      </c>
      <c r="AT3300">
        <v>-12</v>
      </c>
      <c r="AU3300">
        <v>0</v>
      </c>
      <c r="AW3300">
        <v>0</v>
      </c>
      <c r="AX3300">
        <v>0</v>
      </c>
      <c r="AY3300">
        <v>75.599999999999994</v>
      </c>
      <c r="BC3300" t="str">
        <f t="shared" si="477"/>
        <v>9791137602663</v>
      </c>
      <c r="BE3300" t="str">
        <f t="shared" si="478"/>
        <v>판타지 웹소설 &gt; 퓨전 판타지</v>
      </c>
    </row>
    <row r="3301" spans="1:57" x14ac:dyDescent="0.3">
      <c r="A3301">
        <v>2313012849</v>
      </c>
      <c r="B3301">
        <v>2313012997</v>
      </c>
      <c r="C3301" t="str">
        <f>T("디버프 마스터 149화")</f>
        <v>디버프 마스터 149화</v>
      </c>
      <c r="D3301" t="str">
        <f>T("149")</f>
        <v>149</v>
      </c>
      <c r="E3301" t="str">
        <f t="shared" si="475"/>
        <v>담화공</v>
      </c>
      <c r="H3301" t="str">
        <f t="shared" si="474"/>
        <v>스토리위즈</v>
      </c>
      <c r="I3301" t="str">
        <f t="shared" si="476"/>
        <v>디버프 마스터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0</v>
      </c>
      <c r="AL3301">
        <v>0</v>
      </c>
      <c r="AM3301">
        <v>120</v>
      </c>
      <c r="AN3301">
        <v>-12</v>
      </c>
      <c r="AO3301">
        <v>0</v>
      </c>
      <c r="AP3301"/>
      <c r="AQ3301">
        <v>0</v>
      </c>
      <c r="AR3301">
        <v>0</v>
      </c>
      <c r="AS3301">
        <v>120</v>
      </c>
      <c r="AT3301">
        <v>-12</v>
      </c>
      <c r="AU3301">
        <v>0</v>
      </c>
      <c r="AW3301">
        <v>0</v>
      </c>
      <c r="AX3301">
        <v>0</v>
      </c>
      <c r="AY3301">
        <v>75.599999999999994</v>
      </c>
      <c r="BC3301" t="str">
        <f t="shared" si="477"/>
        <v>9791137602663</v>
      </c>
      <c r="BE3301" t="str">
        <f t="shared" si="478"/>
        <v>판타지 웹소설 &gt; 퓨전 판타지</v>
      </c>
    </row>
    <row r="3302" spans="1:57" x14ac:dyDescent="0.3">
      <c r="A3302">
        <v>2313012849</v>
      </c>
      <c r="B3302">
        <v>2313012998</v>
      </c>
      <c r="C3302" t="str">
        <f>T("디버프 마스터 150화")</f>
        <v>디버프 마스터 150화</v>
      </c>
      <c r="D3302" t="str">
        <f>T("150")</f>
        <v>150</v>
      </c>
      <c r="E3302" t="str">
        <f t="shared" si="475"/>
        <v>담화공</v>
      </c>
      <c r="H3302" t="str">
        <f t="shared" si="474"/>
        <v>스토리위즈</v>
      </c>
      <c r="I3302" t="str">
        <f t="shared" si="476"/>
        <v>디버프 마스터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120</v>
      </c>
      <c r="AN3302">
        <v>-12</v>
      </c>
      <c r="AO3302">
        <v>0</v>
      </c>
      <c r="AP3302"/>
      <c r="AQ3302">
        <v>0</v>
      </c>
      <c r="AR3302">
        <v>0</v>
      </c>
      <c r="AS3302">
        <v>120</v>
      </c>
      <c r="AT3302">
        <v>-12</v>
      </c>
      <c r="AU3302">
        <v>0</v>
      </c>
      <c r="AW3302">
        <v>0</v>
      </c>
      <c r="AX3302">
        <v>0</v>
      </c>
      <c r="AY3302">
        <v>75.599999999999994</v>
      </c>
      <c r="BC3302" t="str">
        <f t="shared" si="477"/>
        <v>9791137602663</v>
      </c>
      <c r="BE3302" t="str">
        <f t="shared" si="478"/>
        <v>판타지 웹소설 &gt; 퓨전 판타지</v>
      </c>
    </row>
    <row r="3303" spans="1:57" x14ac:dyDescent="0.3">
      <c r="A3303">
        <v>2313012849</v>
      </c>
      <c r="B3303">
        <v>2313012999</v>
      </c>
      <c r="C3303" t="str">
        <f>T("디버프 마스터 151화")</f>
        <v>디버프 마스터 151화</v>
      </c>
      <c r="D3303" t="str">
        <f>T("151")</f>
        <v>151</v>
      </c>
      <c r="E3303" t="str">
        <f t="shared" si="475"/>
        <v>담화공</v>
      </c>
      <c r="H3303" t="str">
        <f t="shared" si="474"/>
        <v>스토리위즈</v>
      </c>
      <c r="I3303" t="str">
        <f t="shared" si="476"/>
        <v>디버프 마스터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120</v>
      </c>
      <c r="AN3303">
        <v>-12</v>
      </c>
      <c r="AO3303">
        <v>0</v>
      </c>
      <c r="AP3303"/>
      <c r="AQ3303">
        <v>0</v>
      </c>
      <c r="AR3303">
        <v>0</v>
      </c>
      <c r="AS3303">
        <v>120</v>
      </c>
      <c r="AT3303">
        <v>-12</v>
      </c>
      <c r="AU3303">
        <v>0</v>
      </c>
      <c r="AW3303">
        <v>0</v>
      </c>
      <c r="AX3303">
        <v>0</v>
      </c>
      <c r="AY3303">
        <v>75.599999999999994</v>
      </c>
      <c r="BC3303" t="str">
        <f t="shared" si="477"/>
        <v>9791137602663</v>
      </c>
      <c r="BE3303" t="str">
        <f t="shared" si="478"/>
        <v>판타지 웹소설 &gt; 퓨전 판타지</v>
      </c>
    </row>
    <row r="3304" spans="1:57" x14ac:dyDescent="0.3">
      <c r="A3304">
        <v>2313012849</v>
      </c>
      <c r="B3304">
        <v>2313013000</v>
      </c>
      <c r="C3304" t="str">
        <f>T("디버프 마스터 152화")</f>
        <v>디버프 마스터 152화</v>
      </c>
      <c r="D3304" t="str">
        <f>T("152")</f>
        <v>152</v>
      </c>
      <c r="E3304" t="str">
        <f t="shared" si="475"/>
        <v>담화공</v>
      </c>
      <c r="H3304" t="str">
        <f t="shared" si="474"/>
        <v>스토리위즈</v>
      </c>
      <c r="I3304" t="str">
        <f t="shared" si="476"/>
        <v>디버프 마스터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120</v>
      </c>
      <c r="AN3304">
        <v>-12</v>
      </c>
      <c r="AO3304">
        <v>0</v>
      </c>
      <c r="AP3304"/>
      <c r="AQ3304">
        <v>0</v>
      </c>
      <c r="AR3304">
        <v>0</v>
      </c>
      <c r="AS3304">
        <v>120</v>
      </c>
      <c r="AT3304">
        <v>-12</v>
      </c>
      <c r="AU3304">
        <v>0</v>
      </c>
      <c r="AW3304">
        <v>0</v>
      </c>
      <c r="AX3304">
        <v>0</v>
      </c>
      <c r="AY3304">
        <v>75.599999999999994</v>
      </c>
      <c r="BC3304" t="str">
        <f t="shared" si="477"/>
        <v>9791137602663</v>
      </c>
      <c r="BE3304" t="str">
        <f t="shared" si="478"/>
        <v>판타지 웹소설 &gt; 퓨전 판타지</v>
      </c>
    </row>
    <row r="3305" spans="1:57" x14ac:dyDescent="0.3">
      <c r="A3305">
        <v>2313012849</v>
      </c>
      <c r="B3305">
        <v>2313013001</v>
      </c>
      <c r="C3305" t="str">
        <f>T("디버프 마스터 153화")</f>
        <v>디버프 마스터 153화</v>
      </c>
      <c r="D3305" t="str">
        <f>T("153")</f>
        <v>153</v>
      </c>
      <c r="E3305" t="str">
        <f t="shared" si="475"/>
        <v>담화공</v>
      </c>
      <c r="H3305" t="str">
        <f t="shared" si="474"/>
        <v>스토리위즈</v>
      </c>
      <c r="I3305" t="str">
        <f t="shared" si="476"/>
        <v>디버프 마스터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120</v>
      </c>
      <c r="AN3305">
        <v>-12</v>
      </c>
      <c r="AO3305">
        <v>0</v>
      </c>
      <c r="AP3305"/>
      <c r="AQ3305">
        <v>0</v>
      </c>
      <c r="AR3305">
        <v>0</v>
      </c>
      <c r="AS3305">
        <v>120</v>
      </c>
      <c r="AT3305">
        <v>-12</v>
      </c>
      <c r="AU3305">
        <v>0</v>
      </c>
      <c r="AW3305">
        <v>0</v>
      </c>
      <c r="AX3305">
        <v>0</v>
      </c>
      <c r="AY3305">
        <v>75.599999999999994</v>
      </c>
      <c r="BC3305" t="str">
        <f t="shared" si="477"/>
        <v>9791137602663</v>
      </c>
      <c r="BE3305" t="str">
        <f t="shared" si="478"/>
        <v>판타지 웹소설 &gt; 퓨전 판타지</v>
      </c>
    </row>
    <row r="3306" spans="1:57" x14ac:dyDescent="0.3">
      <c r="A3306">
        <v>2313012849</v>
      </c>
      <c r="B3306">
        <v>2313013002</v>
      </c>
      <c r="C3306" t="str">
        <f>T("디버프 마스터 154화")</f>
        <v>디버프 마스터 154화</v>
      </c>
      <c r="D3306" t="str">
        <f>T("154")</f>
        <v>154</v>
      </c>
      <c r="E3306" t="str">
        <f t="shared" si="475"/>
        <v>담화공</v>
      </c>
      <c r="H3306" t="str">
        <f t="shared" si="474"/>
        <v>스토리위즈</v>
      </c>
      <c r="I3306" t="str">
        <f t="shared" si="476"/>
        <v>디버프 마스터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0</v>
      </c>
      <c r="AL3306">
        <v>0</v>
      </c>
      <c r="AM3306">
        <v>120</v>
      </c>
      <c r="AN3306">
        <v>-12</v>
      </c>
      <c r="AO3306">
        <v>0</v>
      </c>
      <c r="AP3306"/>
      <c r="AQ3306">
        <v>0</v>
      </c>
      <c r="AR3306">
        <v>0</v>
      </c>
      <c r="AS3306">
        <v>120</v>
      </c>
      <c r="AT3306">
        <v>-12</v>
      </c>
      <c r="AU3306">
        <v>0</v>
      </c>
      <c r="AW3306">
        <v>0</v>
      </c>
      <c r="AX3306">
        <v>0</v>
      </c>
      <c r="AY3306">
        <v>75.599999999999994</v>
      </c>
      <c r="BC3306" t="str">
        <f t="shared" si="477"/>
        <v>9791137602663</v>
      </c>
      <c r="BE3306" t="str">
        <f t="shared" si="478"/>
        <v>판타지 웹소설 &gt; 퓨전 판타지</v>
      </c>
    </row>
    <row r="3307" spans="1:57" x14ac:dyDescent="0.3">
      <c r="A3307">
        <v>2313012849</v>
      </c>
      <c r="B3307">
        <v>2313013003</v>
      </c>
      <c r="C3307" t="str">
        <f>T("디버프 마스터 155화")</f>
        <v>디버프 마스터 155화</v>
      </c>
      <c r="D3307" t="str">
        <f>T("155")</f>
        <v>155</v>
      </c>
      <c r="E3307" t="str">
        <f t="shared" si="475"/>
        <v>담화공</v>
      </c>
      <c r="H3307" t="str">
        <f t="shared" si="474"/>
        <v>스토리위즈</v>
      </c>
      <c r="I3307" t="str">
        <f t="shared" si="476"/>
        <v>디버프 마스터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120</v>
      </c>
      <c r="AN3307">
        <v>-12</v>
      </c>
      <c r="AO3307">
        <v>0</v>
      </c>
      <c r="AP3307"/>
      <c r="AQ3307">
        <v>0</v>
      </c>
      <c r="AR3307">
        <v>0</v>
      </c>
      <c r="AS3307">
        <v>120</v>
      </c>
      <c r="AT3307">
        <v>-12</v>
      </c>
      <c r="AU3307">
        <v>0</v>
      </c>
      <c r="AW3307">
        <v>0</v>
      </c>
      <c r="AX3307">
        <v>0</v>
      </c>
      <c r="AY3307">
        <v>75.599999999999994</v>
      </c>
      <c r="BC3307" t="str">
        <f t="shared" si="477"/>
        <v>9791137602663</v>
      </c>
      <c r="BE3307" t="str">
        <f t="shared" si="478"/>
        <v>판타지 웹소설 &gt; 퓨전 판타지</v>
      </c>
    </row>
    <row r="3308" spans="1:57" x14ac:dyDescent="0.3">
      <c r="A3308">
        <v>2313012849</v>
      </c>
      <c r="B3308">
        <v>2313013004</v>
      </c>
      <c r="C3308" t="str">
        <f>T("디버프 마스터 156화")</f>
        <v>디버프 마스터 156화</v>
      </c>
      <c r="D3308" t="str">
        <f>T("156")</f>
        <v>156</v>
      </c>
      <c r="E3308" t="str">
        <f t="shared" si="475"/>
        <v>담화공</v>
      </c>
      <c r="H3308" t="str">
        <f t="shared" si="474"/>
        <v>스토리위즈</v>
      </c>
      <c r="I3308" t="str">
        <f t="shared" si="476"/>
        <v>디버프 마스터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0</v>
      </c>
      <c r="AL3308">
        <v>0</v>
      </c>
      <c r="AM3308">
        <v>120</v>
      </c>
      <c r="AN3308">
        <v>-12</v>
      </c>
      <c r="AO3308">
        <v>0</v>
      </c>
      <c r="AP3308"/>
      <c r="AQ3308">
        <v>0</v>
      </c>
      <c r="AR3308">
        <v>0</v>
      </c>
      <c r="AS3308">
        <v>120</v>
      </c>
      <c r="AT3308">
        <v>-12</v>
      </c>
      <c r="AU3308">
        <v>0</v>
      </c>
      <c r="AW3308">
        <v>0</v>
      </c>
      <c r="AX3308">
        <v>0</v>
      </c>
      <c r="AY3308">
        <v>75.599999999999994</v>
      </c>
      <c r="BC3308" t="str">
        <f t="shared" si="477"/>
        <v>9791137602663</v>
      </c>
      <c r="BE3308" t="str">
        <f t="shared" si="478"/>
        <v>판타지 웹소설 &gt; 퓨전 판타지</v>
      </c>
    </row>
    <row r="3309" spans="1:57" x14ac:dyDescent="0.3">
      <c r="A3309">
        <v>2313012849</v>
      </c>
      <c r="B3309">
        <v>2313013008</v>
      </c>
      <c r="C3309" t="str">
        <f>T("디버프 마스터 160화")</f>
        <v>디버프 마스터 160화</v>
      </c>
      <c r="D3309" t="str">
        <f>T("160")</f>
        <v>160</v>
      </c>
      <c r="E3309" t="str">
        <f t="shared" si="475"/>
        <v>담화공</v>
      </c>
      <c r="H3309" t="str">
        <f t="shared" si="474"/>
        <v>스토리위즈</v>
      </c>
      <c r="I3309" t="str">
        <f t="shared" si="476"/>
        <v>디버프 마스터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/>
      <c r="AQ3309">
        <v>0</v>
      </c>
      <c r="AR3309">
        <v>0</v>
      </c>
      <c r="AT3309">
        <v>0</v>
      </c>
      <c r="AU3309">
        <v>0</v>
      </c>
      <c r="AW3309">
        <v>0</v>
      </c>
      <c r="AX3309">
        <v>0</v>
      </c>
      <c r="AY3309">
        <v>70</v>
      </c>
      <c r="BC3309" t="str">
        <f t="shared" si="477"/>
        <v>9791137602663</v>
      </c>
      <c r="BE3309" t="str">
        <f t="shared" si="478"/>
        <v>판타지 웹소설 &gt; 퓨전 판타지</v>
      </c>
    </row>
    <row r="3310" spans="1:57" x14ac:dyDescent="0.3">
      <c r="A3310">
        <v>2313012849</v>
      </c>
      <c r="B3310">
        <v>2313013009</v>
      </c>
      <c r="C3310" t="str">
        <f>T("디버프 마스터 161화")</f>
        <v>디버프 마스터 161화</v>
      </c>
      <c r="D3310" t="str">
        <f>T("161")</f>
        <v>161</v>
      </c>
      <c r="E3310" t="str">
        <f t="shared" si="475"/>
        <v>담화공</v>
      </c>
      <c r="H3310" t="str">
        <f t="shared" si="474"/>
        <v>스토리위즈</v>
      </c>
      <c r="I3310" t="str">
        <f t="shared" si="476"/>
        <v>디버프 마스터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/>
      <c r="AQ3310">
        <v>0</v>
      </c>
      <c r="AR3310">
        <v>0</v>
      </c>
      <c r="AT3310">
        <v>0</v>
      </c>
      <c r="AU3310">
        <v>0</v>
      </c>
      <c r="AW3310">
        <v>0</v>
      </c>
      <c r="AX3310">
        <v>0</v>
      </c>
      <c r="AY3310">
        <v>70</v>
      </c>
      <c r="BC3310" t="str">
        <f t="shared" si="477"/>
        <v>9791137602663</v>
      </c>
      <c r="BE3310" t="str">
        <f t="shared" si="478"/>
        <v>판타지 웹소설 &gt; 퓨전 판타지</v>
      </c>
    </row>
    <row r="3311" spans="1:57" x14ac:dyDescent="0.3">
      <c r="A3311">
        <v>2313012849</v>
      </c>
      <c r="B3311">
        <v>2313013010</v>
      </c>
      <c r="C3311" t="str">
        <f>T("디버프 마스터 162화")</f>
        <v>디버프 마스터 162화</v>
      </c>
      <c r="D3311" t="str">
        <f>T("162")</f>
        <v>162</v>
      </c>
      <c r="E3311" t="str">
        <f t="shared" si="475"/>
        <v>담화공</v>
      </c>
      <c r="H3311" t="str">
        <f t="shared" si="474"/>
        <v>스토리위즈</v>
      </c>
      <c r="I3311" t="str">
        <f t="shared" si="476"/>
        <v>디버프 마스터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/>
      <c r="AQ3311">
        <v>0</v>
      </c>
      <c r="AR3311">
        <v>0</v>
      </c>
      <c r="AT3311">
        <v>0</v>
      </c>
      <c r="AU3311">
        <v>0</v>
      </c>
      <c r="AW3311">
        <v>0</v>
      </c>
      <c r="AX3311">
        <v>0</v>
      </c>
      <c r="AY3311">
        <v>70</v>
      </c>
      <c r="BC3311" t="str">
        <f t="shared" si="477"/>
        <v>9791137602663</v>
      </c>
      <c r="BE3311" t="str">
        <f t="shared" si="478"/>
        <v>판타지 웹소설 &gt; 퓨전 판타지</v>
      </c>
    </row>
    <row r="3312" spans="1:57" x14ac:dyDescent="0.3">
      <c r="A3312">
        <v>2313012849</v>
      </c>
      <c r="B3312">
        <v>2313013011</v>
      </c>
      <c r="C3312" t="str">
        <f>T("디버프 마스터 163화")</f>
        <v>디버프 마스터 163화</v>
      </c>
      <c r="D3312" t="str">
        <f>T("163")</f>
        <v>163</v>
      </c>
      <c r="E3312" t="str">
        <f t="shared" si="475"/>
        <v>담화공</v>
      </c>
      <c r="H3312" t="str">
        <f t="shared" si="474"/>
        <v>스토리위즈</v>
      </c>
      <c r="I3312" t="str">
        <f t="shared" si="476"/>
        <v>디버프 마스터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/>
      <c r="AQ3312">
        <v>0</v>
      </c>
      <c r="AR3312">
        <v>0</v>
      </c>
      <c r="AT3312">
        <v>0</v>
      </c>
      <c r="AU3312">
        <v>0</v>
      </c>
      <c r="AW3312">
        <v>0</v>
      </c>
      <c r="AX3312">
        <v>0</v>
      </c>
      <c r="AY3312">
        <v>70</v>
      </c>
      <c r="BC3312" t="str">
        <f t="shared" si="477"/>
        <v>9791137602663</v>
      </c>
      <c r="BE3312" t="str">
        <f t="shared" si="478"/>
        <v>판타지 웹소설 &gt; 퓨전 판타지</v>
      </c>
    </row>
    <row r="3313" spans="1:57" x14ac:dyDescent="0.3">
      <c r="A3313">
        <v>2313012849</v>
      </c>
      <c r="B3313">
        <v>2313013012</v>
      </c>
      <c r="C3313" t="str">
        <f>T("디버프 마스터 164화")</f>
        <v>디버프 마스터 164화</v>
      </c>
      <c r="D3313" t="str">
        <f>T("164")</f>
        <v>164</v>
      </c>
      <c r="E3313" t="str">
        <f t="shared" si="475"/>
        <v>담화공</v>
      </c>
      <c r="H3313" t="str">
        <f t="shared" si="474"/>
        <v>스토리위즈</v>
      </c>
      <c r="I3313" t="str">
        <f t="shared" si="476"/>
        <v>디버프 마스터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/>
      <c r="AQ3313">
        <v>0</v>
      </c>
      <c r="AR3313">
        <v>0</v>
      </c>
      <c r="AT3313">
        <v>0</v>
      </c>
      <c r="AU3313">
        <v>0</v>
      </c>
      <c r="AW3313">
        <v>0</v>
      </c>
      <c r="AX3313">
        <v>0</v>
      </c>
      <c r="AY3313">
        <v>70</v>
      </c>
      <c r="BC3313" t="str">
        <f t="shared" si="477"/>
        <v>9791137602663</v>
      </c>
      <c r="BE3313" t="str">
        <f t="shared" si="478"/>
        <v>판타지 웹소설 &gt; 퓨전 판타지</v>
      </c>
    </row>
    <row r="3314" spans="1:57" x14ac:dyDescent="0.3">
      <c r="A3314">
        <v>2313012849</v>
      </c>
      <c r="B3314">
        <v>2313013013</v>
      </c>
      <c r="C3314" t="str">
        <f>T("디버프 마스터 165화")</f>
        <v>디버프 마스터 165화</v>
      </c>
      <c r="D3314" t="str">
        <f>T("165")</f>
        <v>165</v>
      </c>
      <c r="E3314" t="str">
        <f t="shared" si="475"/>
        <v>담화공</v>
      </c>
      <c r="H3314" t="str">
        <f t="shared" si="474"/>
        <v>스토리위즈</v>
      </c>
      <c r="I3314" t="str">
        <f t="shared" si="476"/>
        <v>디버프 마스터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/>
      <c r="AQ3314">
        <v>0</v>
      </c>
      <c r="AR3314">
        <v>0</v>
      </c>
      <c r="AT3314">
        <v>0</v>
      </c>
      <c r="AU3314">
        <v>0</v>
      </c>
      <c r="AW3314">
        <v>0</v>
      </c>
      <c r="AX3314">
        <v>0</v>
      </c>
      <c r="AY3314">
        <v>70</v>
      </c>
      <c r="BC3314" t="str">
        <f t="shared" si="477"/>
        <v>9791137602663</v>
      </c>
      <c r="BE3314" t="str">
        <f t="shared" si="478"/>
        <v>판타지 웹소설 &gt; 퓨전 판타지</v>
      </c>
    </row>
    <row r="3315" spans="1:57" x14ac:dyDescent="0.3">
      <c r="A3315">
        <v>2313012849</v>
      </c>
      <c r="B3315">
        <v>2313013014</v>
      </c>
      <c r="C3315" t="str">
        <f>T("디버프 마스터 166화")</f>
        <v>디버프 마스터 166화</v>
      </c>
      <c r="D3315" t="str">
        <f>T("166")</f>
        <v>166</v>
      </c>
      <c r="E3315" t="str">
        <f t="shared" si="475"/>
        <v>담화공</v>
      </c>
      <c r="H3315" t="str">
        <f t="shared" si="474"/>
        <v>스토리위즈</v>
      </c>
      <c r="I3315" t="str">
        <f t="shared" si="476"/>
        <v>디버프 마스터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/>
      <c r="AQ3315">
        <v>0</v>
      </c>
      <c r="AR3315">
        <v>0</v>
      </c>
      <c r="AT3315">
        <v>0</v>
      </c>
      <c r="AU3315">
        <v>0</v>
      </c>
      <c r="AW3315">
        <v>0</v>
      </c>
      <c r="AX3315">
        <v>0</v>
      </c>
      <c r="AY3315">
        <v>70</v>
      </c>
      <c r="BC3315" t="str">
        <f t="shared" si="477"/>
        <v>9791137602663</v>
      </c>
      <c r="BE3315" t="str">
        <f t="shared" si="478"/>
        <v>판타지 웹소설 &gt; 퓨전 판타지</v>
      </c>
    </row>
    <row r="3316" spans="1:57" x14ac:dyDescent="0.3">
      <c r="A3316">
        <v>2313012849</v>
      </c>
      <c r="B3316">
        <v>2313013015</v>
      </c>
      <c r="C3316" t="str">
        <f>T("디버프 마스터 167화")</f>
        <v>디버프 마스터 167화</v>
      </c>
      <c r="D3316" t="str">
        <f>T("167")</f>
        <v>167</v>
      </c>
      <c r="E3316" t="str">
        <f t="shared" si="475"/>
        <v>담화공</v>
      </c>
      <c r="H3316" t="str">
        <f t="shared" si="474"/>
        <v>스토리위즈</v>
      </c>
      <c r="I3316" t="str">
        <f t="shared" si="476"/>
        <v>디버프 마스터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/>
      <c r="AQ3316">
        <v>0</v>
      </c>
      <c r="AR3316">
        <v>0</v>
      </c>
      <c r="AT3316">
        <v>0</v>
      </c>
      <c r="AU3316">
        <v>0</v>
      </c>
      <c r="AW3316">
        <v>0</v>
      </c>
      <c r="AX3316">
        <v>0</v>
      </c>
      <c r="AY3316">
        <v>70</v>
      </c>
      <c r="BC3316" t="str">
        <f t="shared" si="477"/>
        <v>9791137602663</v>
      </c>
      <c r="BE3316" t="str">
        <f t="shared" si="478"/>
        <v>판타지 웹소설 &gt; 퓨전 판타지</v>
      </c>
    </row>
    <row r="3317" spans="1:57" x14ac:dyDescent="0.3">
      <c r="A3317">
        <v>2313012849</v>
      </c>
      <c r="B3317">
        <v>2313013016</v>
      </c>
      <c r="C3317" t="str">
        <f>T("디버프 마스터 168화")</f>
        <v>디버프 마스터 168화</v>
      </c>
      <c r="D3317" t="str">
        <f>T("168")</f>
        <v>168</v>
      </c>
      <c r="E3317" t="str">
        <f t="shared" si="475"/>
        <v>담화공</v>
      </c>
      <c r="H3317" t="str">
        <f t="shared" si="474"/>
        <v>스토리위즈</v>
      </c>
      <c r="I3317" t="str">
        <f t="shared" si="476"/>
        <v>디버프 마스터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/>
      <c r="AQ3317">
        <v>0</v>
      </c>
      <c r="AR3317">
        <v>0</v>
      </c>
      <c r="AT3317">
        <v>0</v>
      </c>
      <c r="AU3317">
        <v>0</v>
      </c>
      <c r="AW3317">
        <v>0</v>
      </c>
      <c r="AX3317">
        <v>0</v>
      </c>
      <c r="AY3317">
        <v>70</v>
      </c>
      <c r="BC3317" t="str">
        <f t="shared" si="477"/>
        <v>9791137602663</v>
      </c>
      <c r="BE3317" t="str">
        <f t="shared" si="478"/>
        <v>판타지 웹소설 &gt; 퓨전 판타지</v>
      </c>
    </row>
    <row r="3318" spans="1:57" x14ac:dyDescent="0.3">
      <c r="A3318">
        <v>2313012849</v>
      </c>
      <c r="B3318">
        <v>2313013017</v>
      </c>
      <c r="C3318" t="str">
        <f>T("디버프 마스터 169화")</f>
        <v>디버프 마스터 169화</v>
      </c>
      <c r="D3318" t="str">
        <f>T("169")</f>
        <v>169</v>
      </c>
      <c r="E3318" t="str">
        <f t="shared" si="475"/>
        <v>담화공</v>
      </c>
      <c r="H3318" t="str">
        <f t="shared" si="474"/>
        <v>스토리위즈</v>
      </c>
      <c r="I3318" t="str">
        <f t="shared" si="476"/>
        <v>디버프 마스터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/>
      <c r="AQ3318">
        <v>0</v>
      </c>
      <c r="AR3318">
        <v>0</v>
      </c>
      <c r="AT3318">
        <v>0</v>
      </c>
      <c r="AU3318">
        <v>0</v>
      </c>
      <c r="AW3318">
        <v>0</v>
      </c>
      <c r="AX3318">
        <v>0</v>
      </c>
      <c r="AY3318">
        <v>70</v>
      </c>
      <c r="BC3318" t="str">
        <f t="shared" si="477"/>
        <v>9791137602663</v>
      </c>
      <c r="BE3318" t="str">
        <f t="shared" si="478"/>
        <v>판타지 웹소설 &gt; 퓨전 판타지</v>
      </c>
    </row>
    <row r="3319" spans="1:57" x14ac:dyDescent="0.3">
      <c r="A3319">
        <v>2313012849</v>
      </c>
      <c r="B3319">
        <v>2313013018</v>
      </c>
      <c r="C3319" t="str">
        <f>T("디버프 마스터 170화")</f>
        <v>디버프 마스터 170화</v>
      </c>
      <c r="D3319" t="str">
        <f>T("170")</f>
        <v>170</v>
      </c>
      <c r="E3319" t="str">
        <f t="shared" si="475"/>
        <v>담화공</v>
      </c>
      <c r="H3319" t="str">
        <f t="shared" si="474"/>
        <v>스토리위즈</v>
      </c>
      <c r="I3319" t="str">
        <f t="shared" si="476"/>
        <v>디버프 마스터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/>
      <c r="AQ3319">
        <v>0</v>
      </c>
      <c r="AR3319">
        <v>0</v>
      </c>
      <c r="AT3319">
        <v>0</v>
      </c>
      <c r="AU3319">
        <v>0</v>
      </c>
      <c r="AW3319">
        <v>0</v>
      </c>
      <c r="AX3319">
        <v>0</v>
      </c>
      <c r="AY3319">
        <v>70</v>
      </c>
      <c r="BC3319" t="str">
        <f t="shared" si="477"/>
        <v>9791137602663</v>
      </c>
      <c r="BE3319" t="str">
        <f t="shared" si="478"/>
        <v>판타지 웹소설 &gt; 퓨전 판타지</v>
      </c>
    </row>
    <row r="3320" spans="1:57" x14ac:dyDescent="0.3">
      <c r="A3320">
        <v>2313012849</v>
      </c>
      <c r="B3320">
        <v>2313013022</v>
      </c>
      <c r="C3320" t="str">
        <f>T("디버프 마스터 174화")</f>
        <v>디버프 마스터 174화</v>
      </c>
      <c r="D3320" t="str">
        <f>T("174")</f>
        <v>174</v>
      </c>
      <c r="E3320" t="str">
        <f t="shared" si="475"/>
        <v>담화공</v>
      </c>
      <c r="H3320" t="str">
        <f t="shared" si="474"/>
        <v>스토리위즈</v>
      </c>
      <c r="I3320" t="str">
        <f t="shared" si="476"/>
        <v>디버프 마스터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/>
      <c r="AQ3320">
        <v>0</v>
      </c>
      <c r="AR3320">
        <v>0</v>
      </c>
      <c r="AT3320">
        <v>0</v>
      </c>
      <c r="AU3320">
        <v>0</v>
      </c>
      <c r="AW3320">
        <v>0</v>
      </c>
      <c r="AX3320">
        <v>0</v>
      </c>
      <c r="AY3320">
        <v>70</v>
      </c>
      <c r="BC3320" t="str">
        <f t="shared" si="477"/>
        <v>9791137602663</v>
      </c>
      <c r="BE3320" t="str">
        <f t="shared" si="478"/>
        <v>판타지 웹소설 &gt; 퓨전 판타지</v>
      </c>
    </row>
    <row r="3321" spans="1:57" x14ac:dyDescent="0.3">
      <c r="A3321">
        <v>2313012849</v>
      </c>
      <c r="B3321">
        <v>2313013086</v>
      </c>
      <c r="C3321" t="str">
        <f>T("디버프 마스터 238화")</f>
        <v>디버프 마스터 238화</v>
      </c>
      <c r="D3321" t="str">
        <f>T("238")</f>
        <v>238</v>
      </c>
      <c r="E3321" t="str">
        <f t="shared" si="475"/>
        <v>담화공</v>
      </c>
      <c r="H3321" t="str">
        <f t="shared" si="474"/>
        <v>스토리위즈</v>
      </c>
      <c r="I3321" t="str">
        <f t="shared" si="476"/>
        <v>디버프 마스터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/>
      <c r="AQ3321">
        <v>0</v>
      </c>
      <c r="AR3321">
        <v>0</v>
      </c>
      <c r="AT3321">
        <v>0</v>
      </c>
      <c r="AU3321">
        <v>0</v>
      </c>
      <c r="AW3321">
        <v>0</v>
      </c>
      <c r="AX3321">
        <v>0</v>
      </c>
      <c r="AY3321">
        <v>70</v>
      </c>
      <c r="BC3321" t="str">
        <f t="shared" si="477"/>
        <v>9791137602663</v>
      </c>
      <c r="BE3321" t="str">
        <f t="shared" si="478"/>
        <v>판타지 웹소설 &gt; 퓨전 판타지</v>
      </c>
    </row>
    <row r="3322" spans="1:57" x14ac:dyDescent="0.3">
      <c r="A3322">
        <v>2313012849</v>
      </c>
      <c r="B3322">
        <v>2313013129</v>
      </c>
      <c r="C3322" t="str">
        <f>T("디버프 마스터 281화")</f>
        <v>디버프 마스터 281화</v>
      </c>
      <c r="D3322" t="str">
        <f>T("281")</f>
        <v>281</v>
      </c>
      <c r="E3322" t="str">
        <f t="shared" si="475"/>
        <v>담화공</v>
      </c>
      <c r="H3322" t="str">
        <f t="shared" si="474"/>
        <v>스토리위즈</v>
      </c>
      <c r="I3322" t="str">
        <f t="shared" si="476"/>
        <v>디버프 마스터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/>
      <c r="AQ3322">
        <v>0</v>
      </c>
      <c r="AR3322">
        <v>0</v>
      </c>
      <c r="AT3322">
        <v>0</v>
      </c>
      <c r="AU3322">
        <v>0</v>
      </c>
      <c r="AW3322">
        <v>0</v>
      </c>
      <c r="AX3322">
        <v>0</v>
      </c>
      <c r="AY3322">
        <v>70</v>
      </c>
      <c r="BC3322" t="str">
        <f t="shared" si="477"/>
        <v>9791137602663</v>
      </c>
      <c r="BE3322" t="str">
        <f t="shared" si="478"/>
        <v>판타지 웹소설 &gt; 퓨전 판타지</v>
      </c>
    </row>
    <row r="3323" spans="1:57" x14ac:dyDescent="0.3">
      <c r="A3323">
        <v>2313012849</v>
      </c>
      <c r="B3323">
        <v>2313013198</v>
      </c>
      <c r="C3323" t="str">
        <f>T("디버프 마스터 350화")</f>
        <v>디버프 마스터 350화</v>
      </c>
      <c r="D3323" t="str">
        <f>T("350")</f>
        <v>350</v>
      </c>
      <c r="E3323" t="str">
        <f t="shared" si="475"/>
        <v>담화공</v>
      </c>
      <c r="H3323" t="str">
        <f t="shared" si="474"/>
        <v>스토리위즈</v>
      </c>
      <c r="I3323" t="str">
        <f t="shared" si="476"/>
        <v>디버프 마스터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/>
      <c r="AQ3323">
        <v>0</v>
      </c>
      <c r="AR3323">
        <v>0</v>
      </c>
      <c r="AT3323">
        <v>0</v>
      </c>
      <c r="AU3323">
        <v>0</v>
      </c>
      <c r="AW3323">
        <v>0</v>
      </c>
      <c r="AX3323">
        <v>0</v>
      </c>
      <c r="AY3323">
        <v>70</v>
      </c>
      <c r="BC3323" t="str">
        <f t="shared" si="477"/>
        <v>9791137602663</v>
      </c>
      <c r="BE3323" t="str">
        <f t="shared" si="478"/>
        <v>판타지 웹소설 &gt; 퓨전 판타지</v>
      </c>
    </row>
    <row r="3324" spans="1:57" x14ac:dyDescent="0.3">
      <c r="A3324">
        <v>2313012849</v>
      </c>
      <c r="B3324">
        <v>2313013429</v>
      </c>
      <c r="C3324" t="str">
        <f>T("디버프 마스터 581화")</f>
        <v>디버프 마스터 581화</v>
      </c>
      <c r="D3324" t="str">
        <f>T("581")</f>
        <v>581</v>
      </c>
      <c r="E3324" t="str">
        <f t="shared" si="475"/>
        <v>담화공</v>
      </c>
      <c r="H3324" t="str">
        <f t="shared" si="474"/>
        <v>스토리위즈</v>
      </c>
      <c r="I3324" t="str">
        <f t="shared" si="476"/>
        <v>디버프 마스터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/>
      <c r="AQ3324">
        <v>0</v>
      </c>
      <c r="AR3324">
        <v>0</v>
      </c>
      <c r="AT3324">
        <v>0</v>
      </c>
      <c r="AU3324">
        <v>0</v>
      </c>
      <c r="AW3324">
        <v>0</v>
      </c>
      <c r="AX3324">
        <v>0</v>
      </c>
      <c r="AY3324">
        <v>70</v>
      </c>
      <c r="BC3324" t="str">
        <f t="shared" si="477"/>
        <v>9791137602663</v>
      </c>
      <c r="BE3324" t="str">
        <f t="shared" si="478"/>
        <v>판타지 웹소설 &gt; 퓨전 판타지</v>
      </c>
    </row>
    <row r="3325" spans="1:57" x14ac:dyDescent="0.3">
      <c r="A3325">
        <v>2313012849</v>
      </c>
      <c r="B3325">
        <v>2313013430</v>
      </c>
      <c r="C3325" t="str">
        <f>T("디버프 마스터 582화")</f>
        <v>디버프 마스터 582화</v>
      </c>
      <c r="D3325" t="str">
        <f>T("582")</f>
        <v>582</v>
      </c>
      <c r="E3325" t="str">
        <f t="shared" si="475"/>
        <v>담화공</v>
      </c>
      <c r="H3325" t="str">
        <f t="shared" si="474"/>
        <v>스토리위즈</v>
      </c>
      <c r="I3325" t="str">
        <f t="shared" si="476"/>
        <v>디버프 마스터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/>
      <c r="AQ3325">
        <v>0</v>
      </c>
      <c r="AR3325">
        <v>0</v>
      </c>
      <c r="AT3325">
        <v>0</v>
      </c>
      <c r="AU3325">
        <v>0</v>
      </c>
      <c r="AW3325">
        <v>0</v>
      </c>
      <c r="AX3325">
        <v>0</v>
      </c>
      <c r="AY3325">
        <v>70</v>
      </c>
      <c r="BC3325" t="str">
        <f t="shared" si="477"/>
        <v>9791137602663</v>
      </c>
      <c r="BE3325" t="str">
        <f t="shared" si="478"/>
        <v>판타지 웹소설 &gt; 퓨전 판타지</v>
      </c>
    </row>
    <row r="3326" spans="1:57" x14ac:dyDescent="0.3">
      <c r="A3326">
        <v>2313012849</v>
      </c>
      <c r="B3326">
        <v>2313013431</v>
      </c>
      <c r="C3326" t="str">
        <f>T("디버프 마스터 583화")</f>
        <v>디버프 마스터 583화</v>
      </c>
      <c r="D3326" t="str">
        <f>T("583")</f>
        <v>583</v>
      </c>
      <c r="E3326" t="str">
        <f t="shared" si="475"/>
        <v>담화공</v>
      </c>
      <c r="H3326" t="str">
        <f t="shared" si="474"/>
        <v>스토리위즈</v>
      </c>
      <c r="I3326" t="str">
        <f t="shared" si="476"/>
        <v>디버프 마스터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/>
      <c r="AQ3326">
        <v>0</v>
      </c>
      <c r="AR3326">
        <v>0</v>
      </c>
      <c r="AT3326">
        <v>0</v>
      </c>
      <c r="AU3326">
        <v>0</v>
      </c>
      <c r="AW3326">
        <v>0</v>
      </c>
      <c r="AX3326">
        <v>0</v>
      </c>
      <c r="AY3326">
        <v>70</v>
      </c>
      <c r="BC3326" t="str">
        <f t="shared" si="477"/>
        <v>9791137602663</v>
      </c>
      <c r="BE3326" t="str">
        <f t="shared" si="478"/>
        <v>판타지 웹소설 &gt; 퓨전 판타지</v>
      </c>
    </row>
    <row r="3327" spans="1:57" x14ac:dyDescent="0.3">
      <c r="A3327">
        <v>2313012849</v>
      </c>
      <c r="B3327">
        <v>2313013432</v>
      </c>
      <c r="C3327" t="str">
        <f>T("디버프 마스터 584화")</f>
        <v>디버프 마스터 584화</v>
      </c>
      <c r="D3327" t="str">
        <f>T("584")</f>
        <v>584</v>
      </c>
      <c r="E3327" t="str">
        <f t="shared" si="475"/>
        <v>담화공</v>
      </c>
      <c r="H3327" t="str">
        <f t="shared" si="474"/>
        <v>스토리위즈</v>
      </c>
      <c r="I3327" t="str">
        <f t="shared" si="476"/>
        <v>디버프 마스터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/>
      <c r="AQ3327">
        <v>0</v>
      </c>
      <c r="AR3327">
        <v>0</v>
      </c>
      <c r="AT3327">
        <v>0</v>
      </c>
      <c r="AU3327">
        <v>0</v>
      </c>
      <c r="AW3327">
        <v>0</v>
      </c>
      <c r="AX3327">
        <v>0</v>
      </c>
      <c r="AY3327">
        <v>70</v>
      </c>
      <c r="BC3327" t="str">
        <f t="shared" si="477"/>
        <v>9791137602663</v>
      </c>
      <c r="BE3327" t="str">
        <f t="shared" si="478"/>
        <v>판타지 웹소설 &gt; 퓨전 판타지</v>
      </c>
    </row>
    <row r="3328" spans="1:57" x14ac:dyDescent="0.3">
      <c r="A3328">
        <v>2313012849</v>
      </c>
      <c r="B3328">
        <v>2313013433</v>
      </c>
      <c r="C3328" t="str">
        <f>T("디버프 마스터 585화")</f>
        <v>디버프 마스터 585화</v>
      </c>
      <c r="D3328" t="str">
        <f>T("585")</f>
        <v>585</v>
      </c>
      <c r="E3328" t="str">
        <f t="shared" si="475"/>
        <v>담화공</v>
      </c>
      <c r="H3328" t="str">
        <f t="shared" si="474"/>
        <v>스토리위즈</v>
      </c>
      <c r="I3328" t="str">
        <f t="shared" si="476"/>
        <v>디버프 마스터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/>
      <c r="AQ3328">
        <v>0</v>
      </c>
      <c r="AR3328">
        <v>0</v>
      </c>
      <c r="AT3328">
        <v>0</v>
      </c>
      <c r="AU3328">
        <v>0</v>
      </c>
      <c r="AW3328">
        <v>0</v>
      </c>
      <c r="AX3328">
        <v>0</v>
      </c>
      <c r="AY3328">
        <v>70</v>
      </c>
      <c r="BC3328" t="str">
        <f t="shared" si="477"/>
        <v>9791137602663</v>
      </c>
      <c r="BE3328" t="str">
        <f t="shared" si="478"/>
        <v>판타지 웹소설 &gt; 퓨전 판타지</v>
      </c>
    </row>
    <row r="3329" spans="1:57" x14ac:dyDescent="0.3">
      <c r="A3329">
        <v>2313012849</v>
      </c>
      <c r="B3329">
        <v>2313013434</v>
      </c>
      <c r="C3329" t="str">
        <f>T("디버프 마스터 586화")</f>
        <v>디버프 마스터 586화</v>
      </c>
      <c r="D3329" t="str">
        <f>T("586")</f>
        <v>586</v>
      </c>
      <c r="E3329" t="str">
        <f t="shared" si="475"/>
        <v>담화공</v>
      </c>
      <c r="H3329" t="str">
        <f t="shared" si="474"/>
        <v>스토리위즈</v>
      </c>
      <c r="I3329" t="str">
        <f t="shared" si="476"/>
        <v>디버프 마스터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/>
      <c r="AQ3329">
        <v>0</v>
      </c>
      <c r="AR3329">
        <v>0</v>
      </c>
      <c r="AT3329">
        <v>0</v>
      </c>
      <c r="AU3329">
        <v>0</v>
      </c>
      <c r="AW3329">
        <v>0</v>
      </c>
      <c r="AX3329">
        <v>0</v>
      </c>
      <c r="AY3329">
        <v>70</v>
      </c>
      <c r="BC3329" t="str">
        <f t="shared" si="477"/>
        <v>9791137602663</v>
      </c>
      <c r="BE3329" t="str">
        <f t="shared" si="478"/>
        <v>판타지 웹소설 &gt; 퓨전 판타지</v>
      </c>
    </row>
    <row r="3330" spans="1:57" x14ac:dyDescent="0.3">
      <c r="A3330">
        <v>2313012849</v>
      </c>
      <c r="B3330">
        <v>2313013435</v>
      </c>
      <c r="C3330" t="str">
        <f>T("디버프 마스터 587화")</f>
        <v>디버프 마스터 587화</v>
      </c>
      <c r="D3330" t="str">
        <f>T("587")</f>
        <v>587</v>
      </c>
      <c r="E3330" t="str">
        <f t="shared" si="475"/>
        <v>담화공</v>
      </c>
      <c r="H3330" t="str">
        <f t="shared" si="474"/>
        <v>스토리위즈</v>
      </c>
      <c r="I3330" t="str">
        <f t="shared" si="476"/>
        <v>디버프 마스터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/>
      <c r="AQ3330">
        <v>0</v>
      </c>
      <c r="AR3330">
        <v>0</v>
      </c>
      <c r="AT3330">
        <v>0</v>
      </c>
      <c r="AU3330">
        <v>0</v>
      </c>
      <c r="AW3330">
        <v>0</v>
      </c>
      <c r="AX3330">
        <v>0</v>
      </c>
      <c r="AY3330">
        <v>70</v>
      </c>
      <c r="BC3330" t="str">
        <f t="shared" si="477"/>
        <v>9791137602663</v>
      </c>
      <c r="BE3330" t="str">
        <f t="shared" si="478"/>
        <v>판타지 웹소설 &gt; 퓨전 판타지</v>
      </c>
    </row>
    <row r="3331" spans="1:57" x14ac:dyDescent="0.3">
      <c r="A3331">
        <v>2313012849</v>
      </c>
      <c r="B3331">
        <v>2313013436</v>
      </c>
      <c r="C3331" t="str">
        <f>T("디버프 마스터 588화")</f>
        <v>디버프 마스터 588화</v>
      </c>
      <c r="D3331" t="str">
        <f>T("588")</f>
        <v>588</v>
      </c>
      <c r="E3331" t="str">
        <f t="shared" si="475"/>
        <v>담화공</v>
      </c>
      <c r="H3331" t="str">
        <f t="shared" si="474"/>
        <v>스토리위즈</v>
      </c>
      <c r="I3331" t="str">
        <f t="shared" si="476"/>
        <v>디버프 마스터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/>
      <c r="AQ3331">
        <v>0</v>
      </c>
      <c r="AR3331">
        <v>0</v>
      </c>
      <c r="AT3331">
        <v>0</v>
      </c>
      <c r="AU3331">
        <v>0</v>
      </c>
      <c r="AW3331">
        <v>0</v>
      </c>
      <c r="AX3331">
        <v>0</v>
      </c>
      <c r="AY3331">
        <v>70</v>
      </c>
      <c r="BC3331" t="str">
        <f t="shared" si="477"/>
        <v>9791137602663</v>
      </c>
      <c r="BE3331" t="str">
        <f t="shared" si="478"/>
        <v>판타지 웹소설 &gt; 퓨전 판타지</v>
      </c>
    </row>
    <row r="3332" spans="1:57" x14ac:dyDescent="0.3">
      <c r="A3332">
        <v>2313012849</v>
      </c>
      <c r="B3332">
        <v>2313013437</v>
      </c>
      <c r="C3332" t="str">
        <f>T("디버프 마스터 589화")</f>
        <v>디버프 마스터 589화</v>
      </c>
      <c r="D3332" t="str">
        <f>T("589")</f>
        <v>589</v>
      </c>
      <c r="E3332" t="str">
        <f t="shared" si="475"/>
        <v>담화공</v>
      </c>
      <c r="H3332" t="str">
        <f t="shared" si="474"/>
        <v>스토리위즈</v>
      </c>
      <c r="I3332" t="str">
        <f t="shared" si="476"/>
        <v>디버프 마스터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/>
      <c r="AQ3332">
        <v>0</v>
      </c>
      <c r="AR3332">
        <v>0</v>
      </c>
      <c r="AT3332">
        <v>0</v>
      </c>
      <c r="AU3332">
        <v>0</v>
      </c>
      <c r="AW3332">
        <v>0</v>
      </c>
      <c r="AX3332">
        <v>0</v>
      </c>
      <c r="AY3332">
        <v>70</v>
      </c>
      <c r="BC3332" t="str">
        <f t="shared" si="477"/>
        <v>9791137602663</v>
      </c>
      <c r="BE3332" t="str">
        <f t="shared" si="478"/>
        <v>판타지 웹소설 &gt; 퓨전 판타지</v>
      </c>
    </row>
    <row r="3333" spans="1:57" x14ac:dyDescent="0.3">
      <c r="A3333">
        <v>2313012849</v>
      </c>
      <c r="B3333">
        <v>2313013438</v>
      </c>
      <c r="C3333" t="str">
        <f>T("디버프 마스터 590화")</f>
        <v>디버프 마스터 590화</v>
      </c>
      <c r="D3333" t="str">
        <f>T("590")</f>
        <v>590</v>
      </c>
      <c r="E3333" t="str">
        <f t="shared" si="475"/>
        <v>담화공</v>
      </c>
      <c r="H3333" t="str">
        <f t="shared" si="474"/>
        <v>스토리위즈</v>
      </c>
      <c r="I3333" t="str">
        <f t="shared" si="476"/>
        <v>디버프 마스터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/>
      <c r="AQ3333">
        <v>0</v>
      </c>
      <c r="AR3333">
        <v>0</v>
      </c>
      <c r="AT3333">
        <v>0</v>
      </c>
      <c r="AU3333">
        <v>0</v>
      </c>
      <c r="AW3333">
        <v>0</v>
      </c>
      <c r="AX3333">
        <v>0</v>
      </c>
      <c r="AY3333">
        <v>70</v>
      </c>
      <c r="BC3333" t="str">
        <f t="shared" si="477"/>
        <v>9791137602663</v>
      </c>
      <c r="BE3333" t="str">
        <f t="shared" si="478"/>
        <v>판타지 웹소설 &gt; 퓨전 판타지</v>
      </c>
    </row>
    <row r="3334" spans="1:57" x14ac:dyDescent="0.3">
      <c r="A3334">
        <v>2313012849</v>
      </c>
      <c r="B3334">
        <v>2313013439</v>
      </c>
      <c r="C3334" t="str">
        <f>T("디버프 마스터 591화")</f>
        <v>디버프 마스터 591화</v>
      </c>
      <c r="D3334" t="str">
        <f>T("591")</f>
        <v>591</v>
      </c>
      <c r="E3334" t="str">
        <f t="shared" si="475"/>
        <v>담화공</v>
      </c>
      <c r="H3334" t="str">
        <f t="shared" si="474"/>
        <v>스토리위즈</v>
      </c>
      <c r="I3334" t="str">
        <f t="shared" si="476"/>
        <v>디버프 마스터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/>
      <c r="AQ3334">
        <v>0</v>
      </c>
      <c r="AR3334">
        <v>0</v>
      </c>
      <c r="AT3334">
        <v>0</v>
      </c>
      <c r="AU3334">
        <v>0</v>
      </c>
      <c r="AW3334">
        <v>0</v>
      </c>
      <c r="AX3334">
        <v>0</v>
      </c>
      <c r="AY3334">
        <v>70</v>
      </c>
      <c r="BC3334" t="str">
        <f t="shared" si="477"/>
        <v>9791137602663</v>
      </c>
      <c r="BE3334" t="str">
        <f t="shared" si="478"/>
        <v>판타지 웹소설 &gt; 퓨전 판타지</v>
      </c>
    </row>
    <row r="3335" spans="1:57" x14ac:dyDescent="0.3">
      <c r="A3335">
        <v>2313012849</v>
      </c>
      <c r="B3335">
        <v>2313013440</v>
      </c>
      <c r="C3335" t="str">
        <f>T("디버프 마스터 592화")</f>
        <v>디버프 마스터 592화</v>
      </c>
      <c r="D3335" t="str">
        <f>T("592")</f>
        <v>592</v>
      </c>
      <c r="E3335" t="str">
        <f t="shared" si="475"/>
        <v>담화공</v>
      </c>
      <c r="H3335" t="str">
        <f t="shared" si="474"/>
        <v>스토리위즈</v>
      </c>
      <c r="I3335" t="str">
        <f t="shared" si="476"/>
        <v>디버프 마스터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/>
      <c r="AQ3335">
        <v>0</v>
      </c>
      <c r="AR3335">
        <v>0</v>
      </c>
      <c r="AT3335">
        <v>0</v>
      </c>
      <c r="AU3335">
        <v>0</v>
      </c>
      <c r="AW3335">
        <v>0</v>
      </c>
      <c r="AX3335">
        <v>0</v>
      </c>
      <c r="AY3335">
        <v>70</v>
      </c>
      <c r="BC3335" t="str">
        <f t="shared" si="477"/>
        <v>9791137602663</v>
      </c>
      <c r="BE3335" t="str">
        <f t="shared" si="478"/>
        <v>판타지 웹소설 &gt; 퓨전 판타지</v>
      </c>
    </row>
    <row r="3336" spans="1:57" x14ac:dyDescent="0.3">
      <c r="A3336">
        <v>2313012849</v>
      </c>
      <c r="B3336">
        <v>2313013441</v>
      </c>
      <c r="C3336" t="str">
        <f>T("디버프 마스터 593화")</f>
        <v>디버프 마스터 593화</v>
      </c>
      <c r="D3336" t="str">
        <f>T("593")</f>
        <v>593</v>
      </c>
      <c r="E3336" t="str">
        <f t="shared" si="475"/>
        <v>담화공</v>
      </c>
      <c r="H3336" t="str">
        <f t="shared" si="474"/>
        <v>스토리위즈</v>
      </c>
      <c r="I3336" t="str">
        <f t="shared" si="476"/>
        <v>디버프 마스터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/>
      <c r="AQ3336">
        <v>0</v>
      </c>
      <c r="AR3336">
        <v>0</v>
      </c>
      <c r="AT3336">
        <v>0</v>
      </c>
      <c r="AU3336">
        <v>0</v>
      </c>
      <c r="AW3336">
        <v>0</v>
      </c>
      <c r="AX3336">
        <v>0</v>
      </c>
      <c r="AY3336">
        <v>70</v>
      </c>
      <c r="BC3336" t="str">
        <f t="shared" si="477"/>
        <v>9791137602663</v>
      </c>
      <c r="BE3336" t="str">
        <f t="shared" si="478"/>
        <v>판타지 웹소설 &gt; 퓨전 판타지</v>
      </c>
    </row>
    <row r="3337" spans="1:57" x14ac:dyDescent="0.3">
      <c r="A3337">
        <v>2313012849</v>
      </c>
      <c r="B3337">
        <v>2313013442</v>
      </c>
      <c r="C3337" t="str">
        <f>T("디버프 마스터 594화")</f>
        <v>디버프 마스터 594화</v>
      </c>
      <c r="D3337" t="str">
        <f>T("594")</f>
        <v>594</v>
      </c>
      <c r="E3337" t="str">
        <f t="shared" si="475"/>
        <v>담화공</v>
      </c>
      <c r="H3337" t="str">
        <f t="shared" si="474"/>
        <v>스토리위즈</v>
      </c>
      <c r="I3337" t="str">
        <f t="shared" si="476"/>
        <v>디버프 마스터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/>
      <c r="AQ3337">
        <v>0</v>
      </c>
      <c r="AR3337">
        <v>0</v>
      </c>
      <c r="AT3337">
        <v>0</v>
      </c>
      <c r="AU3337">
        <v>0</v>
      </c>
      <c r="AW3337">
        <v>0</v>
      </c>
      <c r="AX3337">
        <v>0</v>
      </c>
      <c r="AY3337">
        <v>70</v>
      </c>
      <c r="BC3337" t="str">
        <f t="shared" si="477"/>
        <v>9791137602663</v>
      </c>
      <c r="BE3337" t="str">
        <f t="shared" si="478"/>
        <v>판타지 웹소설 &gt; 퓨전 판타지</v>
      </c>
    </row>
    <row r="3338" spans="1:57" x14ac:dyDescent="0.3">
      <c r="A3338">
        <v>2313012849</v>
      </c>
      <c r="B3338">
        <v>2313013443</v>
      </c>
      <c r="C3338" t="str">
        <f>T("디버프 마스터 595화")</f>
        <v>디버프 마스터 595화</v>
      </c>
      <c r="D3338" t="str">
        <f>T("595")</f>
        <v>595</v>
      </c>
      <c r="E3338" t="str">
        <f t="shared" si="475"/>
        <v>담화공</v>
      </c>
      <c r="H3338" t="str">
        <f t="shared" si="474"/>
        <v>스토리위즈</v>
      </c>
      <c r="I3338" t="str">
        <f t="shared" si="476"/>
        <v>디버프 마스터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/>
      <c r="AQ3338">
        <v>0</v>
      </c>
      <c r="AR3338">
        <v>0</v>
      </c>
      <c r="AT3338">
        <v>0</v>
      </c>
      <c r="AU3338">
        <v>0</v>
      </c>
      <c r="AW3338">
        <v>0</v>
      </c>
      <c r="AX3338">
        <v>0</v>
      </c>
      <c r="AY3338">
        <v>70</v>
      </c>
      <c r="BC3338" t="str">
        <f t="shared" si="477"/>
        <v>9791137602663</v>
      </c>
      <c r="BE3338" t="str">
        <f t="shared" si="478"/>
        <v>판타지 웹소설 &gt; 퓨전 판타지</v>
      </c>
    </row>
    <row r="3339" spans="1:57" x14ac:dyDescent="0.3">
      <c r="A3339">
        <v>2313012849</v>
      </c>
      <c r="B3339">
        <v>2313013444</v>
      </c>
      <c r="C3339" t="str">
        <f>T("디버프 마스터 596화")</f>
        <v>디버프 마스터 596화</v>
      </c>
      <c r="D3339" t="str">
        <f>T("596")</f>
        <v>596</v>
      </c>
      <c r="E3339" t="str">
        <f t="shared" si="475"/>
        <v>담화공</v>
      </c>
      <c r="H3339" t="str">
        <f t="shared" si="474"/>
        <v>스토리위즈</v>
      </c>
      <c r="I3339" t="str">
        <f t="shared" si="476"/>
        <v>디버프 마스터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/>
      <c r="AQ3339">
        <v>0</v>
      </c>
      <c r="AR3339">
        <v>0</v>
      </c>
      <c r="AT3339">
        <v>0</v>
      </c>
      <c r="AU3339">
        <v>0</v>
      </c>
      <c r="AW3339">
        <v>0</v>
      </c>
      <c r="AX3339">
        <v>0</v>
      </c>
      <c r="AY3339">
        <v>70</v>
      </c>
      <c r="BC3339" t="str">
        <f t="shared" si="477"/>
        <v>9791137602663</v>
      </c>
      <c r="BE3339" t="str">
        <f t="shared" si="478"/>
        <v>판타지 웹소설 &gt; 퓨전 판타지</v>
      </c>
    </row>
    <row r="3340" spans="1:57" x14ac:dyDescent="0.3">
      <c r="A3340">
        <v>2313012849</v>
      </c>
      <c r="B3340">
        <v>2313013445</v>
      </c>
      <c r="C3340" t="str">
        <f>T("디버프 마스터 597화")</f>
        <v>디버프 마스터 597화</v>
      </c>
      <c r="D3340" t="str">
        <f>T("597")</f>
        <v>597</v>
      </c>
      <c r="E3340" t="str">
        <f t="shared" si="475"/>
        <v>담화공</v>
      </c>
      <c r="H3340" t="str">
        <f t="shared" si="474"/>
        <v>스토리위즈</v>
      </c>
      <c r="I3340" t="str">
        <f t="shared" si="476"/>
        <v>디버프 마스터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/>
      <c r="AQ3340">
        <v>0</v>
      </c>
      <c r="AR3340">
        <v>0</v>
      </c>
      <c r="AT3340">
        <v>0</v>
      </c>
      <c r="AU3340">
        <v>0</v>
      </c>
      <c r="AW3340">
        <v>0</v>
      </c>
      <c r="AX3340">
        <v>0</v>
      </c>
      <c r="AY3340">
        <v>70</v>
      </c>
      <c r="BC3340" t="str">
        <f t="shared" si="477"/>
        <v>9791137602663</v>
      </c>
      <c r="BE3340" t="str">
        <f t="shared" si="478"/>
        <v>판타지 웹소설 &gt; 퓨전 판타지</v>
      </c>
    </row>
    <row r="3341" spans="1:57" x14ac:dyDescent="0.3">
      <c r="A3341">
        <v>2313012849</v>
      </c>
      <c r="B3341">
        <v>2313013446</v>
      </c>
      <c r="C3341" t="str">
        <f>T("디버프 마스터 598화")</f>
        <v>디버프 마스터 598화</v>
      </c>
      <c r="D3341" t="str">
        <f>T("598")</f>
        <v>598</v>
      </c>
      <c r="E3341" t="str">
        <f t="shared" si="475"/>
        <v>담화공</v>
      </c>
      <c r="H3341" t="str">
        <f t="shared" si="474"/>
        <v>스토리위즈</v>
      </c>
      <c r="I3341" t="str">
        <f t="shared" si="476"/>
        <v>디버프 마스터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/>
      <c r="AQ3341">
        <v>0</v>
      </c>
      <c r="AR3341">
        <v>0</v>
      </c>
      <c r="AT3341">
        <v>0</v>
      </c>
      <c r="AU3341">
        <v>0</v>
      </c>
      <c r="AW3341">
        <v>0</v>
      </c>
      <c r="AX3341">
        <v>0</v>
      </c>
      <c r="AY3341">
        <v>70</v>
      </c>
      <c r="BC3341" t="str">
        <f t="shared" si="477"/>
        <v>9791137602663</v>
      </c>
      <c r="BE3341" t="str">
        <f t="shared" si="478"/>
        <v>판타지 웹소설 &gt; 퓨전 판타지</v>
      </c>
    </row>
    <row r="3342" spans="1:57" x14ac:dyDescent="0.3">
      <c r="A3342">
        <v>2313012849</v>
      </c>
      <c r="B3342">
        <v>2313013447</v>
      </c>
      <c r="C3342" t="str">
        <f>T("디버프 마스터 599화")</f>
        <v>디버프 마스터 599화</v>
      </c>
      <c r="D3342" t="str">
        <f>T("599")</f>
        <v>599</v>
      </c>
      <c r="E3342" t="str">
        <f t="shared" si="475"/>
        <v>담화공</v>
      </c>
      <c r="H3342" t="str">
        <f t="shared" si="474"/>
        <v>스토리위즈</v>
      </c>
      <c r="I3342" t="str">
        <f t="shared" si="476"/>
        <v>디버프 마스터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/>
      <c r="AQ3342">
        <v>0</v>
      </c>
      <c r="AR3342">
        <v>0</v>
      </c>
      <c r="AT3342">
        <v>0</v>
      </c>
      <c r="AU3342">
        <v>0</v>
      </c>
      <c r="AW3342">
        <v>0</v>
      </c>
      <c r="AX3342">
        <v>0</v>
      </c>
      <c r="AY3342">
        <v>70</v>
      </c>
      <c r="BC3342" t="str">
        <f t="shared" si="477"/>
        <v>9791137602663</v>
      </c>
      <c r="BE3342" t="str">
        <f t="shared" si="478"/>
        <v>판타지 웹소설 &gt; 퓨전 판타지</v>
      </c>
    </row>
    <row r="3343" spans="1:57" x14ac:dyDescent="0.3">
      <c r="A3343">
        <v>2313012849</v>
      </c>
      <c r="B3343">
        <v>2313013448</v>
      </c>
      <c r="C3343" t="str">
        <f>T("디버프 마스터 600화")</f>
        <v>디버프 마스터 600화</v>
      </c>
      <c r="D3343" t="str">
        <f>T("600")</f>
        <v>600</v>
      </c>
      <c r="E3343" t="str">
        <f t="shared" si="475"/>
        <v>담화공</v>
      </c>
      <c r="H3343" t="str">
        <f t="shared" si="474"/>
        <v>스토리위즈</v>
      </c>
      <c r="I3343" t="str">
        <f t="shared" si="476"/>
        <v>디버프 마스터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/>
      <c r="AQ3343">
        <v>0</v>
      </c>
      <c r="AR3343">
        <v>0</v>
      </c>
      <c r="AT3343">
        <v>0</v>
      </c>
      <c r="AU3343">
        <v>0</v>
      </c>
      <c r="AW3343">
        <v>0</v>
      </c>
      <c r="AX3343">
        <v>0</v>
      </c>
      <c r="AY3343">
        <v>70</v>
      </c>
      <c r="BC3343" t="str">
        <f t="shared" si="477"/>
        <v>9791137602663</v>
      </c>
      <c r="BE3343" t="str">
        <f t="shared" si="478"/>
        <v>판타지 웹소설 &gt; 퓨전 판타지</v>
      </c>
    </row>
    <row r="3344" spans="1:57" x14ac:dyDescent="0.3">
      <c r="A3344">
        <v>2313012849</v>
      </c>
      <c r="B3344">
        <v>2313013449</v>
      </c>
      <c r="C3344" t="str">
        <f>T("디버프 마스터 601화")</f>
        <v>디버프 마스터 601화</v>
      </c>
      <c r="D3344" t="str">
        <f>T("601")</f>
        <v>601</v>
      </c>
      <c r="E3344" t="str">
        <f t="shared" si="475"/>
        <v>담화공</v>
      </c>
      <c r="H3344" t="str">
        <f t="shared" si="474"/>
        <v>스토리위즈</v>
      </c>
      <c r="I3344" t="str">
        <f t="shared" si="476"/>
        <v>디버프 마스터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/>
      <c r="AQ3344">
        <v>0</v>
      </c>
      <c r="AR3344">
        <v>0</v>
      </c>
      <c r="AT3344">
        <v>0</v>
      </c>
      <c r="AU3344">
        <v>0</v>
      </c>
      <c r="AW3344">
        <v>0</v>
      </c>
      <c r="AX3344">
        <v>0</v>
      </c>
      <c r="AY3344">
        <v>70</v>
      </c>
      <c r="BC3344" t="str">
        <f t="shared" si="477"/>
        <v>9791137602663</v>
      </c>
      <c r="BE3344" t="str">
        <f t="shared" si="478"/>
        <v>판타지 웹소설 &gt; 퓨전 판타지</v>
      </c>
    </row>
    <row r="3345" spans="1:57" x14ac:dyDescent="0.3">
      <c r="A3345">
        <v>2313012849</v>
      </c>
      <c r="B3345">
        <v>2313013450</v>
      </c>
      <c r="C3345" t="str">
        <f>T("디버프 마스터 602화")</f>
        <v>디버프 마스터 602화</v>
      </c>
      <c r="D3345" t="str">
        <f>T("602")</f>
        <v>602</v>
      </c>
      <c r="E3345" t="str">
        <f t="shared" si="475"/>
        <v>담화공</v>
      </c>
      <c r="H3345" t="str">
        <f t="shared" si="474"/>
        <v>스토리위즈</v>
      </c>
      <c r="I3345" t="str">
        <f t="shared" si="476"/>
        <v>디버프 마스터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/>
      <c r="AQ3345">
        <v>0</v>
      </c>
      <c r="AR3345">
        <v>0</v>
      </c>
      <c r="AT3345">
        <v>0</v>
      </c>
      <c r="AU3345">
        <v>0</v>
      </c>
      <c r="AW3345">
        <v>0</v>
      </c>
      <c r="AX3345">
        <v>0</v>
      </c>
      <c r="AY3345">
        <v>70</v>
      </c>
      <c r="BC3345" t="str">
        <f t="shared" si="477"/>
        <v>9791137602663</v>
      </c>
      <c r="BE3345" t="str">
        <f t="shared" si="478"/>
        <v>판타지 웹소설 &gt; 퓨전 판타지</v>
      </c>
    </row>
    <row r="3346" spans="1:57" x14ac:dyDescent="0.3">
      <c r="A3346">
        <v>2313012849</v>
      </c>
      <c r="B3346">
        <v>2313013451</v>
      </c>
      <c r="C3346" t="str">
        <f>T("디버프 마스터 603화")</f>
        <v>디버프 마스터 603화</v>
      </c>
      <c r="D3346" t="str">
        <f>T("603")</f>
        <v>603</v>
      </c>
      <c r="E3346" t="str">
        <f t="shared" si="475"/>
        <v>담화공</v>
      </c>
      <c r="H3346" t="str">
        <f t="shared" si="474"/>
        <v>스토리위즈</v>
      </c>
      <c r="I3346" t="str">
        <f t="shared" si="476"/>
        <v>디버프 마스터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/>
      <c r="AQ3346">
        <v>0</v>
      </c>
      <c r="AR3346">
        <v>0</v>
      </c>
      <c r="AT3346">
        <v>0</v>
      </c>
      <c r="AU3346">
        <v>0</v>
      </c>
      <c r="AW3346">
        <v>0</v>
      </c>
      <c r="AX3346">
        <v>0</v>
      </c>
      <c r="AY3346">
        <v>70</v>
      </c>
      <c r="BC3346" t="str">
        <f t="shared" si="477"/>
        <v>9791137602663</v>
      </c>
      <c r="BE3346" t="str">
        <f t="shared" si="478"/>
        <v>판타지 웹소설 &gt; 퓨전 판타지</v>
      </c>
    </row>
    <row r="3347" spans="1:57" x14ac:dyDescent="0.3">
      <c r="A3347">
        <v>2313012849</v>
      </c>
      <c r="B3347">
        <v>2313013452</v>
      </c>
      <c r="C3347" t="str">
        <f>T("디버프 마스터 604화")</f>
        <v>디버프 마스터 604화</v>
      </c>
      <c r="D3347" t="str">
        <f>T("604")</f>
        <v>604</v>
      </c>
      <c r="E3347" t="str">
        <f t="shared" si="475"/>
        <v>담화공</v>
      </c>
      <c r="H3347" t="str">
        <f t="shared" si="474"/>
        <v>스토리위즈</v>
      </c>
      <c r="I3347" t="str">
        <f t="shared" si="476"/>
        <v>디버프 마스터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/>
      <c r="AQ3347">
        <v>0</v>
      </c>
      <c r="AR3347">
        <v>0</v>
      </c>
      <c r="AT3347">
        <v>0</v>
      </c>
      <c r="AU3347">
        <v>0</v>
      </c>
      <c r="AW3347">
        <v>0</v>
      </c>
      <c r="AX3347">
        <v>0</v>
      </c>
      <c r="AY3347">
        <v>70</v>
      </c>
      <c r="BC3347" t="str">
        <f t="shared" si="477"/>
        <v>9791137602663</v>
      </c>
      <c r="BE3347" t="str">
        <f t="shared" si="478"/>
        <v>판타지 웹소설 &gt; 퓨전 판타지</v>
      </c>
    </row>
    <row r="3348" spans="1:57" x14ac:dyDescent="0.3">
      <c r="A3348">
        <v>2313012849</v>
      </c>
      <c r="B3348">
        <v>2313013453</v>
      </c>
      <c r="C3348" t="str">
        <f>T("디버프 마스터 605화")</f>
        <v>디버프 마스터 605화</v>
      </c>
      <c r="D3348" t="str">
        <f>T("605")</f>
        <v>605</v>
      </c>
      <c r="E3348" t="str">
        <f t="shared" si="475"/>
        <v>담화공</v>
      </c>
      <c r="H3348" t="str">
        <f t="shared" si="474"/>
        <v>스토리위즈</v>
      </c>
      <c r="I3348" t="str">
        <f t="shared" si="476"/>
        <v>디버프 마스터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/>
      <c r="AQ3348">
        <v>0</v>
      </c>
      <c r="AR3348">
        <v>0</v>
      </c>
      <c r="AT3348">
        <v>0</v>
      </c>
      <c r="AU3348">
        <v>0</v>
      </c>
      <c r="AW3348">
        <v>0</v>
      </c>
      <c r="AX3348">
        <v>0</v>
      </c>
      <c r="AY3348">
        <v>70</v>
      </c>
      <c r="BC3348" t="str">
        <f t="shared" si="477"/>
        <v>9791137602663</v>
      </c>
      <c r="BE3348" t="str">
        <f t="shared" si="478"/>
        <v>판타지 웹소설 &gt; 퓨전 판타지</v>
      </c>
    </row>
    <row r="3349" spans="1:57" x14ac:dyDescent="0.3">
      <c r="A3349">
        <v>2313012849</v>
      </c>
      <c r="B3349">
        <v>2313013454</v>
      </c>
      <c r="C3349" t="str">
        <f>T("디버프 마스터 606화")</f>
        <v>디버프 마스터 606화</v>
      </c>
      <c r="D3349" t="str">
        <f>T("606")</f>
        <v>606</v>
      </c>
      <c r="E3349" t="str">
        <f t="shared" si="475"/>
        <v>담화공</v>
      </c>
      <c r="H3349" t="str">
        <f t="shared" si="474"/>
        <v>스토리위즈</v>
      </c>
      <c r="I3349" t="str">
        <f t="shared" si="476"/>
        <v>디버프 마스터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/>
      <c r="AQ3349">
        <v>0</v>
      </c>
      <c r="AR3349">
        <v>0</v>
      </c>
      <c r="AT3349">
        <v>0</v>
      </c>
      <c r="AU3349">
        <v>0</v>
      </c>
      <c r="AW3349">
        <v>0</v>
      </c>
      <c r="AX3349">
        <v>0</v>
      </c>
      <c r="AY3349">
        <v>70</v>
      </c>
      <c r="BC3349" t="str">
        <f t="shared" si="477"/>
        <v>9791137602663</v>
      </c>
      <c r="BE3349" t="str">
        <f t="shared" si="478"/>
        <v>판타지 웹소설 &gt; 퓨전 판타지</v>
      </c>
    </row>
    <row r="3350" spans="1:57" x14ac:dyDescent="0.3">
      <c r="A3350">
        <v>2313012849</v>
      </c>
      <c r="B3350">
        <v>2313013455</v>
      </c>
      <c r="C3350" t="str">
        <f>T("디버프 마스터 607화")</f>
        <v>디버프 마스터 607화</v>
      </c>
      <c r="D3350" t="str">
        <f>T("607")</f>
        <v>607</v>
      </c>
      <c r="E3350" t="str">
        <f t="shared" si="475"/>
        <v>담화공</v>
      </c>
      <c r="H3350" t="str">
        <f t="shared" si="474"/>
        <v>스토리위즈</v>
      </c>
      <c r="I3350" t="str">
        <f t="shared" si="476"/>
        <v>디버프 마스터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/>
      <c r="AQ3350">
        <v>0</v>
      </c>
      <c r="AR3350">
        <v>0</v>
      </c>
      <c r="AT3350">
        <v>0</v>
      </c>
      <c r="AU3350">
        <v>0</v>
      </c>
      <c r="AW3350">
        <v>0</v>
      </c>
      <c r="AX3350">
        <v>0</v>
      </c>
      <c r="AY3350">
        <v>70</v>
      </c>
      <c r="BC3350" t="str">
        <f t="shared" si="477"/>
        <v>9791137602663</v>
      </c>
      <c r="BE3350" t="str">
        <f t="shared" si="478"/>
        <v>판타지 웹소설 &gt; 퓨전 판타지</v>
      </c>
    </row>
    <row r="3351" spans="1:57" x14ac:dyDescent="0.3">
      <c r="A3351">
        <v>2313012849</v>
      </c>
      <c r="B3351">
        <v>2313013456</v>
      </c>
      <c r="C3351" t="str">
        <f>T("디버프 마스터 608화")</f>
        <v>디버프 마스터 608화</v>
      </c>
      <c r="D3351" t="str">
        <f>T("608")</f>
        <v>608</v>
      </c>
      <c r="E3351" t="str">
        <f t="shared" si="475"/>
        <v>담화공</v>
      </c>
      <c r="H3351" t="str">
        <f t="shared" ref="H3351:H3414" si="479">T("스토리위즈")</f>
        <v>스토리위즈</v>
      </c>
      <c r="I3351" t="str">
        <f t="shared" si="476"/>
        <v>디버프 마스터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/>
      <c r="AQ3351">
        <v>0</v>
      </c>
      <c r="AR3351">
        <v>0</v>
      </c>
      <c r="AT3351">
        <v>0</v>
      </c>
      <c r="AU3351">
        <v>0</v>
      </c>
      <c r="AW3351">
        <v>0</v>
      </c>
      <c r="AX3351">
        <v>0</v>
      </c>
      <c r="AY3351">
        <v>70</v>
      </c>
      <c r="BC3351" t="str">
        <f t="shared" si="477"/>
        <v>9791137602663</v>
      </c>
      <c r="BE3351" t="str">
        <f t="shared" si="478"/>
        <v>판타지 웹소설 &gt; 퓨전 판타지</v>
      </c>
    </row>
    <row r="3352" spans="1:57" x14ac:dyDescent="0.3">
      <c r="A3352">
        <v>2313012849</v>
      </c>
      <c r="B3352">
        <v>2313013457</v>
      </c>
      <c r="C3352" t="str">
        <f>T("디버프 마스터 609화")</f>
        <v>디버프 마스터 609화</v>
      </c>
      <c r="D3352" t="str">
        <f>T("609")</f>
        <v>609</v>
      </c>
      <c r="E3352" t="str">
        <f t="shared" si="475"/>
        <v>담화공</v>
      </c>
      <c r="H3352" t="str">
        <f t="shared" si="479"/>
        <v>스토리위즈</v>
      </c>
      <c r="I3352" t="str">
        <f t="shared" si="476"/>
        <v>디버프 마스터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/>
      <c r="AQ3352">
        <v>0</v>
      </c>
      <c r="AR3352">
        <v>0</v>
      </c>
      <c r="AT3352">
        <v>0</v>
      </c>
      <c r="AU3352">
        <v>0</v>
      </c>
      <c r="AW3352">
        <v>0</v>
      </c>
      <c r="AX3352">
        <v>0</v>
      </c>
      <c r="AY3352">
        <v>70</v>
      </c>
      <c r="BC3352" t="str">
        <f t="shared" si="477"/>
        <v>9791137602663</v>
      </c>
      <c r="BE3352" t="str">
        <f t="shared" si="478"/>
        <v>판타지 웹소설 &gt; 퓨전 판타지</v>
      </c>
    </row>
    <row r="3353" spans="1:57" x14ac:dyDescent="0.3">
      <c r="A3353">
        <v>2313012849</v>
      </c>
      <c r="B3353">
        <v>2313013458</v>
      </c>
      <c r="C3353" t="str">
        <f>T("디버프 마스터 610화")</f>
        <v>디버프 마스터 610화</v>
      </c>
      <c r="D3353" t="str">
        <f>T("610")</f>
        <v>610</v>
      </c>
      <c r="E3353" t="str">
        <f t="shared" si="475"/>
        <v>담화공</v>
      </c>
      <c r="H3353" t="str">
        <f t="shared" si="479"/>
        <v>스토리위즈</v>
      </c>
      <c r="I3353" t="str">
        <f t="shared" si="476"/>
        <v>디버프 마스터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/>
      <c r="AQ3353">
        <v>0</v>
      </c>
      <c r="AR3353">
        <v>0</v>
      </c>
      <c r="AT3353">
        <v>0</v>
      </c>
      <c r="AU3353">
        <v>0</v>
      </c>
      <c r="AW3353">
        <v>0</v>
      </c>
      <c r="AX3353">
        <v>0</v>
      </c>
      <c r="AY3353">
        <v>70</v>
      </c>
      <c r="BC3353" t="str">
        <f t="shared" si="477"/>
        <v>9791137602663</v>
      </c>
      <c r="BE3353" t="str">
        <f t="shared" si="478"/>
        <v>판타지 웹소설 &gt; 퓨전 판타지</v>
      </c>
    </row>
    <row r="3354" spans="1:57" x14ac:dyDescent="0.3">
      <c r="A3354">
        <v>2313012849</v>
      </c>
      <c r="B3354">
        <v>2313013459</v>
      </c>
      <c r="C3354" t="str">
        <f>T("디버프 마스터 611화")</f>
        <v>디버프 마스터 611화</v>
      </c>
      <c r="D3354" t="str">
        <f>T("611")</f>
        <v>611</v>
      </c>
      <c r="E3354" t="str">
        <f t="shared" si="475"/>
        <v>담화공</v>
      </c>
      <c r="H3354" t="str">
        <f t="shared" si="479"/>
        <v>스토리위즈</v>
      </c>
      <c r="I3354" t="str">
        <f t="shared" si="476"/>
        <v>디버프 마스터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/>
      <c r="AQ3354">
        <v>0</v>
      </c>
      <c r="AR3354">
        <v>0</v>
      </c>
      <c r="AT3354">
        <v>0</v>
      </c>
      <c r="AU3354">
        <v>0</v>
      </c>
      <c r="AW3354">
        <v>0</v>
      </c>
      <c r="AX3354">
        <v>0</v>
      </c>
      <c r="AY3354">
        <v>70</v>
      </c>
      <c r="BC3354" t="str">
        <f t="shared" si="477"/>
        <v>9791137602663</v>
      </c>
      <c r="BE3354" t="str">
        <f t="shared" si="478"/>
        <v>판타지 웹소설 &gt; 퓨전 판타지</v>
      </c>
    </row>
    <row r="3355" spans="1:57" x14ac:dyDescent="0.3">
      <c r="A3355">
        <v>2313012849</v>
      </c>
      <c r="B3355">
        <v>2313013460</v>
      </c>
      <c r="C3355" t="str">
        <f>T("디버프 마스터 612화")</f>
        <v>디버프 마스터 612화</v>
      </c>
      <c r="D3355" t="str">
        <f>T("612")</f>
        <v>612</v>
      </c>
      <c r="E3355" t="str">
        <f t="shared" si="475"/>
        <v>담화공</v>
      </c>
      <c r="H3355" t="str">
        <f t="shared" si="479"/>
        <v>스토리위즈</v>
      </c>
      <c r="I3355" t="str">
        <f t="shared" si="476"/>
        <v>디버프 마스터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/>
      <c r="AQ3355">
        <v>0</v>
      </c>
      <c r="AR3355">
        <v>0</v>
      </c>
      <c r="AT3355">
        <v>0</v>
      </c>
      <c r="AU3355">
        <v>0</v>
      </c>
      <c r="AW3355">
        <v>0</v>
      </c>
      <c r="AX3355">
        <v>0</v>
      </c>
      <c r="AY3355">
        <v>70</v>
      </c>
      <c r="BC3355" t="str">
        <f t="shared" si="477"/>
        <v>9791137602663</v>
      </c>
      <c r="BE3355" t="str">
        <f t="shared" si="478"/>
        <v>판타지 웹소설 &gt; 퓨전 판타지</v>
      </c>
    </row>
    <row r="3356" spans="1:57" x14ac:dyDescent="0.3">
      <c r="A3356">
        <v>2313012849</v>
      </c>
      <c r="B3356">
        <v>2313013461</v>
      </c>
      <c r="C3356" t="str">
        <f>T("디버프 마스터 613화")</f>
        <v>디버프 마스터 613화</v>
      </c>
      <c r="D3356" t="str">
        <f>T("613")</f>
        <v>613</v>
      </c>
      <c r="E3356" t="str">
        <f t="shared" si="475"/>
        <v>담화공</v>
      </c>
      <c r="H3356" t="str">
        <f t="shared" si="479"/>
        <v>스토리위즈</v>
      </c>
      <c r="I3356" t="str">
        <f t="shared" si="476"/>
        <v>디버프 마스터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/>
      <c r="AQ3356">
        <v>0</v>
      </c>
      <c r="AR3356">
        <v>0</v>
      </c>
      <c r="AT3356">
        <v>0</v>
      </c>
      <c r="AU3356">
        <v>0</v>
      </c>
      <c r="AW3356">
        <v>0</v>
      </c>
      <c r="AX3356">
        <v>0</v>
      </c>
      <c r="AY3356">
        <v>70</v>
      </c>
      <c r="BC3356" t="str">
        <f t="shared" si="477"/>
        <v>9791137602663</v>
      </c>
      <c r="BE3356" t="str">
        <f t="shared" si="478"/>
        <v>판타지 웹소설 &gt; 퓨전 판타지</v>
      </c>
    </row>
    <row r="3357" spans="1:57" x14ac:dyDescent="0.3">
      <c r="A3357">
        <v>2313012849</v>
      </c>
      <c r="B3357">
        <v>2313013462</v>
      </c>
      <c r="C3357" t="str">
        <f>T("디버프 마스터 614화")</f>
        <v>디버프 마스터 614화</v>
      </c>
      <c r="D3357" t="str">
        <f>T("614")</f>
        <v>614</v>
      </c>
      <c r="E3357" t="str">
        <f t="shared" ref="E3357:E3420" si="480">T("담화공")</f>
        <v>담화공</v>
      </c>
      <c r="H3357" t="str">
        <f t="shared" si="479"/>
        <v>스토리위즈</v>
      </c>
      <c r="I3357" t="str">
        <f t="shared" ref="I3357:I3420" si="481">T("디버프 마스터")</f>
        <v>디버프 마스터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/>
      <c r="AQ3357">
        <v>0</v>
      </c>
      <c r="AR3357">
        <v>0</v>
      </c>
      <c r="AT3357">
        <v>0</v>
      </c>
      <c r="AU3357">
        <v>0</v>
      </c>
      <c r="AW3357">
        <v>0</v>
      </c>
      <c r="AX3357">
        <v>0</v>
      </c>
      <c r="AY3357">
        <v>70</v>
      </c>
      <c r="BC3357" t="str">
        <f t="shared" ref="BC3357:BC3420" si="482">T("9791137602663")</f>
        <v>9791137602663</v>
      </c>
      <c r="BE3357" t="str">
        <f t="shared" ref="BE3357:BE3420" si="483">T("판타지 웹소설 &gt; 퓨전 판타지")</f>
        <v>판타지 웹소설 &gt; 퓨전 판타지</v>
      </c>
    </row>
    <row r="3358" spans="1:57" x14ac:dyDescent="0.3">
      <c r="A3358">
        <v>2313012849</v>
      </c>
      <c r="B3358">
        <v>2313013463</v>
      </c>
      <c r="C3358" t="str">
        <f>T("디버프 마스터 615화")</f>
        <v>디버프 마스터 615화</v>
      </c>
      <c r="D3358" t="str">
        <f>T("615")</f>
        <v>615</v>
      </c>
      <c r="E3358" t="str">
        <f t="shared" si="480"/>
        <v>담화공</v>
      </c>
      <c r="H3358" t="str">
        <f t="shared" si="479"/>
        <v>스토리위즈</v>
      </c>
      <c r="I3358" t="str">
        <f t="shared" si="481"/>
        <v>디버프 마스터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/>
      <c r="AQ3358">
        <v>0</v>
      </c>
      <c r="AR3358">
        <v>0</v>
      </c>
      <c r="AT3358">
        <v>0</v>
      </c>
      <c r="AU3358">
        <v>0</v>
      </c>
      <c r="AW3358">
        <v>0</v>
      </c>
      <c r="AX3358">
        <v>0</v>
      </c>
      <c r="AY3358">
        <v>70</v>
      </c>
      <c r="BC3358" t="str">
        <f t="shared" si="482"/>
        <v>9791137602663</v>
      </c>
      <c r="BE3358" t="str">
        <f t="shared" si="483"/>
        <v>판타지 웹소설 &gt; 퓨전 판타지</v>
      </c>
    </row>
    <row r="3359" spans="1:57" x14ac:dyDescent="0.3">
      <c r="A3359">
        <v>2313012849</v>
      </c>
      <c r="B3359">
        <v>2313013464</v>
      </c>
      <c r="C3359" t="str">
        <f>T("디버프 마스터 616화")</f>
        <v>디버프 마스터 616화</v>
      </c>
      <c r="D3359" t="str">
        <f>T("616")</f>
        <v>616</v>
      </c>
      <c r="E3359" t="str">
        <f t="shared" si="480"/>
        <v>담화공</v>
      </c>
      <c r="H3359" t="str">
        <f t="shared" si="479"/>
        <v>스토리위즈</v>
      </c>
      <c r="I3359" t="str">
        <f t="shared" si="481"/>
        <v>디버프 마스터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/>
      <c r="AQ3359">
        <v>0</v>
      </c>
      <c r="AR3359">
        <v>0</v>
      </c>
      <c r="AT3359">
        <v>0</v>
      </c>
      <c r="AU3359">
        <v>0</v>
      </c>
      <c r="AW3359">
        <v>0</v>
      </c>
      <c r="AX3359">
        <v>0</v>
      </c>
      <c r="AY3359">
        <v>70</v>
      </c>
      <c r="BC3359" t="str">
        <f t="shared" si="482"/>
        <v>9791137602663</v>
      </c>
      <c r="BE3359" t="str">
        <f t="shared" si="483"/>
        <v>판타지 웹소설 &gt; 퓨전 판타지</v>
      </c>
    </row>
    <row r="3360" spans="1:57" x14ac:dyDescent="0.3">
      <c r="A3360">
        <v>2313012849</v>
      </c>
      <c r="B3360">
        <v>2313013465</v>
      </c>
      <c r="C3360" t="str">
        <f>T("디버프 마스터 617화")</f>
        <v>디버프 마스터 617화</v>
      </c>
      <c r="D3360" t="str">
        <f>T("617")</f>
        <v>617</v>
      </c>
      <c r="E3360" t="str">
        <f t="shared" si="480"/>
        <v>담화공</v>
      </c>
      <c r="H3360" t="str">
        <f t="shared" si="479"/>
        <v>스토리위즈</v>
      </c>
      <c r="I3360" t="str">
        <f t="shared" si="481"/>
        <v>디버프 마스터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/>
      <c r="AQ3360">
        <v>0</v>
      </c>
      <c r="AR3360">
        <v>0</v>
      </c>
      <c r="AT3360">
        <v>0</v>
      </c>
      <c r="AU3360">
        <v>0</v>
      </c>
      <c r="AW3360">
        <v>0</v>
      </c>
      <c r="AX3360">
        <v>0</v>
      </c>
      <c r="AY3360">
        <v>70</v>
      </c>
      <c r="BC3360" t="str">
        <f t="shared" si="482"/>
        <v>9791137602663</v>
      </c>
      <c r="BE3360" t="str">
        <f t="shared" si="483"/>
        <v>판타지 웹소설 &gt; 퓨전 판타지</v>
      </c>
    </row>
    <row r="3361" spans="1:57" x14ac:dyDescent="0.3">
      <c r="A3361">
        <v>2313012849</v>
      </c>
      <c r="B3361">
        <v>2313013466</v>
      </c>
      <c r="C3361" t="str">
        <f>T("디버프 마스터 618화")</f>
        <v>디버프 마스터 618화</v>
      </c>
      <c r="D3361" t="str">
        <f>T("618")</f>
        <v>618</v>
      </c>
      <c r="E3361" t="str">
        <f t="shared" si="480"/>
        <v>담화공</v>
      </c>
      <c r="H3361" t="str">
        <f t="shared" si="479"/>
        <v>스토리위즈</v>
      </c>
      <c r="I3361" t="str">
        <f t="shared" si="481"/>
        <v>디버프 마스터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/>
      <c r="AQ3361">
        <v>0</v>
      </c>
      <c r="AR3361">
        <v>0</v>
      </c>
      <c r="AT3361">
        <v>0</v>
      </c>
      <c r="AU3361">
        <v>0</v>
      </c>
      <c r="AW3361">
        <v>0</v>
      </c>
      <c r="AX3361">
        <v>0</v>
      </c>
      <c r="AY3361">
        <v>70</v>
      </c>
      <c r="BC3361" t="str">
        <f t="shared" si="482"/>
        <v>9791137602663</v>
      </c>
      <c r="BE3361" t="str">
        <f t="shared" si="483"/>
        <v>판타지 웹소설 &gt; 퓨전 판타지</v>
      </c>
    </row>
    <row r="3362" spans="1:57" x14ac:dyDescent="0.3">
      <c r="A3362">
        <v>2313012849</v>
      </c>
      <c r="B3362">
        <v>2313013467</v>
      </c>
      <c r="C3362" t="str">
        <f>T("디버프 마스터 619화")</f>
        <v>디버프 마스터 619화</v>
      </c>
      <c r="D3362" t="str">
        <f>T("619")</f>
        <v>619</v>
      </c>
      <c r="E3362" t="str">
        <f t="shared" si="480"/>
        <v>담화공</v>
      </c>
      <c r="H3362" t="str">
        <f t="shared" si="479"/>
        <v>스토리위즈</v>
      </c>
      <c r="I3362" t="str">
        <f t="shared" si="481"/>
        <v>디버프 마스터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/>
      <c r="AQ3362">
        <v>0</v>
      </c>
      <c r="AR3362">
        <v>0</v>
      </c>
      <c r="AT3362">
        <v>0</v>
      </c>
      <c r="AU3362">
        <v>0</v>
      </c>
      <c r="AW3362">
        <v>0</v>
      </c>
      <c r="AX3362">
        <v>0</v>
      </c>
      <c r="AY3362">
        <v>70</v>
      </c>
      <c r="BC3362" t="str">
        <f t="shared" si="482"/>
        <v>9791137602663</v>
      </c>
      <c r="BE3362" t="str">
        <f t="shared" si="483"/>
        <v>판타지 웹소설 &gt; 퓨전 판타지</v>
      </c>
    </row>
    <row r="3363" spans="1:57" x14ac:dyDescent="0.3">
      <c r="A3363">
        <v>2313012849</v>
      </c>
      <c r="B3363">
        <v>2313013468</v>
      </c>
      <c r="C3363" t="str">
        <f>T("디버프 마스터 620화")</f>
        <v>디버프 마스터 620화</v>
      </c>
      <c r="D3363" t="str">
        <f>T("620")</f>
        <v>620</v>
      </c>
      <c r="E3363" t="str">
        <f t="shared" si="480"/>
        <v>담화공</v>
      </c>
      <c r="H3363" t="str">
        <f t="shared" si="479"/>
        <v>스토리위즈</v>
      </c>
      <c r="I3363" t="str">
        <f t="shared" si="481"/>
        <v>디버프 마스터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/>
      <c r="AQ3363">
        <v>0</v>
      </c>
      <c r="AR3363">
        <v>0</v>
      </c>
      <c r="AT3363">
        <v>0</v>
      </c>
      <c r="AU3363">
        <v>0</v>
      </c>
      <c r="AW3363">
        <v>0</v>
      </c>
      <c r="AX3363">
        <v>0</v>
      </c>
      <c r="AY3363">
        <v>70</v>
      </c>
      <c r="BC3363" t="str">
        <f t="shared" si="482"/>
        <v>9791137602663</v>
      </c>
      <c r="BE3363" t="str">
        <f t="shared" si="483"/>
        <v>판타지 웹소설 &gt; 퓨전 판타지</v>
      </c>
    </row>
    <row r="3364" spans="1:57" x14ac:dyDescent="0.3">
      <c r="A3364">
        <v>2313012849</v>
      </c>
      <c r="B3364">
        <v>2313013469</v>
      </c>
      <c r="C3364" t="str">
        <f>T("디버프 마스터 621화")</f>
        <v>디버프 마스터 621화</v>
      </c>
      <c r="D3364" t="str">
        <f>T("621")</f>
        <v>621</v>
      </c>
      <c r="E3364" t="str">
        <f t="shared" si="480"/>
        <v>담화공</v>
      </c>
      <c r="H3364" t="str">
        <f t="shared" si="479"/>
        <v>스토리위즈</v>
      </c>
      <c r="I3364" t="str">
        <f t="shared" si="481"/>
        <v>디버프 마스터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/>
      <c r="AQ3364">
        <v>0</v>
      </c>
      <c r="AR3364">
        <v>0</v>
      </c>
      <c r="AT3364">
        <v>0</v>
      </c>
      <c r="AU3364">
        <v>0</v>
      </c>
      <c r="AW3364">
        <v>0</v>
      </c>
      <c r="AX3364">
        <v>0</v>
      </c>
      <c r="AY3364">
        <v>70</v>
      </c>
      <c r="BC3364" t="str">
        <f t="shared" si="482"/>
        <v>9791137602663</v>
      </c>
      <c r="BE3364" t="str">
        <f t="shared" si="483"/>
        <v>판타지 웹소설 &gt; 퓨전 판타지</v>
      </c>
    </row>
    <row r="3365" spans="1:57" x14ac:dyDescent="0.3">
      <c r="A3365">
        <v>2313012849</v>
      </c>
      <c r="B3365">
        <v>2313013470</v>
      </c>
      <c r="C3365" t="str">
        <f>T("디버프 마스터 622화")</f>
        <v>디버프 마스터 622화</v>
      </c>
      <c r="D3365" t="str">
        <f>T("622")</f>
        <v>622</v>
      </c>
      <c r="E3365" t="str">
        <f t="shared" si="480"/>
        <v>담화공</v>
      </c>
      <c r="H3365" t="str">
        <f t="shared" si="479"/>
        <v>스토리위즈</v>
      </c>
      <c r="I3365" t="str">
        <f t="shared" si="481"/>
        <v>디버프 마스터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/>
      <c r="AQ3365">
        <v>0</v>
      </c>
      <c r="AR3365">
        <v>0</v>
      </c>
      <c r="AT3365">
        <v>0</v>
      </c>
      <c r="AU3365">
        <v>0</v>
      </c>
      <c r="AW3365">
        <v>0</v>
      </c>
      <c r="AX3365">
        <v>0</v>
      </c>
      <c r="AY3365">
        <v>70</v>
      </c>
      <c r="BC3365" t="str">
        <f t="shared" si="482"/>
        <v>9791137602663</v>
      </c>
      <c r="BE3365" t="str">
        <f t="shared" si="483"/>
        <v>판타지 웹소설 &gt; 퓨전 판타지</v>
      </c>
    </row>
    <row r="3366" spans="1:57" x14ac:dyDescent="0.3">
      <c r="A3366">
        <v>2313012849</v>
      </c>
      <c r="B3366">
        <v>2313013471</v>
      </c>
      <c r="C3366" t="str">
        <f>T("디버프 마스터 623화")</f>
        <v>디버프 마스터 623화</v>
      </c>
      <c r="D3366" t="str">
        <f>T("623")</f>
        <v>623</v>
      </c>
      <c r="E3366" t="str">
        <f t="shared" si="480"/>
        <v>담화공</v>
      </c>
      <c r="H3366" t="str">
        <f t="shared" si="479"/>
        <v>스토리위즈</v>
      </c>
      <c r="I3366" t="str">
        <f t="shared" si="481"/>
        <v>디버프 마스터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/>
      <c r="AQ3366">
        <v>0</v>
      </c>
      <c r="AR3366">
        <v>0</v>
      </c>
      <c r="AT3366">
        <v>0</v>
      </c>
      <c r="AU3366">
        <v>0</v>
      </c>
      <c r="AW3366">
        <v>0</v>
      </c>
      <c r="AX3366">
        <v>0</v>
      </c>
      <c r="AY3366">
        <v>70</v>
      </c>
      <c r="BC3366" t="str">
        <f t="shared" si="482"/>
        <v>9791137602663</v>
      </c>
      <c r="BE3366" t="str">
        <f t="shared" si="483"/>
        <v>판타지 웹소설 &gt; 퓨전 판타지</v>
      </c>
    </row>
    <row r="3367" spans="1:57" x14ac:dyDescent="0.3">
      <c r="A3367">
        <v>2313012849</v>
      </c>
      <c r="B3367">
        <v>2313013472</v>
      </c>
      <c r="C3367" t="str">
        <f>T("디버프 마스터 624화")</f>
        <v>디버프 마스터 624화</v>
      </c>
      <c r="D3367" t="str">
        <f>T("624")</f>
        <v>624</v>
      </c>
      <c r="E3367" t="str">
        <f t="shared" si="480"/>
        <v>담화공</v>
      </c>
      <c r="H3367" t="str">
        <f t="shared" si="479"/>
        <v>스토리위즈</v>
      </c>
      <c r="I3367" t="str">
        <f t="shared" si="481"/>
        <v>디버프 마스터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/>
      <c r="AQ3367">
        <v>0</v>
      </c>
      <c r="AR3367">
        <v>0</v>
      </c>
      <c r="AT3367">
        <v>0</v>
      </c>
      <c r="AU3367">
        <v>0</v>
      </c>
      <c r="AW3367">
        <v>0</v>
      </c>
      <c r="AX3367">
        <v>0</v>
      </c>
      <c r="AY3367">
        <v>70</v>
      </c>
      <c r="BC3367" t="str">
        <f t="shared" si="482"/>
        <v>9791137602663</v>
      </c>
      <c r="BE3367" t="str">
        <f t="shared" si="483"/>
        <v>판타지 웹소설 &gt; 퓨전 판타지</v>
      </c>
    </row>
    <row r="3368" spans="1:57" x14ac:dyDescent="0.3">
      <c r="A3368">
        <v>2313012849</v>
      </c>
      <c r="B3368">
        <v>2313013473</v>
      </c>
      <c r="C3368" t="str">
        <f>T("디버프 마스터 625화")</f>
        <v>디버프 마스터 625화</v>
      </c>
      <c r="D3368" t="str">
        <f>T("625")</f>
        <v>625</v>
      </c>
      <c r="E3368" t="str">
        <f t="shared" si="480"/>
        <v>담화공</v>
      </c>
      <c r="H3368" t="str">
        <f t="shared" si="479"/>
        <v>스토리위즈</v>
      </c>
      <c r="I3368" t="str">
        <f t="shared" si="481"/>
        <v>디버프 마스터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/>
      <c r="AQ3368">
        <v>0</v>
      </c>
      <c r="AR3368">
        <v>0</v>
      </c>
      <c r="AT3368">
        <v>0</v>
      </c>
      <c r="AU3368">
        <v>0</v>
      </c>
      <c r="AW3368">
        <v>0</v>
      </c>
      <c r="AX3368">
        <v>0</v>
      </c>
      <c r="AY3368">
        <v>70</v>
      </c>
      <c r="BC3368" t="str">
        <f t="shared" si="482"/>
        <v>9791137602663</v>
      </c>
      <c r="BE3368" t="str">
        <f t="shared" si="483"/>
        <v>판타지 웹소설 &gt; 퓨전 판타지</v>
      </c>
    </row>
    <row r="3369" spans="1:57" x14ac:dyDescent="0.3">
      <c r="A3369">
        <v>2313012849</v>
      </c>
      <c r="B3369">
        <v>2313013474</v>
      </c>
      <c r="C3369" t="str">
        <f>T("디버프 마스터 626화")</f>
        <v>디버프 마스터 626화</v>
      </c>
      <c r="D3369" t="str">
        <f>T("626")</f>
        <v>626</v>
      </c>
      <c r="E3369" t="str">
        <f t="shared" si="480"/>
        <v>담화공</v>
      </c>
      <c r="H3369" t="str">
        <f t="shared" si="479"/>
        <v>스토리위즈</v>
      </c>
      <c r="I3369" t="str">
        <f t="shared" si="481"/>
        <v>디버프 마스터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/>
      <c r="AQ3369">
        <v>0</v>
      </c>
      <c r="AR3369">
        <v>0</v>
      </c>
      <c r="AT3369">
        <v>0</v>
      </c>
      <c r="AU3369">
        <v>0</v>
      </c>
      <c r="AW3369">
        <v>0</v>
      </c>
      <c r="AX3369">
        <v>0</v>
      </c>
      <c r="AY3369">
        <v>70</v>
      </c>
      <c r="BC3369" t="str">
        <f t="shared" si="482"/>
        <v>9791137602663</v>
      </c>
      <c r="BE3369" t="str">
        <f t="shared" si="483"/>
        <v>판타지 웹소설 &gt; 퓨전 판타지</v>
      </c>
    </row>
    <row r="3370" spans="1:57" x14ac:dyDescent="0.3">
      <c r="A3370">
        <v>2313012849</v>
      </c>
      <c r="B3370">
        <v>2313013475</v>
      </c>
      <c r="C3370" t="str">
        <f>T("디버프 마스터 627화")</f>
        <v>디버프 마스터 627화</v>
      </c>
      <c r="D3370" t="str">
        <f>T("627")</f>
        <v>627</v>
      </c>
      <c r="E3370" t="str">
        <f t="shared" si="480"/>
        <v>담화공</v>
      </c>
      <c r="H3370" t="str">
        <f t="shared" si="479"/>
        <v>스토리위즈</v>
      </c>
      <c r="I3370" t="str">
        <f t="shared" si="481"/>
        <v>디버프 마스터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/>
      <c r="AQ3370">
        <v>0</v>
      </c>
      <c r="AR3370">
        <v>0</v>
      </c>
      <c r="AT3370">
        <v>0</v>
      </c>
      <c r="AU3370">
        <v>0</v>
      </c>
      <c r="AW3370">
        <v>0</v>
      </c>
      <c r="AX3370">
        <v>0</v>
      </c>
      <c r="AY3370">
        <v>70</v>
      </c>
      <c r="BC3370" t="str">
        <f t="shared" si="482"/>
        <v>9791137602663</v>
      </c>
      <c r="BE3370" t="str">
        <f t="shared" si="483"/>
        <v>판타지 웹소설 &gt; 퓨전 판타지</v>
      </c>
    </row>
    <row r="3371" spans="1:57" x14ac:dyDescent="0.3">
      <c r="A3371">
        <v>2313012849</v>
      </c>
      <c r="B3371">
        <v>2313013476</v>
      </c>
      <c r="C3371" t="str">
        <f>T("디버프 마스터 628화")</f>
        <v>디버프 마스터 628화</v>
      </c>
      <c r="D3371" t="str">
        <f>T("628")</f>
        <v>628</v>
      </c>
      <c r="E3371" t="str">
        <f t="shared" si="480"/>
        <v>담화공</v>
      </c>
      <c r="H3371" t="str">
        <f t="shared" si="479"/>
        <v>스토리위즈</v>
      </c>
      <c r="I3371" t="str">
        <f t="shared" si="481"/>
        <v>디버프 마스터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/>
      <c r="AQ3371">
        <v>0</v>
      </c>
      <c r="AR3371">
        <v>0</v>
      </c>
      <c r="AT3371">
        <v>0</v>
      </c>
      <c r="AU3371">
        <v>0</v>
      </c>
      <c r="AW3371">
        <v>0</v>
      </c>
      <c r="AX3371">
        <v>0</v>
      </c>
      <c r="AY3371">
        <v>70</v>
      </c>
      <c r="BC3371" t="str">
        <f t="shared" si="482"/>
        <v>9791137602663</v>
      </c>
      <c r="BE3371" t="str">
        <f t="shared" si="483"/>
        <v>판타지 웹소설 &gt; 퓨전 판타지</v>
      </c>
    </row>
    <row r="3372" spans="1:57" x14ac:dyDescent="0.3">
      <c r="A3372">
        <v>2313012849</v>
      </c>
      <c r="B3372">
        <v>2313013477</v>
      </c>
      <c r="C3372" t="str">
        <f>T("디버프 마스터 629화")</f>
        <v>디버프 마스터 629화</v>
      </c>
      <c r="D3372" t="str">
        <f>T("629")</f>
        <v>629</v>
      </c>
      <c r="E3372" t="str">
        <f t="shared" si="480"/>
        <v>담화공</v>
      </c>
      <c r="H3372" t="str">
        <f t="shared" si="479"/>
        <v>스토리위즈</v>
      </c>
      <c r="I3372" t="str">
        <f t="shared" si="481"/>
        <v>디버프 마스터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/>
      <c r="AQ3372">
        <v>0</v>
      </c>
      <c r="AR3372">
        <v>0</v>
      </c>
      <c r="AT3372">
        <v>0</v>
      </c>
      <c r="AU3372">
        <v>0</v>
      </c>
      <c r="AW3372">
        <v>0</v>
      </c>
      <c r="AX3372">
        <v>0</v>
      </c>
      <c r="AY3372">
        <v>70</v>
      </c>
      <c r="BC3372" t="str">
        <f t="shared" si="482"/>
        <v>9791137602663</v>
      </c>
      <c r="BE3372" t="str">
        <f t="shared" si="483"/>
        <v>판타지 웹소설 &gt; 퓨전 판타지</v>
      </c>
    </row>
    <row r="3373" spans="1:57" x14ac:dyDescent="0.3">
      <c r="A3373">
        <v>2313012849</v>
      </c>
      <c r="B3373">
        <v>2313013478</v>
      </c>
      <c r="C3373" t="str">
        <f>T("디버프 마스터 630화")</f>
        <v>디버프 마스터 630화</v>
      </c>
      <c r="D3373" t="str">
        <f>T("630")</f>
        <v>630</v>
      </c>
      <c r="E3373" t="str">
        <f t="shared" si="480"/>
        <v>담화공</v>
      </c>
      <c r="H3373" t="str">
        <f t="shared" si="479"/>
        <v>스토리위즈</v>
      </c>
      <c r="I3373" t="str">
        <f t="shared" si="481"/>
        <v>디버프 마스터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/>
      <c r="AQ3373">
        <v>0</v>
      </c>
      <c r="AR3373">
        <v>0</v>
      </c>
      <c r="AT3373">
        <v>0</v>
      </c>
      <c r="AU3373">
        <v>0</v>
      </c>
      <c r="AW3373">
        <v>0</v>
      </c>
      <c r="AX3373">
        <v>0</v>
      </c>
      <c r="AY3373">
        <v>70</v>
      </c>
      <c r="BC3373" t="str">
        <f t="shared" si="482"/>
        <v>9791137602663</v>
      </c>
      <c r="BE3373" t="str">
        <f t="shared" si="483"/>
        <v>판타지 웹소설 &gt; 퓨전 판타지</v>
      </c>
    </row>
    <row r="3374" spans="1:57" x14ac:dyDescent="0.3">
      <c r="A3374">
        <v>2313012849</v>
      </c>
      <c r="B3374">
        <v>2313013479</v>
      </c>
      <c r="C3374" t="str">
        <f>T("디버프 마스터 631화")</f>
        <v>디버프 마스터 631화</v>
      </c>
      <c r="D3374" t="str">
        <f>T("631")</f>
        <v>631</v>
      </c>
      <c r="E3374" t="str">
        <f t="shared" si="480"/>
        <v>담화공</v>
      </c>
      <c r="H3374" t="str">
        <f t="shared" si="479"/>
        <v>스토리위즈</v>
      </c>
      <c r="I3374" t="str">
        <f t="shared" si="481"/>
        <v>디버프 마스터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/>
      <c r="AQ3374">
        <v>0</v>
      </c>
      <c r="AR3374">
        <v>0</v>
      </c>
      <c r="AT3374">
        <v>0</v>
      </c>
      <c r="AU3374">
        <v>0</v>
      </c>
      <c r="AW3374">
        <v>0</v>
      </c>
      <c r="AX3374">
        <v>0</v>
      </c>
      <c r="AY3374">
        <v>70</v>
      </c>
      <c r="BC3374" t="str">
        <f t="shared" si="482"/>
        <v>9791137602663</v>
      </c>
      <c r="BE3374" t="str">
        <f t="shared" si="483"/>
        <v>판타지 웹소설 &gt; 퓨전 판타지</v>
      </c>
    </row>
    <row r="3375" spans="1:57" x14ac:dyDescent="0.3">
      <c r="A3375">
        <v>2313012849</v>
      </c>
      <c r="B3375">
        <v>2313013480</v>
      </c>
      <c r="C3375" t="str">
        <f>T("디버프 마스터 632화")</f>
        <v>디버프 마스터 632화</v>
      </c>
      <c r="D3375" t="str">
        <f>T("632")</f>
        <v>632</v>
      </c>
      <c r="E3375" t="str">
        <f t="shared" si="480"/>
        <v>담화공</v>
      </c>
      <c r="H3375" t="str">
        <f t="shared" si="479"/>
        <v>스토리위즈</v>
      </c>
      <c r="I3375" t="str">
        <f t="shared" si="481"/>
        <v>디버프 마스터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/>
      <c r="AQ3375">
        <v>0</v>
      </c>
      <c r="AR3375">
        <v>0</v>
      </c>
      <c r="AT3375">
        <v>0</v>
      </c>
      <c r="AU3375">
        <v>0</v>
      </c>
      <c r="AW3375">
        <v>0</v>
      </c>
      <c r="AX3375">
        <v>0</v>
      </c>
      <c r="AY3375">
        <v>70</v>
      </c>
      <c r="BC3375" t="str">
        <f t="shared" si="482"/>
        <v>9791137602663</v>
      </c>
      <c r="BE3375" t="str">
        <f t="shared" si="483"/>
        <v>판타지 웹소설 &gt; 퓨전 판타지</v>
      </c>
    </row>
    <row r="3376" spans="1:57" x14ac:dyDescent="0.3">
      <c r="A3376">
        <v>2313012849</v>
      </c>
      <c r="B3376">
        <v>2313013481</v>
      </c>
      <c r="C3376" t="str">
        <f>T("디버프 마스터 633화")</f>
        <v>디버프 마스터 633화</v>
      </c>
      <c r="D3376" t="str">
        <f>T("633")</f>
        <v>633</v>
      </c>
      <c r="E3376" t="str">
        <f t="shared" si="480"/>
        <v>담화공</v>
      </c>
      <c r="H3376" t="str">
        <f t="shared" si="479"/>
        <v>스토리위즈</v>
      </c>
      <c r="I3376" t="str">
        <f t="shared" si="481"/>
        <v>디버프 마스터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/>
      <c r="AQ3376">
        <v>0</v>
      </c>
      <c r="AR3376">
        <v>0</v>
      </c>
      <c r="AT3376">
        <v>0</v>
      </c>
      <c r="AU3376">
        <v>0</v>
      </c>
      <c r="AW3376">
        <v>0</v>
      </c>
      <c r="AX3376">
        <v>0</v>
      </c>
      <c r="AY3376">
        <v>70</v>
      </c>
      <c r="BC3376" t="str">
        <f t="shared" si="482"/>
        <v>9791137602663</v>
      </c>
      <c r="BE3376" t="str">
        <f t="shared" si="483"/>
        <v>판타지 웹소설 &gt; 퓨전 판타지</v>
      </c>
    </row>
    <row r="3377" spans="1:57" x14ac:dyDescent="0.3">
      <c r="A3377">
        <v>2313012849</v>
      </c>
      <c r="B3377">
        <v>2313013482</v>
      </c>
      <c r="C3377" t="str">
        <f>T("디버프 마스터 634화")</f>
        <v>디버프 마스터 634화</v>
      </c>
      <c r="D3377" t="str">
        <f>T("634")</f>
        <v>634</v>
      </c>
      <c r="E3377" t="str">
        <f t="shared" si="480"/>
        <v>담화공</v>
      </c>
      <c r="H3377" t="str">
        <f t="shared" si="479"/>
        <v>스토리위즈</v>
      </c>
      <c r="I3377" t="str">
        <f t="shared" si="481"/>
        <v>디버프 마스터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/>
      <c r="AQ3377">
        <v>0</v>
      </c>
      <c r="AR3377">
        <v>0</v>
      </c>
      <c r="AT3377">
        <v>0</v>
      </c>
      <c r="AU3377">
        <v>0</v>
      </c>
      <c r="AW3377">
        <v>0</v>
      </c>
      <c r="AX3377">
        <v>0</v>
      </c>
      <c r="AY3377">
        <v>70</v>
      </c>
      <c r="BC3377" t="str">
        <f t="shared" si="482"/>
        <v>9791137602663</v>
      </c>
      <c r="BE3377" t="str">
        <f t="shared" si="483"/>
        <v>판타지 웹소설 &gt; 퓨전 판타지</v>
      </c>
    </row>
    <row r="3378" spans="1:57" x14ac:dyDescent="0.3">
      <c r="A3378">
        <v>2313012849</v>
      </c>
      <c r="B3378">
        <v>2313013483</v>
      </c>
      <c r="C3378" t="str">
        <f>T("디버프 마스터 635화")</f>
        <v>디버프 마스터 635화</v>
      </c>
      <c r="D3378" t="str">
        <f>T("635")</f>
        <v>635</v>
      </c>
      <c r="E3378" t="str">
        <f t="shared" si="480"/>
        <v>담화공</v>
      </c>
      <c r="H3378" t="str">
        <f t="shared" si="479"/>
        <v>스토리위즈</v>
      </c>
      <c r="I3378" t="str">
        <f t="shared" si="481"/>
        <v>디버프 마스터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/>
      <c r="AQ3378">
        <v>0</v>
      </c>
      <c r="AR3378">
        <v>0</v>
      </c>
      <c r="AT3378">
        <v>0</v>
      </c>
      <c r="AU3378">
        <v>0</v>
      </c>
      <c r="AW3378">
        <v>0</v>
      </c>
      <c r="AX3378">
        <v>0</v>
      </c>
      <c r="AY3378">
        <v>70</v>
      </c>
      <c r="BC3378" t="str">
        <f t="shared" si="482"/>
        <v>9791137602663</v>
      </c>
      <c r="BE3378" t="str">
        <f t="shared" si="483"/>
        <v>판타지 웹소설 &gt; 퓨전 판타지</v>
      </c>
    </row>
    <row r="3379" spans="1:57" x14ac:dyDescent="0.3">
      <c r="A3379">
        <v>2313012849</v>
      </c>
      <c r="B3379">
        <v>2313013484</v>
      </c>
      <c r="C3379" t="str">
        <f>T("디버프 마스터 636화")</f>
        <v>디버프 마스터 636화</v>
      </c>
      <c r="D3379" t="str">
        <f>T("636")</f>
        <v>636</v>
      </c>
      <c r="E3379" t="str">
        <f t="shared" si="480"/>
        <v>담화공</v>
      </c>
      <c r="H3379" t="str">
        <f t="shared" si="479"/>
        <v>스토리위즈</v>
      </c>
      <c r="I3379" t="str">
        <f t="shared" si="481"/>
        <v>디버프 마스터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/>
      <c r="AQ3379">
        <v>0</v>
      </c>
      <c r="AR3379">
        <v>0</v>
      </c>
      <c r="AT3379">
        <v>0</v>
      </c>
      <c r="AU3379">
        <v>0</v>
      </c>
      <c r="AW3379">
        <v>0</v>
      </c>
      <c r="AX3379">
        <v>0</v>
      </c>
      <c r="AY3379">
        <v>70</v>
      </c>
      <c r="BC3379" t="str">
        <f t="shared" si="482"/>
        <v>9791137602663</v>
      </c>
      <c r="BE3379" t="str">
        <f t="shared" si="483"/>
        <v>판타지 웹소설 &gt; 퓨전 판타지</v>
      </c>
    </row>
    <row r="3380" spans="1:57" x14ac:dyDescent="0.3">
      <c r="A3380">
        <v>2313012849</v>
      </c>
      <c r="B3380">
        <v>2313013485</v>
      </c>
      <c r="C3380" t="str">
        <f>T("디버프 마스터 637화")</f>
        <v>디버프 마스터 637화</v>
      </c>
      <c r="D3380" t="str">
        <f>T("637")</f>
        <v>637</v>
      </c>
      <c r="E3380" t="str">
        <f t="shared" si="480"/>
        <v>담화공</v>
      </c>
      <c r="H3380" t="str">
        <f t="shared" si="479"/>
        <v>스토리위즈</v>
      </c>
      <c r="I3380" t="str">
        <f t="shared" si="481"/>
        <v>디버프 마스터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/>
      <c r="AQ3380">
        <v>0</v>
      </c>
      <c r="AR3380">
        <v>0</v>
      </c>
      <c r="AT3380">
        <v>0</v>
      </c>
      <c r="AU3380">
        <v>0</v>
      </c>
      <c r="AW3380">
        <v>0</v>
      </c>
      <c r="AX3380">
        <v>0</v>
      </c>
      <c r="AY3380">
        <v>70</v>
      </c>
      <c r="BC3380" t="str">
        <f t="shared" si="482"/>
        <v>9791137602663</v>
      </c>
      <c r="BE3380" t="str">
        <f t="shared" si="483"/>
        <v>판타지 웹소설 &gt; 퓨전 판타지</v>
      </c>
    </row>
    <row r="3381" spans="1:57" x14ac:dyDescent="0.3">
      <c r="A3381">
        <v>2313012849</v>
      </c>
      <c r="B3381">
        <v>2313013486</v>
      </c>
      <c r="C3381" t="str">
        <f>T("디버프 마스터 638화")</f>
        <v>디버프 마스터 638화</v>
      </c>
      <c r="D3381" t="str">
        <f>T("638")</f>
        <v>638</v>
      </c>
      <c r="E3381" t="str">
        <f t="shared" si="480"/>
        <v>담화공</v>
      </c>
      <c r="H3381" t="str">
        <f t="shared" si="479"/>
        <v>스토리위즈</v>
      </c>
      <c r="I3381" t="str">
        <f t="shared" si="481"/>
        <v>디버프 마스터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/>
      <c r="AQ3381">
        <v>0</v>
      </c>
      <c r="AR3381">
        <v>0</v>
      </c>
      <c r="AT3381">
        <v>0</v>
      </c>
      <c r="AU3381">
        <v>0</v>
      </c>
      <c r="AW3381">
        <v>0</v>
      </c>
      <c r="AX3381">
        <v>0</v>
      </c>
      <c r="AY3381">
        <v>70</v>
      </c>
      <c r="BC3381" t="str">
        <f t="shared" si="482"/>
        <v>9791137602663</v>
      </c>
      <c r="BE3381" t="str">
        <f t="shared" si="483"/>
        <v>판타지 웹소설 &gt; 퓨전 판타지</v>
      </c>
    </row>
    <row r="3382" spans="1:57" x14ac:dyDescent="0.3">
      <c r="A3382">
        <v>2313012849</v>
      </c>
      <c r="B3382">
        <v>2313013487</v>
      </c>
      <c r="C3382" t="str">
        <f>T("디버프 마스터 639화")</f>
        <v>디버프 마스터 639화</v>
      </c>
      <c r="D3382" t="str">
        <f>T("639")</f>
        <v>639</v>
      </c>
      <c r="E3382" t="str">
        <f t="shared" si="480"/>
        <v>담화공</v>
      </c>
      <c r="H3382" t="str">
        <f t="shared" si="479"/>
        <v>스토리위즈</v>
      </c>
      <c r="I3382" t="str">
        <f t="shared" si="481"/>
        <v>디버프 마스터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/>
      <c r="AQ3382">
        <v>0</v>
      </c>
      <c r="AR3382">
        <v>0</v>
      </c>
      <c r="AT3382">
        <v>0</v>
      </c>
      <c r="AU3382">
        <v>0</v>
      </c>
      <c r="AW3382">
        <v>0</v>
      </c>
      <c r="AX3382">
        <v>0</v>
      </c>
      <c r="AY3382">
        <v>70</v>
      </c>
      <c r="BC3382" t="str">
        <f t="shared" si="482"/>
        <v>9791137602663</v>
      </c>
      <c r="BE3382" t="str">
        <f t="shared" si="483"/>
        <v>판타지 웹소설 &gt; 퓨전 판타지</v>
      </c>
    </row>
    <row r="3383" spans="1:57" x14ac:dyDescent="0.3">
      <c r="A3383">
        <v>2313012849</v>
      </c>
      <c r="B3383">
        <v>2313013488</v>
      </c>
      <c r="C3383" t="str">
        <f>T("디버프 마스터 640화")</f>
        <v>디버프 마스터 640화</v>
      </c>
      <c r="D3383" t="str">
        <f>T("640")</f>
        <v>640</v>
      </c>
      <c r="E3383" t="str">
        <f t="shared" si="480"/>
        <v>담화공</v>
      </c>
      <c r="H3383" t="str">
        <f t="shared" si="479"/>
        <v>스토리위즈</v>
      </c>
      <c r="I3383" t="str">
        <f t="shared" si="481"/>
        <v>디버프 마스터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/>
      <c r="AQ3383">
        <v>0</v>
      </c>
      <c r="AR3383">
        <v>0</v>
      </c>
      <c r="AT3383">
        <v>0</v>
      </c>
      <c r="AU3383">
        <v>0</v>
      </c>
      <c r="AW3383">
        <v>0</v>
      </c>
      <c r="AX3383">
        <v>0</v>
      </c>
      <c r="AY3383">
        <v>70</v>
      </c>
      <c r="BC3383" t="str">
        <f t="shared" si="482"/>
        <v>9791137602663</v>
      </c>
      <c r="BE3383" t="str">
        <f t="shared" si="483"/>
        <v>판타지 웹소설 &gt; 퓨전 판타지</v>
      </c>
    </row>
    <row r="3384" spans="1:57" x14ac:dyDescent="0.3">
      <c r="A3384">
        <v>2313012849</v>
      </c>
      <c r="B3384">
        <v>2313013489</v>
      </c>
      <c r="C3384" t="str">
        <f>T("디버프 마스터 641화")</f>
        <v>디버프 마스터 641화</v>
      </c>
      <c r="D3384" t="str">
        <f>T("641")</f>
        <v>641</v>
      </c>
      <c r="E3384" t="str">
        <f t="shared" si="480"/>
        <v>담화공</v>
      </c>
      <c r="H3384" t="str">
        <f t="shared" si="479"/>
        <v>스토리위즈</v>
      </c>
      <c r="I3384" t="str">
        <f t="shared" si="481"/>
        <v>디버프 마스터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/>
      <c r="AQ3384">
        <v>0</v>
      </c>
      <c r="AR3384">
        <v>0</v>
      </c>
      <c r="AT3384">
        <v>0</v>
      </c>
      <c r="AU3384">
        <v>0</v>
      </c>
      <c r="AW3384">
        <v>0</v>
      </c>
      <c r="AX3384">
        <v>0</v>
      </c>
      <c r="AY3384">
        <v>70</v>
      </c>
      <c r="BC3384" t="str">
        <f t="shared" si="482"/>
        <v>9791137602663</v>
      </c>
      <c r="BE3384" t="str">
        <f t="shared" si="483"/>
        <v>판타지 웹소설 &gt; 퓨전 판타지</v>
      </c>
    </row>
    <row r="3385" spans="1:57" x14ac:dyDescent="0.3">
      <c r="A3385">
        <v>2313012849</v>
      </c>
      <c r="B3385">
        <v>2313013490</v>
      </c>
      <c r="C3385" t="str">
        <f>T("디버프 마스터 642화")</f>
        <v>디버프 마스터 642화</v>
      </c>
      <c r="D3385" t="str">
        <f>T("642")</f>
        <v>642</v>
      </c>
      <c r="E3385" t="str">
        <f t="shared" si="480"/>
        <v>담화공</v>
      </c>
      <c r="H3385" t="str">
        <f t="shared" si="479"/>
        <v>스토리위즈</v>
      </c>
      <c r="I3385" t="str">
        <f t="shared" si="481"/>
        <v>디버프 마스터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/>
      <c r="AQ3385">
        <v>0</v>
      </c>
      <c r="AR3385">
        <v>0</v>
      </c>
      <c r="AT3385">
        <v>0</v>
      </c>
      <c r="AU3385">
        <v>0</v>
      </c>
      <c r="AW3385">
        <v>0</v>
      </c>
      <c r="AX3385">
        <v>0</v>
      </c>
      <c r="AY3385">
        <v>70</v>
      </c>
      <c r="BC3385" t="str">
        <f t="shared" si="482"/>
        <v>9791137602663</v>
      </c>
      <c r="BE3385" t="str">
        <f t="shared" si="483"/>
        <v>판타지 웹소설 &gt; 퓨전 판타지</v>
      </c>
    </row>
    <row r="3386" spans="1:57" x14ac:dyDescent="0.3">
      <c r="A3386">
        <v>2313012849</v>
      </c>
      <c r="B3386">
        <v>2313013491</v>
      </c>
      <c r="C3386" t="str">
        <f>T("디버프 마스터 643화")</f>
        <v>디버프 마스터 643화</v>
      </c>
      <c r="D3386" t="str">
        <f>T("643")</f>
        <v>643</v>
      </c>
      <c r="E3386" t="str">
        <f t="shared" si="480"/>
        <v>담화공</v>
      </c>
      <c r="H3386" t="str">
        <f t="shared" si="479"/>
        <v>스토리위즈</v>
      </c>
      <c r="I3386" t="str">
        <f t="shared" si="481"/>
        <v>디버프 마스터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/>
      <c r="AQ3386">
        <v>0</v>
      </c>
      <c r="AR3386">
        <v>0</v>
      </c>
      <c r="AT3386">
        <v>0</v>
      </c>
      <c r="AU3386">
        <v>0</v>
      </c>
      <c r="AW3386">
        <v>0</v>
      </c>
      <c r="AX3386">
        <v>0</v>
      </c>
      <c r="AY3386">
        <v>70</v>
      </c>
      <c r="BC3386" t="str">
        <f t="shared" si="482"/>
        <v>9791137602663</v>
      </c>
      <c r="BE3386" t="str">
        <f t="shared" si="483"/>
        <v>판타지 웹소설 &gt; 퓨전 판타지</v>
      </c>
    </row>
    <row r="3387" spans="1:57" x14ac:dyDescent="0.3">
      <c r="A3387">
        <v>2313012849</v>
      </c>
      <c r="B3387">
        <v>2313013492</v>
      </c>
      <c r="C3387" t="str">
        <f>T("디버프 마스터 644화")</f>
        <v>디버프 마스터 644화</v>
      </c>
      <c r="D3387" t="str">
        <f>T("644")</f>
        <v>644</v>
      </c>
      <c r="E3387" t="str">
        <f t="shared" si="480"/>
        <v>담화공</v>
      </c>
      <c r="H3387" t="str">
        <f t="shared" si="479"/>
        <v>스토리위즈</v>
      </c>
      <c r="I3387" t="str">
        <f t="shared" si="481"/>
        <v>디버프 마스터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/>
      <c r="AQ3387">
        <v>0</v>
      </c>
      <c r="AR3387">
        <v>0</v>
      </c>
      <c r="AT3387">
        <v>0</v>
      </c>
      <c r="AU3387">
        <v>0</v>
      </c>
      <c r="AW3387">
        <v>0</v>
      </c>
      <c r="AX3387">
        <v>0</v>
      </c>
      <c r="AY3387">
        <v>70</v>
      </c>
      <c r="BC3387" t="str">
        <f t="shared" si="482"/>
        <v>9791137602663</v>
      </c>
      <c r="BE3387" t="str">
        <f t="shared" si="483"/>
        <v>판타지 웹소설 &gt; 퓨전 판타지</v>
      </c>
    </row>
    <row r="3388" spans="1:57" x14ac:dyDescent="0.3">
      <c r="A3388">
        <v>2313012849</v>
      </c>
      <c r="B3388">
        <v>2313013493</v>
      </c>
      <c r="C3388" t="str">
        <f>T("디버프 마스터 645화")</f>
        <v>디버프 마스터 645화</v>
      </c>
      <c r="D3388" t="str">
        <f>T("645")</f>
        <v>645</v>
      </c>
      <c r="E3388" t="str">
        <f t="shared" si="480"/>
        <v>담화공</v>
      </c>
      <c r="H3388" t="str">
        <f t="shared" si="479"/>
        <v>스토리위즈</v>
      </c>
      <c r="I3388" t="str">
        <f t="shared" si="481"/>
        <v>디버프 마스터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/>
      <c r="AQ3388">
        <v>0</v>
      </c>
      <c r="AR3388">
        <v>0</v>
      </c>
      <c r="AT3388">
        <v>0</v>
      </c>
      <c r="AU3388">
        <v>0</v>
      </c>
      <c r="AW3388">
        <v>0</v>
      </c>
      <c r="AX3388">
        <v>0</v>
      </c>
      <c r="AY3388">
        <v>70</v>
      </c>
      <c r="BC3388" t="str">
        <f t="shared" si="482"/>
        <v>9791137602663</v>
      </c>
      <c r="BE3388" t="str">
        <f t="shared" si="483"/>
        <v>판타지 웹소설 &gt; 퓨전 판타지</v>
      </c>
    </row>
    <row r="3389" spans="1:57" x14ac:dyDescent="0.3">
      <c r="A3389">
        <v>2313012849</v>
      </c>
      <c r="B3389">
        <v>2313013494</v>
      </c>
      <c r="C3389" t="str">
        <f>T("디버프 마스터 646화")</f>
        <v>디버프 마스터 646화</v>
      </c>
      <c r="D3389" t="str">
        <f>T("646")</f>
        <v>646</v>
      </c>
      <c r="E3389" t="str">
        <f t="shared" si="480"/>
        <v>담화공</v>
      </c>
      <c r="H3389" t="str">
        <f t="shared" si="479"/>
        <v>스토리위즈</v>
      </c>
      <c r="I3389" t="str">
        <f t="shared" si="481"/>
        <v>디버프 마스터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/>
      <c r="AQ3389">
        <v>0</v>
      </c>
      <c r="AR3389">
        <v>0</v>
      </c>
      <c r="AT3389">
        <v>0</v>
      </c>
      <c r="AU3389">
        <v>0</v>
      </c>
      <c r="AW3389">
        <v>0</v>
      </c>
      <c r="AX3389">
        <v>0</v>
      </c>
      <c r="AY3389">
        <v>70</v>
      </c>
      <c r="BC3389" t="str">
        <f t="shared" si="482"/>
        <v>9791137602663</v>
      </c>
      <c r="BE3389" t="str">
        <f t="shared" si="483"/>
        <v>판타지 웹소설 &gt; 퓨전 판타지</v>
      </c>
    </row>
    <row r="3390" spans="1:57" x14ac:dyDescent="0.3">
      <c r="A3390">
        <v>2313012849</v>
      </c>
      <c r="B3390">
        <v>2313013495</v>
      </c>
      <c r="C3390" t="str">
        <f>T("디버프 마스터 647화")</f>
        <v>디버프 마스터 647화</v>
      </c>
      <c r="D3390" t="str">
        <f>T("647")</f>
        <v>647</v>
      </c>
      <c r="E3390" t="str">
        <f t="shared" si="480"/>
        <v>담화공</v>
      </c>
      <c r="H3390" t="str">
        <f t="shared" si="479"/>
        <v>스토리위즈</v>
      </c>
      <c r="I3390" t="str">
        <f t="shared" si="481"/>
        <v>디버프 마스터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/>
      <c r="AQ3390">
        <v>0</v>
      </c>
      <c r="AR3390">
        <v>0</v>
      </c>
      <c r="AT3390">
        <v>0</v>
      </c>
      <c r="AU3390">
        <v>0</v>
      </c>
      <c r="AW3390">
        <v>0</v>
      </c>
      <c r="AX3390">
        <v>0</v>
      </c>
      <c r="AY3390">
        <v>70</v>
      </c>
      <c r="BC3390" t="str">
        <f t="shared" si="482"/>
        <v>9791137602663</v>
      </c>
      <c r="BE3390" t="str">
        <f t="shared" si="483"/>
        <v>판타지 웹소설 &gt; 퓨전 판타지</v>
      </c>
    </row>
    <row r="3391" spans="1:57" x14ac:dyDescent="0.3">
      <c r="A3391">
        <v>2313012849</v>
      </c>
      <c r="B3391">
        <v>2313013496</v>
      </c>
      <c r="C3391" t="str">
        <f>T("디버프 마스터 648화")</f>
        <v>디버프 마스터 648화</v>
      </c>
      <c r="D3391" t="str">
        <f>T("648")</f>
        <v>648</v>
      </c>
      <c r="E3391" t="str">
        <f t="shared" si="480"/>
        <v>담화공</v>
      </c>
      <c r="H3391" t="str">
        <f t="shared" si="479"/>
        <v>스토리위즈</v>
      </c>
      <c r="I3391" t="str">
        <f t="shared" si="481"/>
        <v>디버프 마스터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/>
      <c r="AQ3391">
        <v>0</v>
      </c>
      <c r="AR3391">
        <v>0</v>
      </c>
      <c r="AT3391">
        <v>0</v>
      </c>
      <c r="AU3391">
        <v>0</v>
      </c>
      <c r="AW3391">
        <v>0</v>
      </c>
      <c r="AX3391">
        <v>0</v>
      </c>
      <c r="AY3391">
        <v>70</v>
      </c>
      <c r="BC3391" t="str">
        <f t="shared" si="482"/>
        <v>9791137602663</v>
      </c>
      <c r="BE3391" t="str">
        <f t="shared" si="483"/>
        <v>판타지 웹소설 &gt; 퓨전 판타지</v>
      </c>
    </row>
    <row r="3392" spans="1:57" x14ac:dyDescent="0.3">
      <c r="A3392">
        <v>2313012849</v>
      </c>
      <c r="B3392">
        <v>2313013497</v>
      </c>
      <c r="C3392" t="str">
        <f>T("디버프 마스터 649화")</f>
        <v>디버프 마스터 649화</v>
      </c>
      <c r="D3392" t="str">
        <f>T("649")</f>
        <v>649</v>
      </c>
      <c r="E3392" t="str">
        <f t="shared" si="480"/>
        <v>담화공</v>
      </c>
      <c r="H3392" t="str">
        <f t="shared" si="479"/>
        <v>스토리위즈</v>
      </c>
      <c r="I3392" t="str">
        <f t="shared" si="481"/>
        <v>디버프 마스터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/>
      <c r="AQ3392">
        <v>0</v>
      </c>
      <c r="AR3392">
        <v>0</v>
      </c>
      <c r="AT3392">
        <v>0</v>
      </c>
      <c r="AU3392">
        <v>0</v>
      </c>
      <c r="AW3392">
        <v>0</v>
      </c>
      <c r="AX3392">
        <v>0</v>
      </c>
      <c r="AY3392">
        <v>70</v>
      </c>
      <c r="BC3392" t="str">
        <f t="shared" si="482"/>
        <v>9791137602663</v>
      </c>
      <c r="BE3392" t="str">
        <f t="shared" si="483"/>
        <v>판타지 웹소설 &gt; 퓨전 판타지</v>
      </c>
    </row>
    <row r="3393" spans="1:57" x14ac:dyDescent="0.3">
      <c r="A3393">
        <v>2313012849</v>
      </c>
      <c r="B3393">
        <v>2313013498</v>
      </c>
      <c r="C3393" t="str">
        <f>T("디버프 마스터 650화")</f>
        <v>디버프 마스터 650화</v>
      </c>
      <c r="D3393" t="str">
        <f>T("650")</f>
        <v>650</v>
      </c>
      <c r="E3393" t="str">
        <f t="shared" si="480"/>
        <v>담화공</v>
      </c>
      <c r="H3393" t="str">
        <f t="shared" si="479"/>
        <v>스토리위즈</v>
      </c>
      <c r="I3393" t="str">
        <f t="shared" si="481"/>
        <v>디버프 마스터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/>
      <c r="AQ3393">
        <v>0</v>
      </c>
      <c r="AR3393">
        <v>0</v>
      </c>
      <c r="AT3393">
        <v>0</v>
      </c>
      <c r="AU3393">
        <v>0</v>
      </c>
      <c r="AW3393">
        <v>0</v>
      </c>
      <c r="AX3393">
        <v>0</v>
      </c>
      <c r="AY3393">
        <v>70</v>
      </c>
      <c r="BC3393" t="str">
        <f t="shared" si="482"/>
        <v>9791137602663</v>
      </c>
      <c r="BE3393" t="str">
        <f t="shared" si="483"/>
        <v>판타지 웹소설 &gt; 퓨전 판타지</v>
      </c>
    </row>
    <row r="3394" spans="1:57" x14ac:dyDescent="0.3">
      <c r="A3394">
        <v>2313012849</v>
      </c>
      <c r="B3394">
        <v>2313013499</v>
      </c>
      <c r="C3394" t="str">
        <f>T("디버프 마스터 651화")</f>
        <v>디버프 마스터 651화</v>
      </c>
      <c r="D3394" t="str">
        <f>T("651")</f>
        <v>651</v>
      </c>
      <c r="E3394" t="str">
        <f t="shared" si="480"/>
        <v>담화공</v>
      </c>
      <c r="H3394" t="str">
        <f t="shared" si="479"/>
        <v>스토리위즈</v>
      </c>
      <c r="I3394" t="str">
        <f t="shared" si="481"/>
        <v>디버프 마스터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/>
      <c r="AQ3394">
        <v>0</v>
      </c>
      <c r="AR3394">
        <v>0</v>
      </c>
      <c r="AT3394">
        <v>0</v>
      </c>
      <c r="AU3394">
        <v>0</v>
      </c>
      <c r="AW3394">
        <v>0</v>
      </c>
      <c r="AX3394">
        <v>0</v>
      </c>
      <c r="AY3394">
        <v>70</v>
      </c>
      <c r="BC3394" t="str">
        <f t="shared" si="482"/>
        <v>9791137602663</v>
      </c>
      <c r="BE3394" t="str">
        <f t="shared" si="483"/>
        <v>판타지 웹소설 &gt; 퓨전 판타지</v>
      </c>
    </row>
    <row r="3395" spans="1:57" x14ac:dyDescent="0.3">
      <c r="A3395">
        <v>2313012849</v>
      </c>
      <c r="B3395">
        <v>2313013500</v>
      </c>
      <c r="C3395" t="str">
        <f>T("디버프 마스터 652화")</f>
        <v>디버프 마스터 652화</v>
      </c>
      <c r="D3395" t="str">
        <f>T("652")</f>
        <v>652</v>
      </c>
      <c r="E3395" t="str">
        <f t="shared" si="480"/>
        <v>담화공</v>
      </c>
      <c r="H3395" t="str">
        <f t="shared" si="479"/>
        <v>스토리위즈</v>
      </c>
      <c r="I3395" t="str">
        <f t="shared" si="481"/>
        <v>디버프 마스터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/>
      <c r="AQ3395">
        <v>0</v>
      </c>
      <c r="AR3395">
        <v>0</v>
      </c>
      <c r="AT3395">
        <v>0</v>
      </c>
      <c r="AU3395">
        <v>0</v>
      </c>
      <c r="AW3395">
        <v>0</v>
      </c>
      <c r="AX3395">
        <v>0</v>
      </c>
      <c r="AY3395">
        <v>70</v>
      </c>
      <c r="BC3395" t="str">
        <f t="shared" si="482"/>
        <v>9791137602663</v>
      </c>
      <c r="BE3395" t="str">
        <f t="shared" si="483"/>
        <v>판타지 웹소설 &gt; 퓨전 판타지</v>
      </c>
    </row>
    <row r="3396" spans="1:57" x14ac:dyDescent="0.3">
      <c r="A3396">
        <v>2313012849</v>
      </c>
      <c r="B3396">
        <v>2313013501</v>
      </c>
      <c r="C3396" t="str">
        <f>T("디버프 마스터 653화")</f>
        <v>디버프 마스터 653화</v>
      </c>
      <c r="D3396" t="str">
        <f>T("653")</f>
        <v>653</v>
      </c>
      <c r="E3396" t="str">
        <f t="shared" si="480"/>
        <v>담화공</v>
      </c>
      <c r="H3396" t="str">
        <f t="shared" si="479"/>
        <v>스토리위즈</v>
      </c>
      <c r="I3396" t="str">
        <f t="shared" si="481"/>
        <v>디버프 마스터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/>
      <c r="AQ3396">
        <v>0</v>
      </c>
      <c r="AR3396">
        <v>0</v>
      </c>
      <c r="AT3396">
        <v>0</v>
      </c>
      <c r="AU3396">
        <v>0</v>
      </c>
      <c r="AW3396">
        <v>0</v>
      </c>
      <c r="AX3396">
        <v>0</v>
      </c>
      <c r="AY3396">
        <v>70</v>
      </c>
      <c r="BC3396" t="str">
        <f t="shared" si="482"/>
        <v>9791137602663</v>
      </c>
      <c r="BE3396" t="str">
        <f t="shared" si="483"/>
        <v>판타지 웹소설 &gt; 퓨전 판타지</v>
      </c>
    </row>
    <row r="3397" spans="1:57" x14ac:dyDescent="0.3">
      <c r="A3397">
        <v>2313012849</v>
      </c>
      <c r="B3397">
        <v>2313013502</v>
      </c>
      <c r="C3397" t="str">
        <f>T("디버프 마스터 654화")</f>
        <v>디버프 마스터 654화</v>
      </c>
      <c r="D3397" t="str">
        <f>T("654")</f>
        <v>654</v>
      </c>
      <c r="E3397" t="str">
        <f t="shared" si="480"/>
        <v>담화공</v>
      </c>
      <c r="H3397" t="str">
        <f t="shared" si="479"/>
        <v>스토리위즈</v>
      </c>
      <c r="I3397" t="str">
        <f t="shared" si="481"/>
        <v>디버프 마스터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/>
      <c r="AQ3397">
        <v>0</v>
      </c>
      <c r="AR3397">
        <v>0</v>
      </c>
      <c r="AT3397">
        <v>0</v>
      </c>
      <c r="AU3397">
        <v>0</v>
      </c>
      <c r="AW3397">
        <v>0</v>
      </c>
      <c r="AX3397">
        <v>0</v>
      </c>
      <c r="AY3397">
        <v>70</v>
      </c>
      <c r="BC3397" t="str">
        <f t="shared" si="482"/>
        <v>9791137602663</v>
      </c>
      <c r="BE3397" t="str">
        <f t="shared" si="483"/>
        <v>판타지 웹소설 &gt; 퓨전 판타지</v>
      </c>
    </row>
    <row r="3398" spans="1:57" x14ac:dyDescent="0.3">
      <c r="A3398">
        <v>2313012849</v>
      </c>
      <c r="B3398">
        <v>2313013503</v>
      </c>
      <c r="C3398" t="str">
        <f>T("디버프 마스터 655화")</f>
        <v>디버프 마스터 655화</v>
      </c>
      <c r="D3398" t="str">
        <f>T("655")</f>
        <v>655</v>
      </c>
      <c r="E3398" t="str">
        <f t="shared" si="480"/>
        <v>담화공</v>
      </c>
      <c r="H3398" t="str">
        <f t="shared" si="479"/>
        <v>스토리위즈</v>
      </c>
      <c r="I3398" t="str">
        <f t="shared" si="481"/>
        <v>디버프 마스터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/>
      <c r="AQ3398">
        <v>0</v>
      </c>
      <c r="AR3398">
        <v>0</v>
      </c>
      <c r="AT3398">
        <v>0</v>
      </c>
      <c r="AU3398">
        <v>0</v>
      </c>
      <c r="AW3398">
        <v>0</v>
      </c>
      <c r="AX3398">
        <v>0</v>
      </c>
      <c r="AY3398">
        <v>70</v>
      </c>
      <c r="BC3398" t="str">
        <f t="shared" si="482"/>
        <v>9791137602663</v>
      </c>
      <c r="BE3398" t="str">
        <f t="shared" si="483"/>
        <v>판타지 웹소설 &gt; 퓨전 판타지</v>
      </c>
    </row>
    <row r="3399" spans="1:57" x14ac:dyDescent="0.3">
      <c r="A3399">
        <v>2313012849</v>
      </c>
      <c r="B3399">
        <v>2313013504</v>
      </c>
      <c r="C3399" t="str">
        <f>T("디버프 마스터 656화")</f>
        <v>디버프 마스터 656화</v>
      </c>
      <c r="D3399" t="str">
        <f>T("656")</f>
        <v>656</v>
      </c>
      <c r="E3399" t="str">
        <f t="shared" si="480"/>
        <v>담화공</v>
      </c>
      <c r="H3399" t="str">
        <f t="shared" si="479"/>
        <v>스토리위즈</v>
      </c>
      <c r="I3399" t="str">
        <f t="shared" si="481"/>
        <v>디버프 마스터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/>
      <c r="AQ3399">
        <v>0</v>
      </c>
      <c r="AR3399">
        <v>0</v>
      </c>
      <c r="AT3399">
        <v>0</v>
      </c>
      <c r="AU3399">
        <v>0</v>
      </c>
      <c r="AW3399">
        <v>0</v>
      </c>
      <c r="AX3399">
        <v>0</v>
      </c>
      <c r="AY3399">
        <v>70</v>
      </c>
      <c r="BC3399" t="str">
        <f t="shared" si="482"/>
        <v>9791137602663</v>
      </c>
      <c r="BE3399" t="str">
        <f t="shared" si="483"/>
        <v>판타지 웹소설 &gt; 퓨전 판타지</v>
      </c>
    </row>
    <row r="3400" spans="1:57" x14ac:dyDescent="0.3">
      <c r="A3400">
        <v>2313012849</v>
      </c>
      <c r="B3400">
        <v>2313013505</v>
      </c>
      <c r="C3400" t="str">
        <f>T("디버프 마스터 657화")</f>
        <v>디버프 마스터 657화</v>
      </c>
      <c r="D3400" t="str">
        <f>T("657")</f>
        <v>657</v>
      </c>
      <c r="E3400" t="str">
        <f t="shared" si="480"/>
        <v>담화공</v>
      </c>
      <c r="H3400" t="str">
        <f t="shared" si="479"/>
        <v>스토리위즈</v>
      </c>
      <c r="I3400" t="str">
        <f t="shared" si="481"/>
        <v>디버프 마스터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/>
      <c r="AQ3400">
        <v>0</v>
      </c>
      <c r="AR3400">
        <v>0</v>
      </c>
      <c r="AT3400">
        <v>0</v>
      </c>
      <c r="AU3400">
        <v>0</v>
      </c>
      <c r="AW3400">
        <v>0</v>
      </c>
      <c r="AX3400">
        <v>0</v>
      </c>
      <c r="AY3400">
        <v>70</v>
      </c>
      <c r="BC3400" t="str">
        <f t="shared" si="482"/>
        <v>9791137602663</v>
      </c>
      <c r="BE3400" t="str">
        <f t="shared" si="483"/>
        <v>판타지 웹소설 &gt; 퓨전 판타지</v>
      </c>
    </row>
    <row r="3401" spans="1:57" x14ac:dyDescent="0.3">
      <c r="A3401">
        <v>2313012849</v>
      </c>
      <c r="B3401">
        <v>2313013506</v>
      </c>
      <c r="C3401" t="str">
        <f>T("디버프 마스터 658화")</f>
        <v>디버프 마스터 658화</v>
      </c>
      <c r="D3401" t="str">
        <f>T("658")</f>
        <v>658</v>
      </c>
      <c r="E3401" t="str">
        <f t="shared" si="480"/>
        <v>담화공</v>
      </c>
      <c r="H3401" t="str">
        <f t="shared" si="479"/>
        <v>스토리위즈</v>
      </c>
      <c r="I3401" t="str">
        <f t="shared" si="481"/>
        <v>디버프 마스터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/>
      <c r="AQ3401">
        <v>0</v>
      </c>
      <c r="AR3401">
        <v>0</v>
      </c>
      <c r="AT3401">
        <v>0</v>
      </c>
      <c r="AU3401">
        <v>0</v>
      </c>
      <c r="AW3401">
        <v>0</v>
      </c>
      <c r="AX3401">
        <v>0</v>
      </c>
      <c r="AY3401">
        <v>70</v>
      </c>
      <c r="BC3401" t="str">
        <f t="shared" si="482"/>
        <v>9791137602663</v>
      </c>
      <c r="BE3401" t="str">
        <f t="shared" si="483"/>
        <v>판타지 웹소설 &gt; 퓨전 판타지</v>
      </c>
    </row>
    <row r="3402" spans="1:57" x14ac:dyDescent="0.3">
      <c r="A3402">
        <v>2313012849</v>
      </c>
      <c r="B3402">
        <v>2313013507</v>
      </c>
      <c r="C3402" t="str">
        <f>T("디버프 마스터 659화")</f>
        <v>디버프 마스터 659화</v>
      </c>
      <c r="D3402" t="str">
        <f>T("659")</f>
        <v>659</v>
      </c>
      <c r="E3402" t="str">
        <f t="shared" si="480"/>
        <v>담화공</v>
      </c>
      <c r="H3402" t="str">
        <f t="shared" si="479"/>
        <v>스토리위즈</v>
      </c>
      <c r="I3402" t="str">
        <f t="shared" si="481"/>
        <v>디버프 마스터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/>
      <c r="AQ3402">
        <v>0</v>
      </c>
      <c r="AR3402">
        <v>0</v>
      </c>
      <c r="AT3402">
        <v>0</v>
      </c>
      <c r="AU3402">
        <v>0</v>
      </c>
      <c r="AW3402">
        <v>0</v>
      </c>
      <c r="AX3402">
        <v>0</v>
      </c>
      <c r="AY3402">
        <v>70</v>
      </c>
      <c r="BC3402" t="str">
        <f t="shared" si="482"/>
        <v>9791137602663</v>
      </c>
      <c r="BE3402" t="str">
        <f t="shared" si="483"/>
        <v>판타지 웹소설 &gt; 퓨전 판타지</v>
      </c>
    </row>
    <row r="3403" spans="1:57" x14ac:dyDescent="0.3">
      <c r="A3403">
        <v>2313012849</v>
      </c>
      <c r="B3403">
        <v>2313013508</v>
      </c>
      <c r="C3403" t="str">
        <f>T("디버프 마스터 660화")</f>
        <v>디버프 마스터 660화</v>
      </c>
      <c r="D3403" t="str">
        <f>T("660")</f>
        <v>660</v>
      </c>
      <c r="E3403" t="str">
        <f t="shared" si="480"/>
        <v>담화공</v>
      </c>
      <c r="H3403" t="str">
        <f t="shared" si="479"/>
        <v>스토리위즈</v>
      </c>
      <c r="I3403" t="str">
        <f t="shared" si="481"/>
        <v>디버프 마스터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/>
      <c r="AQ3403">
        <v>0</v>
      </c>
      <c r="AR3403">
        <v>0</v>
      </c>
      <c r="AT3403">
        <v>0</v>
      </c>
      <c r="AU3403">
        <v>0</v>
      </c>
      <c r="AW3403">
        <v>0</v>
      </c>
      <c r="AX3403">
        <v>0</v>
      </c>
      <c r="AY3403">
        <v>70</v>
      </c>
      <c r="BC3403" t="str">
        <f t="shared" si="482"/>
        <v>9791137602663</v>
      </c>
      <c r="BE3403" t="str">
        <f t="shared" si="483"/>
        <v>판타지 웹소설 &gt; 퓨전 판타지</v>
      </c>
    </row>
    <row r="3404" spans="1:57" x14ac:dyDescent="0.3">
      <c r="A3404">
        <v>2313012849</v>
      </c>
      <c r="B3404">
        <v>2313013509</v>
      </c>
      <c r="C3404" t="str">
        <f>T("디버프 마스터 661화")</f>
        <v>디버프 마스터 661화</v>
      </c>
      <c r="D3404" t="str">
        <f>T("661")</f>
        <v>661</v>
      </c>
      <c r="E3404" t="str">
        <f t="shared" si="480"/>
        <v>담화공</v>
      </c>
      <c r="H3404" t="str">
        <f t="shared" si="479"/>
        <v>스토리위즈</v>
      </c>
      <c r="I3404" t="str">
        <f t="shared" si="481"/>
        <v>디버프 마스터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/>
      <c r="AQ3404">
        <v>0</v>
      </c>
      <c r="AR3404">
        <v>0</v>
      </c>
      <c r="AT3404">
        <v>0</v>
      </c>
      <c r="AU3404">
        <v>0</v>
      </c>
      <c r="AW3404">
        <v>0</v>
      </c>
      <c r="AX3404">
        <v>0</v>
      </c>
      <c r="AY3404">
        <v>70</v>
      </c>
      <c r="BC3404" t="str">
        <f t="shared" si="482"/>
        <v>9791137602663</v>
      </c>
      <c r="BE3404" t="str">
        <f t="shared" si="483"/>
        <v>판타지 웹소설 &gt; 퓨전 판타지</v>
      </c>
    </row>
    <row r="3405" spans="1:57" x14ac:dyDescent="0.3">
      <c r="A3405">
        <v>2313012849</v>
      </c>
      <c r="B3405">
        <v>2313013510</v>
      </c>
      <c r="C3405" t="str">
        <f>T("디버프 마스터 662화")</f>
        <v>디버프 마스터 662화</v>
      </c>
      <c r="D3405" t="str">
        <f>T("662")</f>
        <v>662</v>
      </c>
      <c r="E3405" t="str">
        <f t="shared" si="480"/>
        <v>담화공</v>
      </c>
      <c r="H3405" t="str">
        <f t="shared" si="479"/>
        <v>스토리위즈</v>
      </c>
      <c r="I3405" t="str">
        <f t="shared" si="481"/>
        <v>디버프 마스터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/>
      <c r="AQ3405">
        <v>0</v>
      </c>
      <c r="AR3405">
        <v>0</v>
      </c>
      <c r="AT3405">
        <v>0</v>
      </c>
      <c r="AU3405">
        <v>0</v>
      </c>
      <c r="AW3405">
        <v>0</v>
      </c>
      <c r="AX3405">
        <v>0</v>
      </c>
      <c r="AY3405">
        <v>70</v>
      </c>
      <c r="BC3405" t="str">
        <f t="shared" si="482"/>
        <v>9791137602663</v>
      </c>
      <c r="BE3405" t="str">
        <f t="shared" si="483"/>
        <v>판타지 웹소설 &gt; 퓨전 판타지</v>
      </c>
    </row>
    <row r="3406" spans="1:57" x14ac:dyDescent="0.3">
      <c r="A3406">
        <v>2313012849</v>
      </c>
      <c r="B3406">
        <v>2313013511</v>
      </c>
      <c r="C3406" t="str">
        <f>T("디버프 마스터 663화")</f>
        <v>디버프 마스터 663화</v>
      </c>
      <c r="D3406" t="str">
        <f>T("663")</f>
        <v>663</v>
      </c>
      <c r="E3406" t="str">
        <f t="shared" si="480"/>
        <v>담화공</v>
      </c>
      <c r="H3406" t="str">
        <f t="shared" si="479"/>
        <v>스토리위즈</v>
      </c>
      <c r="I3406" t="str">
        <f t="shared" si="481"/>
        <v>디버프 마스터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/>
      <c r="AQ3406">
        <v>0</v>
      </c>
      <c r="AR3406">
        <v>0</v>
      </c>
      <c r="AT3406">
        <v>0</v>
      </c>
      <c r="AU3406">
        <v>0</v>
      </c>
      <c r="AW3406">
        <v>0</v>
      </c>
      <c r="AX3406">
        <v>0</v>
      </c>
      <c r="AY3406">
        <v>70</v>
      </c>
      <c r="BC3406" t="str">
        <f t="shared" si="482"/>
        <v>9791137602663</v>
      </c>
      <c r="BE3406" t="str">
        <f t="shared" si="483"/>
        <v>판타지 웹소설 &gt; 퓨전 판타지</v>
      </c>
    </row>
    <row r="3407" spans="1:57" x14ac:dyDescent="0.3">
      <c r="A3407">
        <v>2313012849</v>
      </c>
      <c r="B3407">
        <v>2313013512</v>
      </c>
      <c r="C3407" t="str">
        <f>T("디버프 마스터 664화")</f>
        <v>디버프 마스터 664화</v>
      </c>
      <c r="D3407" t="str">
        <f>T("664")</f>
        <v>664</v>
      </c>
      <c r="E3407" t="str">
        <f t="shared" si="480"/>
        <v>담화공</v>
      </c>
      <c r="H3407" t="str">
        <f t="shared" si="479"/>
        <v>스토리위즈</v>
      </c>
      <c r="I3407" t="str">
        <f t="shared" si="481"/>
        <v>디버프 마스터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/>
      <c r="AQ3407">
        <v>0</v>
      </c>
      <c r="AR3407">
        <v>0</v>
      </c>
      <c r="AT3407">
        <v>0</v>
      </c>
      <c r="AU3407">
        <v>0</v>
      </c>
      <c r="AW3407">
        <v>0</v>
      </c>
      <c r="AX3407">
        <v>0</v>
      </c>
      <c r="AY3407">
        <v>70</v>
      </c>
      <c r="BC3407" t="str">
        <f t="shared" si="482"/>
        <v>9791137602663</v>
      </c>
      <c r="BE3407" t="str">
        <f t="shared" si="483"/>
        <v>판타지 웹소설 &gt; 퓨전 판타지</v>
      </c>
    </row>
    <row r="3408" spans="1:57" x14ac:dyDescent="0.3">
      <c r="A3408">
        <v>2313012849</v>
      </c>
      <c r="B3408">
        <v>2313013513</v>
      </c>
      <c r="C3408" t="str">
        <f>T("디버프 마스터 665화")</f>
        <v>디버프 마스터 665화</v>
      </c>
      <c r="D3408" t="str">
        <f>T("665")</f>
        <v>665</v>
      </c>
      <c r="E3408" t="str">
        <f t="shared" si="480"/>
        <v>담화공</v>
      </c>
      <c r="H3408" t="str">
        <f t="shared" si="479"/>
        <v>스토리위즈</v>
      </c>
      <c r="I3408" t="str">
        <f t="shared" si="481"/>
        <v>디버프 마스터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/>
      <c r="AQ3408">
        <v>0</v>
      </c>
      <c r="AR3408">
        <v>0</v>
      </c>
      <c r="AT3408">
        <v>0</v>
      </c>
      <c r="AU3408">
        <v>0</v>
      </c>
      <c r="AW3408">
        <v>0</v>
      </c>
      <c r="AX3408">
        <v>0</v>
      </c>
      <c r="AY3408">
        <v>70</v>
      </c>
      <c r="BC3408" t="str">
        <f t="shared" si="482"/>
        <v>9791137602663</v>
      </c>
      <c r="BE3408" t="str">
        <f t="shared" si="483"/>
        <v>판타지 웹소설 &gt; 퓨전 판타지</v>
      </c>
    </row>
    <row r="3409" spans="1:57" x14ac:dyDescent="0.3">
      <c r="A3409">
        <v>2313012849</v>
      </c>
      <c r="B3409">
        <v>2313013514</v>
      </c>
      <c r="C3409" t="str">
        <f>T("디버프 마스터 666화")</f>
        <v>디버프 마스터 666화</v>
      </c>
      <c r="D3409" t="str">
        <f>T("666")</f>
        <v>666</v>
      </c>
      <c r="E3409" t="str">
        <f t="shared" si="480"/>
        <v>담화공</v>
      </c>
      <c r="H3409" t="str">
        <f t="shared" si="479"/>
        <v>스토리위즈</v>
      </c>
      <c r="I3409" t="str">
        <f t="shared" si="481"/>
        <v>디버프 마스터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/>
      <c r="AQ3409">
        <v>0</v>
      </c>
      <c r="AR3409">
        <v>0</v>
      </c>
      <c r="AT3409">
        <v>0</v>
      </c>
      <c r="AU3409">
        <v>0</v>
      </c>
      <c r="AW3409">
        <v>0</v>
      </c>
      <c r="AX3409">
        <v>0</v>
      </c>
      <c r="AY3409">
        <v>70</v>
      </c>
      <c r="BC3409" t="str">
        <f t="shared" si="482"/>
        <v>9791137602663</v>
      </c>
      <c r="BE3409" t="str">
        <f t="shared" si="483"/>
        <v>판타지 웹소설 &gt; 퓨전 판타지</v>
      </c>
    </row>
    <row r="3410" spans="1:57" x14ac:dyDescent="0.3">
      <c r="A3410">
        <v>2313012849</v>
      </c>
      <c r="B3410">
        <v>2313013515</v>
      </c>
      <c r="C3410" t="str">
        <f>T("디버프 마스터 667화")</f>
        <v>디버프 마스터 667화</v>
      </c>
      <c r="D3410" t="str">
        <f>T("667")</f>
        <v>667</v>
      </c>
      <c r="E3410" t="str">
        <f t="shared" si="480"/>
        <v>담화공</v>
      </c>
      <c r="H3410" t="str">
        <f t="shared" si="479"/>
        <v>스토리위즈</v>
      </c>
      <c r="I3410" t="str">
        <f t="shared" si="481"/>
        <v>디버프 마스터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/>
      <c r="AQ3410">
        <v>0</v>
      </c>
      <c r="AR3410">
        <v>0</v>
      </c>
      <c r="AT3410">
        <v>0</v>
      </c>
      <c r="AU3410">
        <v>0</v>
      </c>
      <c r="AW3410">
        <v>0</v>
      </c>
      <c r="AX3410">
        <v>0</v>
      </c>
      <c r="AY3410">
        <v>70</v>
      </c>
      <c r="BC3410" t="str">
        <f t="shared" si="482"/>
        <v>9791137602663</v>
      </c>
      <c r="BE3410" t="str">
        <f t="shared" si="483"/>
        <v>판타지 웹소설 &gt; 퓨전 판타지</v>
      </c>
    </row>
    <row r="3411" spans="1:57" x14ac:dyDescent="0.3">
      <c r="A3411">
        <v>2313012849</v>
      </c>
      <c r="B3411">
        <v>2313013516</v>
      </c>
      <c r="C3411" t="str">
        <f>T("디버프 마스터 668화")</f>
        <v>디버프 마스터 668화</v>
      </c>
      <c r="D3411" t="str">
        <f>T("668")</f>
        <v>668</v>
      </c>
      <c r="E3411" t="str">
        <f t="shared" si="480"/>
        <v>담화공</v>
      </c>
      <c r="H3411" t="str">
        <f t="shared" si="479"/>
        <v>스토리위즈</v>
      </c>
      <c r="I3411" t="str">
        <f t="shared" si="481"/>
        <v>디버프 마스터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/>
      <c r="AQ3411">
        <v>0</v>
      </c>
      <c r="AR3411">
        <v>0</v>
      </c>
      <c r="AT3411">
        <v>0</v>
      </c>
      <c r="AU3411">
        <v>0</v>
      </c>
      <c r="AW3411">
        <v>0</v>
      </c>
      <c r="AX3411">
        <v>0</v>
      </c>
      <c r="AY3411">
        <v>70</v>
      </c>
      <c r="BC3411" t="str">
        <f t="shared" si="482"/>
        <v>9791137602663</v>
      </c>
      <c r="BE3411" t="str">
        <f t="shared" si="483"/>
        <v>판타지 웹소설 &gt; 퓨전 판타지</v>
      </c>
    </row>
    <row r="3412" spans="1:57" x14ac:dyDescent="0.3">
      <c r="A3412">
        <v>2313012849</v>
      </c>
      <c r="B3412">
        <v>2313013517</v>
      </c>
      <c r="C3412" t="str">
        <f>T("디버프 마스터 669화")</f>
        <v>디버프 마스터 669화</v>
      </c>
      <c r="D3412" t="str">
        <f>T("669")</f>
        <v>669</v>
      </c>
      <c r="E3412" t="str">
        <f t="shared" si="480"/>
        <v>담화공</v>
      </c>
      <c r="H3412" t="str">
        <f t="shared" si="479"/>
        <v>스토리위즈</v>
      </c>
      <c r="I3412" t="str">
        <f t="shared" si="481"/>
        <v>디버프 마스터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/>
      <c r="AQ3412">
        <v>0</v>
      </c>
      <c r="AR3412">
        <v>0</v>
      </c>
      <c r="AT3412">
        <v>0</v>
      </c>
      <c r="AU3412">
        <v>0</v>
      </c>
      <c r="AW3412">
        <v>0</v>
      </c>
      <c r="AX3412">
        <v>0</v>
      </c>
      <c r="AY3412">
        <v>70</v>
      </c>
      <c r="BC3412" t="str">
        <f t="shared" si="482"/>
        <v>9791137602663</v>
      </c>
      <c r="BE3412" t="str">
        <f t="shared" si="483"/>
        <v>판타지 웹소설 &gt; 퓨전 판타지</v>
      </c>
    </row>
    <row r="3413" spans="1:57" x14ac:dyDescent="0.3">
      <c r="A3413">
        <v>2313012849</v>
      </c>
      <c r="B3413">
        <v>2313013518</v>
      </c>
      <c r="C3413" t="str">
        <f>T("디버프 마스터 670화")</f>
        <v>디버프 마스터 670화</v>
      </c>
      <c r="D3413" t="str">
        <f>T("670")</f>
        <v>670</v>
      </c>
      <c r="E3413" t="str">
        <f t="shared" si="480"/>
        <v>담화공</v>
      </c>
      <c r="H3413" t="str">
        <f t="shared" si="479"/>
        <v>스토리위즈</v>
      </c>
      <c r="I3413" t="str">
        <f t="shared" si="481"/>
        <v>디버프 마스터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/>
      <c r="AQ3413">
        <v>0</v>
      </c>
      <c r="AR3413">
        <v>0</v>
      </c>
      <c r="AT3413">
        <v>0</v>
      </c>
      <c r="AU3413">
        <v>0</v>
      </c>
      <c r="AW3413">
        <v>0</v>
      </c>
      <c r="AX3413">
        <v>0</v>
      </c>
      <c r="AY3413">
        <v>70</v>
      </c>
      <c r="BC3413" t="str">
        <f t="shared" si="482"/>
        <v>9791137602663</v>
      </c>
      <c r="BE3413" t="str">
        <f t="shared" si="483"/>
        <v>판타지 웹소설 &gt; 퓨전 판타지</v>
      </c>
    </row>
    <row r="3414" spans="1:57" x14ac:dyDescent="0.3">
      <c r="A3414">
        <v>2313012849</v>
      </c>
      <c r="B3414">
        <v>2313013519</v>
      </c>
      <c r="C3414" t="str">
        <f>T("디버프 마스터 671화")</f>
        <v>디버프 마스터 671화</v>
      </c>
      <c r="D3414" t="str">
        <f>T("671")</f>
        <v>671</v>
      </c>
      <c r="E3414" t="str">
        <f t="shared" si="480"/>
        <v>담화공</v>
      </c>
      <c r="H3414" t="str">
        <f t="shared" si="479"/>
        <v>스토리위즈</v>
      </c>
      <c r="I3414" t="str">
        <f t="shared" si="481"/>
        <v>디버프 마스터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/>
      <c r="AQ3414">
        <v>0</v>
      </c>
      <c r="AR3414">
        <v>0</v>
      </c>
      <c r="AT3414">
        <v>0</v>
      </c>
      <c r="AU3414">
        <v>0</v>
      </c>
      <c r="AW3414">
        <v>0</v>
      </c>
      <c r="AX3414">
        <v>0</v>
      </c>
      <c r="AY3414">
        <v>70</v>
      </c>
      <c r="BC3414" t="str">
        <f t="shared" si="482"/>
        <v>9791137602663</v>
      </c>
      <c r="BE3414" t="str">
        <f t="shared" si="483"/>
        <v>판타지 웹소설 &gt; 퓨전 판타지</v>
      </c>
    </row>
    <row r="3415" spans="1:57" x14ac:dyDescent="0.3">
      <c r="A3415">
        <v>2313012849</v>
      </c>
      <c r="B3415">
        <v>2313013520</v>
      </c>
      <c r="C3415" t="str">
        <f>T("디버프 마스터 672화")</f>
        <v>디버프 마스터 672화</v>
      </c>
      <c r="D3415" t="str">
        <f>T("672")</f>
        <v>672</v>
      </c>
      <c r="E3415" t="str">
        <f t="shared" si="480"/>
        <v>담화공</v>
      </c>
      <c r="H3415" t="str">
        <f t="shared" ref="H3415:H3478" si="484">T("스토리위즈")</f>
        <v>스토리위즈</v>
      </c>
      <c r="I3415" t="str">
        <f t="shared" si="481"/>
        <v>디버프 마스터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/>
      <c r="AQ3415">
        <v>0</v>
      </c>
      <c r="AR3415">
        <v>0</v>
      </c>
      <c r="AT3415">
        <v>0</v>
      </c>
      <c r="AU3415">
        <v>0</v>
      </c>
      <c r="AW3415">
        <v>0</v>
      </c>
      <c r="AX3415">
        <v>0</v>
      </c>
      <c r="AY3415">
        <v>70</v>
      </c>
      <c r="BC3415" t="str">
        <f t="shared" si="482"/>
        <v>9791137602663</v>
      </c>
      <c r="BE3415" t="str">
        <f t="shared" si="483"/>
        <v>판타지 웹소설 &gt; 퓨전 판타지</v>
      </c>
    </row>
    <row r="3416" spans="1:57" x14ac:dyDescent="0.3">
      <c r="A3416">
        <v>2313012849</v>
      </c>
      <c r="B3416">
        <v>2313013521</v>
      </c>
      <c r="C3416" t="str">
        <f>T("디버프 마스터 673화")</f>
        <v>디버프 마스터 673화</v>
      </c>
      <c r="D3416" t="str">
        <f>T("673")</f>
        <v>673</v>
      </c>
      <c r="E3416" t="str">
        <f t="shared" si="480"/>
        <v>담화공</v>
      </c>
      <c r="H3416" t="str">
        <f t="shared" si="484"/>
        <v>스토리위즈</v>
      </c>
      <c r="I3416" t="str">
        <f t="shared" si="481"/>
        <v>디버프 마스터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/>
      <c r="AQ3416">
        <v>0</v>
      </c>
      <c r="AR3416">
        <v>0</v>
      </c>
      <c r="AT3416">
        <v>0</v>
      </c>
      <c r="AU3416">
        <v>0</v>
      </c>
      <c r="AW3416">
        <v>0</v>
      </c>
      <c r="AX3416">
        <v>0</v>
      </c>
      <c r="AY3416">
        <v>70</v>
      </c>
      <c r="BC3416" t="str">
        <f t="shared" si="482"/>
        <v>9791137602663</v>
      </c>
      <c r="BE3416" t="str">
        <f t="shared" si="483"/>
        <v>판타지 웹소설 &gt; 퓨전 판타지</v>
      </c>
    </row>
    <row r="3417" spans="1:57" x14ac:dyDescent="0.3">
      <c r="A3417">
        <v>2313012849</v>
      </c>
      <c r="B3417">
        <v>2313013522</v>
      </c>
      <c r="C3417" t="str">
        <f>T("디버프 마스터 674화")</f>
        <v>디버프 마스터 674화</v>
      </c>
      <c r="D3417" t="str">
        <f>T("674")</f>
        <v>674</v>
      </c>
      <c r="E3417" t="str">
        <f t="shared" si="480"/>
        <v>담화공</v>
      </c>
      <c r="H3417" t="str">
        <f t="shared" si="484"/>
        <v>스토리위즈</v>
      </c>
      <c r="I3417" t="str">
        <f t="shared" si="481"/>
        <v>디버프 마스터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/>
      <c r="AQ3417">
        <v>0</v>
      </c>
      <c r="AR3417">
        <v>0</v>
      </c>
      <c r="AT3417">
        <v>0</v>
      </c>
      <c r="AU3417">
        <v>0</v>
      </c>
      <c r="AW3417">
        <v>0</v>
      </c>
      <c r="AX3417">
        <v>0</v>
      </c>
      <c r="AY3417">
        <v>70</v>
      </c>
      <c r="BC3417" t="str">
        <f t="shared" si="482"/>
        <v>9791137602663</v>
      </c>
      <c r="BE3417" t="str">
        <f t="shared" si="483"/>
        <v>판타지 웹소설 &gt; 퓨전 판타지</v>
      </c>
    </row>
    <row r="3418" spans="1:57" x14ac:dyDescent="0.3">
      <c r="A3418">
        <v>2313012849</v>
      </c>
      <c r="B3418">
        <v>2313013523</v>
      </c>
      <c r="C3418" t="str">
        <f>T("디버프 마스터 675화")</f>
        <v>디버프 마스터 675화</v>
      </c>
      <c r="D3418" t="str">
        <f>T("675")</f>
        <v>675</v>
      </c>
      <c r="E3418" t="str">
        <f t="shared" si="480"/>
        <v>담화공</v>
      </c>
      <c r="H3418" t="str">
        <f t="shared" si="484"/>
        <v>스토리위즈</v>
      </c>
      <c r="I3418" t="str">
        <f t="shared" si="481"/>
        <v>디버프 마스터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/>
      <c r="AQ3418">
        <v>0</v>
      </c>
      <c r="AR3418">
        <v>0</v>
      </c>
      <c r="AT3418">
        <v>0</v>
      </c>
      <c r="AU3418">
        <v>0</v>
      </c>
      <c r="AW3418">
        <v>0</v>
      </c>
      <c r="AX3418">
        <v>0</v>
      </c>
      <c r="AY3418">
        <v>70</v>
      </c>
      <c r="BC3418" t="str">
        <f t="shared" si="482"/>
        <v>9791137602663</v>
      </c>
      <c r="BE3418" t="str">
        <f t="shared" si="483"/>
        <v>판타지 웹소설 &gt; 퓨전 판타지</v>
      </c>
    </row>
    <row r="3419" spans="1:57" x14ac:dyDescent="0.3">
      <c r="A3419">
        <v>2313012849</v>
      </c>
      <c r="B3419">
        <v>2313013524</v>
      </c>
      <c r="C3419" t="str">
        <f>T("디버프 마스터 676화")</f>
        <v>디버프 마스터 676화</v>
      </c>
      <c r="D3419" t="str">
        <f>T("676")</f>
        <v>676</v>
      </c>
      <c r="E3419" t="str">
        <f t="shared" si="480"/>
        <v>담화공</v>
      </c>
      <c r="H3419" t="str">
        <f t="shared" si="484"/>
        <v>스토리위즈</v>
      </c>
      <c r="I3419" t="str">
        <f t="shared" si="481"/>
        <v>디버프 마스터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/>
      <c r="AQ3419">
        <v>0</v>
      </c>
      <c r="AR3419">
        <v>0</v>
      </c>
      <c r="AT3419">
        <v>0</v>
      </c>
      <c r="AU3419">
        <v>0</v>
      </c>
      <c r="AW3419">
        <v>0</v>
      </c>
      <c r="AX3419">
        <v>0</v>
      </c>
      <c r="AY3419">
        <v>70</v>
      </c>
      <c r="BC3419" t="str">
        <f t="shared" si="482"/>
        <v>9791137602663</v>
      </c>
      <c r="BE3419" t="str">
        <f t="shared" si="483"/>
        <v>판타지 웹소설 &gt; 퓨전 판타지</v>
      </c>
    </row>
    <row r="3420" spans="1:57" x14ac:dyDescent="0.3">
      <c r="A3420">
        <v>2313012849</v>
      </c>
      <c r="B3420">
        <v>2313013525</v>
      </c>
      <c r="C3420" t="str">
        <f>T("디버프 마스터 677화")</f>
        <v>디버프 마스터 677화</v>
      </c>
      <c r="D3420" t="str">
        <f>T("677")</f>
        <v>677</v>
      </c>
      <c r="E3420" t="str">
        <f t="shared" si="480"/>
        <v>담화공</v>
      </c>
      <c r="H3420" t="str">
        <f t="shared" si="484"/>
        <v>스토리위즈</v>
      </c>
      <c r="I3420" t="str">
        <f t="shared" si="481"/>
        <v>디버프 마스터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/>
      <c r="AQ3420">
        <v>0</v>
      </c>
      <c r="AR3420">
        <v>0</v>
      </c>
      <c r="AT3420">
        <v>0</v>
      </c>
      <c r="AU3420">
        <v>0</v>
      </c>
      <c r="AW3420">
        <v>0</v>
      </c>
      <c r="AX3420">
        <v>0</v>
      </c>
      <c r="AY3420">
        <v>70</v>
      </c>
      <c r="BC3420" t="str">
        <f t="shared" si="482"/>
        <v>9791137602663</v>
      </c>
      <c r="BE3420" t="str">
        <f t="shared" si="483"/>
        <v>판타지 웹소설 &gt; 퓨전 판타지</v>
      </c>
    </row>
    <row r="3421" spans="1:57" x14ac:dyDescent="0.3">
      <c r="A3421">
        <v>2313012849</v>
      </c>
      <c r="B3421">
        <v>2313013526</v>
      </c>
      <c r="C3421" t="str">
        <f>T("디버프 마스터 678화")</f>
        <v>디버프 마스터 678화</v>
      </c>
      <c r="D3421" t="str">
        <f>T("678")</f>
        <v>678</v>
      </c>
      <c r="E3421" t="str">
        <f t="shared" ref="E3421:E3484" si="485">T("담화공")</f>
        <v>담화공</v>
      </c>
      <c r="H3421" t="str">
        <f t="shared" si="484"/>
        <v>스토리위즈</v>
      </c>
      <c r="I3421" t="str">
        <f t="shared" ref="I3421:I3484" si="486">T("디버프 마스터")</f>
        <v>디버프 마스터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/>
      <c r="AQ3421">
        <v>0</v>
      </c>
      <c r="AR3421">
        <v>0</v>
      </c>
      <c r="AT3421">
        <v>0</v>
      </c>
      <c r="AU3421">
        <v>0</v>
      </c>
      <c r="AW3421">
        <v>0</v>
      </c>
      <c r="AX3421">
        <v>0</v>
      </c>
      <c r="AY3421">
        <v>70</v>
      </c>
      <c r="BC3421" t="str">
        <f t="shared" ref="BC3421:BC3484" si="487">T("9791137602663")</f>
        <v>9791137602663</v>
      </c>
      <c r="BE3421" t="str">
        <f t="shared" ref="BE3421:BE3484" si="488">T("판타지 웹소설 &gt; 퓨전 판타지")</f>
        <v>판타지 웹소설 &gt; 퓨전 판타지</v>
      </c>
    </row>
    <row r="3422" spans="1:57" x14ac:dyDescent="0.3">
      <c r="A3422">
        <v>2313012849</v>
      </c>
      <c r="B3422">
        <v>2313013527</v>
      </c>
      <c r="C3422" t="str">
        <f>T("디버프 마스터 679화")</f>
        <v>디버프 마스터 679화</v>
      </c>
      <c r="D3422" t="str">
        <f>T("679")</f>
        <v>679</v>
      </c>
      <c r="E3422" t="str">
        <f t="shared" si="485"/>
        <v>담화공</v>
      </c>
      <c r="H3422" t="str">
        <f t="shared" si="484"/>
        <v>스토리위즈</v>
      </c>
      <c r="I3422" t="str">
        <f t="shared" si="486"/>
        <v>디버프 마스터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/>
      <c r="AQ3422">
        <v>0</v>
      </c>
      <c r="AR3422">
        <v>0</v>
      </c>
      <c r="AT3422">
        <v>0</v>
      </c>
      <c r="AU3422">
        <v>0</v>
      </c>
      <c r="AW3422">
        <v>0</v>
      </c>
      <c r="AX3422">
        <v>0</v>
      </c>
      <c r="AY3422">
        <v>70</v>
      </c>
      <c r="BC3422" t="str">
        <f t="shared" si="487"/>
        <v>9791137602663</v>
      </c>
      <c r="BE3422" t="str">
        <f t="shared" si="488"/>
        <v>판타지 웹소설 &gt; 퓨전 판타지</v>
      </c>
    </row>
    <row r="3423" spans="1:57" x14ac:dyDescent="0.3">
      <c r="A3423">
        <v>2313012849</v>
      </c>
      <c r="B3423">
        <v>2313013528</v>
      </c>
      <c r="C3423" t="str">
        <f>T("디버프 마스터 680화")</f>
        <v>디버프 마스터 680화</v>
      </c>
      <c r="D3423" t="str">
        <f>T("680")</f>
        <v>680</v>
      </c>
      <c r="E3423" t="str">
        <f t="shared" si="485"/>
        <v>담화공</v>
      </c>
      <c r="H3423" t="str">
        <f t="shared" si="484"/>
        <v>스토리위즈</v>
      </c>
      <c r="I3423" t="str">
        <f t="shared" si="486"/>
        <v>디버프 마스터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/>
      <c r="AQ3423">
        <v>0</v>
      </c>
      <c r="AR3423">
        <v>0</v>
      </c>
      <c r="AT3423">
        <v>0</v>
      </c>
      <c r="AU3423">
        <v>0</v>
      </c>
      <c r="AW3423">
        <v>0</v>
      </c>
      <c r="AX3423">
        <v>0</v>
      </c>
      <c r="AY3423">
        <v>70</v>
      </c>
      <c r="BC3423" t="str">
        <f t="shared" si="487"/>
        <v>9791137602663</v>
      </c>
      <c r="BE3423" t="str">
        <f t="shared" si="488"/>
        <v>판타지 웹소설 &gt; 퓨전 판타지</v>
      </c>
    </row>
    <row r="3424" spans="1:57" x14ac:dyDescent="0.3">
      <c r="A3424">
        <v>2313012849</v>
      </c>
      <c r="B3424">
        <v>2313013529</v>
      </c>
      <c r="C3424" t="str">
        <f>T("디버프 마스터 681화")</f>
        <v>디버프 마스터 681화</v>
      </c>
      <c r="D3424" t="str">
        <f>T("681")</f>
        <v>681</v>
      </c>
      <c r="E3424" t="str">
        <f t="shared" si="485"/>
        <v>담화공</v>
      </c>
      <c r="H3424" t="str">
        <f t="shared" si="484"/>
        <v>스토리위즈</v>
      </c>
      <c r="I3424" t="str">
        <f t="shared" si="486"/>
        <v>디버프 마스터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/>
      <c r="AQ3424">
        <v>0</v>
      </c>
      <c r="AR3424">
        <v>0</v>
      </c>
      <c r="AT3424">
        <v>0</v>
      </c>
      <c r="AU3424">
        <v>0</v>
      </c>
      <c r="AW3424">
        <v>0</v>
      </c>
      <c r="AX3424">
        <v>0</v>
      </c>
      <c r="AY3424">
        <v>70</v>
      </c>
      <c r="BC3424" t="str">
        <f t="shared" si="487"/>
        <v>9791137602663</v>
      </c>
      <c r="BE3424" t="str">
        <f t="shared" si="488"/>
        <v>판타지 웹소설 &gt; 퓨전 판타지</v>
      </c>
    </row>
    <row r="3425" spans="1:57" x14ac:dyDescent="0.3">
      <c r="A3425">
        <v>2313012849</v>
      </c>
      <c r="B3425">
        <v>2313013530</v>
      </c>
      <c r="C3425" t="str">
        <f>T("디버프 마스터 682화")</f>
        <v>디버프 마스터 682화</v>
      </c>
      <c r="D3425" t="str">
        <f>T("682")</f>
        <v>682</v>
      </c>
      <c r="E3425" t="str">
        <f t="shared" si="485"/>
        <v>담화공</v>
      </c>
      <c r="H3425" t="str">
        <f t="shared" si="484"/>
        <v>스토리위즈</v>
      </c>
      <c r="I3425" t="str">
        <f t="shared" si="486"/>
        <v>디버프 마스터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/>
      <c r="AQ3425">
        <v>0</v>
      </c>
      <c r="AR3425">
        <v>0</v>
      </c>
      <c r="AT3425">
        <v>0</v>
      </c>
      <c r="AU3425">
        <v>0</v>
      </c>
      <c r="AW3425">
        <v>0</v>
      </c>
      <c r="AX3425">
        <v>0</v>
      </c>
      <c r="AY3425">
        <v>70</v>
      </c>
      <c r="BC3425" t="str">
        <f t="shared" si="487"/>
        <v>9791137602663</v>
      </c>
      <c r="BE3425" t="str">
        <f t="shared" si="488"/>
        <v>판타지 웹소설 &gt; 퓨전 판타지</v>
      </c>
    </row>
    <row r="3426" spans="1:57" x14ac:dyDescent="0.3">
      <c r="A3426">
        <v>2313012849</v>
      </c>
      <c r="B3426">
        <v>2313013531</v>
      </c>
      <c r="C3426" t="str">
        <f>T("디버프 마스터 683화")</f>
        <v>디버프 마스터 683화</v>
      </c>
      <c r="D3426" t="str">
        <f>T("683")</f>
        <v>683</v>
      </c>
      <c r="E3426" t="str">
        <f t="shared" si="485"/>
        <v>담화공</v>
      </c>
      <c r="H3426" t="str">
        <f t="shared" si="484"/>
        <v>스토리위즈</v>
      </c>
      <c r="I3426" t="str">
        <f t="shared" si="486"/>
        <v>디버프 마스터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/>
      <c r="AQ3426">
        <v>0</v>
      </c>
      <c r="AR3426">
        <v>0</v>
      </c>
      <c r="AT3426">
        <v>0</v>
      </c>
      <c r="AU3426">
        <v>0</v>
      </c>
      <c r="AW3426">
        <v>0</v>
      </c>
      <c r="AX3426">
        <v>0</v>
      </c>
      <c r="AY3426">
        <v>70</v>
      </c>
      <c r="BC3426" t="str">
        <f t="shared" si="487"/>
        <v>9791137602663</v>
      </c>
      <c r="BE3426" t="str">
        <f t="shared" si="488"/>
        <v>판타지 웹소설 &gt; 퓨전 판타지</v>
      </c>
    </row>
    <row r="3427" spans="1:57" x14ac:dyDescent="0.3">
      <c r="A3427">
        <v>2313012849</v>
      </c>
      <c r="B3427">
        <v>2313013532</v>
      </c>
      <c r="C3427" t="str">
        <f>T("디버프 마스터 684화")</f>
        <v>디버프 마스터 684화</v>
      </c>
      <c r="D3427" t="str">
        <f>T("684")</f>
        <v>684</v>
      </c>
      <c r="E3427" t="str">
        <f t="shared" si="485"/>
        <v>담화공</v>
      </c>
      <c r="H3427" t="str">
        <f t="shared" si="484"/>
        <v>스토리위즈</v>
      </c>
      <c r="I3427" t="str">
        <f t="shared" si="486"/>
        <v>디버프 마스터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/>
      <c r="AQ3427">
        <v>0</v>
      </c>
      <c r="AR3427">
        <v>0</v>
      </c>
      <c r="AT3427">
        <v>0</v>
      </c>
      <c r="AU3427">
        <v>0</v>
      </c>
      <c r="AW3427">
        <v>0</v>
      </c>
      <c r="AX3427">
        <v>0</v>
      </c>
      <c r="AY3427">
        <v>70</v>
      </c>
      <c r="BC3427" t="str">
        <f t="shared" si="487"/>
        <v>9791137602663</v>
      </c>
      <c r="BE3427" t="str">
        <f t="shared" si="488"/>
        <v>판타지 웹소설 &gt; 퓨전 판타지</v>
      </c>
    </row>
    <row r="3428" spans="1:57" x14ac:dyDescent="0.3">
      <c r="A3428">
        <v>2313012849</v>
      </c>
      <c r="B3428">
        <v>2313013533</v>
      </c>
      <c r="C3428" t="str">
        <f>T("디버프 마스터 685화")</f>
        <v>디버프 마스터 685화</v>
      </c>
      <c r="D3428" t="str">
        <f>T("685")</f>
        <v>685</v>
      </c>
      <c r="E3428" t="str">
        <f t="shared" si="485"/>
        <v>담화공</v>
      </c>
      <c r="H3428" t="str">
        <f t="shared" si="484"/>
        <v>스토리위즈</v>
      </c>
      <c r="I3428" t="str">
        <f t="shared" si="486"/>
        <v>디버프 마스터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/>
      <c r="AQ3428">
        <v>0</v>
      </c>
      <c r="AR3428">
        <v>0</v>
      </c>
      <c r="AT3428">
        <v>0</v>
      </c>
      <c r="AU3428">
        <v>0</v>
      </c>
      <c r="AW3428">
        <v>0</v>
      </c>
      <c r="AX3428">
        <v>0</v>
      </c>
      <c r="AY3428">
        <v>70</v>
      </c>
      <c r="BC3428" t="str">
        <f t="shared" si="487"/>
        <v>9791137602663</v>
      </c>
      <c r="BE3428" t="str">
        <f t="shared" si="488"/>
        <v>판타지 웹소설 &gt; 퓨전 판타지</v>
      </c>
    </row>
    <row r="3429" spans="1:57" x14ac:dyDescent="0.3">
      <c r="A3429">
        <v>2313012849</v>
      </c>
      <c r="B3429">
        <v>2313013534</v>
      </c>
      <c r="C3429" t="str">
        <f>T("디버프 마스터 686화")</f>
        <v>디버프 마스터 686화</v>
      </c>
      <c r="D3429" t="str">
        <f>T("686")</f>
        <v>686</v>
      </c>
      <c r="E3429" t="str">
        <f t="shared" si="485"/>
        <v>담화공</v>
      </c>
      <c r="H3429" t="str">
        <f t="shared" si="484"/>
        <v>스토리위즈</v>
      </c>
      <c r="I3429" t="str">
        <f t="shared" si="486"/>
        <v>디버프 마스터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/>
      <c r="AQ3429">
        <v>0</v>
      </c>
      <c r="AR3429">
        <v>0</v>
      </c>
      <c r="AT3429">
        <v>0</v>
      </c>
      <c r="AU3429">
        <v>0</v>
      </c>
      <c r="AW3429">
        <v>0</v>
      </c>
      <c r="AX3429">
        <v>0</v>
      </c>
      <c r="AY3429">
        <v>70</v>
      </c>
      <c r="BC3429" t="str">
        <f t="shared" si="487"/>
        <v>9791137602663</v>
      </c>
      <c r="BE3429" t="str">
        <f t="shared" si="488"/>
        <v>판타지 웹소설 &gt; 퓨전 판타지</v>
      </c>
    </row>
    <row r="3430" spans="1:57" x14ac:dyDescent="0.3">
      <c r="A3430">
        <v>2313012849</v>
      </c>
      <c r="B3430">
        <v>2313013535</v>
      </c>
      <c r="C3430" t="str">
        <f>T("디버프 마스터 687화")</f>
        <v>디버프 마스터 687화</v>
      </c>
      <c r="D3430" t="str">
        <f>T("687")</f>
        <v>687</v>
      </c>
      <c r="E3430" t="str">
        <f t="shared" si="485"/>
        <v>담화공</v>
      </c>
      <c r="H3430" t="str">
        <f t="shared" si="484"/>
        <v>스토리위즈</v>
      </c>
      <c r="I3430" t="str">
        <f t="shared" si="486"/>
        <v>디버프 마스터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/>
      <c r="AQ3430">
        <v>0</v>
      </c>
      <c r="AR3430">
        <v>0</v>
      </c>
      <c r="AT3430">
        <v>0</v>
      </c>
      <c r="AU3430">
        <v>0</v>
      </c>
      <c r="AW3430">
        <v>0</v>
      </c>
      <c r="AX3430">
        <v>0</v>
      </c>
      <c r="AY3430">
        <v>70</v>
      </c>
      <c r="BC3430" t="str">
        <f t="shared" si="487"/>
        <v>9791137602663</v>
      </c>
      <c r="BE3430" t="str">
        <f t="shared" si="488"/>
        <v>판타지 웹소설 &gt; 퓨전 판타지</v>
      </c>
    </row>
    <row r="3431" spans="1:57" x14ac:dyDescent="0.3">
      <c r="A3431">
        <v>2313012849</v>
      </c>
      <c r="B3431">
        <v>2313013536</v>
      </c>
      <c r="C3431" t="str">
        <f>T("디버프 마스터 688화")</f>
        <v>디버프 마스터 688화</v>
      </c>
      <c r="D3431" t="str">
        <f>T("688")</f>
        <v>688</v>
      </c>
      <c r="E3431" t="str">
        <f t="shared" si="485"/>
        <v>담화공</v>
      </c>
      <c r="H3431" t="str">
        <f t="shared" si="484"/>
        <v>스토리위즈</v>
      </c>
      <c r="I3431" t="str">
        <f t="shared" si="486"/>
        <v>디버프 마스터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/>
      <c r="AQ3431">
        <v>0</v>
      </c>
      <c r="AR3431">
        <v>0</v>
      </c>
      <c r="AT3431">
        <v>0</v>
      </c>
      <c r="AU3431">
        <v>0</v>
      </c>
      <c r="AW3431">
        <v>0</v>
      </c>
      <c r="AX3431">
        <v>0</v>
      </c>
      <c r="AY3431">
        <v>70</v>
      </c>
      <c r="BC3431" t="str">
        <f t="shared" si="487"/>
        <v>9791137602663</v>
      </c>
      <c r="BE3431" t="str">
        <f t="shared" si="488"/>
        <v>판타지 웹소설 &gt; 퓨전 판타지</v>
      </c>
    </row>
    <row r="3432" spans="1:57" x14ac:dyDescent="0.3">
      <c r="A3432">
        <v>2313012849</v>
      </c>
      <c r="B3432">
        <v>2313013537</v>
      </c>
      <c r="C3432" t="str">
        <f>T("디버프 마스터 689화")</f>
        <v>디버프 마스터 689화</v>
      </c>
      <c r="D3432" t="str">
        <f>T("689")</f>
        <v>689</v>
      </c>
      <c r="E3432" t="str">
        <f t="shared" si="485"/>
        <v>담화공</v>
      </c>
      <c r="H3432" t="str">
        <f t="shared" si="484"/>
        <v>스토리위즈</v>
      </c>
      <c r="I3432" t="str">
        <f t="shared" si="486"/>
        <v>디버프 마스터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/>
      <c r="AQ3432">
        <v>0</v>
      </c>
      <c r="AR3432">
        <v>0</v>
      </c>
      <c r="AT3432">
        <v>0</v>
      </c>
      <c r="AU3432">
        <v>0</v>
      </c>
      <c r="AW3432">
        <v>0</v>
      </c>
      <c r="AX3432">
        <v>0</v>
      </c>
      <c r="AY3432">
        <v>70</v>
      </c>
      <c r="BC3432" t="str">
        <f t="shared" si="487"/>
        <v>9791137602663</v>
      </c>
      <c r="BE3432" t="str">
        <f t="shared" si="488"/>
        <v>판타지 웹소설 &gt; 퓨전 판타지</v>
      </c>
    </row>
    <row r="3433" spans="1:57" x14ac:dyDescent="0.3">
      <c r="A3433">
        <v>2313012849</v>
      </c>
      <c r="B3433">
        <v>2313013538</v>
      </c>
      <c r="C3433" t="str">
        <f>T("디버프 마스터 690화")</f>
        <v>디버프 마스터 690화</v>
      </c>
      <c r="D3433" t="str">
        <f>T("690")</f>
        <v>690</v>
      </c>
      <c r="E3433" t="str">
        <f t="shared" si="485"/>
        <v>담화공</v>
      </c>
      <c r="H3433" t="str">
        <f t="shared" si="484"/>
        <v>스토리위즈</v>
      </c>
      <c r="I3433" t="str">
        <f t="shared" si="486"/>
        <v>디버프 마스터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/>
      <c r="AQ3433">
        <v>0</v>
      </c>
      <c r="AR3433">
        <v>0</v>
      </c>
      <c r="AT3433">
        <v>0</v>
      </c>
      <c r="AU3433">
        <v>0</v>
      </c>
      <c r="AW3433">
        <v>0</v>
      </c>
      <c r="AX3433">
        <v>0</v>
      </c>
      <c r="AY3433">
        <v>70</v>
      </c>
      <c r="BC3433" t="str">
        <f t="shared" si="487"/>
        <v>9791137602663</v>
      </c>
      <c r="BE3433" t="str">
        <f t="shared" si="488"/>
        <v>판타지 웹소설 &gt; 퓨전 판타지</v>
      </c>
    </row>
    <row r="3434" spans="1:57" x14ac:dyDescent="0.3">
      <c r="A3434">
        <v>2313012849</v>
      </c>
      <c r="B3434">
        <v>2313013539</v>
      </c>
      <c r="C3434" t="str">
        <f>T("디버프 마스터 691화")</f>
        <v>디버프 마스터 691화</v>
      </c>
      <c r="D3434" t="str">
        <f>T("691")</f>
        <v>691</v>
      </c>
      <c r="E3434" t="str">
        <f t="shared" si="485"/>
        <v>담화공</v>
      </c>
      <c r="H3434" t="str">
        <f t="shared" si="484"/>
        <v>스토리위즈</v>
      </c>
      <c r="I3434" t="str">
        <f t="shared" si="486"/>
        <v>디버프 마스터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/>
      <c r="AQ3434">
        <v>0</v>
      </c>
      <c r="AR3434">
        <v>0</v>
      </c>
      <c r="AT3434">
        <v>0</v>
      </c>
      <c r="AU3434">
        <v>0</v>
      </c>
      <c r="AW3434">
        <v>0</v>
      </c>
      <c r="AX3434">
        <v>0</v>
      </c>
      <c r="AY3434">
        <v>70</v>
      </c>
      <c r="BC3434" t="str">
        <f t="shared" si="487"/>
        <v>9791137602663</v>
      </c>
      <c r="BE3434" t="str">
        <f t="shared" si="488"/>
        <v>판타지 웹소설 &gt; 퓨전 판타지</v>
      </c>
    </row>
    <row r="3435" spans="1:57" x14ac:dyDescent="0.3">
      <c r="A3435">
        <v>2313012849</v>
      </c>
      <c r="B3435">
        <v>2313013540</v>
      </c>
      <c r="C3435" t="str">
        <f>T("디버프 마스터 692화")</f>
        <v>디버프 마스터 692화</v>
      </c>
      <c r="D3435" t="str">
        <f>T("692")</f>
        <v>692</v>
      </c>
      <c r="E3435" t="str">
        <f t="shared" si="485"/>
        <v>담화공</v>
      </c>
      <c r="H3435" t="str">
        <f t="shared" si="484"/>
        <v>스토리위즈</v>
      </c>
      <c r="I3435" t="str">
        <f t="shared" si="486"/>
        <v>디버프 마스터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/>
      <c r="AQ3435">
        <v>0</v>
      </c>
      <c r="AR3435">
        <v>0</v>
      </c>
      <c r="AT3435">
        <v>0</v>
      </c>
      <c r="AU3435">
        <v>0</v>
      </c>
      <c r="AW3435">
        <v>0</v>
      </c>
      <c r="AX3435">
        <v>0</v>
      </c>
      <c r="AY3435">
        <v>70</v>
      </c>
      <c r="BC3435" t="str">
        <f t="shared" si="487"/>
        <v>9791137602663</v>
      </c>
      <c r="BE3435" t="str">
        <f t="shared" si="488"/>
        <v>판타지 웹소설 &gt; 퓨전 판타지</v>
      </c>
    </row>
    <row r="3436" spans="1:57" x14ac:dyDescent="0.3">
      <c r="A3436">
        <v>2313012849</v>
      </c>
      <c r="B3436">
        <v>2313013541</v>
      </c>
      <c r="C3436" t="str">
        <f>T("디버프 마스터 693화")</f>
        <v>디버프 마스터 693화</v>
      </c>
      <c r="D3436" t="str">
        <f>T("693")</f>
        <v>693</v>
      </c>
      <c r="E3436" t="str">
        <f t="shared" si="485"/>
        <v>담화공</v>
      </c>
      <c r="H3436" t="str">
        <f t="shared" si="484"/>
        <v>스토리위즈</v>
      </c>
      <c r="I3436" t="str">
        <f t="shared" si="486"/>
        <v>디버프 마스터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/>
      <c r="AQ3436">
        <v>0</v>
      </c>
      <c r="AR3436">
        <v>0</v>
      </c>
      <c r="AT3436">
        <v>0</v>
      </c>
      <c r="AU3436">
        <v>0</v>
      </c>
      <c r="AW3436">
        <v>0</v>
      </c>
      <c r="AX3436">
        <v>0</v>
      </c>
      <c r="AY3436">
        <v>70</v>
      </c>
      <c r="BC3436" t="str">
        <f t="shared" si="487"/>
        <v>9791137602663</v>
      </c>
      <c r="BE3436" t="str">
        <f t="shared" si="488"/>
        <v>판타지 웹소설 &gt; 퓨전 판타지</v>
      </c>
    </row>
    <row r="3437" spans="1:57" x14ac:dyDescent="0.3">
      <c r="A3437">
        <v>2313012849</v>
      </c>
      <c r="B3437">
        <v>2313013542</v>
      </c>
      <c r="C3437" t="str">
        <f>T("디버프 마스터 694화")</f>
        <v>디버프 마스터 694화</v>
      </c>
      <c r="D3437" t="str">
        <f>T("694")</f>
        <v>694</v>
      </c>
      <c r="E3437" t="str">
        <f t="shared" si="485"/>
        <v>담화공</v>
      </c>
      <c r="H3437" t="str">
        <f t="shared" si="484"/>
        <v>스토리위즈</v>
      </c>
      <c r="I3437" t="str">
        <f t="shared" si="486"/>
        <v>디버프 마스터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/>
      <c r="AQ3437">
        <v>0</v>
      </c>
      <c r="AR3437">
        <v>0</v>
      </c>
      <c r="AT3437">
        <v>0</v>
      </c>
      <c r="AU3437">
        <v>0</v>
      </c>
      <c r="AW3437">
        <v>0</v>
      </c>
      <c r="AX3437">
        <v>0</v>
      </c>
      <c r="AY3437">
        <v>70</v>
      </c>
      <c r="BC3437" t="str">
        <f t="shared" si="487"/>
        <v>9791137602663</v>
      </c>
      <c r="BE3437" t="str">
        <f t="shared" si="488"/>
        <v>판타지 웹소설 &gt; 퓨전 판타지</v>
      </c>
    </row>
    <row r="3438" spans="1:57" x14ac:dyDescent="0.3">
      <c r="A3438">
        <v>2313012849</v>
      </c>
      <c r="B3438">
        <v>2313013543</v>
      </c>
      <c r="C3438" t="str">
        <f>T("디버프 마스터 695화")</f>
        <v>디버프 마스터 695화</v>
      </c>
      <c r="D3438" t="str">
        <f>T("695")</f>
        <v>695</v>
      </c>
      <c r="E3438" t="str">
        <f t="shared" si="485"/>
        <v>담화공</v>
      </c>
      <c r="H3438" t="str">
        <f t="shared" si="484"/>
        <v>스토리위즈</v>
      </c>
      <c r="I3438" t="str">
        <f t="shared" si="486"/>
        <v>디버프 마스터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/>
      <c r="AQ3438">
        <v>0</v>
      </c>
      <c r="AR3438">
        <v>0</v>
      </c>
      <c r="AT3438">
        <v>0</v>
      </c>
      <c r="AU3438">
        <v>0</v>
      </c>
      <c r="AW3438">
        <v>0</v>
      </c>
      <c r="AX3438">
        <v>0</v>
      </c>
      <c r="AY3438">
        <v>70</v>
      </c>
      <c r="BC3438" t="str">
        <f t="shared" si="487"/>
        <v>9791137602663</v>
      </c>
      <c r="BE3438" t="str">
        <f t="shared" si="488"/>
        <v>판타지 웹소설 &gt; 퓨전 판타지</v>
      </c>
    </row>
    <row r="3439" spans="1:57" x14ac:dyDescent="0.3">
      <c r="A3439">
        <v>2313012849</v>
      </c>
      <c r="B3439">
        <v>2313013544</v>
      </c>
      <c r="C3439" t="str">
        <f>T("디버프 마스터 696화")</f>
        <v>디버프 마스터 696화</v>
      </c>
      <c r="D3439" t="str">
        <f>T("696")</f>
        <v>696</v>
      </c>
      <c r="E3439" t="str">
        <f t="shared" si="485"/>
        <v>담화공</v>
      </c>
      <c r="H3439" t="str">
        <f t="shared" si="484"/>
        <v>스토리위즈</v>
      </c>
      <c r="I3439" t="str">
        <f t="shared" si="486"/>
        <v>디버프 마스터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/>
      <c r="AQ3439">
        <v>0</v>
      </c>
      <c r="AR3439">
        <v>0</v>
      </c>
      <c r="AT3439">
        <v>0</v>
      </c>
      <c r="AU3439">
        <v>0</v>
      </c>
      <c r="AW3439">
        <v>0</v>
      </c>
      <c r="AX3439">
        <v>0</v>
      </c>
      <c r="AY3439">
        <v>70</v>
      </c>
      <c r="BC3439" t="str">
        <f t="shared" si="487"/>
        <v>9791137602663</v>
      </c>
      <c r="BE3439" t="str">
        <f t="shared" si="488"/>
        <v>판타지 웹소설 &gt; 퓨전 판타지</v>
      </c>
    </row>
    <row r="3440" spans="1:57" x14ac:dyDescent="0.3">
      <c r="A3440">
        <v>2313012849</v>
      </c>
      <c r="B3440">
        <v>2313013545</v>
      </c>
      <c r="C3440" t="str">
        <f>T("디버프 마스터 697화")</f>
        <v>디버프 마스터 697화</v>
      </c>
      <c r="D3440" t="str">
        <f>T("697")</f>
        <v>697</v>
      </c>
      <c r="E3440" t="str">
        <f t="shared" si="485"/>
        <v>담화공</v>
      </c>
      <c r="H3440" t="str">
        <f t="shared" si="484"/>
        <v>스토리위즈</v>
      </c>
      <c r="I3440" t="str">
        <f t="shared" si="486"/>
        <v>디버프 마스터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/>
      <c r="AQ3440">
        <v>0</v>
      </c>
      <c r="AR3440">
        <v>0</v>
      </c>
      <c r="AT3440">
        <v>0</v>
      </c>
      <c r="AU3440">
        <v>0</v>
      </c>
      <c r="AW3440">
        <v>0</v>
      </c>
      <c r="AX3440">
        <v>0</v>
      </c>
      <c r="AY3440">
        <v>70</v>
      </c>
      <c r="BC3440" t="str">
        <f t="shared" si="487"/>
        <v>9791137602663</v>
      </c>
      <c r="BE3440" t="str">
        <f t="shared" si="488"/>
        <v>판타지 웹소설 &gt; 퓨전 판타지</v>
      </c>
    </row>
    <row r="3441" spans="1:57" x14ac:dyDescent="0.3">
      <c r="A3441">
        <v>2313012849</v>
      </c>
      <c r="B3441">
        <v>2313013546</v>
      </c>
      <c r="C3441" t="str">
        <f>T("디버프 마스터 698화")</f>
        <v>디버프 마스터 698화</v>
      </c>
      <c r="D3441" t="str">
        <f>T("698")</f>
        <v>698</v>
      </c>
      <c r="E3441" t="str">
        <f t="shared" si="485"/>
        <v>담화공</v>
      </c>
      <c r="H3441" t="str">
        <f t="shared" si="484"/>
        <v>스토리위즈</v>
      </c>
      <c r="I3441" t="str">
        <f t="shared" si="486"/>
        <v>디버프 마스터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/>
      <c r="AQ3441">
        <v>0</v>
      </c>
      <c r="AR3441">
        <v>0</v>
      </c>
      <c r="AT3441">
        <v>0</v>
      </c>
      <c r="AU3441">
        <v>0</v>
      </c>
      <c r="AW3441">
        <v>0</v>
      </c>
      <c r="AX3441">
        <v>0</v>
      </c>
      <c r="AY3441">
        <v>70</v>
      </c>
      <c r="BC3441" t="str">
        <f t="shared" si="487"/>
        <v>9791137602663</v>
      </c>
      <c r="BE3441" t="str">
        <f t="shared" si="488"/>
        <v>판타지 웹소설 &gt; 퓨전 판타지</v>
      </c>
    </row>
    <row r="3442" spans="1:57" x14ac:dyDescent="0.3">
      <c r="A3442">
        <v>2313012849</v>
      </c>
      <c r="B3442">
        <v>2313013547</v>
      </c>
      <c r="C3442" t="str">
        <f>T("디버프 마스터 699화")</f>
        <v>디버프 마스터 699화</v>
      </c>
      <c r="D3442" t="str">
        <f>T("699")</f>
        <v>699</v>
      </c>
      <c r="E3442" t="str">
        <f t="shared" si="485"/>
        <v>담화공</v>
      </c>
      <c r="H3442" t="str">
        <f t="shared" si="484"/>
        <v>스토리위즈</v>
      </c>
      <c r="I3442" t="str">
        <f t="shared" si="486"/>
        <v>디버프 마스터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/>
      <c r="AQ3442">
        <v>0</v>
      </c>
      <c r="AR3442">
        <v>0</v>
      </c>
      <c r="AT3442">
        <v>0</v>
      </c>
      <c r="AU3442">
        <v>0</v>
      </c>
      <c r="AW3442">
        <v>0</v>
      </c>
      <c r="AX3442">
        <v>0</v>
      </c>
      <c r="AY3442">
        <v>70</v>
      </c>
      <c r="BC3442" t="str">
        <f t="shared" si="487"/>
        <v>9791137602663</v>
      </c>
      <c r="BE3442" t="str">
        <f t="shared" si="488"/>
        <v>판타지 웹소설 &gt; 퓨전 판타지</v>
      </c>
    </row>
    <row r="3443" spans="1:57" x14ac:dyDescent="0.3">
      <c r="A3443">
        <v>2313012849</v>
      </c>
      <c r="B3443">
        <v>2313013548</v>
      </c>
      <c r="C3443" t="str">
        <f>T("디버프 마스터 700화")</f>
        <v>디버프 마스터 700화</v>
      </c>
      <c r="D3443" t="str">
        <f>T("700")</f>
        <v>700</v>
      </c>
      <c r="E3443" t="str">
        <f t="shared" si="485"/>
        <v>담화공</v>
      </c>
      <c r="H3443" t="str">
        <f t="shared" si="484"/>
        <v>스토리위즈</v>
      </c>
      <c r="I3443" t="str">
        <f t="shared" si="486"/>
        <v>디버프 마스터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/>
      <c r="AQ3443">
        <v>0</v>
      </c>
      <c r="AR3443">
        <v>0</v>
      </c>
      <c r="AT3443">
        <v>0</v>
      </c>
      <c r="AU3443">
        <v>0</v>
      </c>
      <c r="AW3443">
        <v>0</v>
      </c>
      <c r="AX3443">
        <v>0</v>
      </c>
      <c r="AY3443">
        <v>70</v>
      </c>
      <c r="BC3443" t="str">
        <f t="shared" si="487"/>
        <v>9791137602663</v>
      </c>
      <c r="BE3443" t="str">
        <f t="shared" si="488"/>
        <v>판타지 웹소설 &gt; 퓨전 판타지</v>
      </c>
    </row>
    <row r="3444" spans="1:57" x14ac:dyDescent="0.3">
      <c r="A3444">
        <v>2313012849</v>
      </c>
      <c r="B3444">
        <v>2313013549</v>
      </c>
      <c r="C3444" t="str">
        <f>T("디버프 마스터 701화")</f>
        <v>디버프 마스터 701화</v>
      </c>
      <c r="D3444" t="str">
        <f>T("701")</f>
        <v>701</v>
      </c>
      <c r="E3444" t="str">
        <f t="shared" si="485"/>
        <v>담화공</v>
      </c>
      <c r="H3444" t="str">
        <f t="shared" si="484"/>
        <v>스토리위즈</v>
      </c>
      <c r="I3444" t="str">
        <f t="shared" si="486"/>
        <v>디버프 마스터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/>
      <c r="AQ3444">
        <v>0</v>
      </c>
      <c r="AR3444">
        <v>0</v>
      </c>
      <c r="AT3444">
        <v>0</v>
      </c>
      <c r="AU3444">
        <v>0</v>
      </c>
      <c r="AW3444">
        <v>0</v>
      </c>
      <c r="AX3444">
        <v>0</v>
      </c>
      <c r="AY3444">
        <v>70</v>
      </c>
      <c r="BC3444" t="str">
        <f t="shared" si="487"/>
        <v>9791137602663</v>
      </c>
      <c r="BE3444" t="str">
        <f t="shared" si="488"/>
        <v>판타지 웹소설 &gt; 퓨전 판타지</v>
      </c>
    </row>
    <row r="3445" spans="1:57" x14ac:dyDescent="0.3">
      <c r="A3445">
        <v>2313012849</v>
      </c>
      <c r="B3445">
        <v>2313013550</v>
      </c>
      <c r="C3445" t="str">
        <f>T("디버프 마스터 702화")</f>
        <v>디버프 마스터 702화</v>
      </c>
      <c r="D3445" t="str">
        <f>T("702")</f>
        <v>702</v>
      </c>
      <c r="E3445" t="str">
        <f t="shared" si="485"/>
        <v>담화공</v>
      </c>
      <c r="H3445" t="str">
        <f t="shared" si="484"/>
        <v>스토리위즈</v>
      </c>
      <c r="I3445" t="str">
        <f t="shared" si="486"/>
        <v>디버프 마스터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/>
      <c r="AQ3445">
        <v>0</v>
      </c>
      <c r="AR3445">
        <v>0</v>
      </c>
      <c r="AT3445">
        <v>0</v>
      </c>
      <c r="AU3445">
        <v>0</v>
      </c>
      <c r="AW3445">
        <v>0</v>
      </c>
      <c r="AX3445">
        <v>0</v>
      </c>
      <c r="AY3445">
        <v>70</v>
      </c>
      <c r="BC3445" t="str">
        <f t="shared" si="487"/>
        <v>9791137602663</v>
      </c>
      <c r="BE3445" t="str">
        <f t="shared" si="488"/>
        <v>판타지 웹소설 &gt; 퓨전 판타지</v>
      </c>
    </row>
    <row r="3446" spans="1:57" x14ac:dyDescent="0.3">
      <c r="A3446">
        <v>2313012849</v>
      </c>
      <c r="B3446">
        <v>2313013551</v>
      </c>
      <c r="C3446" t="str">
        <f>T("디버프 마스터 703화")</f>
        <v>디버프 마스터 703화</v>
      </c>
      <c r="D3446" t="str">
        <f>T("703")</f>
        <v>703</v>
      </c>
      <c r="E3446" t="str">
        <f t="shared" si="485"/>
        <v>담화공</v>
      </c>
      <c r="H3446" t="str">
        <f t="shared" si="484"/>
        <v>스토리위즈</v>
      </c>
      <c r="I3446" t="str">
        <f t="shared" si="486"/>
        <v>디버프 마스터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/>
      <c r="AQ3446">
        <v>0</v>
      </c>
      <c r="AR3446">
        <v>0</v>
      </c>
      <c r="AT3446">
        <v>0</v>
      </c>
      <c r="AU3446">
        <v>0</v>
      </c>
      <c r="AW3446">
        <v>0</v>
      </c>
      <c r="AX3446">
        <v>0</v>
      </c>
      <c r="AY3446">
        <v>70</v>
      </c>
      <c r="BC3446" t="str">
        <f t="shared" si="487"/>
        <v>9791137602663</v>
      </c>
      <c r="BE3446" t="str">
        <f t="shared" si="488"/>
        <v>판타지 웹소설 &gt; 퓨전 판타지</v>
      </c>
    </row>
    <row r="3447" spans="1:57" x14ac:dyDescent="0.3">
      <c r="A3447">
        <v>2313012849</v>
      </c>
      <c r="B3447">
        <v>2313013552</v>
      </c>
      <c r="C3447" t="str">
        <f>T("디버프 마스터 704화")</f>
        <v>디버프 마스터 704화</v>
      </c>
      <c r="D3447" t="str">
        <f>T("704")</f>
        <v>704</v>
      </c>
      <c r="E3447" t="str">
        <f t="shared" si="485"/>
        <v>담화공</v>
      </c>
      <c r="H3447" t="str">
        <f t="shared" si="484"/>
        <v>스토리위즈</v>
      </c>
      <c r="I3447" t="str">
        <f t="shared" si="486"/>
        <v>디버프 마스터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/>
      <c r="AQ3447">
        <v>0</v>
      </c>
      <c r="AR3447">
        <v>0</v>
      </c>
      <c r="AT3447">
        <v>0</v>
      </c>
      <c r="AU3447">
        <v>0</v>
      </c>
      <c r="AW3447">
        <v>0</v>
      </c>
      <c r="AX3447">
        <v>0</v>
      </c>
      <c r="AY3447">
        <v>70</v>
      </c>
      <c r="BC3447" t="str">
        <f t="shared" si="487"/>
        <v>9791137602663</v>
      </c>
      <c r="BE3447" t="str">
        <f t="shared" si="488"/>
        <v>판타지 웹소설 &gt; 퓨전 판타지</v>
      </c>
    </row>
    <row r="3448" spans="1:57" x14ac:dyDescent="0.3">
      <c r="A3448">
        <v>2313012849</v>
      </c>
      <c r="B3448">
        <v>2313013553</v>
      </c>
      <c r="C3448" t="str">
        <f>T("디버프 마스터 705화")</f>
        <v>디버프 마스터 705화</v>
      </c>
      <c r="D3448" t="str">
        <f>T("705")</f>
        <v>705</v>
      </c>
      <c r="E3448" t="str">
        <f t="shared" si="485"/>
        <v>담화공</v>
      </c>
      <c r="H3448" t="str">
        <f t="shared" si="484"/>
        <v>스토리위즈</v>
      </c>
      <c r="I3448" t="str">
        <f t="shared" si="486"/>
        <v>디버프 마스터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/>
      <c r="AQ3448">
        <v>0</v>
      </c>
      <c r="AR3448">
        <v>0</v>
      </c>
      <c r="AT3448">
        <v>0</v>
      </c>
      <c r="AU3448">
        <v>0</v>
      </c>
      <c r="AW3448">
        <v>0</v>
      </c>
      <c r="AX3448">
        <v>0</v>
      </c>
      <c r="AY3448">
        <v>70</v>
      </c>
      <c r="BC3448" t="str">
        <f t="shared" si="487"/>
        <v>9791137602663</v>
      </c>
      <c r="BE3448" t="str">
        <f t="shared" si="488"/>
        <v>판타지 웹소설 &gt; 퓨전 판타지</v>
      </c>
    </row>
    <row r="3449" spans="1:57" x14ac:dyDescent="0.3">
      <c r="A3449">
        <v>2313012849</v>
      </c>
      <c r="B3449">
        <v>2313013554</v>
      </c>
      <c r="C3449" t="str">
        <f>T("디버프 마스터 706화")</f>
        <v>디버프 마스터 706화</v>
      </c>
      <c r="D3449" t="str">
        <f>T("706")</f>
        <v>706</v>
      </c>
      <c r="E3449" t="str">
        <f t="shared" si="485"/>
        <v>담화공</v>
      </c>
      <c r="H3449" t="str">
        <f t="shared" si="484"/>
        <v>스토리위즈</v>
      </c>
      <c r="I3449" t="str">
        <f t="shared" si="486"/>
        <v>디버프 마스터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/>
      <c r="AQ3449">
        <v>0</v>
      </c>
      <c r="AR3449">
        <v>0</v>
      </c>
      <c r="AT3449">
        <v>0</v>
      </c>
      <c r="AU3449">
        <v>0</v>
      </c>
      <c r="AW3449">
        <v>0</v>
      </c>
      <c r="AX3449">
        <v>0</v>
      </c>
      <c r="AY3449">
        <v>70</v>
      </c>
      <c r="BC3449" t="str">
        <f t="shared" si="487"/>
        <v>9791137602663</v>
      </c>
      <c r="BE3449" t="str">
        <f t="shared" si="488"/>
        <v>판타지 웹소설 &gt; 퓨전 판타지</v>
      </c>
    </row>
    <row r="3450" spans="1:57" x14ac:dyDescent="0.3">
      <c r="A3450">
        <v>2313012849</v>
      </c>
      <c r="B3450">
        <v>2313013555</v>
      </c>
      <c r="C3450" t="str">
        <f>T("디버프 마스터 707화")</f>
        <v>디버프 마스터 707화</v>
      </c>
      <c r="D3450" t="str">
        <f>T("707")</f>
        <v>707</v>
      </c>
      <c r="E3450" t="str">
        <f t="shared" si="485"/>
        <v>담화공</v>
      </c>
      <c r="H3450" t="str">
        <f t="shared" si="484"/>
        <v>스토리위즈</v>
      </c>
      <c r="I3450" t="str">
        <f t="shared" si="486"/>
        <v>디버프 마스터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/>
      <c r="AQ3450">
        <v>0</v>
      </c>
      <c r="AR3450">
        <v>0</v>
      </c>
      <c r="AT3450">
        <v>0</v>
      </c>
      <c r="AU3450">
        <v>0</v>
      </c>
      <c r="AW3450">
        <v>0</v>
      </c>
      <c r="AX3450">
        <v>0</v>
      </c>
      <c r="AY3450">
        <v>70</v>
      </c>
      <c r="BC3450" t="str">
        <f t="shared" si="487"/>
        <v>9791137602663</v>
      </c>
      <c r="BE3450" t="str">
        <f t="shared" si="488"/>
        <v>판타지 웹소설 &gt; 퓨전 판타지</v>
      </c>
    </row>
    <row r="3451" spans="1:57" x14ac:dyDescent="0.3">
      <c r="A3451">
        <v>2313012849</v>
      </c>
      <c r="B3451">
        <v>2313013556</v>
      </c>
      <c r="C3451" t="str">
        <f>T("디버프 마스터 708화")</f>
        <v>디버프 마스터 708화</v>
      </c>
      <c r="D3451" t="str">
        <f>T("708")</f>
        <v>708</v>
      </c>
      <c r="E3451" t="str">
        <f t="shared" si="485"/>
        <v>담화공</v>
      </c>
      <c r="H3451" t="str">
        <f t="shared" si="484"/>
        <v>스토리위즈</v>
      </c>
      <c r="I3451" t="str">
        <f t="shared" si="486"/>
        <v>디버프 마스터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/>
      <c r="AQ3451">
        <v>0</v>
      </c>
      <c r="AR3451">
        <v>0</v>
      </c>
      <c r="AT3451">
        <v>0</v>
      </c>
      <c r="AU3451">
        <v>0</v>
      </c>
      <c r="AW3451">
        <v>0</v>
      </c>
      <c r="AX3451">
        <v>0</v>
      </c>
      <c r="AY3451">
        <v>70</v>
      </c>
      <c r="BC3451" t="str">
        <f t="shared" si="487"/>
        <v>9791137602663</v>
      </c>
      <c r="BE3451" t="str">
        <f t="shared" si="488"/>
        <v>판타지 웹소설 &gt; 퓨전 판타지</v>
      </c>
    </row>
    <row r="3452" spans="1:57" x14ac:dyDescent="0.3">
      <c r="A3452">
        <v>2313012849</v>
      </c>
      <c r="B3452">
        <v>2313013557</v>
      </c>
      <c r="C3452" t="str">
        <f>T("디버프 마스터 709화")</f>
        <v>디버프 마스터 709화</v>
      </c>
      <c r="D3452" t="str">
        <f>T("709")</f>
        <v>709</v>
      </c>
      <c r="E3452" t="str">
        <f t="shared" si="485"/>
        <v>담화공</v>
      </c>
      <c r="H3452" t="str">
        <f t="shared" si="484"/>
        <v>스토리위즈</v>
      </c>
      <c r="I3452" t="str">
        <f t="shared" si="486"/>
        <v>디버프 마스터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/>
      <c r="AQ3452">
        <v>0</v>
      </c>
      <c r="AR3452">
        <v>0</v>
      </c>
      <c r="AT3452">
        <v>0</v>
      </c>
      <c r="AU3452">
        <v>0</v>
      </c>
      <c r="AW3452">
        <v>0</v>
      </c>
      <c r="AX3452">
        <v>0</v>
      </c>
      <c r="AY3452">
        <v>70</v>
      </c>
      <c r="BC3452" t="str">
        <f t="shared" si="487"/>
        <v>9791137602663</v>
      </c>
      <c r="BE3452" t="str">
        <f t="shared" si="488"/>
        <v>판타지 웹소설 &gt; 퓨전 판타지</v>
      </c>
    </row>
    <row r="3453" spans="1:57" x14ac:dyDescent="0.3">
      <c r="A3453">
        <v>2313012849</v>
      </c>
      <c r="B3453">
        <v>2313013558</v>
      </c>
      <c r="C3453" t="str">
        <f>T("디버프 마스터 710화")</f>
        <v>디버프 마스터 710화</v>
      </c>
      <c r="D3453" t="str">
        <f>T("710")</f>
        <v>710</v>
      </c>
      <c r="E3453" t="str">
        <f t="shared" si="485"/>
        <v>담화공</v>
      </c>
      <c r="H3453" t="str">
        <f t="shared" si="484"/>
        <v>스토리위즈</v>
      </c>
      <c r="I3453" t="str">
        <f t="shared" si="486"/>
        <v>디버프 마스터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/>
      <c r="AQ3453">
        <v>0</v>
      </c>
      <c r="AR3453">
        <v>0</v>
      </c>
      <c r="AT3453">
        <v>0</v>
      </c>
      <c r="AU3453">
        <v>0</v>
      </c>
      <c r="AW3453">
        <v>0</v>
      </c>
      <c r="AX3453">
        <v>0</v>
      </c>
      <c r="AY3453">
        <v>70</v>
      </c>
      <c r="BC3453" t="str">
        <f t="shared" si="487"/>
        <v>9791137602663</v>
      </c>
      <c r="BE3453" t="str">
        <f t="shared" si="488"/>
        <v>판타지 웹소설 &gt; 퓨전 판타지</v>
      </c>
    </row>
    <row r="3454" spans="1:57" x14ac:dyDescent="0.3">
      <c r="A3454">
        <v>2313012849</v>
      </c>
      <c r="B3454">
        <v>2313013559</v>
      </c>
      <c r="C3454" t="str">
        <f>T("디버프 마스터 711화")</f>
        <v>디버프 마스터 711화</v>
      </c>
      <c r="D3454" t="str">
        <f>T("711")</f>
        <v>711</v>
      </c>
      <c r="E3454" t="str">
        <f t="shared" si="485"/>
        <v>담화공</v>
      </c>
      <c r="H3454" t="str">
        <f t="shared" si="484"/>
        <v>스토리위즈</v>
      </c>
      <c r="I3454" t="str">
        <f t="shared" si="486"/>
        <v>디버프 마스터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/>
      <c r="AQ3454">
        <v>0</v>
      </c>
      <c r="AR3454">
        <v>0</v>
      </c>
      <c r="AT3454">
        <v>0</v>
      </c>
      <c r="AU3454">
        <v>0</v>
      </c>
      <c r="AW3454">
        <v>0</v>
      </c>
      <c r="AX3454">
        <v>0</v>
      </c>
      <c r="AY3454">
        <v>70</v>
      </c>
      <c r="BC3454" t="str">
        <f t="shared" si="487"/>
        <v>9791137602663</v>
      </c>
      <c r="BE3454" t="str">
        <f t="shared" si="488"/>
        <v>판타지 웹소설 &gt; 퓨전 판타지</v>
      </c>
    </row>
    <row r="3455" spans="1:57" x14ac:dyDescent="0.3">
      <c r="A3455">
        <v>2313012849</v>
      </c>
      <c r="B3455">
        <v>2313013560</v>
      </c>
      <c r="C3455" t="str">
        <f>T("디버프 마스터 712화")</f>
        <v>디버프 마스터 712화</v>
      </c>
      <c r="D3455" t="str">
        <f>T("712")</f>
        <v>712</v>
      </c>
      <c r="E3455" t="str">
        <f t="shared" si="485"/>
        <v>담화공</v>
      </c>
      <c r="H3455" t="str">
        <f t="shared" si="484"/>
        <v>스토리위즈</v>
      </c>
      <c r="I3455" t="str">
        <f t="shared" si="486"/>
        <v>디버프 마스터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/>
      <c r="AQ3455">
        <v>0</v>
      </c>
      <c r="AR3455">
        <v>0</v>
      </c>
      <c r="AT3455">
        <v>0</v>
      </c>
      <c r="AU3455">
        <v>0</v>
      </c>
      <c r="AW3455">
        <v>0</v>
      </c>
      <c r="AX3455">
        <v>0</v>
      </c>
      <c r="AY3455">
        <v>70</v>
      </c>
      <c r="BC3455" t="str">
        <f t="shared" si="487"/>
        <v>9791137602663</v>
      </c>
      <c r="BE3455" t="str">
        <f t="shared" si="488"/>
        <v>판타지 웹소설 &gt; 퓨전 판타지</v>
      </c>
    </row>
    <row r="3456" spans="1:57" x14ac:dyDescent="0.3">
      <c r="A3456">
        <v>2313012849</v>
      </c>
      <c r="B3456">
        <v>2313013561</v>
      </c>
      <c r="C3456" t="str">
        <f>T("디버프 마스터 713화")</f>
        <v>디버프 마스터 713화</v>
      </c>
      <c r="D3456" t="str">
        <f>T("713")</f>
        <v>713</v>
      </c>
      <c r="E3456" t="str">
        <f t="shared" si="485"/>
        <v>담화공</v>
      </c>
      <c r="H3456" t="str">
        <f t="shared" si="484"/>
        <v>스토리위즈</v>
      </c>
      <c r="I3456" t="str">
        <f t="shared" si="486"/>
        <v>디버프 마스터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/>
      <c r="AQ3456">
        <v>0</v>
      </c>
      <c r="AR3456">
        <v>0</v>
      </c>
      <c r="AT3456">
        <v>0</v>
      </c>
      <c r="AU3456">
        <v>0</v>
      </c>
      <c r="AW3456">
        <v>0</v>
      </c>
      <c r="AX3456">
        <v>0</v>
      </c>
      <c r="AY3456">
        <v>70</v>
      </c>
      <c r="BC3456" t="str">
        <f t="shared" si="487"/>
        <v>9791137602663</v>
      </c>
      <c r="BE3456" t="str">
        <f t="shared" si="488"/>
        <v>판타지 웹소설 &gt; 퓨전 판타지</v>
      </c>
    </row>
    <row r="3457" spans="1:57" x14ac:dyDescent="0.3">
      <c r="A3457">
        <v>2313012849</v>
      </c>
      <c r="B3457">
        <v>2313013562</v>
      </c>
      <c r="C3457" t="str">
        <f>T("디버프 마스터 714화")</f>
        <v>디버프 마스터 714화</v>
      </c>
      <c r="D3457" t="str">
        <f>T("714")</f>
        <v>714</v>
      </c>
      <c r="E3457" t="str">
        <f t="shared" si="485"/>
        <v>담화공</v>
      </c>
      <c r="H3457" t="str">
        <f t="shared" si="484"/>
        <v>스토리위즈</v>
      </c>
      <c r="I3457" t="str">
        <f t="shared" si="486"/>
        <v>디버프 마스터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/>
      <c r="AQ3457">
        <v>0</v>
      </c>
      <c r="AR3457">
        <v>0</v>
      </c>
      <c r="AT3457">
        <v>0</v>
      </c>
      <c r="AU3457">
        <v>0</v>
      </c>
      <c r="AW3457">
        <v>0</v>
      </c>
      <c r="AX3457">
        <v>0</v>
      </c>
      <c r="AY3457">
        <v>70</v>
      </c>
      <c r="BC3457" t="str">
        <f t="shared" si="487"/>
        <v>9791137602663</v>
      </c>
      <c r="BE3457" t="str">
        <f t="shared" si="488"/>
        <v>판타지 웹소설 &gt; 퓨전 판타지</v>
      </c>
    </row>
    <row r="3458" spans="1:57" x14ac:dyDescent="0.3">
      <c r="A3458">
        <v>2313012849</v>
      </c>
      <c r="B3458">
        <v>2313013563</v>
      </c>
      <c r="C3458" t="str">
        <f>T("디버프 마스터 715화")</f>
        <v>디버프 마스터 715화</v>
      </c>
      <c r="D3458" t="str">
        <f>T("715")</f>
        <v>715</v>
      </c>
      <c r="E3458" t="str">
        <f t="shared" si="485"/>
        <v>담화공</v>
      </c>
      <c r="H3458" t="str">
        <f t="shared" si="484"/>
        <v>스토리위즈</v>
      </c>
      <c r="I3458" t="str">
        <f t="shared" si="486"/>
        <v>디버프 마스터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/>
      <c r="AQ3458">
        <v>0</v>
      </c>
      <c r="AR3458">
        <v>0</v>
      </c>
      <c r="AT3458">
        <v>0</v>
      </c>
      <c r="AU3458">
        <v>0</v>
      </c>
      <c r="AW3458">
        <v>0</v>
      </c>
      <c r="AX3458">
        <v>0</v>
      </c>
      <c r="AY3458">
        <v>70</v>
      </c>
      <c r="BC3458" t="str">
        <f t="shared" si="487"/>
        <v>9791137602663</v>
      </c>
      <c r="BE3458" t="str">
        <f t="shared" si="488"/>
        <v>판타지 웹소설 &gt; 퓨전 판타지</v>
      </c>
    </row>
    <row r="3459" spans="1:57" x14ac:dyDescent="0.3">
      <c r="A3459">
        <v>2313012849</v>
      </c>
      <c r="B3459">
        <v>2313013564</v>
      </c>
      <c r="C3459" t="str">
        <f>T("디버프 마스터 716화")</f>
        <v>디버프 마스터 716화</v>
      </c>
      <c r="D3459" t="str">
        <f>T("716")</f>
        <v>716</v>
      </c>
      <c r="E3459" t="str">
        <f t="shared" si="485"/>
        <v>담화공</v>
      </c>
      <c r="H3459" t="str">
        <f t="shared" si="484"/>
        <v>스토리위즈</v>
      </c>
      <c r="I3459" t="str">
        <f t="shared" si="486"/>
        <v>디버프 마스터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/>
      <c r="AQ3459">
        <v>0</v>
      </c>
      <c r="AR3459">
        <v>0</v>
      </c>
      <c r="AT3459">
        <v>0</v>
      </c>
      <c r="AU3459">
        <v>0</v>
      </c>
      <c r="AW3459">
        <v>0</v>
      </c>
      <c r="AX3459">
        <v>0</v>
      </c>
      <c r="AY3459">
        <v>70</v>
      </c>
      <c r="BC3459" t="str">
        <f t="shared" si="487"/>
        <v>9791137602663</v>
      </c>
      <c r="BE3459" t="str">
        <f t="shared" si="488"/>
        <v>판타지 웹소설 &gt; 퓨전 판타지</v>
      </c>
    </row>
    <row r="3460" spans="1:57" x14ac:dyDescent="0.3">
      <c r="A3460">
        <v>2313012849</v>
      </c>
      <c r="B3460">
        <v>2313013565</v>
      </c>
      <c r="C3460" t="str">
        <f>T("디버프 마스터 717화")</f>
        <v>디버프 마스터 717화</v>
      </c>
      <c r="D3460" t="str">
        <f>T("717")</f>
        <v>717</v>
      </c>
      <c r="E3460" t="str">
        <f t="shared" si="485"/>
        <v>담화공</v>
      </c>
      <c r="H3460" t="str">
        <f t="shared" si="484"/>
        <v>스토리위즈</v>
      </c>
      <c r="I3460" t="str">
        <f t="shared" si="486"/>
        <v>디버프 마스터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/>
      <c r="AQ3460">
        <v>0</v>
      </c>
      <c r="AR3460">
        <v>0</v>
      </c>
      <c r="AT3460">
        <v>0</v>
      </c>
      <c r="AU3460">
        <v>0</v>
      </c>
      <c r="AW3460">
        <v>0</v>
      </c>
      <c r="AX3460">
        <v>0</v>
      </c>
      <c r="AY3460">
        <v>70</v>
      </c>
      <c r="BC3460" t="str">
        <f t="shared" si="487"/>
        <v>9791137602663</v>
      </c>
      <c r="BE3460" t="str">
        <f t="shared" si="488"/>
        <v>판타지 웹소설 &gt; 퓨전 판타지</v>
      </c>
    </row>
    <row r="3461" spans="1:57" x14ac:dyDescent="0.3">
      <c r="A3461">
        <v>2313012849</v>
      </c>
      <c r="B3461">
        <v>2313013566</v>
      </c>
      <c r="C3461" t="str">
        <f>T("디버프 마스터 718화")</f>
        <v>디버프 마스터 718화</v>
      </c>
      <c r="D3461" t="str">
        <f>T("718")</f>
        <v>718</v>
      </c>
      <c r="E3461" t="str">
        <f t="shared" si="485"/>
        <v>담화공</v>
      </c>
      <c r="H3461" t="str">
        <f t="shared" si="484"/>
        <v>스토리위즈</v>
      </c>
      <c r="I3461" t="str">
        <f t="shared" si="486"/>
        <v>디버프 마스터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/>
      <c r="AQ3461">
        <v>0</v>
      </c>
      <c r="AR3461">
        <v>0</v>
      </c>
      <c r="AT3461">
        <v>0</v>
      </c>
      <c r="AU3461">
        <v>0</v>
      </c>
      <c r="AW3461">
        <v>0</v>
      </c>
      <c r="AX3461">
        <v>0</v>
      </c>
      <c r="AY3461">
        <v>70</v>
      </c>
      <c r="BC3461" t="str">
        <f t="shared" si="487"/>
        <v>9791137602663</v>
      </c>
      <c r="BE3461" t="str">
        <f t="shared" si="488"/>
        <v>판타지 웹소설 &gt; 퓨전 판타지</v>
      </c>
    </row>
    <row r="3462" spans="1:57" x14ac:dyDescent="0.3">
      <c r="A3462">
        <v>2313012849</v>
      </c>
      <c r="B3462">
        <v>2313013567</v>
      </c>
      <c r="C3462" t="str">
        <f>T("디버프 마스터 719화")</f>
        <v>디버프 마스터 719화</v>
      </c>
      <c r="D3462" t="str">
        <f>T("719")</f>
        <v>719</v>
      </c>
      <c r="E3462" t="str">
        <f t="shared" si="485"/>
        <v>담화공</v>
      </c>
      <c r="H3462" t="str">
        <f t="shared" si="484"/>
        <v>스토리위즈</v>
      </c>
      <c r="I3462" t="str">
        <f t="shared" si="486"/>
        <v>디버프 마스터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/>
      <c r="AQ3462">
        <v>0</v>
      </c>
      <c r="AR3462">
        <v>0</v>
      </c>
      <c r="AT3462">
        <v>0</v>
      </c>
      <c r="AU3462">
        <v>0</v>
      </c>
      <c r="AW3462">
        <v>0</v>
      </c>
      <c r="AX3462">
        <v>0</v>
      </c>
      <c r="AY3462">
        <v>70</v>
      </c>
      <c r="BC3462" t="str">
        <f t="shared" si="487"/>
        <v>9791137602663</v>
      </c>
      <c r="BE3462" t="str">
        <f t="shared" si="488"/>
        <v>판타지 웹소설 &gt; 퓨전 판타지</v>
      </c>
    </row>
    <row r="3463" spans="1:57" x14ac:dyDescent="0.3">
      <c r="A3463">
        <v>2313012849</v>
      </c>
      <c r="B3463">
        <v>2313013568</v>
      </c>
      <c r="C3463" t="str">
        <f>T("디버프 마스터 720화")</f>
        <v>디버프 마스터 720화</v>
      </c>
      <c r="D3463" t="str">
        <f>T("720")</f>
        <v>720</v>
      </c>
      <c r="E3463" t="str">
        <f t="shared" si="485"/>
        <v>담화공</v>
      </c>
      <c r="H3463" t="str">
        <f t="shared" si="484"/>
        <v>스토리위즈</v>
      </c>
      <c r="I3463" t="str">
        <f t="shared" si="486"/>
        <v>디버프 마스터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/>
      <c r="AQ3463">
        <v>0</v>
      </c>
      <c r="AR3463">
        <v>0</v>
      </c>
      <c r="AT3463">
        <v>0</v>
      </c>
      <c r="AU3463">
        <v>0</v>
      </c>
      <c r="AW3463">
        <v>0</v>
      </c>
      <c r="AX3463">
        <v>0</v>
      </c>
      <c r="AY3463">
        <v>70</v>
      </c>
      <c r="BC3463" t="str">
        <f t="shared" si="487"/>
        <v>9791137602663</v>
      </c>
      <c r="BE3463" t="str">
        <f t="shared" si="488"/>
        <v>판타지 웹소설 &gt; 퓨전 판타지</v>
      </c>
    </row>
    <row r="3464" spans="1:57" x14ac:dyDescent="0.3">
      <c r="A3464">
        <v>2313012849</v>
      </c>
      <c r="B3464">
        <v>2313013569</v>
      </c>
      <c r="C3464" t="str">
        <f>T("디버프 마스터 721화")</f>
        <v>디버프 마스터 721화</v>
      </c>
      <c r="D3464" t="str">
        <f>T("721")</f>
        <v>721</v>
      </c>
      <c r="E3464" t="str">
        <f t="shared" si="485"/>
        <v>담화공</v>
      </c>
      <c r="H3464" t="str">
        <f t="shared" si="484"/>
        <v>스토리위즈</v>
      </c>
      <c r="I3464" t="str">
        <f t="shared" si="486"/>
        <v>디버프 마스터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/>
      <c r="AQ3464">
        <v>0</v>
      </c>
      <c r="AR3464">
        <v>0</v>
      </c>
      <c r="AT3464">
        <v>0</v>
      </c>
      <c r="AU3464">
        <v>0</v>
      </c>
      <c r="AW3464">
        <v>0</v>
      </c>
      <c r="AX3464">
        <v>0</v>
      </c>
      <c r="AY3464">
        <v>70</v>
      </c>
      <c r="BC3464" t="str">
        <f t="shared" si="487"/>
        <v>9791137602663</v>
      </c>
      <c r="BE3464" t="str">
        <f t="shared" si="488"/>
        <v>판타지 웹소설 &gt; 퓨전 판타지</v>
      </c>
    </row>
    <row r="3465" spans="1:57" x14ac:dyDescent="0.3">
      <c r="A3465">
        <v>2313012849</v>
      </c>
      <c r="B3465">
        <v>2313013570</v>
      </c>
      <c r="C3465" t="str">
        <f>T("디버프 마스터 722화")</f>
        <v>디버프 마스터 722화</v>
      </c>
      <c r="D3465" t="str">
        <f>T("722")</f>
        <v>722</v>
      </c>
      <c r="E3465" t="str">
        <f t="shared" si="485"/>
        <v>담화공</v>
      </c>
      <c r="H3465" t="str">
        <f t="shared" si="484"/>
        <v>스토리위즈</v>
      </c>
      <c r="I3465" t="str">
        <f t="shared" si="486"/>
        <v>디버프 마스터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/>
      <c r="AQ3465">
        <v>0</v>
      </c>
      <c r="AR3465">
        <v>0</v>
      </c>
      <c r="AT3465">
        <v>0</v>
      </c>
      <c r="AU3465">
        <v>0</v>
      </c>
      <c r="AW3465">
        <v>0</v>
      </c>
      <c r="AX3465">
        <v>0</v>
      </c>
      <c r="AY3465">
        <v>70</v>
      </c>
      <c r="BC3465" t="str">
        <f t="shared" si="487"/>
        <v>9791137602663</v>
      </c>
      <c r="BE3465" t="str">
        <f t="shared" si="488"/>
        <v>판타지 웹소설 &gt; 퓨전 판타지</v>
      </c>
    </row>
    <row r="3466" spans="1:57" x14ac:dyDescent="0.3">
      <c r="A3466">
        <v>2313012849</v>
      </c>
      <c r="B3466">
        <v>2313013571</v>
      </c>
      <c r="C3466" t="str">
        <f>T("디버프 마스터 723화")</f>
        <v>디버프 마스터 723화</v>
      </c>
      <c r="D3466" t="str">
        <f>T("723")</f>
        <v>723</v>
      </c>
      <c r="E3466" t="str">
        <f t="shared" si="485"/>
        <v>담화공</v>
      </c>
      <c r="H3466" t="str">
        <f t="shared" si="484"/>
        <v>스토리위즈</v>
      </c>
      <c r="I3466" t="str">
        <f t="shared" si="486"/>
        <v>디버프 마스터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/>
      <c r="AQ3466">
        <v>0</v>
      </c>
      <c r="AR3466">
        <v>0</v>
      </c>
      <c r="AT3466">
        <v>0</v>
      </c>
      <c r="AU3466">
        <v>0</v>
      </c>
      <c r="AW3466">
        <v>0</v>
      </c>
      <c r="AX3466">
        <v>0</v>
      </c>
      <c r="AY3466">
        <v>70</v>
      </c>
      <c r="BC3466" t="str">
        <f t="shared" si="487"/>
        <v>9791137602663</v>
      </c>
      <c r="BE3466" t="str">
        <f t="shared" si="488"/>
        <v>판타지 웹소설 &gt; 퓨전 판타지</v>
      </c>
    </row>
    <row r="3467" spans="1:57" x14ac:dyDescent="0.3">
      <c r="A3467">
        <v>2313012849</v>
      </c>
      <c r="B3467">
        <v>2313013572</v>
      </c>
      <c r="C3467" t="str">
        <f>T("디버프 마스터 724화")</f>
        <v>디버프 마스터 724화</v>
      </c>
      <c r="D3467" t="str">
        <f>T("724")</f>
        <v>724</v>
      </c>
      <c r="E3467" t="str">
        <f t="shared" si="485"/>
        <v>담화공</v>
      </c>
      <c r="H3467" t="str">
        <f t="shared" si="484"/>
        <v>스토리위즈</v>
      </c>
      <c r="I3467" t="str">
        <f t="shared" si="486"/>
        <v>디버프 마스터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/>
      <c r="AQ3467">
        <v>0</v>
      </c>
      <c r="AR3467">
        <v>0</v>
      </c>
      <c r="AT3467">
        <v>0</v>
      </c>
      <c r="AU3467">
        <v>0</v>
      </c>
      <c r="AW3467">
        <v>0</v>
      </c>
      <c r="AX3467">
        <v>0</v>
      </c>
      <c r="AY3467">
        <v>70</v>
      </c>
      <c r="BC3467" t="str">
        <f t="shared" si="487"/>
        <v>9791137602663</v>
      </c>
      <c r="BE3467" t="str">
        <f t="shared" si="488"/>
        <v>판타지 웹소설 &gt; 퓨전 판타지</v>
      </c>
    </row>
    <row r="3468" spans="1:57" x14ac:dyDescent="0.3">
      <c r="A3468">
        <v>2313012849</v>
      </c>
      <c r="B3468">
        <v>2313013573</v>
      </c>
      <c r="C3468" t="str">
        <f>T("디버프 마스터 725화")</f>
        <v>디버프 마스터 725화</v>
      </c>
      <c r="D3468" t="str">
        <f>T("725")</f>
        <v>725</v>
      </c>
      <c r="E3468" t="str">
        <f t="shared" si="485"/>
        <v>담화공</v>
      </c>
      <c r="H3468" t="str">
        <f t="shared" si="484"/>
        <v>스토리위즈</v>
      </c>
      <c r="I3468" t="str">
        <f t="shared" si="486"/>
        <v>디버프 마스터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/>
      <c r="AQ3468">
        <v>0</v>
      </c>
      <c r="AR3468">
        <v>0</v>
      </c>
      <c r="AT3468">
        <v>0</v>
      </c>
      <c r="AU3468">
        <v>0</v>
      </c>
      <c r="AW3468">
        <v>0</v>
      </c>
      <c r="AX3468">
        <v>0</v>
      </c>
      <c r="AY3468">
        <v>70</v>
      </c>
      <c r="BC3468" t="str">
        <f t="shared" si="487"/>
        <v>9791137602663</v>
      </c>
      <c r="BE3468" t="str">
        <f t="shared" si="488"/>
        <v>판타지 웹소설 &gt; 퓨전 판타지</v>
      </c>
    </row>
    <row r="3469" spans="1:57" x14ac:dyDescent="0.3">
      <c r="A3469">
        <v>2313012849</v>
      </c>
      <c r="B3469">
        <v>2313013574</v>
      </c>
      <c r="C3469" t="str">
        <f>T("디버프 마스터 726화")</f>
        <v>디버프 마스터 726화</v>
      </c>
      <c r="D3469" t="str">
        <f>T("726")</f>
        <v>726</v>
      </c>
      <c r="E3469" t="str">
        <f t="shared" si="485"/>
        <v>담화공</v>
      </c>
      <c r="H3469" t="str">
        <f t="shared" si="484"/>
        <v>스토리위즈</v>
      </c>
      <c r="I3469" t="str">
        <f t="shared" si="486"/>
        <v>디버프 마스터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/>
      <c r="AQ3469">
        <v>0</v>
      </c>
      <c r="AR3469">
        <v>0</v>
      </c>
      <c r="AT3469">
        <v>0</v>
      </c>
      <c r="AU3469">
        <v>0</v>
      </c>
      <c r="AW3469">
        <v>0</v>
      </c>
      <c r="AX3469">
        <v>0</v>
      </c>
      <c r="AY3469">
        <v>70</v>
      </c>
      <c r="BC3469" t="str">
        <f t="shared" si="487"/>
        <v>9791137602663</v>
      </c>
      <c r="BE3469" t="str">
        <f t="shared" si="488"/>
        <v>판타지 웹소설 &gt; 퓨전 판타지</v>
      </c>
    </row>
    <row r="3470" spans="1:57" x14ac:dyDescent="0.3">
      <c r="A3470">
        <v>2313012849</v>
      </c>
      <c r="B3470">
        <v>2313013575</v>
      </c>
      <c r="C3470" t="str">
        <f>T("디버프 마스터 727화")</f>
        <v>디버프 마스터 727화</v>
      </c>
      <c r="D3470" t="str">
        <f>T("727")</f>
        <v>727</v>
      </c>
      <c r="E3470" t="str">
        <f t="shared" si="485"/>
        <v>담화공</v>
      </c>
      <c r="H3470" t="str">
        <f t="shared" si="484"/>
        <v>스토리위즈</v>
      </c>
      <c r="I3470" t="str">
        <f t="shared" si="486"/>
        <v>디버프 마스터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/>
      <c r="AQ3470">
        <v>0</v>
      </c>
      <c r="AR3470">
        <v>0</v>
      </c>
      <c r="AT3470">
        <v>0</v>
      </c>
      <c r="AU3470">
        <v>0</v>
      </c>
      <c r="AW3470">
        <v>0</v>
      </c>
      <c r="AX3470">
        <v>0</v>
      </c>
      <c r="AY3470">
        <v>70</v>
      </c>
      <c r="BC3470" t="str">
        <f t="shared" si="487"/>
        <v>9791137602663</v>
      </c>
      <c r="BE3470" t="str">
        <f t="shared" si="488"/>
        <v>판타지 웹소설 &gt; 퓨전 판타지</v>
      </c>
    </row>
    <row r="3471" spans="1:57" x14ac:dyDescent="0.3">
      <c r="A3471">
        <v>2313012849</v>
      </c>
      <c r="B3471">
        <v>2313013576</v>
      </c>
      <c r="C3471" t="str">
        <f>T("디버프 마스터 728화")</f>
        <v>디버프 마스터 728화</v>
      </c>
      <c r="D3471" t="str">
        <f>T("728")</f>
        <v>728</v>
      </c>
      <c r="E3471" t="str">
        <f t="shared" si="485"/>
        <v>담화공</v>
      </c>
      <c r="H3471" t="str">
        <f t="shared" si="484"/>
        <v>스토리위즈</v>
      </c>
      <c r="I3471" t="str">
        <f t="shared" si="486"/>
        <v>디버프 마스터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/>
      <c r="AQ3471">
        <v>0</v>
      </c>
      <c r="AR3471">
        <v>0</v>
      </c>
      <c r="AT3471">
        <v>0</v>
      </c>
      <c r="AU3471">
        <v>0</v>
      </c>
      <c r="AW3471">
        <v>0</v>
      </c>
      <c r="AX3471">
        <v>0</v>
      </c>
      <c r="AY3471">
        <v>70</v>
      </c>
      <c r="BC3471" t="str">
        <f t="shared" si="487"/>
        <v>9791137602663</v>
      </c>
      <c r="BE3471" t="str">
        <f t="shared" si="488"/>
        <v>판타지 웹소설 &gt; 퓨전 판타지</v>
      </c>
    </row>
    <row r="3472" spans="1:57" x14ac:dyDescent="0.3">
      <c r="A3472">
        <v>2313012849</v>
      </c>
      <c r="B3472">
        <v>2313013577</v>
      </c>
      <c r="C3472" t="str">
        <f>T("디버프 마스터 729화")</f>
        <v>디버프 마스터 729화</v>
      </c>
      <c r="D3472" t="str">
        <f>T("729")</f>
        <v>729</v>
      </c>
      <c r="E3472" t="str">
        <f t="shared" si="485"/>
        <v>담화공</v>
      </c>
      <c r="H3472" t="str">
        <f t="shared" si="484"/>
        <v>스토리위즈</v>
      </c>
      <c r="I3472" t="str">
        <f t="shared" si="486"/>
        <v>디버프 마스터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/>
      <c r="AQ3472">
        <v>0</v>
      </c>
      <c r="AR3472">
        <v>0</v>
      </c>
      <c r="AT3472">
        <v>0</v>
      </c>
      <c r="AU3472">
        <v>0</v>
      </c>
      <c r="AW3472">
        <v>0</v>
      </c>
      <c r="AX3472">
        <v>0</v>
      </c>
      <c r="AY3472">
        <v>70</v>
      </c>
      <c r="BC3472" t="str">
        <f t="shared" si="487"/>
        <v>9791137602663</v>
      </c>
      <c r="BE3472" t="str">
        <f t="shared" si="488"/>
        <v>판타지 웹소설 &gt; 퓨전 판타지</v>
      </c>
    </row>
    <row r="3473" spans="1:57" x14ac:dyDescent="0.3">
      <c r="A3473">
        <v>2313012849</v>
      </c>
      <c r="B3473">
        <v>2313013578</v>
      </c>
      <c r="C3473" t="str">
        <f>T("디버프 마스터 730화")</f>
        <v>디버프 마스터 730화</v>
      </c>
      <c r="D3473" t="str">
        <f>T("730")</f>
        <v>730</v>
      </c>
      <c r="E3473" t="str">
        <f t="shared" si="485"/>
        <v>담화공</v>
      </c>
      <c r="H3473" t="str">
        <f t="shared" si="484"/>
        <v>스토리위즈</v>
      </c>
      <c r="I3473" t="str">
        <f t="shared" si="486"/>
        <v>디버프 마스터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/>
      <c r="AQ3473">
        <v>0</v>
      </c>
      <c r="AR3473">
        <v>0</v>
      </c>
      <c r="AT3473">
        <v>0</v>
      </c>
      <c r="AU3473">
        <v>0</v>
      </c>
      <c r="AW3473">
        <v>0</v>
      </c>
      <c r="AX3473">
        <v>0</v>
      </c>
      <c r="AY3473">
        <v>70</v>
      </c>
      <c r="BC3473" t="str">
        <f t="shared" si="487"/>
        <v>9791137602663</v>
      </c>
      <c r="BE3473" t="str">
        <f t="shared" si="488"/>
        <v>판타지 웹소설 &gt; 퓨전 판타지</v>
      </c>
    </row>
    <row r="3474" spans="1:57" x14ac:dyDescent="0.3">
      <c r="A3474">
        <v>2313012849</v>
      </c>
      <c r="B3474">
        <v>2313013579</v>
      </c>
      <c r="C3474" t="str">
        <f>T("디버프 마스터 731화")</f>
        <v>디버프 마스터 731화</v>
      </c>
      <c r="D3474" t="str">
        <f>T("731")</f>
        <v>731</v>
      </c>
      <c r="E3474" t="str">
        <f t="shared" si="485"/>
        <v>담화공</v>
      </c>
      <c r="H3474" t="str">
        <f t="shared" si="484"/>
        <v>스토리위즈</v>
      </c>
      <c r="I3474" t="str">
        <f t="shared" si="486"/>
        <v>디버프 마스터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/>
      <c r="AQ3474">
        <v>0</v>
      </c>
      <c r="AR3474">
        <v>0</v>
      </c>
      <c r="AT3474">
        <v>0</v>
      </c>
      <c r="AU3474">
        <v>0</v>
      </c>
      <c r="AW3474">
        <v>0</v>
      </c>
      <c r="AX3474">
        <v>0</v>
      </c>
      <c r="AY3474">
        <v>70</v>
      </c>
      <c r="BC3474" t="str">
        <f t="shared" si="487"/>
        <v>9791137602663</v>
      </c>
      <c r="BE3474" t="str">
        <f t="shared" si="488"/>
        <v>판타지 웹소설 &gt; 퓨전 판타지</v>
      </c>
    </row>
    <row r="3475" spans="1:57" x14ac:dyDescent="0.3">
      <c r="A3475">
        <v>2313012849</v>
      </c>
      <c r="B3475">
        <v>2313013580</v>
      </c>
      <c r="C3475" t="str">
        <f>T("디버프 마스터 732화")</f>
        <v>디버프 마스터 732화</v>
      </c>
      <c r="D3475" t="str">
        <f>T("732")</f>
        <v>732</v>
      </c>
      <c r="E3475" t="str">
        <f t="shared" si="485"/>
        <v>담화공</v>
      </c>
      <c r="H3475" t="str">
        <f t="shared" si="484"/>
        <v>스토리위즈</v>
      </c>
      <c r="I3475" t="str">
        <f t="shared" si="486"/>
        <v>디버프 마스터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/>
      <c r="AQ3475">
        <v>0</v>
      </c>
      <c r="AR3475">
        <v>0</v>
      </c>
      <c r="AT3475">
        <v>0</v>
      </c>
      <c r="AU3475">
        <v>0</v>
      </c>
      <c r="AW3475">
        <v>0</v>
      </c>
      <c r="AX3475">
        <v>0</v>
      </c>
      <c r="AY3475">
        <v>70</v>
      </c>
      <c r="BC3475" t="str">
        <f t="shared" si="487"/>
        <v>9791137602663</v>
      </c>
      <c r="BE3475" t="str">
        <f t="shared" si="488"/>
        <v>판타지 웹소설 &gt; 퓨전 판타지</v>
      </c>
    </row>
    <row r="3476" spans="1:57" x14ac:dyDescent="0.3">
      <c r="A3476">
        <v>2313012849</v>
      </c>
      <c r="B3476">
        <v>2313013581</v>
      </c>
      <c r="C3476" t="str">
        <f>T("디버프 마스터 733화")</f>
        <v>디버프 마스터 733화</v>
      </c>
      <c r="D3476" t="str">
        <f>T("733")</f>
        <v>733</v>
      </c>
      <c r="E3476" t="str">
        <f t="shared" si="485"/>
        <v>담화공</v>
      </c>
      <c r="H3476" t="str">
        <f t="shared" si="484"/>
        <v>스토리위즈</v>
      </c>
      <c r="I3476" t="str">
        <f t="shared" si="486"/>
        <v>디버프 마스터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/>
      <c r="AQ3476">
        <v>0</v>
      </c>
      <c r="AR3476">
        <v>0</v>
      </c>
      <c r="AT3476">
        <v>0</v>
      </c>
      <c r="AU3476">
        <v>0</v>
      </c>
      <c r="AW3476">
        <v>0</v>
      </c>
      <c r="AX3476">
        <v>0</v>
      </c>
      <c r="AY3476">
        <v>70</v>
      </c>
      <c r="BC3476" t="str">
        <f t="shared" si="487"/>
        <v>9791137602663</v>
      </c>
      <c r="BE3476" t="str">
        <f t="shared" si="488"/>
        <v>판타지 웹소설 &gt; 퓨전 판타지</v>
      </c>
    </row>
    <row r="3477" spans="1:57" x14ac:dyDescent="0.3">
      <c r="A3477">
        <v>2313012849</v>
      </c>
      <c r="B3477">
        <v>2313013582</v>
      </c>
      <c r="C3477" t="str">
        <f>T("디버프 마스터 734화")</f>
        <v>디버프 마스터 734화</v>
      </c>
      <c r="D3477" t="str">
        <f>T("734")</f>
        <v>734</v>
      </c>
      <c r="E3477" t="str">
        <f t="shared" si="485"/>
        <v>담화공</v>
      </c>
      <c r="H3477" t="str">
        <f t="shared" si="484"/>
        <v>스토리위즈</v>
      </c>
      <c r="I3477" t="str">
        <f t="shared" si="486"/>
        <v>디버프 마스터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/>
      <c r="AQ3477">
        <v>0</v>
      </c>
      <c r="AR3477">
        <v>0</v>
      </c>
      <c r="AT3477">
        <v>0</v>
      </c>
      <c r="AU3477">
        <v>0</v>
      </c>
      <c r="AW3477">
        <v>0</v>
      </c>
      <c r="AX3477">
        <v>0</v>
      </c>
      <c r="AY3477">
        <v>70</v>
      </c>
      <c r="BC3477" t="str">
        <f t="shared" si="487"/>
        <v>9791137602663</v>
      </c>
      <c r="BE3477" t="str">
        <f t="shared" si="488"/>
        <v>판타지 웹소설 &gt; 퓨전 판타지</v>
      </c>
    </row>
    <row r="3478" spans="1:57" x14ac:dyDescent="0.3">
      <c r="A3478">
        <v>2313012849</v>
      </c>
      <c r="B3478">
        <v>2313013583</v>
      </c>
      <c r="C3478" t="str">
        <f>T("디버프 마스터 735화")</f>
        <v>디버프 마스터 735화</v>
      </c>
      <c r="D3478" t="str">
        <f>T("735")</f>
        <v>735</v>
      </c>
      <c r="E3478" t="str">
        <f t="shared" si="485"/>
        <v>담화공</v>
      </c>
      <c r="H3478" t="str">
        <f t="shared" si="484"/>
        <v>스토리위즈</v>
      </c>
      <c r="I3478" t="str">
        <f t="shared" si="486"/>
        <v>디버프 마스터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/>
      <c r="AQ3478">
        <v>0</v>
      </c>
      <c r="AR3478">
        <v>0</v>
      </c>
      <c r="AT3478">
        <v>0</v>
      </c>
      <c r="AU3478">
        <v>0</v>
      </c>
      <c r="AW3478">
        <v>0</v>
      </c>
      <c r="AX3478">
        <v>0</v>
      </c>
      <c r="AY3478">
        <v>70</v>
      </c>
      <c r="BC3478" t="str">
        <f t="shared" si="487"/>
        <v>9791137602663</v>
      </c>
      <c r="BE3478" t="str">
        <f t="shared" si="488"/>
        <v>판타지 웹소설 &gt; 퓨전 판타지</v>
      </c>
    </row>
    <row r="3479" spans="1:57" x14ac:dyDescent="0.3">
      <c r="A3479">
        <v>2313012849</v>
      </c>
      <c r="B3479">
        <v>2313013584</v>
      </c>
      <c r="C3479" t="str">
        <f>T("디버프 마스터 736화")</f>
        <v>디버프 마스터 736화</v>
      </c>
      <c r="D3479" t="str">
        <f>T("736")</f>
        <v>736</v>
      </c>
      <c r="E3479" t="str">
        <f t="shared" si="485"/>
        <v>담화공</v>
      </c>
      <c r="H3479" t="str">
        <f t="shared" ref="H3479:H3542" si="489">T("스토리위즈")</f>
        <v>스토리위즈</v>
      </c>
      <c r="I3479" t="str">
        <f t="shared" si="486"/>
        <v>디버프 마스터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/>
      <c r="AQ3479">
        <v>0</v>
      </c>
      <c r="AR3479">
        <v>0</v>
      </c>
      <c r="AT3479">
        <v>0</v>
      </c>
      <c r="AU3479">
        <v>0</v>
      </c>
      <c r="AW3479">
        <v>0</v>
      </c>
      <c r="AX3479">
        <v>0</v>
      </c>
      <c r="AY3479">
        <v>70</v>
      </c>
      <c r="BC3479" t="str">
        <f t="shared" si="487"/>
        <v>9791137602663</v>
      </c>
      <c r="BE3479" t="str">
        <f t="shared" si="488"/>
        <v>판타지 웹소설 &gt; 퓨전 판타지</v>
      </c>
    </row>
    <row r="3480" spans="1:57" x14ac:dyDescent="0.3">
      <c r="A3480">
        <v>2313012849</v>
      </c>
      <c r="B3480">
        <v>2313013585</v>
      </c>
      <c r="C3480" t="str">
        <f>T("디버프 마스터 737화")</f>
        <v>디버프 마스터 737화</v>
      </c>
      <c r="D3480" t="str">
        <f>T("737")</f>
        <v>737</v>
      </c>
      <c r="E3480" t="str">
        <f t="shared" si="485"/>
        <v>담화공</v>
      </c>
      <c r="H3480" t="str">
        <f t="shared" si="489"/>
        <v>스토리위즈</v>
      </c>
      <c r="I3480" t="str">
        <f t="shared" si="486"/>
        <v>디버프 마스터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/>
      <c r="AQ3480">
        <v>0</v>
      </c>
      <c r="AR3480">
        <v>0</v>
      </c>
      <c r="AT3480">
        <v>0</v>
      </c>
      <c r="AU3480">
        <v>0</v>
      </c>
      <c r="AW3480">
        <v>0</v>
      </c>
      <c r="AX3480">
        <v>0</v>
      </c>
      <c r="AY3480">
        <v>70</v>
      </c>
      <c r="BC3480" t="str">
        <f t="shared" si="487"/>
        <v>9791137602663</v>
      </c>
      <c r="BE3480" t="str">
        <f t="shared" si="488"/>
        <v>판타지 웹소설 &gt; 퓨전 판타지</v>
      </c>
    </row>
    <row r="3481" spans="1:57" x14ac:dyDescent="0.3">
      <c r="A3481">
        <v>2313012849</v>
      </c>
      <c r="B3481">
        <v>2313013586</v>
      </c>
      <c r="C3481" t="str">
        <f>T("디버프 마스터 738화")</f>
        <v>디버프 마스터 738화</v>
      </c>
      <c r="D3481" t="str">
        <f>T("738")</f>
        <v>738</v>
      </c>
      <c r="E3481" t="str">
        <f t="shared" si="485"/>
        <v>담화공</v>
      </c>
      <c r="H3481" t="str">
        <f t="shared" si="489"/>
        <v>스토리위즈</v>
      </c>
      <c r="I3481" t="str">
        <f t="shared" si="486"/>
        <v>디버프 마스터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/>
      <c r="AQ3481">
        <v>0</v>
      </c>
      <c r="AR3481">
        <v>0</v>
      </c>
      <c r="AT3481">
        <v>0</v>
      </c>
      <c r="AU3481">
        <v>0</v>
      </c>
      <c r="AW3481">
        <v>0</v>
      </c>
      <c r="AX3481">
        <v>0</v>
      </c>
      <c r="AY3481">
        <v>70</v>
      </c>
      <c r="BC3481" t="str">
        <f t="shared" si="487"/>
        <v>9791137602663</v>
      </c>
      <c r="BE3481" t="str">
        <f t="shared" si="488"/>
        <v>판타지 웹소설 &gt; 퓨전 판타지</v>
      </c>
    </row>
    <row r="3482" spans="1:57" x14ac:dyDescent="0.3">
      <c r="A3482">
        <v>2313012849</v>
      </c>
      <c r="B3482">
        <v>2313013587</v>
      </c>
      <c r="C3482" t="str">
        <f>T("디버프 마스터 739화")</f>
        <v>디버프 마스터 739화</v>
      </c>
      <c r="D3482" t="str">
        <f>T("739")</f>
        <v>739</v>
      </c>
      <c r="E3482" t="str">
        <f t="shared" si="485"/>
        <v>담화공</v>
      </c>
      <c r="H3482" t="str">
        <f t="shared" si="489"/>
        <v>스토리위즈</v>
      </c>
      <c r="I3482" t="str">
        <f t="shared" si="486"/>
        <v>디버프 마스터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/>
      <c r="AQ3482">
        <v>0</v>
      </c>
      <c r="AR3482">
        <v>0</v>
      </c>
      <c r="AT3482">
        <v>0</v>
      </c>
      <c r="AU3482">
        <v>0</v>
      </c>
      <c r="AW3482">
        <v>0</v>
      </c>
      <c r="AX3482">
        <v>0</v>
      </c>
      <c r="AY3482">
        <v>70</v>
      </c>
      <c r="BC3482" t="str">
        <f t="shared" si="487"/>
        <v>9791137602663</v>
      </c>
      <c r="BE3482" t="str">
        <f t="shared" si="488"/>
        <v>판타지 웹소설 &gt; 퓨전 판타지</v>
      </c>
    </row>
    <row r="3483" spans="1:57" x14ac:dyDescent="0.3">
      <c r="A3483">
        <v>2313012849</v>
      </c>
      <c r="B3483">
        <v>2313013588</v>
      </c>
      <c r="C3483" t="str">
        <f>T("디버프 마스터 740화")</f>
        <v>디버프 마스터 740화</v>
      </c>
      <c r="D3483" t="str">
        <f>T("740")</f>
        <v>740</v>
      </c>
      <c r="E3483" t="str">
        <f t="shared" si="485"/>
        <v>담화공</v>
      </c>
      <c r="H3483" t="str">
        <f t="shared" si="489"/>
        <v>스토리위즈</v>
      </c>
      <c r="I3483" t="str">
        <f t="shared" si="486"/>
        <v>디버프 마스터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/>
      <c r="AQ3483">
        <v>0</v>
      </c>
      <c r="AR3483">
        <v>0</v>
      </c>
      <c r="AT3483">
        <v>0</v>
      </c>
      <c r="AU3483">
        <v>0</v>
      </c>
      <c r="AW3483">
        <v>0</v>
      </c>
      <c r="AX3483">
        <v>0</v>
      </c>
      <c r="AY3483">
        <v>70</v>
      </c>
      <c r="BC3483" t="str">
        <f t="shared" si="487"/>
        <v>9791137602663</v>
      </c>
      <c r="BE3483" t="str">
        <f t="shared" si="488"/>
        <v>판타지 웹소설 &gt; 퓨전 판타지</v>
      </c>
    </row>
    <row r="3484" spans="1:57" x14ac:dyDescent="0.3">
      <c r="A3484">
        <v>2313012849</v>
      </c>
      <c r="B3484">
        <v>2313013589</v>
      </c>
      <c r="C3484" t="str">
        <f>T("디버프 마스터 741화")</f>
        <v>디버프 마스터 741화</v>
      </c>
      <c r="D3484" t="str">
        <f>T("741")</f>
        <v>741</v>
      </c>
      <c r="E3484" t="str">
        <f t="shared" si="485"/>
        <v>담화공</v>
      </c>
      <c r="H3484" t="str">
        <f t="shared" si="489"/>
        <v>스토리위즈</v>
      </c>
      <c r="I3484" t="str">
        <f t="shared" si="486"/>
        <v>디버프 마스터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/>
      <c r="AQ3484">
        <v>0</v>
      </c>
      <c r="AR3484">
        <v>0</v>
      </c>
      <c r="AT3484">
        <v>0</v>
      </c>
      <c r="AU3484">
        <v>0</v>
      </c>
      <c r="AW3484">
        <v>0</v>
      </c>
      <c r="AX3484">
        <v>0</v>
      </c>
      <c r="AY3484">
        <v>70</v>
      </c>
      <c r="BC3484" t="str">
        <f t="shared" si="487"/>
        <v>9791137602663</v>
      </c>
      <c r="BE3484" t="str">
        <f t="shared" si="488"/>
        <v>판타지 웹소설 &gt; 퓨전 판타지</v>
      </c>
    </row>
    <row r="3485" spans="1:57" x14ac:dyDescent="0.3">
      <c r="A3485">
        <v>2313012849</v>
      </c>
      <c r="B3485">
        <v>2313013590</v>
      </c>
      <c r="C3485" t="str">
        <f>T("디버프 마스터 742화")</f>
        <v>디버프 마스터 742화</v>
      </c>
      <c r="D3485" t="str">
        <f>T("742")</f>
        <v>742</v>
      </c>
      <c r="E3485" t="str">
        <f t="shared" ref="E3485:E3548" si="490">T("담화공")</f>
        <v>담화공</v>
      </c>
      <c r="H3485" t="str">
        <f t="shared" si="489"/>
        <v>스토리위즈</v>
      </c>
      <c r="I3485" t="str">
        <f t="shared" ref="I3485:I3548" si="491">T("디버프 마스터")</f>
        <v>디버프 마스터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/>
      <c r="AQ3485">
        <v>0</v>
      </c>
      <c r="AR3485">
        <v>0</v>
      </c>
      <c r="AT3485">
        <v>0</v>
      </c>
      <c r="AU3485">
        <v>0</v>
      </c>
      <c r="AW3485">
        <v>0</v>
      </c>
      <c r="AX3485">
        <v>0</v>
      </c>
      <c r="AY3485">
        <v>70</v>
      </c>
      <c r="BC3485" t="str">
        <f t="shared" ref="BC3485:BC3548" si="492">T("9791137602663")</f>
        <v>9791137602663</v>
      </c>
      <c r="BE3485" t="str">
        <f t="shared" ref="BE3485:BE3548" si="493">T("판타지 웹소설 &gt; 퓨전 판타지")</f>
        <v>판타지 웹소설 &gt; 퓨전 판타지</v>
      </c>
    </row>
    <row r="3486" spans="1:57" x14ac:dyDescent="0.3">
      <c r="A3486">
        <v>2313012849</v>
      </c>
      <c r="B3486">
        <v>2313013591</v>
      </c>
      <c r="C3486" t="str">
        <f>T("디버프 마스터 743화")</f>
        <v>디버프 마스터 743화</v>
      </c>
      <c r="D3486" t="str">
        <f>T("743")</f>
        <v>743</v>
      </c>
      <c r="E3486" t="str">
        <f t="shared" si="490"/>
        <v>담화공</v>
      </c>
      <c r="H3486" t="str">
        <f t="shared" si="489"/>
        <v>스토리위즈</v>
      </c>
      <c r="I3486" t="str">
        <f t="shared" si="491"/>
        <v>디버프 마스터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/>
      <c r="AQ3486">
        <v>0</v>
      </c>
      <c r="AR3486">
        <v>0</v>
      </c>
      <c r="AT3486">
        <v>0</v>
      </c>
      <c r="AU3486">
        <v>0</v>
      </c>
      <c r="AW3486">
        <v>0</v>
      </c>
      <c r="AX3486">
        <v>0</v>
      </c>
      <c r="AY3486">
        <v>70</v>
      </c>
      <c r="BC3486" t="str">
        <f t="shared" si="492"/>
        <v>9791137602663</v>
      </c>
      <c r="BE3486" t="str">
        <f t="shared" si="493"/>
        <v>판타지 웹소설 &gt; 퓨전 판타지</v>
      </c>
    </row>
    <row r="3487" spans="1:57" x14ac:dyDescent="0.3">
      <c r="A3487">
        <v>2313012849</v>
      </c>
      <c r="B3487">
        <v>2313013592</v>
      </c>
      <c r="C3487" t="str">
        <f>T("디버프 마스터 744화")</f>
        <v>디버프 마스터 744화</v>
      </c>
      <c r="D3487" t="str">
        <f>T("744")</f>
        <v>744</v>
      </c>
      <c r="E3487" t="str">
        <f t="shared" si="490"/>
        <v>담화공</v>
      </c>
      <c r="H3487" t="str">
        <f t="shared" si="489"/>
        <v>스토리위즈</v>
      </c>
      <c r="I3487" t="str">
        <f t="shared" si="491"/>
        <v>디버프 마스터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/>
      <c r="AQ3487">
        <v>0</v>
      </c>
      <c r="AR3487">
        <v>0</v>
      </c>
      <c r="AT3487">
        <v>0</v>
      </c>
      <c r="AU3487">
        <v>0</v>
      </c>
      <c r="AW3487">
        <v>0</v>
      </c>
      <c r="AX3487">
        <v>0</v>
      </c>
      <c r="AY3487">
        <v>70</v>
      </c>
      <c r="BC3487" t="str">
        <f t="shared" si="492"/>
        <v>9791137602663</v>
      </c>
      <c r="BE3487" t="str">
        <f t="shared" si="493"/>
        <v>판타지 웹소설 &gt; 퓨전 판타지</v>
      </c>
    </row>
    <row r="3488" spans="1:57" x14ac:dyDescent="0.3">
      <c r="A3488">
        <v>2313012849</v>
      </c>
      <c r="B3488">
        <v>2313013593</v>
      </c>
      <c r="C3488" t="str">
        <f>T("디버프 마스터 745화")</f>
        <v>디버프 마스터 745화</v>
      </c>
      <c r="D3488" t="str">
        <f>T("745")</f>
        <v>745</v>
      </c>
      <c r="E3488" t="str">
        <f t="shared" si="490"/>
        <v>담화공</v>
      </c>
      <c r="H3488" t="str">
        <f t="shared" si="489"/>
        <v>스토리위즈</v>
      </c>
      <c r="I3488" t="str">
        <f t="shared" si="491"/>
        <v>디버프 마스터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/>
      <c r="AQ3488">
        <v>0</v>
      </c>
      <c r="AR3488">
        <v>0</v>
      </c>
      <c r="AT3488">
        <v>0</v>
      </c>
      <c r="AU3488">
        <v>0</v>
      </c>
      <c r="AW3488">
        <v>0</v>
      </c>
      <c r="AX3488">
        <v>0</v>
      </c>
      <c r="AY3488">
        <v>70</v>
      </c>
      <c r="BC3488" t="str">
        <f t="shared" si="492"/>
        <v>9791137602663</v>
      </c>
      <c r="BE3488" t="str">
        <f t="shared" si="493"/>
        <v>판타지 웹소설 &gt; 퓨전 판타지</v>
      </c>
    </row>
    <row r="3489" spans="1:57" x14ac:dyDescent="0.3">
      <c r="A3489">
        <v>2313012849</v>
      </c>
      <c r="B3489">
        <v>2313013594</v>
      </c>
      <c r="C3489" t="str">
        <f>T("디버프 마스터 746화")</f>
        <v>디버프 마스터 746화</v>
      </c>
      <c r="D3489" t="str">
        <f>T("746")</f>
        <v>746</v>
      </c>
      <c r="E3489" t="str">
        <f t="shared" si="490"/>
        <v>담화공</v>
      </c>
      <c r="H3489" t="str">
        <f t="shared" si="489"/>
        <v>스토리위즈</v>
      </c>
      <c r="I3489" t="str">
        <f t="shared" si="491"/>
        <v>디버프 마스터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/>
      <c r="AQ3489">
        <v>0</v>
      </c>
      <c r="AR3489">
        <v>0</v>
      </c>
      <c r="AT3489">
        <v>0</v>
      </c>
      <c r="AU3489">
        <v>0</v>
      </c>
      <c r="AW3489">
        <v>0</v>
      </c>
      <c r="AX3489">
        <v>0</v>
      </c>
      <c r="AY3489">
        <v>70</v>
      </c>
      <c r="BC3489" t="str">
        <f t="shared" si="492"/>
        <v>9791137602663</v>
      </c>
      <c r="BE3489" t="str">
        <f t="shared" si="493"/>
        <v>판타지 웹소설 &gt; 퓨전 판타지</v>
      </c>
    </row>
    <row r="3490" spans="1:57" x14ac:dyDescent="0.3">
      <c r="A3490">
        <v>2313012849</v>
      </c>
      <c r="B3490">
        <v>2313013595</v>
      </c>
      <c r="C3490" t="str">
        <f>T("디버프 마스터 747화")</f>
        <v>디버프 마스터 747화</v>
      </c>
      <c r="D3490" t="str">
        <f>T("747")</f>
        <v>747</v>
      </c>
      <c r="E3490" t="str">
        <f t="shared" si="490"/>
        <v>담화공</v>
      </c>
      <c r="H3490" t="str">
        <f t="shared" si="489"/>
        <v>스토리위즈</v>
      </c>
      <c r="I3490" t="str">
        <f t="shared" si="491"/>
        <v>디버프 마스터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/>
      <c r="AQ3490">
        <v>0</v>
      </c>
      <c r="AR3490">
        <v>0</v>
      </c>
      <c r="AT3490">
        <v>0</v>
      </c>
      <c r="AU3490">
        <v>0</v>
      </c>
      <c r="AW3490">
        <v>0</v>
      </c>
      <c r="AX3490">
        <v>0</v>
      </c>
      <c r="AY3490">
        <v>70</v>
      </c>
      <c r="BC3490" t="str">
        <f t="shared" si="492"/>
        <v>9791137602663</v>
      </c>
      <c r="BE3490" t="str">
        <f t="shared" si="493"/>
        <v>판타지 웹소설 &gt; 퓨전 판타지</v>
      </c>
    </row>
    <row r="3491" spans="1:57" x14ac:dyDescent="0.3">
      <c r="A3491">
        <v>2313012849</v>
      </c>
      <c r="B3491">
        <v>2313013596</v>
      </c>
      <c r="C3491" t="str">
        <f>T("디버프 마스터 748화")</f>
        <v>디버프 마스터 748화</v>
      </c>
      <c r="D3491" t="str">
        <f>T("748")</f>
        <v>748</v>
      </c>
      <c r="E3491" t="str">
        <f t="shared" si="490"/>
        <v>담화공</v>
      </c>
      <c r="H3491" t="str">
        <f t="shared" si="489"/>
        <v>스토리위즈</v>
      </c>
      <c r="I3491" t="str">
        <f t="shared" si="491"/>
        <v>디버프 마스터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/>
      <c r="AQ3491">
        <v>0</v>
      </c>
      <c r="AR3491">
        <v>0</v>
      </c>
      <c r="AT3491">
        <v>0</v>
      </c>
      <c r="AU3491">
        <v>0</v>
      </c>
      <c r="AW3491">
        <v>0</v>
      </c>
      <c r="AX3491">
        <v>0</v>
      </c>
      <c r="AY3491">
        <v>70</v>
      </c>
      <c r="BC3491" t="str">
        <f t="shared" si="492"/>
        <v>9791137602663</v>
      </c>
      <c r="BE3491" t="str">
        <f t="shared" si="493"/>
        <v>판타지 웹소설 &gt; 퓨전 판타지</v>
      </c>
    </row>
    <row r="3492" spans="1:57" x14ac:dyDescent="0.3">
      <c r="A3492">
        <v>2313012849</v>
      </c>
      <c r="B3492">
        <v>2313013597</v>
      </c>
      <c r="C3492" t="str">
        <f>T("디버프 마스터 749화")</f>
        <v>디버프 마스터 749화</v>
      </c>
      <c r="D3492" t="str">
        <f>T("749")</f>
        <v>749</v>
      </c>
      <c r="E3492" t="str">
        <f t="shared" si="490"/>
        <v>담화공</v>
      </c>
      <c r="H3492" t="str">
        <f t="shared" si="489"/>
        <v>스토리위즈</v>
      </c>
      <c r="I3492" t="str">
        <f t="shared" si="491"/>
        <v>디버프 마스터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/>
      <c r="AQ3492">
        <v>0</v>
      </c>
      <c r="AR3492">
        <v>0</v>
      </c>
      <c r="AT3492">
        <v>0</v>
      </c>
      <c r="AU3492">
        <v>0</v>
      </c>
      <c r="AW3492">
        <v>0</v>
      </c>
      <c r="AX3492">
        <v>0</v>
      </c>
      <c r="AY3492">
        <v>70</v>
      </c>
      <c r="BC3492" t="str">
        <f t="shared" si="492"/>
        <v>9791137602663</v>
      </c>
      <c r="BE3492" t="str">
        <f t="shared" si="493"/>
        <v>판타지 웹소설 &gt; 퓨전 판타지</v>
      </c>
    </row>
    <row r="3493" spans="1:57" x14ac:dyDescent="0.3">
      <c r="A3493">
        <v>2313012849</v>
      </c>
      <c r="B3493">
        <v>2313013598</v>
      </c>
      <c r="C3493" t="str">
        <f>T("디버프 마스터 750화")</f>
        <v>디버프 마스터 750화</v>
      </c>
      <c r="D3493" t="str">
        <f>T("750")</f>
        <v>750</v>
      </c>
      <c r="E3493" t="str">
        <f t="shared" si="490"/>
        <v>담화공</v>
      </c>
      <c r="H3493" t="str">
        <f t="shared" si="489"/>
        <v>스토리위즈</v>
      </c>
      <c r="I3493" t="str">
        <f t="shared" si="491"/>
        <v>디버프 마스터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/>
      <c r="AQ3493">
        <v>0</v>
      </c>
      <c r="AR3493">
        <v>0</v>
      </c>
      <c r="AT3493">
        <v>0</v>
      </c>
      <c r="AU3493">
        <v>0</v>
      </c>
      <c r="AW3493">
        <v>0</v>
      </c>
      <c r="AX3493">
        <v>0</v>
      </c>
      <c r="AY3493">
        <v>70</v>
      </c>
      <c r="BC3493" t="str">
        <f t="shared" si="492"/>
        <v>9791137602663</v>
      </c>
      <c r="BE3493" t="str">
        <f t="shared" si="493"/>
        <v>판타지 웹소설 &gt; 퓨전 판타지</v>
      </c>
    </row>
    <row r="3494" spans="1:57" x14ac:dyDescent="0.3">
      <c r="A3494">
        <v>2313012849</v>
      </c>
      <c r="B3494">
        <v>2313013599</v>
      </c>
      <c r="C3494" t="str">
        <f>T("디버프 마스터 751화")</f>
        <v>디버프 마스터 751화</v>
      </c>
      <c r="D3494" t="str">
        <f>T("751")</f>
        <v>751</v>
      </c>
      <c r="E3494" t="str">
        <f t="shared" si="490"/>
        <v>담화공</v>
      </c>
      <c r="H3494" t="str">
        <f t="shared" si="489"/>
        <v>스토리위즈</v>
      </c>
      <c r="I3494" t="str">
        <f t="shared" si="491"/>
        <v>디버프 마스터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/>
      <c r="AQ3494">
        <v>0</v>
      </c>
      <c r="AR3494">
        <v>0</v>
      </c>
      <c r="AT3494">
        <v>0</v>
      </c>
      <c r="AU3494">
        <v>0</v>
      </c>
      <c r="AW3494">
        <v>0</v>
      </c>
      <c r="AX3494">
        <v>0</v>
      </c>
      <c r="AY3494">
        <v>70</v>
      </c>
      <c r="BC3494" t="str">
        <f t="shared" si="492"/>
        <v>9791137602663</v>
      </c>
      <c r="BE3494" t="str">
        <f t="shared" si="493"/>
        <v>판타지 웹소설 &gt; 퓨전 판타지</v>
      </c>
    </row>
    <row r="3495" spans="1:57" x14ac:dyDescent="0.3">
      <c r="A3495">
        <v>2313012849</v>
      </c>
      <c r="B3495">
        <v>2313013600</v>
      </c>
      <c r="C3495" t="str">
        <f>T("디버프 마스터 752화")</f>
        <v>디버프 마스터 752화</v>
      </c>
      <c r="D3495" t="str">
        <f>T("752")</f>
        <v>752</v>
      </c>
      <c r="E3495" t="str">
        <f t="shared" si="490"/>
        <v>담화공</v>
      </c>
      <c r="H3495" t="str">
        <f t="shared" si="489"/>
        <v>스토리위즈</v>
      </c>
      <c r="I3495" t="str">
        <f t="shared" si="491"/>
        <v>디버프 마스터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/>
      <c r="AQ3495">
        <v>0</v>
      </c>
      <c r="AR3495">
        <v>0</v>
      </c>
      <c r="AT3495">
        <v>0</v>
      </c>
      <c r="AU3495">
        <v>0</v>
      </c>
      <c r="AW3495">
        <v>0</v>
      </c>
      <c r="AX3495">
        <v>0</v>
      </c>
      <c r="AY3495">
        <v>70</v>
      </c>
      <c r="BC3495" t="str">
        <f t="shared" si="492"/>
        <v>9791137602663</v>
      </c>
      <c r="BE3495" t="str">
        <f t="shared" si="493"/>
        <v>판타지 웹소설 &gt; 퓨전 판타지</v>
      </c>
    </row>
    <row r="3496" spans="1:57" x14ac:dyDescent="0.3">
      <c r="A3496">
        <v>2313012849</v>
      </c>
      <c r="B3496">
        <v>2313013601</v>
      </c>
      <c r="C3496" t="str">
        <f>T("디버프 마스터 753화")</f>
        <v>디버프 마스터 753화</v>
      </c>
      <c r="D3496" t="str">
        <f>T("753")</f>
        <v>753</v>
      </c>
      <c r="E3496" t="str">
        <f t="shared" si="490"/>
        <v>담화공</v>
      </c>
      <c r="H3496" t="str">
        <f t="shared" si="489"/>
        <v>스토리위즈</v>
      </c>
      <c r="I3496" t="str">
        <f t="shared" si="491"/>
        <v>디버프 마스터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/>
      <c r="AQ3496">
        <v>0</v>
      </c>
      <c r="AR3496">
        <v>0</v>
      </c>
      <c r="AT3496">
        <v>0</v>
      </c>
      <c r="AU3496">
        <v>0</v>
      </c>
      <c r="AW3496">
        <v>0</v>
      </c>
      <c r="AX3496">
        <v>0</v>
      </c>
      <c r="AY3496">
        <v>70</v>
      </c>
      <c r="BC3496" t="str">
        <f t="shared" si="492"/>
        <v>9791137602663</v>
      </c>
      <c r="BE3496" t="str">
        <f t="shared" si="493"/>
        <v>판타지 웹소설 &gt; 퓨전 판타지</v>
      </c>
    </row>
    <row r="3497" spans="1:57" x14ac:dyDescent="0.3">
      <c r="A3497">
        <v>2313012849</v>
      </c>
      <c r="B3497">
        <v>2313013602</v>
      </c>
      <c r="C3497" t="str">
        <f>T("디버프 마스터 754화")</f>
        <v>디버프 마스터 754화</v>
      </c>
      <c r="D3497" t="str">
        <f>T("754")</f>
        <v>754</v>
      </c>
      <c r="E3497" t="str">
        <f t="shared" si="490"/>
        <v>담화공</v>
      </c>
      <c r="H3497" t="str">
        <f t="shared" si="489"/>
        <v>스토리위즈</v>
      </c>
      <c r="I3497" t="str">
        <f t="shared" si="491"/>
        <v>디버프 마스터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/>
      <c r="AQ3497">
        <v>0</v>
      </c>
      <c r="AR3497">
        <v>0</v>
      </c>
      <c r="AT3497">
        <v>0</v>
      </c>
      <c r="AU3497">
        <v>0</v>
      </c>
      <c r="AW3497">
        <v>0</v>
      </c>
      <c r="AX3497">
        <v>0</v>
      </c>
      <c r="AY3497">
        <v>70</v>
      </c>
      <c r="BC3497" t="str">
        <f t="shared" si="492"/>
        <v>9791137602663</v>
      </c>
      <c r="BE3497" t="str">
        <f t="shared" si="493"/>
        <v>판타지 웹소설 &gt; 퓨전 판타지</v>
      </c>
    </row>
    <row r="3498" spans="1:57" x14ac:dyDescent="0.3">
      <c r="A3498">
        <v>2313012849</v>
      </c>
      <c r="B3498">
        <v>2313013603</v>
      </c>
      <c r="C3498" t="str">
        <f>T("디버프 마스터 755화")</f>
        <v>디버프 마스터 755화</v>
      </c>
      <c r="D3498" t="str">
        <f>T("755")</f>
        <v>755</v>
      </c>
      <c r="E3498" t="str">
        <f t="shared" si="490"/>
        <v>담화공</v>
      </c>
      <c r="H3498" t="str">
        <f t="shared" si="489"/>
        <v>스토리위즈</v>
      </c>
      <c r="I3498" t="str">
        <f t="shared" si="491"/>
        <v>디버프 마스터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/>
      <c r="AQ3498">
        <v>0</v>
      </c>
      <c r="AR3498">
        <v>0</v>
      </c>
      <c r="AT3498">
        <v>0</v>
      </c>
      <c r="AU3498">
        <v>0</v>
      </c>
      <c r="AW3498">
        <v>0</v>
      </c>
      <c r="AX3498">
        <v>0</v>
      </c>
      <c r="AY3498">
        <v>70</v>
      </c>
      <c r="BC3498" t="str">
        <f t="shared" si="492"/>
        <v>9791137602663</v>
      </c>
      <c r="BE3498" t="str">
        <f t="shared" si="493"/>
        <v>판타지 웹소설 &gt; 퓨전 판타지</v>
      </c>
    </row>
    <row r="3499" spans="1:57" x14ac:dyDescent="0.3">
      <c r="A3499">
        <v>2313012849</v>
      </c>
      <c r="B3499">
        <v>2313013604</v>
      </c>
      <c r="C3499" t="str">
        <f>T("디버프 마스터 756화")</f>
        <v>디버프 마스터 756화</v>
      </c>
      <c r="D3499" t="str">
        <f>T("756")</f>
        <v>756</v>
      </c>
      <c r="E3499" t="str">
        <f t="shared" si="490"/>
        <v>담화공</v>
      </c>
      <c r="H3499" t="str">
        <f t="shared" si="489"/>
        <v>스토리위즈</v>
      </c>
      <c r="I3499" t="str">
        <f t="shared" si="491"/>
        <v>디버프 마스터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/>
      <c r="AQ3499">
        <v>0</v>
      </c>
      <c r="AR3499">
        <v>0</v>
      </c>
      <c r="AT3499">
        <v>0</v>
      </c>
      <c r="AU3499">
        <v>0</v>
      </c>
      <c r="AW3499">
        <v>0</v>
      </c>
      <c r="AX3499">
        <v>0</v>
      </c>
      <c r="AY3499">
        <v>70</v>
      </c>
      <c r="BC3499" t="str">
        <f t="shared" si="492"/>
        <v>9791137602663</v>
      </c>
      <c r="BE3499" t="str">
        <f t="shared" si="493"/>
        <v>판타지 웹소설 &gt; 퓨전 판타지</v>
      </c>
    </row>
    <row r="3500" spans="1:57" x14ac:dyDescent="0.3">
      <c r="A3500">
        <v>2313012849</v>
      </c>
      <c r="B3500">
        <v>2313013605</v>
      </c>
      <c r="C3500" t="str">
        <f>T("디버프 마스터 757화")</f>
        <v>디버프 마스터 757화</v>
      </c>
      <c r="D3500" t="str">
        <f>T("757")</f>
        <v>757</v>
      </c>
      <c r="E3500" t="str">
        <f t="shared" si="490"/>
        <v>담화공</v>
      </c>
      <c r="H3500" t="str">
        <f t="shared" si="489"/>
        <v>스토리위즈</v>
      </c>
      <c r="I3500" t="str">
        <f t="shared" si="491"/>
        <v>디버프 마스터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/>
      <c r="AQ3500">
        <v>0</v>
      </c>
      <c r="AR3500">
        <v>0</v>
      </c>
      <c r="AT3500">
        <v>0</v>
      </c>
      <c r="AU3500">
        <v>0</v>
      </c>
      <c r="AW3500">
        <v>0</v>
      </c>
      <c r="AX3500">
        <v>0</v>
      </c>
      <c r="AY3500">
        <v>70</v>
      </c>
      <c r="BC3500" t="str">
        <f t="shared" si="492"/>
        <v>9791137602663</v>
      </c>
      <c r="BE3500" t="str">
        <f t="shared" si="493"/>
        <v>판타지 웹소설 &gt; 퓨전 판타지</v>
      </c>
    </row>
    <row r="3501" spans="1:57" x14ac:dyDescent="0.3">
      <c r="A3501">
        <v>2313012849</v>
      </c>
      <c r="B3501">
        <v>2313013606</v>
      </c>
      <c r="C3501" t="str">
        <f>T("디버프 마스터 758화")</f>
        <v>디버프 마스터 758화</v>
      </c>
      <c r="D3501" t="str">
        <f>T("758")</f>
        <v>758</v>
      </c>
      <c r="E3501" t="str">
        <f t="shared" si="490"/>
        <v>담화공</v>
      </c>
      <c r="H3501" t="str">
        <f t="shared" si="489"/>
        <v>스토리위즈</v>
      </c>
      <c r="I3501" t="str">
        <f t="shared" si="491"/>
        <v>디버프 마스터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/>
      <c r="AQ3501">
        <v>0</v>
      </c>
      <c r="AR3501">
        <v>0</v>
      </c>
      <c r="AT3501">
        <v>0</v>
      </c>
      <c r="AU3501">
        <v>0</v>
      </c>
      <c r="AW3501">
        <v>0</v>
      </c>
      <c r="AX3501">
        <v>0</v>
      </c>
      <c r="AY3501">
        <v>70</v>
      </c>
      <c r="BC3501" t="str">
        <f t="shared" si="492"/>
        <v>9791137602663</v>
      </c>
      <c r="BE3501" t="str">
        <f t="shared" si="493"/>
        <v>판타지 웹소설 &gt; 퓨전 판타지</v>
      </c>
    </row>
    <row r="3502" spans="1:57" x14ac:dyDescent="0.3">
      <c r="A3502">
        <v>2313012849</v>
      </c>
      <c r="B3502">
        <v>2313013607</v>
      </c>
      <c r="C3502" t="str">
        <f>T("디버프 마스터 759화")</f>
        <v>디버프 마스터 759화</v>
      </c>
      <c r="D3502" t="str">
        <f>T("759")</f>
        <v>759</v>
      </c>
      <c r="E3502" t="str">
        <f t="shared" si="490"/>
        <v>담화공</v>
      </c>
      <c r="H3502" t="str">
        <f t="shared" si="489"/>
        <v>스토리위즈</v>
      </c>
      <c r="I3502" t="str">
        <f t="shared" si="491"/>
        <v>디버프 마스터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/>
      <c r="AQ3502">
        <v>0</v>
      </c>
      <c r="AR3502">
        <v>0</v>
      </c>
      <c r="AT3502">
        <v>0</v>
      </c>
      <c r="AU3502">
        <v>0</v>
      </c>
      <c r="AW3502">
        <v>0</v>
      </c>
      <c r="AX3502">
        <v>0</v>
      </c>
      <c r="AY3502">
        <v>70</v>
      </c>
      <c r="BC3502" t="str">
        <f t="shared" si="492"/>
        <v>9791137602663</v>
      </c>
      <c r="BE3502" t="str">
        <f t="shared" si="493"/>
        <v>판타지 웹소설 &gt; 퓨전 판타지</v>
      </c>
    </row>
    <row r="3503" spans="1:57" x14ac:dyDescent="0.3">
      <c r="A3503">
        <v>2313012849</v>
      </c>
      <c r="B3503">
        <v>2313013608</v>
      </c>
      <c r="C3503" t="str">
        <f>T("디버프 마스터 760화")</f>
        <v>디버프 마스터 760화</v>
      </c>
      <c r="D3503" t="str">
        <f>T("760")</f>
        <v>760</v>
      </c>
      <c r="E3503" t="str">
        <f t="shared" si="490"/>
        <v>담화공</v>
      </c>
      <c r="H3503" t="str">
        <f t="shared" si="489"/>
        <v>스토리위즈</v>
      </c>
      <c r="I3503" t="str">
        <f t="shared" si="491"/>
        <v>디버프 마스터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/>
      <c r="AQ3503">
        <v>0</v>
      </c>
      <c r="AR3503">
        <v>0</v>
      </c>
      <c r="AT3503">
        <v>0</v>
      </c>
      <c r="AU3503">
        <v>0</v>
      </c>
      <c r="AW3503">
        <v>0</v>
      </c>
      <c r="AX3503">
        <v>0</v>
      </c>
      <c r="AY3503">
        <v>70</v>
      </c>
      <c r="BC3503" t="str">
        <f t="shared" si="492"/>
        <v>9791137602663</v>
      </c>
      <c r="BE3503" t="str">
        <f t="shared" si="493"/>
        <v>판타지 웹소설 &gt; 퓨전 판타지</v>
      </c>
    </row>
    <row r="3504" spans="1:57" x14ac:dyDescent="0.3">
      <c r="A3504">
        <v>2313012849</v>
      </c>
      <c r="B3504">
        <v>2313013609</v>
      </c>
      <c r="C3504" t="str">
        <f>T("디버프 마스터 761화")</f>
        <v>디버프 마스터 761화</v>
      </c>
      <c r="D3504" t="str">
        <f>T("761")</f>
        <v>761</v>
      </c>
      <c r="E3504" t="str">
        <f t="shared" si="490"/>
        <v>담화공</v>
      </c>
      <c r="H3504" t="str">
        <f t="shared" si="489"/>
        <v>스토리위즈</v>
      </c>
      <c r="I3504" t="str">
        <f t="shared" si="491"/>
        <v>디버프 마스터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/>
      <c r="AQ3504">
        <v>0</v>
      </c>
      <c r="AR3504">
        <v>0</v>
      </c>
      <c r="AT3504">
        <v>0</v>
      </c>
      <c r="AU3504">
        <v>0</v>
      </c>
      <c r="AW3504">
        <v>0</v>
      </c>
      <c r="AX3504">
        <v>0</v>
      </c>
      <c r="AY3504">
        <v>70</v>
      </c>
      <c r="BC3504" t="str">
        <f t="shared" si="492"/>
        <v>9791137602663</v>
      </c>
      <c r="BE3504" t="str">
        <f t="shared" si="493"/>
        <v>판타지 웹소설 &gt; 퓨전 판타지</v>
      </c>
    </row>
    <row r="3505" spans="1:57" x14ac:dyDescent="0.3">
      <c r="A3505">
        <v>2313012849</v>
      </c>
      <c r="B3505">
        <v>2313013610</v>
      </c>
      <c r="C3505" t="str">
        <f>T("디버프 마스터 762화")</f>
        <v>디버프 마스터 762화</v>
      </c>
      <c r="D3505" t="str">
        <f>T("762")</f>
        <v>762</v>
      </c>
      <c r="E3505" t="str">
        <f t="shared" si="490"/>
        <v>담화공</v>
      </c>
      <c r="H3505" t="str">
        <f t="shared" si="489"/>
        <v>스토리위즈</v>
      </c>
      <c r="I3505" t="str">
        <f t="shared" si="491"/>
        <v>디버프 마스터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/>
      <c r="AQ3505">
        <v>0</v>
      </c>
      <c r="AR3505">
        <v>0</v>
      </c>
      <c r="AT3505">
        <v>0</v>
      </c>
      <c r="AU3505">
        <v>0</v>
      </c>
      <c r="AW3505">
        <v>0</v>
      </c>
      <c r="AX3505">
        <v>0</v>
      </c>
      <c r="AY3505">
        <v>70</v>
      </c>
      <c r="BC3505" t="str">
        <f t="shared" si="492"/>
        <v>9791137602663</v>
      </c>
      <c r="BE3505" t="str">
        <f t="shared" si="493"/>
        <v>판타지 웹소설 &gt; 퓨전 판타지</v>
      </c>
    </row>
    <row r="3506" spans="1:57" x14ac:dyDescent="0.3">
      <c r="A3506">
        <v>2313012849</v>
      </c>
      <c r="B3506">
        <v>2313013611</v>
      </c>
      <c r="C3506" t="str">
        <f>T("디버프 마스터 763화")</f>
        <v>디버프 마스터 763화</v>
      </c>
      <c r="D3506" t="str">
        <f>T("763")</f>
        <v>763</v>
      </c>
      <c r="E3506" t="str">
        <f t="shared" si="490"/>
        <v>담화공</v>
      </c>
      <c r="H3506" t="str">
        <f t="shared" si="489"/>
        <v>스토리위즈</v>
      </c>
      <c r="I3506" t="str">
        <f t="shared" si="491"/>
        <v>디버프 마스터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/>
      <c r="AQ3506">
        <v>0</v>
      </c>
      <c r="AR3506">
        <v>0</v>
      </c>
      <c r="AT3506">
        <v>0</v>
      </c>
      <c r="AU3506">
        <v>0</v>
      </c>
      <c r="AW3506">
        <v>0</v>
      </c>
      <c r="AX3506">
        <v>0</v>
      </c>
      <c r="AY3506">
        <v>70</v>
      </c>
      <c r="BC3506" t="str">
        <f t="shared" si="492"/>
        <v>9791137602663</v>
      </c>
      <c r="BE3506" t="str">
        <f t="shared" si="493"/>
        <v>판타지 웹소설 &gt; 퓨전 판타지</v>
      </c>
    </row>
    <row r="3507" spans="1:57" x14ac:dyDescent="0.3">
      <c r="A3507">
        <v>2313012849</v>
      </c>
      <c r="B3507">
        <v>2313013612</v>
      </c>
      <c r="C3507" t="str">
        <f>T("디버프 마스터 764화")</f>
        <v>디버프 마스터 764화</v>
      </c>
      <c r="D3507" t="str">
        <f>T("764")</f>
        <v>764</v>
      </c>
      <c r="E3507" t="str">
        <f t="shared" si="490"/>
        <v>담화공</v>
      </c>
      <c r="H3507" t="str">
        <f t="shared" si="489"/>
        <v>스토리위즈</v>
      </c>
      <c r="I3507" t="str">
        <f t="shared" si="491"/>
        <v>디버프 마스터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/>
      <c r="AQ3507">
        <v>0</v>
      </c>
      <c r="AR3507">
        <v>0</v>
      </c>
      <c r="AT3507">
        <v>0</v>
      </c>
      <c r="AU3507">
        <v>0</v>
      </c>
      <c r="AW3507">
        <v>0</v>
      </c>
      <c r="AX3507">
        <v>0</v>
      </c>
      <c r="AY3507">
        <v>70</v>
      </c>
      <c r="BC3507" t="str">
        <f t="shared" si="492"/>
        <v>9791137602663</v>
      </c>
      <c r="BE3507" t="str">
        <f t="shared" si="493"/>
        <v>판타지 웹소설 &gt; 퓨전 판타지</v>
      </c>
    </row>
    <row r="3508" spans="1:57" x14ac:dyDescent="0.3">
      <c r="A3508">
        <v>2313012849</v>
      </c>
      <c r="B3508">
        <v>2313013613</v>
      </c>
      <c r="C3508" t="str">
        <f>T("디버프 마스터 765화")</f>
        <v>디버프 마스터 765화</v>
      </c>
      <c r="D3508" t="str">
        <f>T("765")</f>
        <v>765</v>
      </c>
      <c r="E3508" t="str">
        <f t="shared" si="490"/>
        <v>담화공</v>
      </c>
      <c r="H3508" t="str">
        <f t="shared" si="489"/>
        <v>스토리위즈</v>
      </c>
      <c r="I3508" t="str">
        <f t="shared" si="491"/>
        <v>디버프 마스터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/>
      <c r="AQ3508">
        <v>0</v>
      </c>
      <c r="AR3508">
        <v>0</v>
      </c>
      <c r="AT3508">
        <v>0</v>
      </c>
      <c r="AU3508">
        <v>0</v>
      </c>
      <c r="AW3508">
        <v>0</v>
      </c>
      <c r="AX3508">
        <v>0</v>
      </c>
      <c r="AY3508">
        <v>70</v>
      </c>
      <c r="BC3508" t="str">
        <f t="shared" si="492"/>
        <v>9791137602663</v>
      </c>
      <c r="BE3508" t="str">
        <f t="shared" si="493"/>
        <v>판타지 웹소설 &gt; 퓨전 판타지</v>
      </c>
    </row>
    <row r="3509" spans="1:57" x14ac:dyDescent="0.3">
      <c r="A3509">
        <v>2313012849</v>
      </c>
      <c r="B3509">
        <v>2313013614</v>
      </c>
      <c r="C3509" t="str">
        <f>T("디버프 마스터 766화")</f>
        <v>디버프 마스터 766화</v>
      </c>
      <c r="D3509" t="str">
        <f>T("766")</f>
        <v>766</v>
      </c>
      <c r="E3509" t="str">
        <f t="shared" si="490"/>
        <v>담화공</v>
      </c>
      <c r="H3509" t="str">
        <f t="shared" si="489"/>
        <v>스토리위즈</v>
      </c>
      <c r="I3509" t="str">
        <f t="shared" si="491"/>
        <v>디버프 마스터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/>
      <c r="AQ3509">
        <v>0</v>
      </c>
      <c r="AR3509">
        <v>0</v>
      </c>
      <c r="AT3509">
        <v>0</v>
      </c>
      <c r="AU3509">
        <v>0</v>
      </c>
      <c r="AW3509">
        <v>0</v>
      </c>
      <c r="AX3509">
        <v>0</v>
      </c>
      <c r="AY3509">
        <v>70</v>
      </c>
      <c r="BC3509" t="str">
        <f t="shared" si="492"/>
        <v>9791137602663</v>
      </c>
      <c r="BE3509" t="str">
        <f t="shared" si="493"/>
        <v>판타지 웹소설 &gt; 퓨전 판타지</v>
      </c>
    </row>
    <row r="3510" spans="1:57" x14ac:dyDescent="0.3">
      <c r="A3510">
        <v>2313012849</v>
      </c>
      <c r="B3510">
        <v>2313013615</v>
      </c>
      <c r="C3510" t="str">
        <f>T("디버프 마스터 767화")</f>
        <v>디버프 마스터 767화</v>
      </c>
      <c r="D3510" t="str">
        <f>T("767")</f>
        <v>767</v>
      </c>
      <c r="E3510" t="str">
        <f t="shared" si="490"/>
        <v>담화공</v>
      </c>
      <c r="H3510" t="str">
        <f t="shared" si="489"/>
        <v>스토리위즈</v>
      </c>
      <c r="I3510" t="str">
        <f t="shared" si="491"/>
        <v>디버프 마스터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/>
      <c r="AQ3510">
        <v>0</v>
      </c>
      <c r="AR3510">
        <v>0</v>
      </c>
      <c r="AT3510">
        <v>0</v>
      </c>
      <c r="AU3510">
        <v>0</v>
      </c>
      <c r="AW3510">
        <v>0</v>
      </c>
      <c r="AX3510">
        <v>0</v>
      </c>
      <c r="AY3510">
        <v>70</v>
      </c>
      <c r="BC3510" t="str">
        <f t="shared" si="492"/>
        <v>9791137602663</v>
      </c>
      <c r="BE3510" t="str">
        <f t="shared" si="493"/>
        <v>판타지 웹소설 &gt; 퓨전 판타지</v>
      </c>
    </row>
    <row r="3511" spans="1:57" x14ac:dyDescent="0.3">
      <c r="A3511">
        <v>2313012849</v>
      </c>
      <c r="B3511">
        <v>2313013616</v>
      </c>
      <c r="C3511" t="str">
        <f>T("디버프 마스터 768화")</f>
        <v>디버프 마스터 768화</v>
      </c>
      <c r="D3511" t="str">
        <f>T("768")</f>
        <v>768</v>
      </c>
      <c r="E3511" t="str">
        <f t="shared" si="490"/>
        <v>담화공</v>
      </c>
      <c r="H3511" t="str">
        <f t="shared" si="489"/>
        <v>스토리위즈</v>
      </c>
      <c r="I3511" t="str">
        <f t="shared" si="491"/>
        <v>디버프 마스터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/>
      <c r="AQ3511">
        <v>0</v>
      </c>
      <c r="AR3511">
        <v>0</v>
      </c>
      <c r="AT3511">
        <v>0</v>
      </c>
      <c r="AU3511">
        <v>0</v>
      </c>
      <c r="AW3511">
        <v>0</v>
      </c>
      <c r="AX3511">
        <v>0</v>
      </c>
      <c r="AY3511">
        <v>70</v>
      </c>
      <c r="BC3511" t="str">
        <f t="shared" si="492"/>
        <v>9791137602663</v>
      </c>
      <c r="BE3511" t="str">
        <f t="shared" si="493"/>
        <v>판타지 웹소설 &gt; 퓨전 판타지</v>
      </c>
    </row>
    <row r="3512" spans="1:57" x14ac:dyDescent="0.3">
      <c r="A3512">
        <v>2313012849</v>
      </c>
      <c r="B3512">
        <v>2313013617</v>
      </c>
      <c r="C3512" t="str">
        <f>T("디버프 마스터 769화")</f>
        <v>디버프 마스터 769화</v>
      </c>
      <c r="D3512" t="str">
        <f>T("769")</f>
        <v>769</v>
      </c>
      <c r="E3512" t="str">
        <f t="shared" si="490"/>
        <v>담화공</v>
      </c>
      <c r="H3512" t="str">
        <f t="shared" si="489"/>
        <v>스토리위즈</v>
      </c>
      <c r="I3512" t="str">
        <f t="shared" si="491"/>
        <v>디버프 마스터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/>
      <c r="AQ3512">
        <v>0</v>
      </c>
      <c r="AR3512">
        <v>0</v>
      </c>
      <c r="AT3512">
        <v>0</v>
      </c>
      <c r="AU3512">
        <v>0</v>
      </c>
      <c r="AW3512">
        <v>0</v>
      </c>
      <c r="AX3512">
        <v>0</v>
      </c>
      <c r="AY3512">
        <v>70</v>
      </c>
      <c r="BC3512" t="str">
        <f t="shared" si="492"/>
        <v>9791137602663</v>
      </c>
      <c r="BE3512" t="str">
        <f t="shared" si="493"/>
        <v>판타지 웹소설 &gt; 퓨전 판타지</v>
      </c>
    </row>
    <row r="3513" spans="1:57" x14ac:dyDescent="0.3">
      <c r="A3513">
        <v>2313012849</v>
      </c>
      <c r="B3513">
        <v>2313013618</v>
      </c>
      <c r="C3513" t="str">
        <f>T("디버프 마스터 770화")</f>
        <v>디버프 마스터 770화</v>
      </c>
      <c r="D3513" t="str">
        <f>T("770")</f>
        <v>770</v>
      </c>
      <c r="E3513" t="str">
        <f t="shared" si="490"/>
        <v>담화공</v>
      </c>
      <c r="H3513" t="str">
        <f t="shared" si="489"/>
        <v>스토리위즈</v>
      </c>
      <c r="I3513" t="str">
        <f t="shared" si="491"/>
        <v>디버프 마스터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/>
      <c r="AQ3513">
        <v>0</v>
      </c>
      <c r="AR3513">
        <v>0</v>
      </c>
      <c r="AT3513">
        <v>0</v>
      </c>
      <c r="AU3513">
        <v>0</v>
      </c>
      <c r="AW3513">
        <v>0</v>
      </c>
      <c r="AX3513">
        <v>0</v>
      </c>
      <c r="AY3513">
        <v>70</v>
      </c>
      <c r="BC3513" t="str">
        <f t="shared" si="492"/>
        <v>9791137602663</v>
      </c>
      <c r="BE3513" t="str">
        <f t="shared" si="493"/>
        <v>판타지 웹소설 &gt; 퓨전 판타지</v>
      </c>
    </row>
    <row r="3514" spans="1:57" x14ac:dyDescent="0.3">
      <c r="A3514">
        <v>2313012849</v>
      </c>
      <c r="B3514">
        <v>2313013619</v>
      </c>
      <c r="C3514" t="str">
        <f>T("디버프 마스터 771화")</f>
        <v>디버프 마스터 771화</v>
      </c>
      <c r="D3514" t="str">
        <f>T("771")</f>
        <v>771</v>
      </c>
      <c r="E3514" t="str">
        <f t="shared" si="490"/>
        <v>담화공</v>
      </c>
      <c r="H3514" t="str">
        <f t="shared" si="489"/>
        <v>스토리위즈</v>
      </c>
      <c r="I3514" t="str">
        <f t="shared" si="491"/>
        <v>디버프 마스터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/>
      <c r="AQ3514">
        <v>0</v>
      </c>
      <c r="AR3514">
        <v>0</v>
      </c>
      <c r="AT3514">
        <v>0</v>
      </c>
      <c r="AU3514">
        <v>0</v>
      </c>
      <c r="AW3514">
        <v>0</v>
      </c>
      <c r="AX3514">
        <v>0</v>
      </c>
      <c r="AY3514">
        <v>70</v>
      </c>
      <c r="BC3514" t="str">
        <f t="shared" si="492"/>
        <v>9791137602663</v>
      </c>
      <c r="BE3514" t="str">
        <f t="shared" si="493"/>
        <v>판타지 웹소설 &gt; 퓨전 판타지</v>
      </c>
    </row>
    <row r="3515" spans="1:57" x14ac:dyDescent="0.3">
      <c r="A3515">
        <v>2313012849</v>
      </c>
      <c r="B3515">
        <v>2313013620</v>
      </c>
      <c r="C3515" t="str">
        <f>T("디버프 마스터 772화")</f>
        <v>디버프 마스터 772화</v>
      </c>
      <c r="D3515" t="str">
        <f>T("772")</f>
        <v>772</v>
      </c>
      <c r="E3515" t="str">
        <f t="shared" si="490"/>
        <v>담화공</v>
      </c>
      <c r="H3515" t="str">
        <f t="shared" si="489"/>
        <v>스토리위즈</v>
      </c>
      <c r="I3515" t="str">
        <f t="shared" si="491"/>
        <v>디버프 마스터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/>
      <c r="AQ3515">
        <v>0</v>
      </c>
      <c r="AR3515">
        <v>0</v>
      </c>
      <c r="AT3515">
        <v>0</v>
      </c>
      <c r="AU3515">
        <v>0</v>
      </c>
      <c r="AW3515">
        <v>0</v>
      </c>
      <c r="AX3515">
        <v>0</v>
      </c>
      <c r="AY3515">
        <v>70</v>
      </c>
      <c r="BC3515" t="str">
        <f t="shared" si="492"/>
        <v>9791137602663</v>
      </c>
      <c r="BE3515" t="str">
        <f t="shared" si="493"/>
        <v>판타지 웹소설 &gt; 퓨전 판타지</v>
      </c>
    </row>
    <row r="3516" spans="1:57" x14ac:dyDescent="0.3">
      <c r="A3516">
        <v>2313012849</v>
      </c>
      <c r="B3516">
        <v>2313013621</v>
      </c>
      <c r="C3516" t="str">
        <f>T("디버프 마스터 773화")</f>
        <v>디버프 마스터 773화</v>
      </c>
      <c r="D3516" t="str">
        <f>T("773")</f>
        <v>773</v>
      </c>
      <c r="E3516" t="str">
        <f t="shared" si="490"/>
        <v>담화공</v>
      </c>
      <c r="H3516" t="str">
        <f t="shared" si="489"/>
        <v>스토리위즈</v>
      </c>
      <c r="I3516" t="str">
        <f t="shared" si="491"/>
        <v>디버프 마스터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/>
      <c r="AQ3516">
        <v>0</v>
      </c>
      <c r="AR3516">
        <v>0</v>
      </c>
      <c r="AT3516">
        <v>0</v>
      </c>
      <c r="AU3516">
        <v>0</v>
      </c>
      <c r="AW3516">
        <v>0</v>
      </c>
      <c r="AX3516">
        <v>0</v>
      </c>
      <c r="AY3516">
        <v>70</v>
      </c>
      <c r="BC3516" t="str">
        <f t="shared" si="492"/>
        <v>9791137602663</v>
      </c>
      <c r="BE3516" t="str">
        <f t="shared" si="493"/>
        <v>판타지 웹소설 &gt; 퓨전 판타지</v>
      </c>
    </row>
    <row r="3517" spans="1:57" x14ac:dyDescent="0.3">
      <c r="A3517">
        <v>2313012849</v>
      </c>
      <c r="B3517">
        <v>2313013622</v>
      </c>
      <c r="C3517" t="str">
        <f>T("디버프 마스터 774화")</f>
        <v>디버프 마스터 774화</v>
      </c>
      <c r="D3517" t="str">
        <f>T("774")</f>
        <v>774</v>
      </c>
      <c r="E3517" t="str">
        <f t="shared" si="490"/>
        <v>담화공</v>
      </c>
      <c r="H3517" t="str">
        <f t="shared" si="489"/>
        <v>스토리위즈</v>
      </c>
      <c r="I3517" t="str">
        <f t="shared" si="491"/>
        <v>디버프 마스터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/>
      <c r="AQ3517">
        <v>0</v>
      </c>
      <c r="AR3517">
        <v>0</v>
      </c>
      <c r="AT3517">
        <v>0</v>
      </c>
      <c r="AU3517">
        <v>0</v>
      </c>
      <c r="AW3517">
        <v>0</v>
      </c>
      <c r="AX3517">
        <v>0</v>
      </c>
      <c r="AY3517">
        <v>70</v>
      </c>
      <c r="BC3517" t="str">
        <f t="shared" si="492"/>
        <v>9791137602663</v>
      </c>
      <c r="BE3517" t="str">
        <f t="shared" si="493"/>
        <v>판타지 웹소설 &gt; 퓨전 판타지</v>
      </c>
    </row>
    <row r="3518" spans="1:57" x14ac:dyDescent="0.3">
      <c r="A3518">
        <v>2313012849</v>
      </c>
      <c r="B3518">
        <v>2313013623</v>
      </c>
      <c r="C3518" t="str">
        <f>T("디버프 마스터 775화")</f>
        <v>디버프 마스터 775화</v>
      </c>
      <c r="D3518" t="str">
        <f>T("775")</f>
        <v>775</v>
      </c>
      <c r="E3518" t="str">
        <f t="shared" si="490"/>
        <v>담화공</v>
      </c>
      <c r="H3518" t="str">
        <f t="shared" si="489"/>
        <v>스토리위즈</v>
      </c>
      <c r="I3518" t="str">
        <f t="shared" si="491"/>
        <v>디버프 마스터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/>
      <c r="AQ3518">
        <v>0</v>
      </c>
      <c r="AR3518">
        <v>0</v>
      </c>
      <c r="AT3518">
        <v>0</v>
      </c>
      <c r="AU3518">
        <v>0</v>
      </c>
      <c r="AW3518">
        <v>0</v>
      </c>
      <c r="AX3518">
        <v>0</v>
      </c>
      <c r="AY3518">
        <v>70</v>
      </c>
      <c r="BC3518" t="str">
        <f t="shared" si="492"/>
        <v>9791137602663</v>
      </c>
      <c r="BE3518" t="str">
        <f t="shared" si="493"/>
        <v>판타지 웹소설 &gt; 퓨전 판타지</v>
      </c>
    </row>
    <row r="3519" spans="1:57" x14ac:dyDescent="0.3">
      <c r="A3519">
        <v>2313012849</v>
      </c>
      <c r="B3519">
        <v>2313013624</v>
      </c>
      <c r="C3519" t="str">
        <f>T("디버프 마스터 776화")</f>
        <v>디버프 마스터 776화</v>
      </c>
      <c r="D3519" t="str">
        <f>T("776")</f>
        <v>776</v>
      </c>
      <c r="E3519" t="str">
        <f t="shared" si="490"/>
        <v>담화공</v>
      </c>
      <c r="H3519" t="str">
        <f t="shared" si="489"/>
        <v>스토리위즈</v>
      </c>
      <c r="I3519" t="str">
        <f t="shared" si="491"/>
        <v>디버프 마스터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/>
      <c r="AQ3519">
        <v>0</v>
      </c>
      <c r="AR3519">
        <v>0</v>
      </c>
      <c r="AT3519">
        <v>0</v>
      </c>
      <c r="AU3519">
        <v>0</v>
      </c>
      <c r="AW3519">
        <v>0</v>
      </c>
      <c r="AX3519">
        <v>0</v>
      </c>
      <c r="AY3519">
        <v>70</v>
      </c>
      <c r="BC3519" t="str">
        <f t="shared" si="492"/>
        <v>9791137602663</v>
      </c>
      <c r="BE3519" t="str">
        <f t="shared" si="493"/>
        <v>판타지 웹소설 &gt; 퓨전 판타지</v>
      </c>
    </row>
    <row r="3520" spans="1:57" x14ac:dyDescent="0.3">
      <c r="A3520">
        <v>2313012849</v>
      </c>
      <c r="B3520">
        <v>2313013625</v>
      </c>
      <c r="C3520" t="str">
        <f>T("디버프 마스터 777화")</f>
        <v>디버프 마스터 777화</v>
      </c>
      <c r="D3520" t="str">
        <f>T("777")</f>
        <v>777</v>
      </c>
      <c r="E3520" t="str">
        <f t="shared" si="490"/>
        <v>담화공</v>
      </c>
      <c r="H3520" t="str">
        <f t="shared" si="489"/>
        <v>스토리위즈</v>
      </c>
      <c r="I3520" t="str">
        <f t="shared" si="491"/>
        <v>디버프 마스터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/>
      <c r="AQ3520">
        <v>0</v>
      </c>
      <c r="AR3520">
        <v>0</v>
      </c>
      <c r="AT3520">
        <v>0</v>
      </c>
      <c r="AU3520">
        <v>0</v>
      </c>
      <c r="AW3520">
        <v>0</v>
      </c>
      <c r="AX3520">
        <v>0</v>
      </c>
      <c r="AY3520">
        <v>70</v>
      </c>
      <c r="BC3520" t="str">
        <f t="shared" si="492"/>
        <v>9791137602663</v>
      </c>
      <c r="BE3520" t="str">
        <f t="shared" si="493"/>
        <v>판타지 웹소설 &gt; 퓨전 판타지</v>
      </c>
    </row>
    <row r="3521" spans="1:57" x14ac:dyDescent="0.3">
      <c r="A3521">
        <v>2313012849</v>
      </c>
      <c r="B3521">
        <v>2313013626</v>
      </c>
      <c r="C3521" t="str">
        <f>T("디버프 마스터 778화")</f>
        <v>디버프 마스터 778화</v>
      </c>
      <c r="D3521" t="str">
        <f>T("778")</f>
        <v>778</v>
      </c>
      <c r="E3521" t="str">
        <f t="shared" si="490"/>
        <v>담화공</v>
      </c>
      <c r="H3521" t="str">
        <f t="shared" si="489"/>
        <v>스토리위즈</v>
      </c>
      <c r="I3521" t="str">
        <f t="shared" si="491"/>
        <v>디버프 마스터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/>
      <c r="AQ3521">
        <v>0</v>
      </c>
      <c r="AR3521">
        <v>0</v>
      </c>
      <c r="AT3521">
        <v>0</v>
      </c>
      <c r="AU3521">
        <v>0</v>
      </c>
      <c r="AW3521">
        <v>0</v>
      </c>
      <c r="AX3521">
        <v>0</v>
      </c>
      <c r="AY3521">
        <v>70</v>
      </c>
      <c r="BC3521" t="str">
        <f t="shared" si="492"/>
        <v>9791137602663</v>
      </c>
      <c r="BE3521" t="str">
        <f t="shared" si="493"/>
        <v>판타지 웹소설 &gt; 퓨전 판타지</v>
      </c>
    </row>
    <row r="3522" spans="1:57" x14ac:dyDescent="0.3">
      <c r="A3522">
        <v>2313012849</v>
      </c>
      <c r="B3522">
        <v>2313013627</v>
      </c>
      <c r="C3522" t="str">
        <f>T("디버프 마스터 779화")</f>
        <v>디버프 마스터 779화</v>
      </c>
      <c r="D3522" t="str">
        <f>T("779")</f>
        <v>779</v>
      </c>
      <c r="E3522" t="str">
        <f t="shared" si="490"/>
        <v>담화공</v>
      </c>
      <c r="H3522" t="str">
        <f t="shared" si="489"/>
        <v>스토리위즈</v>
      </c>
      <c r="I3522" t="str">
        <f t="shared" si="491"/>
        <v>디버프 마스터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/>
      <c r="AQ3522">
        <v>0</v>
      </c>
      <c r="AR3522">
        <v>0</v>
      </c>
      <c r="AT3522">
        <v>0</v>
      </c>
      <c r="AU3522">
        <v>0</v>
      </c>
      <c r="AW3522">
        <v>0</v>
      </c>
      <c r="AX3522">
        <v>0</v>
      </c>
      <c r="AY3522">
        <v>70</v>
      </c>
      <c r="BC3522" t="str">
        <f t="shared" si="492"/>
        <v>9791137602663</v>
      </c>
      <c r="BE3522" t="str">
        <f t="shared" si="493"/>
        <v>판타지 웹소설 &gt; 퓨전 판타지</v>
      </c>
    </row>
    <row r="3523" spans="1:57" x14ac:dyDescent="0.3">
      <c r="A3523">
        <v>2313012849</v>
      </c>
      <c r="B3523">
        <v>2313013628</v>
      </c>
      <c r="C3523" t="str">
        <f>T("디버프 마스터 780화")</f>
        <v>디버프 마스터 780화</v>
      </c>
      <c r="D3523" t="str">
        <f>T("780")</f>
        <v>780</v>
      </c>
      <c r="E3523" t="str">
        <f t="shared" si="490"/>
        <v>담화공</v>
      </c>
      <c r="H3523" t="str">
        <f t="shared" si="489"/>
        <v>스토리위즈</v>
      </c>
      <c r="I3523" t="str">
        <f t="shared" si="491"/>
        <v>디버프 마스터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/>
      <c r="AQ3523">
        <v>0</v>
      </c>
      <c r="AR3523">
        <v>0</v>
      </c>
      <c r="AT3523">
        <v>0</v>
      </c>
      <c r="AU3523">
        <v>0</v>
      </c>
      <c r="AW3523">
        <v>0</v>
      </c>
      <c r="AX3523">
        <v>0</v>
      </c>
      <c r="AY3523">
        <v>70</v>
      </c>
      <c r="BC3523" t="str">
        <f t="shared" si="492"/>
        <v>9791137602663</v>
      </c>
      <c r="BE3523" t="str">
        <f t="shared" si="493"/>
        <v>판타지 웹소설 &gt; 퓨전 판타지</v>
      </c>
    </row>
    <row r="3524" spans="1:57" x14ac:dyDescent="0.3">
      <c r="A3524">
        <v>2313012849</v>
      </c>
      <c r="B3524">
        <v>2313013629</v>
      </c>
      <c r="C3524" t="str">
        <f>T("디버프 마스터 781화")</f>
        <v>디버프 마스터 781화</v>
      </c>
      <c r="D3524" t="str">
        <f>T("781")</f>
        <v>781</v>
      </c>
      <c r="E3524" t="str">
        <f t="shared" si="490"/>
        <v>담화공</v>
      </c>
      <c r="H3524" t="str">
        <f t="shared" si="489"/>
        <v>스토리위즈</v>
      </c>
      <c r="I3524" t="str">
        <f t="shared" si="491"/>
        <v>디버프 마스터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/>
      <c r="AQ3524">
        <v>0</v>
      </c>
      <c r="AR3524">
        <v>0</v>
      </c>
      <c r="AT3524">
        <v>0</v>
      </c>
      <c r="AU3524">
        <v>0</v>
      </c>
      <c r="AW3524">
        <v>0</v>
      </c>
      <c r="AX3524">
        <v>0</v>
      </c>
      <c r="AY3524">
        <v>70</v>
      </c>
      <c r="BC3524" t="str">
        <f t="shared" si="492"/>
        <v>9791137602663</v>
      </c>
      <c r="BE3524" t="str">
        <f t="shared" si="493"/>
        <v>판타지 웹소설 &gt; 퓨전 판타지</v>
      </c>
    </row>
    <row r="3525" spans="1:57" x14ac:dyDescent="0.3">
      <c r="A3525">
        <v>2313012849</v>
      </c>
      <c r="B3525">
        <v>2313013630</v>
      </c>
      <c r="C3525" t="str">
        <f>T("디버프 마스터 782화")</f>
        <v>디버프 마스터 782화</v>
      </c>
      <c r="D3525" t="str">
        <f>T("782")</f>
        <v>782</v>
      </c>
      <c r="E3525" t="str">
        <f t="shared" si="490"/>
        <v>담화공</v>
      </c>
      <c r="H3525" t="str">
        <f t="shared" si="489"/>
        <v>스토리위즈</v>
      </c>
      <c r="I3525" t="str">
        <f t="shared" si="491"/>
        <v>디버프 마스터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/>
      <c r="AQ3525">
        <v>0</v>
      </c>
      <c r="AR3525">
        <v>0</v>
      </c>
      <c r="AT3525">
        <v>0</v>
      </c>
      <c r="AU3525">
        <v>0</v>
      </c>
      <c r="AW3525">
        <v>0</v>
      </c>
      <c r="AX3525">
        <v>0</v>
      </c>
      <c r="AY3525">
        <v>70</v>
      </c>
      <c r="BC3525" t="str">
        <f t="shared" si="492"/>
        <v>9791137602663</v>
      </c>
      <c r="BE3525" t="str">
        <f t="shared" si="493"/>
        <v>판타지 웹소설 &gt; 퓨전 판타지</v>
      </c>
    </row>
    <row r="3526" spans="1:57" x14ac:dyDescent="0.3">
      <c r="A3526">
        <v>2313012849</v>
      </c>
      <c r="B3526">
        <v>2313013631</v>
      </c>
      <c r="C3526" t="str">
        <f>T("디버프 마스터 783화")</f>
        <v>디버프 마스터 783화</v>
      </c>
      <c r="D3526" t="str">
        <f>T("783")</f>
        <v>783</v>
      </c>
      <c r="E3526" t="str">
        <f t="shared" si="490"/>
        <v>담화공</v>
      </c>
      <c r="H3526" t="str">
        <f t="shared" si="489"/>
        <v>스토리위즈</v>
      </c>
      <c r="I3526" t="str">
        <f t="shared" si="491"/>
        <v>디버프 마스터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/>
      <c r="AQ3526">
        <v>0</v>
      </c>
      <c r="AR3526">
        <v>0</v>
      </c>
      <c r="AT3526">
        <v>0</v>
      </c>
      <c r="AU3526">
        <v>0</v>
      </c>
      <c r="AW3526">
        <v>0</v>
      </c>
      <c r="AX3526">
        <v>0</v>
      </c>
      <c r="AY3526">
        <v>70</v>
      </c>
      <c r="BC3526" t="str">
        <f t="shared" si="492"/>
        <v>9791137602663</v>
      </c>
      <c r="BE3526" t="str">
        <f t="shared" si="493"/>
        <v>판타지 웹소설 &gt; 퓨전 판타지</v>
      </c>
    </row>
    <row r="3527" spans="1:57" x14ac:dyDescent="0.3">
      <c r="A3527">
        <v>2313012849</v>
      </c>
      <c r="B3527">
        <v>2313013632</v>
      </c>
      <c r="C3527" t="str">
        <f>T("디버프 마스터 784화")</f>
        <v>디버프 마스터 784화</v>
      </c>
      <c r="D3527" t="str">
        <f>T("784")</f>
        <v>784</v>
      </c>
      <c r="E3527" t="str">
        <f t="shared" si="490"/>
        <v>담화공</v>
      </c>
      <c r="H3527" t="str">
        <f t="shared" si="489"/>
        <v>스토리위즈</v>
      </c>
      <c r="I3527" t="str">
        <f t="shared" si="491"/>
        <v>디버프 마스터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/>
      <c r="AQ3527">
        <v>0</v>
      </c>
      <c r="AR3527">
        <v>0</v>
      </c>
      <c r="AT3527">
        <v>0</v>
      </c>
      <c r="AU3527">
        <v>0</v>
      </c>
      <c r="AW3527">
        <v>0</v>
      </c>
      <c r="AX3527">
        <v>0</v>
      </c>
      <c r="AY3527">
        <v>70</v>
      </c>
      <c r="BC3527" t="str">
        <f t="shared" si="492"/>
        <v>9791137602663</v>
      </c>
      <c r="BE3527" t="str">
        <f t="shared" si="493"/>
        <v>판타지 웹소설 &gt; 퓨전 판타지</v>
      </c>
    </row>
    <row r="3528" spans="1:57" x14ac:dyDescent="0.3">
      <c r="A3528">
        <v>2313012849</v>
      </c>
      <c r="B3528">
        <v>2313013633</v>
      </c>
      <c r="C3528" t="str">
        <f>T("디버프 마스터 785화")</f>
        <v>디버프 마스터 785화</v>
      </c>
      <c r="D3528" t="str">
        <f>T("785")</f>
        <v>785</v>
      </c>
      <c r="E3528" t="str">
        <f t="shared" si="490"/>
        <v>담화공</v>
      </c>
      <c r="H3528" t="str">
        <f t="shared" si="489"/>
        <v>스토리위즈</v>
      </c>
      <c r="I3528" t="str">
        <f t="shared" si="491"/>
        <v>디버프 마스터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/>
      <c r="AQ3528">
        <v>0</v>
      </c>
      <c r="AR3528">
        <v>0</v>
      </c>
      <c r="AT3528">
        <v>0</v>
      </c>
      <c r="AU3528">
        <v>0</v>
      </c>
      <c r="AW3528">
        <v>0</v>
      </c>
      <c r="AX3528">
        <v>0</v>
      </c>
      <c r="AY3528">
        <v>70</v>
      </c>
      <c r="BC3528" t="str">
        <f t="shared" si="492"/>
        <v>9791137602663</v>
      </c>
      <c r="BE3528" t="str">
        <f t="shared" si="493"/>
        <v>판타지 웹소설 &gt; 퓨전 판타지</v>
      </c>
    </row>
    <row r="3529" spans="1:57" x14ac:dyDescent="0.3">
      <c r="A3529">
        <v>2313012849</v>
      </c>
      <c r="B3529">
        <v>2313013634</v>
      </c>
      <c r="C3529" t="str">
        <f>T("디버프 마스터 786화")</f>
        <v>디버프 마스터 786화</v>
      </c>
      <c r="D3529" t="str">
        <f>T("786")</f>
        <v>786</v>
      </c>
      <c r="E3529" t="str">
        <f t="shared" si="490"/>
        <v>담화공</v>
      </c>
      <c r="H3529" t="str">
        <f t="shared" si="489"/>
        <v>스토리위즈</v>
      </c>
      <c r="I3529" t="str">
        <f t="shared" si="491"/>
        <v>디버프 마스터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/>
      <c r="AQ3529">
        <v>0</v>
      </c>
      <c r="AR3529">
        <v>0</v>
      </c>
      <c r="AT3529">
        <v>0</v>
      </c>
      <c r="AU3529">
        <v>0</v>
      </c>
      <c r="AW3529">
        <v>0</v>
      </c>
      <c r="AX3529">
        <v>0</v>
      </c>
      <c r="AY3529">
        <v>70</v>
      </c>
      <c r="BC3529" t="str">
        <f t="shared" si="492"/>
        <v>9791137602663</v>
      </c>
      <c r="BE3529" t="str">
        <f t="shared" si="493"/>
        <v>판타지 웹소설 &gt; 퓨전 판타지</v>
      </c>
    </row>
    <row r="3530" spans="1:57" x14ac:dyDescent="0.3">
      <c r="A3530">
        <v>2313012849</v>
      </c>
      <c r="B3530">
        <v>2313013635</v>
      </c>
      <c r="C3530" t="str">
        <f>T("디버프 마스터 787화")</f>
        <v>디버프 마스터 787화</v>
      </c>
      <c r="D3530" t="str">
        <f>T("787")</f>
        <v>787</v>
      </c>
      <c r="E3530" t="str">
        <f t="shared" si="490"/>
        <v>담화공</v>
      </c>
      <c r="H3530" t="str">
        <f t="shared" si="489"/>
        <v>스토리위즈</v>
      </c>
      <c r="I3530" t="str">
        <f t="shared" si="491"/>
        <v>디버프 마스터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/>
      <c r="AQ3530">
        <v>0</v>
      </c>
      <c r="AR3530">
        <v>0</v>
      </c>
      <c r="AT3530">
        <v>0</v>
      </c>
      <c r="AU3530">
        <v>0</v>
      </c>
      <c r="AW3530">
        <v>0</v>
      </c>
      <c r="AX3530">
        <v>0</v>
      </c>
      <c r="AY3530">
        <v>70</v>
      </c>
      <c r="BC3530" t="str">
        <f t="shared" si="492"/>
        <v>9791137602663</v>
      </c>
      <c r="BE3530" t="str">
        <f t="shared" si="493"/>
        <v>판타지 웹소설 &gt; 퓨전 판타지</v>
      </c>
    </row>
    <row r="3531" spans="1:57" x14ac:dyDescent="0.3">
      <c r="A3531">
        <v>2313012849</v>
      </c>
      <c r="B3531">
        <v>2313013636</v>
      </c>
      <c r="C3531" t="str">
        <f>T("디버프 마스터 788화")</f>
        <v>디버프 마스터 788화</v>
      </c>
      <c r="D3531" t="str">
        <f>T("788")</f>
        <v>788</v>
      </c>
      <c r="E3531" t="str">
        <f t="shared" si="490"/>
        <v>담화공</v>
      </c>
      <c r="H3531" t="str">
        <f t="shared" si="489"/>
        <v>스토리위즈</v>
      </c>
      <c r="I3531" t="str">
        <f t="shared" si="491"/>
        <v>디버프 마스터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/>
      <c r="AQ3531">
        <v>0</v>
      </c>
      <c r="AR3531">
        <v>0</v>
      </c>
      <c r="AT3531">
        <v>0</v>
      </c>
      <c r="AU3531">
        <v>0</v>
      </c>
      <c r="AW3531">
        <v>0</v>
      </c>
      <c r="AX3531">
        <v>0</v>
      </c>
      <c r="AY3531">
        <v>70</v>
      </c>
      <c r="BC3531" t="str">
        <f t="shared" si="492"/>
        <v>9791137602663</v>
      </c>
      <c r="BE3531" t="str">
        <f t="shared" si="493"/>
        <v>판타지 웹소설 &gt; 퓨전 판타지</v>
      </c>
    </row>
    <row r="3532" spans="1:57" x14ac:dyDescent="0.3">
      <c r="A3532">
        <v>2313012849</v>
      </c>
      <c r="B3532">
        <v>2313013637</v>
      </c>
      <c r="C3532" t="str">
        <f>T("디버프 마스터 789화")</f>
        <v>디버프 마스터 789화</v>
      </c>
      <c r="D3532" t="str">
        <f>T("789")</f>
        <v>789</v>
      </c>
      <c r="E3532" t="str">
        <f t="shared" si="490"/>
        <v>담화공</v>
      </c>
      <c r="H3532" t="str">
        <f t="shared" si="489"/>
        <v>스토리위즈</v>
      </c>
      <c r="I3532" t="str">
        <f t="shared" si="491"/>
        <v>디버프 마스터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/>
      <c r="AQ3532">
        <v>0</v>
      </c>
      <c r="AR3532">
        <v>0</v>
      </c>
      <c r="AT3532">
        <v>0</v>
      </c>
      <c r="AU3532">
        <v>0</v>
      </c>
      <c r="AW3532">
        <v>0</v>
      </c>
      <c r="AX3532">
        <v>0</v>
      </c>
      <c r="AY3532">
        <v>70</v>
      </c>
      <c r="BC3532" t="str">
        <f t="shared" si="492"/>
        <v>9791137602663</v>
      </c>
      <c r="BE3532" t="str">
        <f t="shared" si="493"/>
        <v>판타지 웹소설 &gt; 퓨전 판타지</v>
      </c>
    </row>
    <row r="3533" spans="1:57" x14ac:dyDescent="0.3">
      <c r="A3533">
        <v>2313012849</v>
      </c>
      <c r="B3533">
        <v>2313013638</v>
      </c>
      <c r="C3533" t="str">
        <f>T("디버프 마스터 790화")</f>
        <v>디버프 마스터 790화</v>
      </c>
      <c r="D3533" t="str">
        <f>T("790")</f>
        <v>790</v>
      </c>
      <c r="E3533" t="str">
        <f t="shared" si="490"/>
        <v>담화공</v>
      </c>
      <c r="H3533" t="str">
        <f t="shared" si="489"/>
        <v>스토리위즈</v>
      </c>
      <c r="I3533" t="str">
        <f t="shared" si="491"/>
        <v>디버프 마스터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/>
      <c r="AQ3533">
        <v>0</v>
      </c>
      <c r="AR3533">
        <v>0</v>
      </c>
      <c r="AT3533">
        <v>0</v>
      </c>
      <c r="AU3533">
        <v>0</v>
      </c>
      <c r="AW3533">
        <v>0</v>
      </c>
      <c r="AX3533">
        <v>0</v>
      </c>
      <c r="AY3533">
        <v>70</v>
      </c>
      <c r="BC3533" t="str">
        <f t="shared" si="492"/>
        <v>9791137602663</v>
      </c>
      <c r="BE3533" t="str">
        <f t="shared" si="493"/>
        <v>판타지 웹소설 &gt; 퓨전 판타지</v>
      </c>
    </row>
    <row r="3534" spans="1:57" x14ac:dyDescent="0.3">
      <c r="A3534">
        <v>2313012849</v>
      </c>
      <c r="B3534">
        <v>2313013639</v>
      </c>
      <c r="C3534" t="str">
        <f>T("디버프 마스터 791화")</f>
        <v>디버프 마스터 791화</v>
      </c>
      <c r="D3534" t="str">
        <f>T("791")</f>
        <v>791</v>
      </c>
      <c r="E3534" t="str">
        <f t="shared" si="490"/>
        <v>담화공</v>
      </c>
      <c r="H3534" t="str">
        <f t="shared" si="489"/>
        <v>스토리위즈</v>
      </c>
      <c r="I3534" t="str">
        <f t="shared" si="491"/>
        <v>디버프 마스터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/>
      <c r="AQ3534">
        <v>0</v>
      </c>
      <c r="AR3534">
        <v>0</v>
      </c>
      <c r="AT3534">
        <v>0</v>
      </c>
      <c r="AU3534">
        <v>0</v>
      </c>
      <c r="AW3534">
        <v>0</v>
      </c>
      <c r="AX3534">
        <v>0</v>
      </c>
      <c r="AY3534">
        <v>70</v>
      </c>
      <c r="BC3534" t="str">
        <f t="shared" si="492"/>
        <v>9791137602663</v>
      </c>
      <c r="BE3534" t="str">
        <f t="shared" si="493"/>
        <v>판타지 웹소설 &gt; 퓨전 판타지</v>
      </c>
    </row>
    <row r="3535" spans="1:57" x14ac:dyDescent="0.3">
      <c r="A3535">
        <v>2313012849</v>
      </c>
      <c r="B3535">
        <v>2313013640</v>
      </c>
      <c r="C3535" t="str">
        <f>T("디버프 마스터 792화")</f>
        <v>디버프 마스터 792화</v>
      </c>
      <c r="D3535" t="str">
        <f>T("792")</f>
        <v>792</v>
      </c>
      <c r="E3535" t="str">
        <f t="shared" si="490"/>
        <v>담화공</v>
      </c>
      <c r="H3535" t="str">
        <f t="shared" si="489"/>
        <v>스토리위즈</v>
      </c>
      <c r="I3535" t="str">
        <f t="shared" si="491"/>
        <v>디버프 마스터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/>
      <c r="AQ3535">
        <v>0</v>
      </c>
      <c r="AR3535">
        <v>0</v>
      </c>
      <c r="AT3535">
        <v>0</v>
      </c>
      <c r="AU3535">
        <v>0</v>
      </c>
      <c r="AW3535">
        <v>0</v>
      </c>
      <c r="AX3535">
        <v>0</v>
      </c>
      <c r="AY3535">
        <v>70</v>
      </c>
      <c r="BC3535" t="str">
        <f t="shared" si="492"/>
        <v>9791137602663</v>
      </c>
      <c r="BE3535" t="str">
        <f t="shared" si="493"/>
        <v>판타지 웹소설 &gt; 퓨전 판타지</v>
      </c>
    </row>
    <row r="3536" spans="1:57" x14ac:dyDescent="0.3">
      <c r="A3536">
        <v>2313012849</v>
      </c>
      <c r="B3536">
        <v>2313013641</v>
      </c>
      <c r="C3536" t="str">
        <f>T("디버프 마스터 793화")</f>
        <v>디버프 마스터 793화</v>
      </c>
      <c r="D3536" t="str">
        <f>T("793")</f>
        <v>793</v>
      </c>
      <c r="E3536" t="str">
        <f t="shared" si="490"/>
        <v>담화공</v>
      </c>
      <c r="H3536" t="str">
        <f t="shared" si="489"/>
        <v>스토리위즈</v>
      </c>
      <c r="I3536" t="str">
        <f t="shared" si="491"/>
        <v>디버프 마스터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/>
      <c r="AQ3536">
        <v>0</v>
      </c>
      <c r="AR3536">
        <v>0</v>
      </c>
      <c r="AT3536">
        <v>0</v>
      </c>
      <c r="AU3536">
        <v>0</v>
      </c>
      <c r="AW3536">
        <v>0</v>
      </c>
      <c r="AX3536">
        <v>0</v>
      </c>
      <c r="AY3536">
        <v>70</v>
      </c>
      <c r="BC3536" t="str">
        <f t="shared" si="492"/>
        <v>9791137602663</v>
      </c>
      <c r="BE3536" t="str">
        <f t="shared" si="493"/>
        <v>판타지 웹소설 &gt; 퓨전 판타지</v>
      </c>
    </row>
    <row r="3537" spans="1:57" x14ac:dyDescent="0.3">
      <c r="A3537">
        <v>2313012849</v>
      </c>
      <c r="B3537">
        <v>2313013642</v>
      </c>
      <c r="C3537" t="str">
        <f>T("디버프 마스터 794화")</f>
        <v>디버프 마스터 794화</v>
      </c>
      <c r="D3537" t="str">
        <f>T("794")</f>
        <v>794</v>
      </c>
      <c r="E3537" t="str">
        <f t="shared" si="490"/>
        <v>담화공</v>
      </c>
      <c r="H3537" t="str">
        <f t="shared" si="489"/>
        <v>스토리위즈</v>
      </c>
      <c r="I3537" t="str">
        <f t="shared" si="491"/>
        <v>디버프 마스터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/>
      <c r="AQ3537">
        <v>0</v>
      </c>
      <c r="AR3537">
        <v>0</v>
      </c>
      <c r="AT3537">
        <v>0</v>
      </c>
      <c r="AU3537">
        <v>0</v>
      </c>
      <c r="AW3537">
        <v>0</v>
      </c>
      <c r="AX3537">
        <v>0</v>
      </c>
      <c r="AY3537">
        <v>70</v>
      </c>
      <c r="BC3537" t="str">
        <f t="shared" si="492"/>
        <v>9791137602663</v>
      </c>
      <c r="BE3537" t="str">
        <f t="shared" si="493"/>
        <v>판타지 웹소설 &gt; 퓨전 판타지</v>
      </c>
    </row>
    <row r="3538" spans="1:57" x14ac:dyDescent="0.3">
      <c r="A3538">
        <v>2313012849</v>
      </c>
      <c r="B3538">
        <v>2313013643</v>
      </c>
      <c r="C3538" t="str">
        <f>T("디버프 마스터 795화")</f>
        <v>디버프 마스터 795화</v>
      </c>
      <c r="D3538" t="str">
        <f>T("795")</f>
        <v>795</v>
      </c>
      <c r="E3538" t="str">
        <f t="shared" si="490"/>
        <v>담화공</v>
      </c>
      <c r="H3538" t="str">
        <f t="shared" si="489"/>
        <v>스토리위즈</v>
      </c>
      <c r="I3538" t="str">
        <f t="shared" si="491"/>
        <v>디버프 마스터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/>
      <c r="AQ3538">
        <v>0</v>
      </c>
      <c r="AR3538">
        <v>0</v>
      </c>
      <c r="AT3538">
        <v>0</v>
      </c>
      <c r="AU3538">
        <v>0</v>
      </c>
      <c r="AW3538">
        <v>0</v>
      </c>
      <c r="AX3538">
        <v>0</v>
      </c>
      <c r="AY3538">
        <v>70</v>
      </c>
      <c r="BC3538" t="str">
        <f t="shared" si="492"/>
        <v>9791137602663</v>
      </c>
      <c r="BE3538" t="str">
        <f t="shared" si="493"/>
        <v>판타지 웹소설 &gt; 퓨전 판타지</v>
      </c>
    </row>
    <row r="3539" spans="1:57" x14ac:dyDescent="0.3">
      <c r="A3539">
        <v>2313012849</v>
      </c>
      <c r="B3539">
        <v>2313013644</v>
      </c>
      <c r="C3539" t="str">
        <f>T("디버프 마스터 796화")</f>
        <v>디버프 마스터 796화</v>
      </c>
      <c r="D3539" t="str">
        <f>T("796")</f>
        <v>796</v>
      </c>
      <c r="E3539" t="str">
        <f t="shared" si="490"/>
        <v>담화공</v>
      </c>
      <c r="H3539" t="str">
        <f t="shared" si="489"/>
        <v>스토리위즈</v>
      </c>
      <c r="I3539" t="str">
        <f t="shared" si="491"/>
        <v>디버프 마스터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/>
      <c r="AQ3539">
        <v>0</v>
      </c>
      <c r="AR3539">
        <v>0</v>
      </c>
      <c r="AT3539">
        <v>0</v>
      </c>
      <c r="AU3539">
        <v>0</v>
      </c>
      <c r="AW3539">
        <v>0</v>
      </c>
      <c r="AX3539">
        <v>0</v>
      </c>
      <c r="AY3539">
        <v>70</v>
      </c>
      <c r="BC3539" t="str">
        <f t="shared" si="492"/>
        <v>9791137602663</v>
      </c>
      <c r="BE3539" t="str">
        <f t="shared" si="493"/>
        <v>판타지 웹소설 &gt; 퓨전 판타지</v>
      </c>
    </row>
    <row r="3540" spans="1:57" x14ac:dyDescent="0.3">
      <c r="A3540">
        <v>2313012849</v>
      </c>
      <c r="B3540">
        <v>2313013645</v>
      </c>
      <c r="C3540" t="str">
        <f>T("디버프 마스터 797화")</f>
        <v>디버프 마스터 797화</v>
      </c>
      <c r="D3540" t="str">
        <f>T("797")</f>
        <v>797</v>
      </c>
      <c r="E3540" t="str">
        <f t="shared" si="490"/>
        <v>담화공</v>
      </c>
      <c r="H3540" t="str">
        <f t="shared" si="489"/>
        <v>스토리위즈</v>
      </c>
      <c r="I3540" t="str">
        <f t="shared" si="491"/>
        <v>디버프 마스터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/>
      <c r="AQ3540">
        <v>0</v>
      </c>
      <c r="AR3540">
        <v>0</v>
      </c>
      <c r="AT3540">
        <v>0</v>
      </c>
      <c r="AU3540">
        <v>0</v>
      </c>
      <c r="AW3540">
        <v>0</v>
      </c>
      <c r="AX3540">
        <v>0</v>
      </c>
      <c r="AY3540">
        <v>70</v>
      </c>
      <c r="BC3540" t="str">
        <f t="shared" si="492"/>
        <v>9791137602663</v>
      </c>
      <c r="BE3540" t="str">
        <f t="shared" si="493"/>
        <v>판타지 웹소설 &gt; 퓨전 판타지</v>
      </c>
    </row>
    <row r="3541" spans="1:57" x14ac:dyDescent="0.3">
      <c r="A3541">
        <v>2313012849</v>
      </c>
      <c r="B3541">
        <v>2313013646</v>
      </c>
      <c r="C3541" t="str">
        <f>T("디버프 마스터 798화")</f>
        <v>디버프 마스터 798화</v>
      </c>
      <c r="D3541" t="str">
        <f>T("798")</f>
        <v>798</v>
      </c>
      <c r="E3541" t="str">
        <f t="shared" si="490"/>
        <v>담화공</v>
      </c>
      <c r="H3541" t="str">
        <f t="shared" si="489"/>
        <v>스토리위즈</v>
      </c>
      <c r="I3541" t="str">
        <f t="shared" si="491"/>
        <v>디버프 마스터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/>
      <c r="AQ3541">
        <v>0</v>
      </c>
      <c r="AR3541">
        <v>0</v>
      </c>
      <c r="AT3541">
        <v>0</v>
      </c>
      <c r="AU3541">
        <v>0</v>
      </c>
      <c r="AW3541">
        <v>0</v>
      </c>
      <c r="AX3541">
        <v>0</v>
      </c>
      <c r="AY3541">
        <v>70</v>
      </c>
      <c r="BC3541" t="str">
        <f t="shared" si="492"/>
        <v>9791137602663</v>
      </c>
      <c r="BE3541" t="str">
        <f t="shared" si="493"/>
        <v>판타지 웹소설 &gt; 퓨전 판타지</v>
      </c>
    </row>
    <row r="3542" spans="1:57" x14ac:dyDescent="0.3">
      <c r="A3542">
        <v>2313012849</v>
      </c>
      <c r="B3542">
        <v>2313013647</v>
      </c>
      <c r="C3542" t="str">
        <f>T("디버프 마스터 799화")</f>
        <v>디버프 마스터 799화</v>
      </c>
      <c r="D3542" t="str">
        <f>T("799")</f>
        <v>799</v>
      </c>
      <c r="E3542" t="str">
        <f t="shared" si="490"/>
        <v>담화공</v>
      </c>
      <c r="H3542" t="str">
        <f t="shared" si="489"/>
        <v>스토리위즈</v>
      </c>
      <c r="I3542" t="str">
        <f t="shared" si="491"/>
        <v>디버프 마스터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/>
      <c r="AQ3542">
        <v>0</v>
      </c>
      <c r="AR3542">
        <v>0</v>
      </c>
      <c r="AT3542">
        <v>0</v>
      </c>
      <c r="AU3542">
        <v>0</v>
      </c>
      <c r="AW3542">
        <v>0</v>
      </c>
      <c r="AX3542">
        <v>0</v>
      </c>
      <c r="AY3542">
        <v>70</v>
      </c>
      <c r="BC3542" t="str">
        <f t="shared" si="492"/>
        <v>9791137602663</v>
      </c>
      <c r="BE3542" t="str">
        <f t="shared" si="493"/>
        <v>판타지 웹소설 &gt; 퓨전 판타지</v>
      </c>
    </row>
    <row r="3543" spans="1:57" x14ac:dyDescent="0.3">
      <c r="A3543">
        <v>2313012849</v>
      </c>
      <c r="B3543">
        <v>2313013648</v>
      </c>
      <c r="C3543" t="str">
        <f>T("디버프 마스터 800화")</f>
        <v>디버프 마스터 800화</v>
      </c>
      <c r="D3543" t="str">
        <f>T("800")</f>
        <v>800</v>
      </c>
      <c r="E3543" t="str">
        <f t="shared" si="490"/>
        <v>담화공</v>
      </c>
      <c r="H3543" t="str">
        <f t="shared" ref="H3543:H3606" si="494">T("스토리위즈")</f>
        <v>스토리위즈</v>
      </c>
      <c r="I3543" t="str">
        <f t="shared" si="491"/>
        <v>디버프 마스터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/>
      <c r="AQ3543">
        <v>0</v>
      </c>
      <c r="AR3543">
        <v>0</v>
      </c>
      <c r="AT3543">
        <v>0</v>
      </c>
      <c r="AU3543">
        <v>0</v>
      </c>
      <c r="AW3543">
        <v>0</v>
      </c>
      <c r="AX3543">
        <v>0</v>
      </c>
      <c r="AY3543">
        <v>70</v>
      </c>
      <c r="BC3543" t="str">
        <f t="shared" si="492"/>
        <v>9791137602663</v>
      </c>
      <c r="BE3543" t="str">
        <f t="shared" si="493"/>
        <v>판타지 웹소설 &gt; 퓨전 판타지</v>
      </c>
    </row>
    <row r="3544" spans="1:57" x14ac:dyDescent="0.3">
      <c r="A3544">
        <v>2313012849</v>
      </c>
      <c r="B3544">
        <v>2313013649</v>
      </c>
      <c r="C3544" t="str">
        <f>T("디버프 마스터 801화")</f>
        <v>디버프 마스터 801화</v>
      </c>
      <c r="D3544" t="str">
        <f>T("801")</f>
        <v>801</v>
      </c>
      <c r="E3544" t="str">
        <f t="shared" si="490"/>
        <v>담화공</v>
      </c>
      <c r="H3544" t="str">
        <f t="shared" si="494"/>
        <v>스토리위즈</v>
      </c>
      <c r="I3544" t="str">
        <f t="shared" si="491"/>
        <v>디버프 마스터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/>
      <c r="AQ3544">
        <v>0</v>
      </c>
      <c r="AR3544">
        <v>0</v>
      </c>
      <c r="AT3544">
        <v>0</v>
      </c>
      <c r="AU3544">
        <v>0</v>
      </c>
      <c r="AW3544">
        <v>0</v>
      </c>
      <c r="AX3544">
        <v>0</v>
      </c>
      <c r="AY3544">
        <v>70</v>
      </c>
      <c r="BC3544" t="str">
        <f t="shared" si="492"/>
        <v>9791137602663</v>
      </c>
      <c r="BE3544" t="str">
        <f t="shared" si="493"/>
        <v>판타지 웹소설 &gt; 퓨전 판타지</v>
      </c>
    </row>
    <row r="3545" spans="1:57" x14ac:dyDescent="0.3">
      <c r="A3545">
        <v>2313012849</v>
      </c>
      <c r="B3545">
        <v>2313013650</v>
      </c>
      <c r="C3545" t="str">
        <f>T("디버프 마스터 802화")</f>
        <v>디버프 마스터 802화</v>
      </c>
      <c r="D3545" t="str">
        <f>T("802")</f>
        <v>802</v>
      </c>
      <c r="E3545" t="str">
        <f t="shared" si="490"/>
        <v>담화공</v>
      </c>
      <c r="H3545" t="str">
        <f t="shared" si="494"/>
        <v>스토리위즈</v>
      </c>
      <c r="I3545" t="str">
        <f t="shared" si="491"/>
        <v>디버프 마스터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/>
      <c r="AQ3545">
        <v>0</v>
      </c>
      <c r="AR3545">
        <v>0</v>
      </c>
      <c r="AT3545">
        <v>0</v>
      </c>
      <c r="AU3545">
        <v>0</v>
      </c>
      <c r="AW3545">
        <v>0</v>
      </c>
      <c r="AX3545">
        <v>0</v>
      </c>
      <c r="AY3545">
        <v>70</v>
      </c>
      <c r="BC3545" t="str">
        <f t="shared" si="492"/>
        <v>9791137602663</v>
      </c>
      <c r="BE3545" t="str">
        <f t="shared" si="493"/>
        <v>판타지 웹소설 &gt; 퓨전 판타지</v>
      </c>
    </row>
    <row r="3546" spans="1:57" x14ac:dyDescent="0.3">
      <c r="A3546">
        <v>2313012849</v>
      </c>
      <c r="B3546">
        <v>2313013651</v>
      </c>
      <c r="C3546" t="str">
        <f>T("디버프 마스터 803화")</f>
        <v>디버프 마스터 803화</v>
      </c>
      <c r="D3546" t="str">
        <f>T("803")</f>
        <v>803</v>
      </c>
      <c r="E3546" t="str">
        <f t="shared" si="490"/>
        <v>담화공</v>
      </c>
      <c r="H3546" t="str">
        <f t="shared" si="494"/>
        <v>스토리위즈</v>
      </c>
      <c r="I3546" t="str">
        <f t="shared" si="491"/>
        <v>디버프 마스터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/>
      <c r="AQ3546">
        <v>0</v>
      </c>
      <c r="AR3546">
        <v>0</v>
      </c>
      <c r="AT3546">
        <v>0</v>
      </c>
      <c r="AU3546">
        <v>0</v>
      </c>
      <c r="AW3546">
        <v>0</v>
      </c>
      <c r="AX3546">
        <v>0</v>
      </c>
      <c r="AY3546">
        <v>70</v>
      </c>
      <c r="BC3546" t="str">
        <f t="shared" si="492"/>
        <v>9791137602663</v>
      </c>
      <c r="BE3546" t="str">
        <f t="shared" si="493"/>
        <v>판타지 웹소설 &gt; 퓨전 판타지</v>
      </c>
    </row>
    <row r="3547" spans="1:57" x14ac:dyDescent="0.3">
      <c r="A3547">
        <v>2313012849</v>
      </c>
      <c r="B3547">
        <v>2313013652</v>
      </c>
      <c r="C3547" t="str">
        <f>T("디버프 마스터 804화")</f>
        <v>디버프 마스터 804화</v>
      </c>
      <c r="D3547" t="str">
        <f>T("804")</f>
        <v>804</v>
      </c>
      <c r="E3547" t="str">
        <f t="shared" si="490"/>
        <v>담화공</v>
      </c>
      <c r="H3547" t="str">
        <f t="shared" si="494"/>
        <v>스토리위즈</v>
      </c>
      <c r="I3547" t="str">
        <f t="shared" si="491"/>
        <v>디버프 마스터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/>
      <c r="AQ3547">
        <v>0</v>
      </c>
      <c r="AR3547">
        <v>0</v>
      </c>
      <c r="AT3547">
        <v>0</v>
      </c>
      <c r="AU3547">
        <v>0</v>
      </c>
      <c r="AW3547">
        <v>0</v>
      </c>
      <c r="AX3547">
        <v>0</v>
      </c>
      <c r="AY3547">
        <v>70</v>
      </c>
      <c r="BC3547" t="str">
        <f t="shared" si="492"/>
        <v>9791137602663</v>
      </c>
      <c r="BE3547" t="str">
        <f t="shared" si="493"/>
        <v>판타지 웹소설 &gt; 퓨전 판타지</v>
      </c>
    </row>
    <row r="3548" spans="1:57" x14ac:dyDescent="0.3">
      <c r="A3548">
        <v>2313012849</v>
      </c>
      <c r="B3548">
        <v>2313013653</v>
      </c>
      <c r="C3548" t="str">
        <f>T("디버프 마스터 805화")</f>
        <v>디버프 마스터 805화</v>
      </c>
      <c r="D3548" t="str">
        <f>T("805")</f>
        <v>805</v>
      </c>
      <c r="E3548" t="str">
        <f t="shared" si="490"/>
        <v>담화공</v>
      </c>
      <c r="H3548" t="str">
        <f t="shared" si="494"/>
        <v>스토리위즈</v>
      </c>
      <c r="I3548" t="str">
        <f t="shared" si="491"/>
        <v>디버프 마스터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/>
      <c r="AQ3548">
        <v>0</v>
      </c>
      <c r="AR3548">
        <v>0</v>
      </c>
      <c r="AT3548">
        <v>0</v>
      </c>
      <c r="AU3548">
        <v>0</v>
      </c>
      <c r="AW3548">
        <v>0</v>
      </c>
      <c r="AX3548">
        <v>0</v>
      </c>
      <c r="AY3548">
        <v>70</v>
      </c>
      <c r="BC3548" t="str">
        <f t="shared" si="492"/>
        <v>9791137602663</v>
      </c>
      <c r="BE3548" t="str">
        <f t="shared" si="493"/>
        <v>판타지 웹소설 &gt; 퓨전 판타지</v>
      </c>
    </row>
    <row r="3549" spans="1:57" x14ac:dyDescent="0.3">
      <c r="A3549">
        <v>2313012849</v>
      </c>
      <c r="B3549">
        <v>2313013654</v>
      </c>
      <c r="C3549" t="str">
        <f>T("디버프 마스터 806화")</f>
        <v>디버프 마스터 806화</v>
      </c>
      <c r="D3549" t="str">
        <f>T("806")</f>
        <v>806</v>
      </c>
      <c r="E3549" t="str">
        <f t="shared" ref="E3549:E3612" si="495">T("담화공")</f>
        <v>담화공</v>
      </c>
      <c r="H3549" t="str">
        <f t="shared" si="494"/>
        <v>스토리위즈</v>
      </c>
      <c r="I3549" t="str">
        <f t="shared" ref="I3549:I3612" si="496">T("디버프 마스터")</f>
        <v>디버프 마스터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/>
      <c r="AQ3549">
        <v>0</v>
      </c>
      <c r="AR3549">
        <v>0</v>
      </c>
      <c r="AT3549">
        <v>0</v>
      </c>
      <c r="AU3549">
        <v>0</v>
      </c>
      <c r="AW3549">
        <v>0</v>
      </c>
      <c r="AX3549">
        <v>0</v>
      </c>
      <c r="AY3549">
        <v>70</v>
      </c>
      <c r="BC3549" t="str">
        <f t="shared" ref="BC3549:BC3612" si="497">T("9791137602663")</f>
        <v>9791137602663</v>
      </c>
      <c r="BE3549" t="str">
        <f t="shared" ref="BE3549:BE3612" si="498">T("판타지 웹소설 &gt; 퓨전 판타지")</f>
        <v>판타지 웹소설 &gt; 퓨전 판타지</v>
      </c>
    </row>
    <row r="3550" spans="1:57" x14ac:dyDescent="0.3">
      <c r="A3550">
        <v>2313012849</v>
      </c>
      <c r="B3550">
        <v>2313013655</v>
      </c>
      <c r="C3550" t="str">
        <f>T("디버프 마스터 807화")</f>
        <v>디버프 마스터 807화</v>
      </c>
      <c r="D3550" t="str">
        <f>T("807")</f>
        <v>807</v>
      </c>
      <c r="E3550" t="str">
        <f t="shared" si="495"/>
        <v>담화공</v>
      </c>
      <c r="H3550" t="str">
        <f t="shared" si="494"/>
        <v>스토리위즈</v>
      </c>
      <c r="I3550" t="str">
        <f t="shared" si="496"/>
        <v>디버프 마스터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/>
      <c r="AQ3550">
        <v>0</v>
      </c>
      <c r="AR3550">
        <v>0</v>
      </c>
      <c r="AT3550">
        <v>0</v>
      </c>
      <c r="AU3550">
        <v>0</v>
      </c>
      <c r="AW3550">
        <v>0</v>
      </c>
      <c r="AX3550">
        <v>0</v>
      </c>
      <c r="AY3550">
        <v>70</v>
      </c>
      <c r="BC3550" t="str">
        <f t="shared" si="497"/>
        <v>9791137602663</v>
      </c>
      <c r="BE3550" t="str">
        <f t="shared" si="498"/>
        <v>판타지 웹소설 &gt; 퓨전 판타지</v>
      </c>
    </row>
    <row r="3551" spans="1:57" x14ac:dyDescent="0.3">
      <c r="A3551">
        <v>2313012849</v>
      </c>
      <c r="B3551">
        <v>2313013656</v>
      </c>
      <c r="C3551" t="str">
        <f>T("디버프 마스터 808화")</f>
        <v>디버프 마스터 808화</v>
      </c>
      <c r="D3551" t="str">
        <f>T("808")</f>
        <v>808</v>
      </c>
      <c r="E3551" t="str">
        <f t="shared" si="495"/>
        <v>담화공</v>
      </c>
      <c r="H3551" t="str">
        <f t="shared" si="494"/>
        <v>스토리위즈</v>
      </c>
      <c r="I3551" t="str">
        <f t="shared" si="496"/>
        <v>디버프 마스터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/>
      <c r="AQ3551">
        <v>0</v>
      </c>
      <c r="AR3551">
        <v>0</v>
      </c>
      <c r="AT3551">
        <v>0</v>
      </c>
      <c r="AU3551">
        <v>0</v>
      </c>
      <c r="AW3551">
        <v>0</v>
      </c>
      <c r="AX3551">
        <v>0</v>
      </c>
      <c r="AY3551">
        <v>70</v>
      </c>
      <c r="BC3551" t="str">
        <f t="shared" si="497"/>
        <v>9791137602663</v>
      </c>
      <c r="BE3551" t="str">
        <f t="shared" si="498"/>
        <v>판타지 웹소설 &gt; 퓨전 판타지</v>
      </c>
    </row>
    <row r="3552" spans="1:57" x14ac:dyDescent="0.3">
      <c r="A3552">
        <v>2313012849</v>
      </c>
      <c r="B3552">
        <v>2313013657</v>
      </c>
      <c r="C3552" t="str">
        <f>T("디버프 마스터 809화")</f>
        <v>디버프 마스터 809화</v>
      </c>
      <c r="D3552" t="str">
        <f>T("809")</f>
        <v>809</v>
      </c>
      <c r="E3552" t="str">
        <f t="shared" si="495"/>
        <v>담화공</v>
      </c>
      <c r="H3552" t="str">
        <f t="shared" si="494"/>
        <v>스토리위즈</v>
      </c>
      <c r="I3552" t="str">
        <f t="shared" si="496"/>
        <v>디버프 마스터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/>
      <c r="AQ3552">
        <v>0</v>
      </c>
      <c r="AR3552">
        <v>0</v>
      </c>
      <c r="AT3552">
        <v>0</v>
      </c>
      <c r="AU3552">
        <v>0</v>
      </c>
      <c r="AW3552">
        <v>0</v>
      </c>
      <c r="AX3552">
        <v>0</v>
      </c>
      <c r="AY3552">
        <v>70</v>
      </c>
      <c r="BC3552" t="str">
        <f t="shared" si="497"/>
        <v>9791137602663</v>
      </c>
      <c r="BE3552" t="str">
        <f t="shared" si="498"/>
        <v>판타지 웹소설 &gt; 퓨전 판타지</v>
      </c>
    </row>
    <row r="3553" spans="1:57" x14ac:dyDescent="0.3">
      <c r="A3553">
        <v>2313012849</v>
      </c>
      <c r="B3553">
        <v>2313013658</v>
      </c>
      <c r="C3553" t="str">
        <f>T("디버프 마스터 810화")</f>
        <v>디버프 마스터 810화</v>
      </c>
      <c r="D3553" t="str">
        <f>T("810")</f>
        <v>810</v>
      </c>
      <c r="E3553" t="str">
        <f t="shared" si="495"/>
        <v>담화공</v>
      </c>
      <c r="H3553" t="str">
        <f t="shared" si="494"/>
        <v>스토리위즈</v>
      </c>
      <c r="I3553" t="str">
        <f t="shared" si="496"/>
        <v>디버프 마스터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/>
      <c r="AQ3553">
        <v>0</v>
      </c>
      <c r="AR3553">
        <v>0</v>
      </c>
      <c r="AT3553">
        <v>0</v>
      </c>
      <c r="AU3553">
        <v>0</v>
      </c>
      <c r="AW3553">
        <v>0</v>
      </c>
      <c r="AX3553">
        <v>0</v>
      </c>
      <c r="AY3553">
        <v>70</v>
      </c>
      <c r="BC3553" t="str">
        <f t="shared" si="497"/>
        <v>9791137602663</v>
      </c>
      <c r="BE3553" t="str">
        <f t="shared" si="498"/>
        <v>판타지 웹소설 &gt; 퓨전 판타지</v>
      </c>
    </row>
    <row r="3554" spans="1:57" x14ac:dyDescent="0.3">
      <c r="A3554">
        <v>2313012849</v>
      </c>
      <c r="B3554">
        <v>2313013659</v>
      </c>
      <c r="C3554" t="str">
        <f>T("디버프 마스터 811화")</f>
        <v>디버프 마스터 811화</v>
      </c>
      <c r="D3554" t="str">
        <f>T("811")</f>
        <v>811</v>
      </c>
      <c r="E3554" t="str">
        <f t="shared" si="495"/>
        <v>담화공</v>
      </c>
      <c r="H3554" t="str">
        <f t="shared" si="494"/>
        <v>스토리위즈</v>
      </c>
      <c r="I3554" t="str">
        <f t="shared" si="496"/>
        <v>디버프 마스터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/>
      <c r="AQ3554">
        <v>0</v>
      </c>
      <c r="AR3554">
        <v>0</v>
      </c>
      <c r="AT3554">
        <v>0</v>
      </c>
      <c r="AU3554">
        <v>0</v>
      </c>
      <c r="AW3554">
        <v>0</v>
      </c>
      <c r="AX3554">
        <v>0</v>
      </c>
      <c r="AY3554">
        <v>70</v>
      </c>
      <c r="BC3554" t="str">
        <f t="shared" si="497"/>
        <v>9791137602663</v>
      </c>
      <c r="BE3554" t="str">
        <f t="shared" si="498"/>
        <v>판타지 웹소설 &gt; 퓨전 판타지</v>
      </c>
    </row>
    <row r="3555" spans="1:57" x14ac:dyDescent="0.3">
      <c r="A3555">
        <v>2313012849</v>
      </c>
      <c r="B3555">
        <v>2313013660</v>
      </c>
      <c r="C3555" t="str">
        <f>T("디버프 마스터 812화")</f>
        <v>디버프 마스터 812화</v>
      </c>
      <c r="D3555" t="str">
        <f>T("812")</f>
        <v>812</v>
      </c>
      <c r="E3555" t="str">
        <f t="shared" si="495"/>
        <v>담화공</v>
      </c>
      <c r="H3555" t="str">
        <f t="shared" si="494"/>
        <v>스토리위즈</v>
      </c>
      <c r="I3555" t="str">
        <f t="shared" si="496"/>
        <v>디버프 마스터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/>
      <c r="AQ3555">
        <v>0</v>
      </c>
      <c r="AR3555">
        <v>0</v>
      </c>
      <c r="AT3555">
        <v>0</v>
      </c>
      <c r="AU3555">
        <v>0</v>
      </c>
      <c r="AW3555">
        <v>0</v>
      </c>
      <c r="AX3555">
        <v>0</v>
      </c>
      <c r="AY3555">
        <v>70</v>
      </c>
      <c r="BC3555" t="str">
        <f t="shared" si="497"/>
        <v>9791137602663</v>
      </c>
      <c r="BE3555" t="str">
        <f t="shared" si="498"/>
        <v>판타지 웹소설 &gt; 퓨전 판타지</v>
      </c>
    </row>
    <row r="3556" spans="1:57" x14ac:dyDescent="0.3">
      <c r="A3556">
        <v>2313012849</v>
      </c>
      <c r="B3556">
        <v>2313013661</v>
      </c>
      <c r="C3556" t="str">
        <f>T("디버프 마스터 813화")</f>
        <v>디버프 마스터 813화</v>
      </c>
      <c r="D3556" t="str">
        <f>T("813")</f>
        <v>813</v>
      </c>
      <c r="E3556" t="str">
        <f t="shared" si="495"/>
        <v>담화공</v>
      </c>
      <c r="H3556" t="str">
        <f t="shared" si="494"/>
        <v>스토리위즈</v>
      </c>
      <c r="I3556" t="str">
        <f t="shared" si="496"/>
        <v>디버프 마스터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/>
      <c r="AQ3556">
        <v>0</v>
      </c>
      <c r="AR3556">
        <v>0</v>
      </c>
      <c r="AT3556">
        <v>0</v>
      </c>
      <c r="AU3556">
        <v>0</v>
      </c>
      <c r="AW3556">
        <v>0</v>
      </c>
      <c r="AX3556">
        <v>0</v>
      </c>
      <c r="AY3556">
        <v>70</v>
      </c>
      <c r="BC3556" t="str">
        <f t="shared" si="497"/>
        <v>9791137602663</v>
      </c>
      <c r="BE3556" t="str">
        <f t="shared" si="498"/>
        <v>판타지 웹소설 &gt; 퓨전 판타지</v>
      </c>
    </row>
    <row r="3557" spans="1:57" x14ac:dyDescent="0.3">
      <c r="A3557">
        <v>2313012849</v>
      </c>
      <c r="B3557">
        <v>2313013662</v>
      </c>
      <c r="C3557" t="str">
        <f>T("디버프 마스터 814화")</f>
        <v>디버프 마스터 814화</v>
      </c>
      <c r="D3557" t="str">
        <f>T("814")</f>
        <v>814</v>
      </c>
      <c r="E3557" t="str">
        <f t="shared" si="495"/>
        <v>담화공</v>
      </c>
      <c r="H3557" t="str">
        <f t="shared" si="494"/>
        <v>스토리위즈</v>
      </c>
      <c r="I3557" t="str">
        <f t="shared" si="496"/>
        <v>디버프 마스터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/>
      <c r="AQ3557">
        <v>0</v>
      </c>
      <c r="AR3557">
        <v>0</v>
      </c>
      <c r="AT3557">
        <v>0</v>
      </c>
      <c r="AU3557">
        <v>0</v>
      </c>
      <c r="AW3557">
        <v>0</v>
      </c>
      <c r="AX3557">
        <v>0</v>
      </c>
      <c r="AY3557">
        <v>70</v>
      </c>
      <c r="BC3557" t="str">
        <f t="shared" si="497"/>
        <v>9791137602663</v>
      </c>
      <c r="BE3557" t="str">
        <f t="shared" si="498"/>
        <v>판타지 웹소설 &gt; 퓨전 판타지</v>
      </c>
    </row>
    <row r="3558" spans="1:57" x14ac:dyDescent="0.3">
      <c r="A3558">
        <v>2313012849</v>
      </c>
      <c r="B3558">
        <v>2313013663</v>
      </c>
      <c r="C3558" t="str">
        <f>T("디버프 마스터 815화")</f>
        <v>디버프 마스터 815화</v>
      </c>
      <c r="D3558" t="str">
        <f>T("815")</f>
        <v>815</v>
      </c>
      <c r="E3558" t="str">
        <f t="shared" si="495"/>
        <v>담화공</v>
      </c>
      <c r="H3558" t="str">
        <f t="shared" si="494"/>
        <v>스토리위즈</v>
      </c>
      <c r="I3558" t="str">
        <f t="shared" si="496"/>
        <v>디버프 마스터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/>
      <c r="AQ3558">
        <v>0</v>
      </c>
      <c r="AR3558">
        <v>0</v>
      </c>
      <c r="AT3558">
        <v>0</v>
      </c>
      <c r="AU3558">
        <v>0</v>
      </c>
      <c r="AW3558">
        <v>0</v>
      </c>
      <c r="AX3558">
        <v>0</v>
      </c>
      <c r="AY3558">
        <v>70</v>
      </c>
      <c r="BC3558" t="str">
        <f t="shared" si="497"/>
        <v>9791137602663</v>
      </c>
      <c r="BE3558" t="str">
        <f t="shared" si="498"/>
        <v>판타지 웹소설 &gt; 퓨전 판타지</v>
      </c>
    </row>
    <row r="3559" spans="1:57" x14ac:dyDescent="0.3">
      <c r="A3559">
        <v>2313012849</v>
      </c>
      <c r="B3559">
        <v>2313013664</v>
      </c>
      <c r="C3559" t="str">
        <f>T("디버프 마스터 816화")</f>
        <v>디버프 마스터 816화</v>
      </c>
      <c r="D3559" t="str">
        <f>T("816")</f>
        <v>816</v>
      </c>
      <c r="E3559" t="str">
        <f t="shared" si="495"/>
        <v>담화공</v>
      </c>
      <c r="H3559" t="str">
        <f t="shared" si="494"/>
        <v>스토리위즈</v>
      </c>
      <c r="I3559" t="str">
        <f t="shared" si="496"/>
        <v>디버프 마스터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/>
      <c r="AQ3559">
        <v>0</v>
      </c>
      <c r="AR3559">
        <v>0</v>
      </c>
      <c r="AT3559">
        <v>0</v>
      </c>
      <c r="AU3559">
        <v>0</v>
      </c>
      <c r="AW3559">
        <v>0</v>
      </c>
      <c r="AX3559">
        <v>0</v>
      </c>
      <c r="AY3559">
        <v>70</v>
      </c>
      <c r="BC3559" t="str">
        <f t="shared" si="497"/>
        <v>9791137602663</v>
      </c>
      <c r="BE3559" t="str">
        <f t="shared" si="498"/>
        <v>판타지 웹소설 &gt; 퓨전 판타지</v>
      </c>
    </row>
    <row r="3560" spans="1:57" x14ac:dyDescent="0.3">
      <c r="A3560">
        <v>2313012849</v>
      </c>
      <c r="B3560">
        <v>2313013665</v>
      </c>
      <c r="C3560" t="str">
        <f>T("디버프 마스터 817화")</f>
        <v>디버프 마스터 817화</v>
      </c>
      <c r="D3560" t="str">
        <f>T("817")</f>
        <v>817</v>
      </c>
      <c r="E3560" t="str">
        <f t="shared" si="495"/>
        <v>담화공</v>
      </c>
      <c r="H3560" t="str">
        <f t="shared" si="494"/>
        <v>스토리위즈</v>
      </c>
      <c r="I3560" t="str">
        <f t="shared" si="496"/>
        <v>디버프 마스터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/>
      <c r="AQ3560">
        <v>0</v>
      </c>
      <c r="AR3560">
        <v>0</v>
      </c>
      <c r="AT3560">
        <v>0</v>
      </c>
      <c r="AU3560">
        <v>0</v>
      </c>
      <c r="AW3560">
        <v>0</v>
      </c>
      <c r="AX3560">
        <v>0</v>
      </c>
      <c r="AY3560">
        <v>70</v>
      </c>
      <c r="BC3560" t="str">
        <f t="shared" si="497"/>
        <v>9791137602663</v>
      </c>
      <c r="BE3560" t="str">
        <f t="shared" si="498"/>
        <v>판타지 웹소설 &gt; 퓨전 판타지</v>
      </c>
    </row>
    <row r="3561" spans="1:57" x14ac:dyDescent="0.3">
      <c r="A3561">
        <v>2313012849</v>
      </c>
      <c r="B3561">
        <v>2313013666</v>
      </c>
      <c r="C3561" t="str">
        <f>T("디버프 마스터 818화")</f>
        <v>디버프 마스터 818화</v>
      </c>
      <c r="D3561" t="str">
        <f>T("818")</f>
        <v>818</v>
      </c>
      <c r="E3561" t="str">
        <f t="shared" si="495"/>
        <v>담화공</v>
      </c>
      <c r="H3561" t="str">
        <f t="shared" si="494"/>
        <v>스토리위즈</v>
      </c>
      <c r="I3561" t="str">
        <f t="shared" si="496"/>
        <v>디버프 마스터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/>
      <c r="AQ3561">
        <v>0</v>
      </c>
      <c r="AR3561">
        <v>0</v>
      </c>
      <c r="AT3561">
        <v>0</v>
      </c>
      <c r="AU3561">
        <v>0</v>
      </c>
      <c r="AW3561">
        <v>0</v>
      </c>
      <c r="AX3561">
        <v>0</v>
      </c>
      <c r="AY3561">
        <v>70</v>
      </c>
      <c r="BC3561" t="str">
        <f t="shared" si="497"/>
        <v>9791137602663</v>
      </c>
      <c r="BE3561" t="str">
        <f t="shared" si="498"/>
        <v>판타지 웹소설 &gt; 퓨전 판타지</v>
      </c>
    </row>
    <row r="3562" spans="1:57" x14ac:dyDescent="0.3">
      <c r="A3562">
        <v>2313012849</v>
      </c>
      <c r="B3562">
        <v>2313013667</v>
      </c>
      <c r="C3562" t="str">
        <f>T("디버프 마스터 819화")</f>
        <v>디버프 마스터 819화</v>
      </c>
      <c r="D3562" t="str">
        <f>T("819")</f>
        <v>819</v>
      </c>
      <c r="E3562" t="str">
        <f t="shared" si="495"/>
        <v>담화공</v>
      </c>
      <c r="H3562" t="str">
        <f t="shared" si="494"/>
        <v>스토리위즈</v>
      </c>
      <c r="I3562" t="str">
        <f t="shared" si="496"/>
        <v>디버프 마스터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/>
      <c r="AQ3562">
        <v>0</v>
      </c>
      <c r="AR3562">
        <v>0</v>
      </c>
      <c r="AT3562">
        <v>0</v>
      </c>
      <c r="AU3562">
        <v>0</v>
      </c>
      <c r="AW3562">
        <v>0</v>
      </c>
      <c r="AX3562">
        <v>0</v>
      </c>
      <c r="AY3562">
        <v>70</v>
      </c>
      <c r="BC3562" t="str">
        <f t="shared" si="497"/>
        <v>9791137602663</v>
      </c>
      <c r="BE3562" t="str">
        <f t="shared" si="498"/>
        <v>판타지 웹소설 &gt; 퓨전 판타지</v>
      </c>
    </row>
    <row r="3563" spans="1:57" x14ac:dyDescent="0.3">
      <c r="A3563">
        <v>2313012849</v>
      </c>
      <c r="B3563">
        <v>2313013668</v>
      </c>
      <c r="C3563" t="str">
        <f>T("디버프 마스터 820화")</f>
        <v>디버프 마스터 820화</v>
      </c>
      <c r="D3563" t="str">
        <f>T("820")</f>
        <v>820</v>
      </c>
      <c r="E3563" t="str">
        <f t="shared" si="495"/>
        <v>담화공</v>
      </c>
      <c r="H3563" t="str">
        <f t="shared" si="494"/>
        <v>스토리위즈</v>
      </c>
      <c r="I3563" t="str">
        <f t="shared" si="496"/>
        <v>디버프 마스터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/>
      <c r="AQ3563">
        <v>0</v>
      </c>
      <c r="AR3563">
        <v>0</v>
      </c>
      <c r="AT3563">
        <v>0</v>
      </c>
      <c r="AU3563">
        <v>0</v>
      </c>
      <c r="AW3563">
        <v>0</v>
      </c>
      <c r="AX3563">
        <v>0</v>
      </c>
      <c r="AY3563">
        <v>70</v>
      </c>
      <c r="BC3563" t="str">
        <f t="shared" si="497"/>
        <v>9791137602663</v>
      </c>
      <c r="BE3563" t="str">
        <f t="shared" si="498"/>
        <v>판타지 웹소설 &gt; 퓨전 판타지</v>
      </c>
    </row>
    <row r="3564" spans="1:57" x14ac:dyDescent="0.3">
      <c r="A3564">
        <v>2313012849</v>
      </c>
      <c r="B3564">
        <v>2313013669</v>
      </c>
      <c r="C3564" t="str">
        <f>T("디버프 마스터 821화")</f>
        <v>디버프 마스터 821화</v>
      </c>
      <c r="D3564" t="str">
        <f>T("821")</f>
        <v>821</v>
      </c>
      <c r="E3564" t="str">
        <f t="shared" si="495"/>
        <v>담화공</v>
      </c>
      <c r="H3564" t="str">
        <f t="shared" si="494"/>
        <v>스토리위즈</v>
      </c>
      <c r="I3564" t="str">
        <f t="shared" si="496"/>
        <v>디버프 마스터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/>
      <c r="AQ3564">
        <v>0</v>
      </c>
      <c r="AR3564">
        <v>0</v>
      </c>
      <c r="AT3564">
        <v>0</v>
      </c>
      <c r="AU3564">
        <v>0</v>
      </c>
      <c r="AW3564">
        <v>0</v>
      </c>
      <c r="AX3564">
        <v>0</v>
      </c>
      <c r="AY3564">
        <v>70</v>
      </c>
      <c r="BC3564" t="str">
        <f t="shared" si="497"/>
        <v>9791137602663</v>
      </c>
      <c r="BE3564" t="str">
        <f t="shared" si="498"/>
        <v>판타지 웹소설 &gt; 퓨전 판타지</v>
      </c>
    </row>
    <row r="3565" spans="1:57" x14ac:dyDescent="0.3">
      <c r="A3565">
        <v>2313012849</v>
      </c>
      <c r="B3565">
        <v>2313013670</v>
      </c>
      <c r="C3565" t="str">
        <f>T("디버프 마스터 822화")</f>
        <v>디버프 마스터 822화</v>
      </c>
      <c r="D3565" t="str">
        <f>T("822")</f>
        <v>822</v>
      </c>
      <c r="E3565" t="str">
        <f t="shared" si="495"/>
        <v>담화공</v>
      </c>
      <c r="H3565" t="str">
        <f t="shared" si="494"/>
        <v>스토리위즈</v>
      </c>
      <c r="I3565" t="str">
        <f t="shared" si="496"/>
        <v>디버프 마스터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/>
      <c r="AQ3565">
        <v>0</v>
      </c>
      <c r="AR3565">
        <v>0</v>
      </c>
      <c r="AT3565">
        <v>0</v>
      </c>
      <c r="AU3565">
        <v>0</v>
      </c>
      <c r="AW3565">
        <v>0</v>
      </c>
      <c r="AX3565">
        <v>0</v>
      </c>
      <c r="AY3565">
        <v>70</v>
      </c>
      <c r="BC3565" t="str">
        <f t="shared" si="497"/>
        <v>9791137602663</v>
      </c>
      <c r="BE3565" t="str">
        <f t="shared" si="498"/>
        <v>판타지 웹소설 &gt; 퓨전 판타지</v>
      </c>
    </row>
    <row r="3566" spans="1:57" x14ac:dyDescent="0.3">
      <c r="A3566">
        <v>2313012849</v>
      </c>
      <c r="B3566">
        <v>2313013671</v>
      </c>
      <c r="C3566" t="str">
        <f>T("디버프 마스터 823화")</f>
        <v>디버프 마스터 823화</v>
      </c>
      <c r="D3566" t="str">
        <f>T("823")</f>
        <v>823</v>
      </c>
      <c r="E3566" t="str">
        <f t="shared" si="495"/>
        <v>담화공</v>
      </c>
      <c r="H3566" t="str">
        <f t="shared" si="494"/>
        <v>스토리위즈</v>
      </c>
      <c r="I3566" t="str">
        <f t="shared" si="496"/>
        <v>디버프 마스터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/>
      <c r="AQ3566">
        <v>0</v>
      </c>
      <c r="AR3566">
        <v>0</v>
      </c>
      <c r="AT3566">
        <v>0</v>
      </c>
      <c r="AU3566">
        <v>0</v>
      </c>
      <c r="AW3566">
        <v>0</v>
      </c>
      <c r="AX3566">
        <v>0</v>
      </c>
      <c r="AY3566">
        <v>70</v>
      </c>
      <c r="BC3566" t="str">
        <f t="shared" si="497"/>
        <v>9791137602663</v>
      </c>
      <c r="BE3566" t="str">
        <f t="shared" si="498"/>
        <v>판타지 웹소설 &gt; 퓨전 판타지</v>
      </c>
    </row>
    <row r="3567" spans="1:57" x14ac:dyDescent="0.3">
      <c r="A3567">
        <v>2313012849</v>
      </c>
      <c r="B3567">
        <v>2313013672</v>
      </c>
      <c r="C3567" t="str">
        <f>T("디버프 마스터 824화")</f>
        <v>디버프 마스터 824화</v>
      </c>
      <c r="D3567" t="str">
        <f>T("824")</f>
        <v>824</v>
      </c>
      <c r="E3567" t="str">
        <f t="shared" si="495"/>
        <v>담화공</v>
      </c>
      <c r="H3567" t="str">
        <f t="shared" si="494"/>
        <v>스토리위즈</v>
      </c>
      <c r="I3567" t="str">
        <f t="shared" si="496"/>
        <v>디버프 마스터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/>
      <c r="AQ3567">
        <v>0</v>
      </c>
      <c r="AR3567">
        <v>0</v>
      </c>
      <c r="AT3567">
        <v>0</v>
      </c>
      <c r="AU3567">
        <v>0</v>
      </c>
      <c r="AW3567">
        <v>0</v>
      </c>
      <c r="AX3567">
        <v>0</v>
      </c>
      <c r="AY3567">
        <v>70</v>
      </c>
      <c r="BC3567" t="str">
        <f t="shared" si="497"/>
        <v>9791137602663</v>
      </c>
      <c r="BE3567" t="str">
        <f t="shared" si="498"/>
        <v>판타지 웹소설 &gt; 퓨전 판타지</v>
      </c>
    </row>
    <row r="3568" spans="1:57" x14ac:dyDescent="0.3">
      <c r="A3568">
        <v>2313012849</v>
      </c>
      <c r="B3568">
        <v>2313013673</v>
      </c>
      <c r="C3568" t="str">
        <f>T("디버프 마스터 825화")</f>
        <v>디버프 마스터 825화</v>
      </c>
      <c r="D3568" t="str">
        <f>T("825")</f>
        <v>825</v>
      </c>
      <c r="E3568" t="str">
        <f t="shared" si="495"/>
        <v>담화공</v>
      </c>
      <c r="H3568" t="str">
        <f t="shared" si="494"/>
        <v>스토리위즈</v>
      </c>
      <c r="I3568" t="str">
        <f t="shared" si="496"/>
        <v>디버프 마스터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/>
      <c r="AQ3568">
        <v>0</v>
      </c>
      <c r="AR3568">
        <v>0</v>
      </c>
      <c r="AT3568">
        <v>0</v>
      </c>
      <c r="AU3568">
        <v>0</v>
      </c>
      <c r="AW3568">
        <v>0</v>
      </c>
      <c r="AX3568">
        <v>0</v>
      </c>
      <c r="AY3568">
        <v>70</v>
      </c>
      <c r="BC3568" t="str">
        <f t="shared" si="497"/>
        <v>9791137602663</v>
      </c>
      <c r="BE3568" t="str">
        <f t="shared" si="498"/>
        <v>판타지 웹소설 &gt; 퓨전 판타지</v>
      </c>
    </row>
    <row r="3569" spans="1:57" x14ac:dyDescent="0.3">
      <c r="A3569">
        <v>2313012849</v>
      </c>
      <c r="B3569">
        <v>2313013674</v>
      </c>
      <c r="C3569" t="str">
        <f>T("디버프 마스터 826화")</f>
        <v>디버프 마스터 826화</v>
      </c>
      <c r="D3569" t="str">
        <f>T("826")</f>
        <v>826</v>
      </c>
      <c r="E3569" t="str">
        <f t="shared" si="495"/>
        <v>담화공</v>
      </c>
      <c r="H3569" t="str">
        <f t="shared" si="494"/>
        <v>스토리위즈</v>
      </c>
      <c r="I3569" t="str">
        <f t="shared" si="496"/>
        <v>디버프 마스터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/>
      <c r="AQ3569">
        <v>0</v>
      </c>
      <c r="AR3569">
        <v>0</v>
      </c>
      <c r="AT3569">
        <v>0</v>
      </c>
      <c r="AU3569">
        <v>0</v>
      </c>
      <c r="AW3569">
        <v>0</v>
      </c>
      <c r="AX3569">
        <v>0</v>
      </c>
      <c r="AY3569">
        <v>70</v>
      </c>
      <c r="BC3569" t="str">
        <f t="shared" si="497"/>
        <v>9791137602663</v>
      </c>
      <c r="BE3569" t="str">
        <f t="shared" si="498"/>
        <v>판타지 웹소설 &gt; 퓨전 판타지</v>
      </c>
    </row>
    <row r="3570" spans="1:57" x14ac:dyDescent="0.3">
      <c r="A3570">
        <v>2313012849</v>
      </c>
      <c r="B3570">
        <v>2313013675</v>
      </c>
      <c r="C3570" t="str">
        <f>T("디버프 마스터 827화")</f>
        <v>디버프 마스터 827화</v>
      </c>
      <c r="D3570" t="str">
        <f>T("827")</f>
        <v>827</v>
      </c>
      <c r="E3570" t="str">
        <f t="shared" si="495"/>
        <v>담화공</v>
      </c>
      <c r="H3570" t="str">
        <f t="shared" si="494"/>
        <v>스토리위즈</v>
      </c>
      <c r="I3570" t="str">
        <f t="shared" si="496"/>
        <v>디버프 마스터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/>
      <c r="AQ3570">
        <v>0</v>
      </c>
      <c r="AR3570">
        <v>0</v>
      </c>
      <c r="AT3570">
        <v>0</v>
      </c>
      <c r="AU3570">
        <v>0</v>
      </c>
      <c r="AW3570">
        <v>0</v>
      </c>
      <c r="AX3570">
        <v>0</v>
      </c>
      <c r="AY3570">
        <v>70</v>
      </c>
      <c r="BC3570" t="str">
        <f t="shared" si="497"/>
        <v>9791137602663</v>
      </c>
      <c r="BE3570" t="str">
        <f t="shared" si="498"/>
        <v>판타지 웹소설 &gt; 퓨전 판타지</v>
      </c>
    </row>
    <row r="3571" spans="1:57" x14ac:dyDescent="0.3">
      <c r="A3571">
        <v>2313012849</v>
      </c>
      <c r="B3571">
        <v>2313013676</v>
      </c>
      <c r="C3571" t="str">
        <f>T("디버프 마스터 828화")</f>
        <v>디버프 마스터 828화</v>
      </c>
      <c r="D3571" t="str">
        <f>T("828")</f>
        <v>828</v>
      </c>
      <c r="E3571" t="str">
        <f t="shared" si="495"/>
        <v>담화공</v>
      </c>
      <c r="H3571" t="str">
        <f t="shared" si="494"/>
        <v>스토리위즈</v>
      </c>
      <c r="I3571" t="str">
        <f t="shared" si="496"/>
        <v>디버프 마스터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/>
      <c r="AQ3571">
        <v>0</v>
      </c>
      <c r="AR3571">
        <v>0</v>
      </c>
      <c r="AT3571">
        <v>0</v>
      </c>
      <c r="AU3571">
        <v>0</v>
      </c>
      <c r="AW3571">
        <v>0</v>
      </c>
      <c r="AX3571">
        <v>0</v>
      </c>
      <c r="AY3571">
        <v>70</v>
      </c>
      <c r="BC3571" t="str">
        <f t="shared" si="497"/>
        <v>9791137602663</v>
      </c>
      <c r="BE3571" t="str">
        <f t="shared" si="498"/>
        <v>판타지 웹소설 &gt; 퓨전 판타지</v>
      </c>
    </row>
    <row r="3572" spans="1:57" x14ac:dyDescent="0.3">
      <c r="A3572">
        <v>2313012849</v>
      </c>
      <c r="B3572">
        <v>2313013677</v>
      </c>
      <c r="C3572" t="str">
        <f>T("디버프 마스터 829화")</f>
        <v>디버프 마스터 829화</v>
      </c>
      <c r="D3572" t="str">
        <f>T("829")</f>
        <v>829</v>
      </c>
      <c r="E3572" t="str">
        <f t="shared" si="495"/>
        <v>담화공</v>
      </c>
      <c r="H3572" t="str">
        <f t="shared" si="494"/>
        <v>스토리위즈</v>
      </c>
      <c r="I3572" t="str">
        <f t="shared" si="496"/>
        <v>디버프 마스터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/>
      <c r="AQ3572">
        <v>0</v>
      </c>
      <c r="AR3572">
        <v>0</v>
      </c>
      <c r="AT3572">
        <v>0</v>
      </c>
      <c r="AU3572">
        <v>0</v>
      </c>
      <c r="AW3572">
        <v>0</v>
      </c>
      <c r="AX3572">
        <v>0</v>
      </c>
      <c r="AY3572">
        <v>70</v>
      </c>
      <c r="BC3572" t="str">
        <f t="shared" si="497"/>
        <v>9791137602663</v>
      </c>
      <c r="BE3572" t="str">
        <f t="shared" si="498"/>
        <v>판타지 웹소설 &gt; 퓨전 판타지</v>
      </c>
    </row>
    <row r="3573" spans="1:57" x14ac:dyDescent="0.3">
      <c r="A3573">
        <v>2313012849</v>
      </c>
      <c r="B3573">
        <v>2313013678</v>
      </c>
      <c r="C3573" t="str">
        <f>T("디버프 마스터 830화")</f>
        <v>디버프 마스터 830화</v>
      </c>
      <c r="D3573" t="str">
        <f>T("830")</f>
        <v>830</v>
      </c>
      <c r="E3573" t="str">
        <f t="shared" si="495"/>
        <v>담화공</v>
      </c>
      <c r="H3573" t="str">
        <f t="shared" si="494"/>
        <v>스토리위즈</v>
      </c>
      <c r="I3573" t="str">
        <f t="shared" si="496"/>
        <v>디버프 마스터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/>
      <c r="AQ3573">
        <v>0</v>
      </c>
      <c r="AR3573">
        <v>0</v>
      </c>
      <c r="AT3573">
        <v>0</v>
      </c>
      <c r="AU3573">
        <v>0</v>
      </c>
      <c r="AW3573">
        <v>0</v>
      </c>
      <c r="AX3573">
        <v>0</v>
      </c>
      <c r="AY3573">
        <v>70</v>
      </c>
      <c r="BC3573" t="str">
        <f t="shared" si="497"/>
        <v>9791137602663</v>
      </c>
      <c r="BE3573" t="str">
        <f t="shared" si="498"/>
        <v>판타지 웹소설 &gt; 퓨전 판타지</v>
      </c>
    </row>
    <row r="3574" spans="1:57" x14ac:dyDescent="0.3">
      <c r="A3574">
        <v>2313012849</v>
      </c>
      <c r="B3574">
        <v>2313013679</v>
      </c>
      <c r="C3574" t="str">
        <f>T("디버프 마스터 831화")</f>
        <v>디버프 마스터 831화</v>
      </c>
      <c r="D3574" t="str">
        <f>T("831")</f>
        <v>831</v>
      </c>
      <c r="E3574" t="str">
        <f t="shared" si="495"/>
        <v>담화공</v>
      </c>
      <c r="H3574" t="str">
        <f t="shared" si="494"/>
        <v>스토리위즈</v>
      </c>
      <c r="I3574" t="str">
        <f t="shared" si="496"/>
        <v>디버프 마스터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/>
      <c r="AQ3574">
        <v>0</v>
      </c>
      <c r="AR3574">
        <v>0</v>
      </c>
      <c r="AT3574">
        <v>0</v>
      </c>
      <c r="AU3574">
        <v>0</v>
      </c>
      <c r="AW3574">
        <v>0</v>
      </c>
      <c r="AX3574">
        <v>0</v>
      </c>
      <c r="AY3574">
        <v>70</v>
      </c>
      <c r="BC3574" t="str">
        <f t="shared" si="497"/>
        <v>9791137602663</v>
      </c>
      <c r="BE3574" t="str">
        <f t="shared" si="498"/>
        <v>판타지 웹소설 &gt; 퓨전 판타지</v>
      </c>
    </row>
    <row r="3575" spans="1:57" x14ac:dyDescent="0.3">
      <c r="A3575">
        <v>2313012849</v>
      </c>
      <c r="B3575">
        <v>2313013680</v>
      </c>
      <c r="C3575" t="str">
        <f>T("디버프 마스터 832화")</f>
        <v>디버프 마스터 832화</v>
      </c>
      <c r="D3575" t="str">
        <f>T("832")</f>
        <v>832</v>
      </c>
      <c r="E3575" t="str">
        <f t="shared" si="495"/>
        <v>담화공</v>
      </c>
      <c r="H3575" t="str">
        <f t="shared" si="494"/>
        <v>스토리위즈</v>
      </c>
      <c r="I3575" t="str">
        <f t="shared" si="496"/>
        <v>디버프 마스터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/>
      <c r="AQ3575">
        <v>0</v>
      </c>
      <c r="AR3575">
        <v>0</v>
      </c>
      <c r="AT3575">
        <v>0</v>
      </c>
      <c r="AU3575">
        <v>0</v>
      </c>
      <c r="AW3575">
        <v>0</v>
      </c>
      <c r="AX3575">
        <v>0</v>
      </c>
      <c r="AY3575">
        <v>70</v>
      </c>
      <c r="BC3575" t="str">
        <f t="shared" si="497"/>
        <v>9791137602663</v>
      </c>
      <c r="BE3575" t="str">
        <f t="shared" si="498"/>
        <v>판타지 웹소설 &gt; 퓨전 판타지</v>
      </c>
    </row>
    <row r="3576" spans="1:57" x14ac:dyDescent="0.3">
      <c r="A3576">
        <v>2313012849</v>
      </c>
      <c r="B3576">
        <v>2313013681</v>
      </c>
      <c r="C3576" t="str">
        <f>T("디버프 마스터 833화")</f>
        <v>디버프 마스터 833화</v>
      </c>
      <c r="D3576" t="str">
        <f>T("833")</f>
        <v>833</v>
      </c>
      <c r="E3576" t="str">
        <f t="shared" si="495"/>
        <v>담화공</v>
      </c>
      <c r="H3576" t="str">
        <f t="shared" si="494"/>
        <v>스토리위즈</v>
      </c>
      <c r="I3576" t="str">
        <f t="shared" si="496"/>
        <v>디버프 마스터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/>
      <c r="AQ3576">
        <v>0</v>
      </c>
      <c r="AR3576">
        <v>0</v>
      </c>
      <c r="AT3576">
        <v>0</v>
      </c>
      <c r="AU3576">
        <v>0</v>
      </c>
      <c r="AW3576">
        <v>0</v>
      </c>
      <c r="AX3576">
        <v>0</v>
      </c>
      <c r="AY3576">
        <v>70</v>
      </c>
      <c r="BC3576" t="str">
        <f t="shared" si="497"/>
        <v>9791137602663</v>
      </c>
      <c r="BE3576" t="str">
        <f t="shared" si="498"/>
        <v>판타지 웹소설 &gt; 퓨전 판타지</v>
      </c>
    </row>
    <row r="3577" spans="1:57" x14ac:dyDescent="0.3">
      <c r="A3577">
        <v>2313012849</v>
      </c>
      <c r="B3577">
        <v>2313013682</v>
      </c>
      <c r="C3577" t="str">
        <f>T("디버프 마스터 834화")</f>
        <v>디버프 마스터 834화</v>
      </c>
      <c r="D3577" t="str">
        <f>T("834")</f>
        <v>834</v>
      </c>
      <c r="E3577" t="str">
        <f t="shared" si="495"/>
        <v>담화공</v>
      </c>
      <c r="H3577" t="str">
        <f t="shared" si="494"/>
        <v>스토리위즈</v>
      </c>
      <c r="I3577" t="str">
        <f t="shared" si="496"/>
        <v>디버프 마스터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/>
      <c r="AQ3577">
        <v>0</v>
      </c>
      <c r="AR3577">
        <v>0</v>
      </c>
      <c r="AT3577">
        <v>0</v>
      </c>
      <c r="AU3577">
        <v>0</v>
      </c>
      <c r="AW3577">
        <v>0</v>
      </c>
      <c r="AX3577">
        <v>0</v>
      </c>
      <c r="AY3577">
        <v>70</v>
      </c>
      <c r="BC3577" t="str">
        <f t="shared" si="497"/>
        <v>9791137602663</v>
      </c>
      <c r="BE3577" t="str">
        <f t="shared" si="498"/>
        <v>판타지 웹소설 &gt; 퓨전 판타지</v>
      </c>
    </row>
    <row r="3578" spans="1:57" x14ac:dyDescent="0.3">
      <c r="A3578">
        <v>2313012849</v>
      </c>
      <c r="B3578">
        <v>2313013683</v>
      </c>
      <c r="C3578" t="str">
        <f>T("디버프 마스터 835화")</f>
        <v>디버프 마스터 835화</v>
      </c>
      <c r="D3578" t="str">
        <f>T("835")</f>
        <v>835</v>
      </c>
      <c r="E3578" t="str">
        <f t="shared" si="495"/>
        <v>담화공</v>
      </c>
      <c r="H3578" t="str">
        <f t="shared" si="494"/>
        <v>스토리위즈</v>
      </c>
      <c r="I3578" t="str">
        <f t="shared" si="496"/>
        <v>디버프 마스터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/>
      <c r="AQ3578">
        <v>0</v>
      </c>
      <c r="AR3578">
        <v>0</v>
      </c>
      <c r="AT3578">
        <v>0</v>
      </c>
      <c r="AU3578">
        <v>0</v>
      </c>
      <c r="AW3578">
        <v>0</v>
      </c>
      <c r="AX3578">
        <v>0</v>
      </c>
      <c r="AY3578">
        <v>70</v>
      </c>
      <c r="BC3578" t="str">
        <f t="shared" si="497"/>
        <v>9791137602663</v>
      </c>
      <c r="BE3578" t="str">
        <f t="shared" si="498"/>
        <v>판타지 웹소설 &gt; 퓨전 판타지</v>
      </c>
    </row>
    <row r="3579" spans="1:57" x14ac:dyDescent="0.3">
      <c r="A3579">
        <v>2313012849</v>
      </c>
      <c r="B3579">
        <v>2313013684</v>
      </c>
      <c r="C3579" t="str">
        <f>T("디버프 마스터 836화")</f>
        <v>디버프 마스터 836화</v>
      </c>
      <c r="D3579" t="str">
        <f>T("836")</f>
        <v>836</v>
      </c>
      <c r="E3579" t="str">
        <f t="shared" si="495"/>
        <v>담화공</v>
      </c>
      <c r="H3579" t="str">
        <f t="shared" si="494"/>
        <v>스토리위즈</v>
      </c>
      <c r="I3579" t="str">
        <f t="shared" si="496"/>
        <v>디버프 마스터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/>
      <c r="AQ3579">
        <v>0</v>
      </c>
      <c r="AR3579">
        <v>0</v>
      </c>
      <c r="AT3579">
        <v>0</v>
      </c>
      <c r="AU3579">
        <v>0</v>
      </c>
      <c r="AW3579">
        <v>0</v>
      </c>
      <c r="AX3579">
        <v>0</v>
      </c>
      <c r="AY3579">
        <v>70</v>
      </c>
      <c r="BC3579" t="str">
        <f t="shared" si="497"/>
        <v>9791137602663</v>
      </c>
      <c r="BE3579" t="str">
        <f t="shared" si="498"/>
        <v>판타지 웹소설 &gt; 퓨전 판타지</v>
      </c>
    </row>
    <row r="3580" spans="1:57" x14ac:dyDescent="0.3">
      <c r="A3580">
        <v>2313012849</v>
      </c>
      <c r="B3580">
        <v>2313013685</v>
      </c>
      <c r="C3580" t="str">
        <f>T("디버프 마스터 837화")</f>
        <v>디버프 마스터 837화</v>
      </c>
      <c r="D3580" t="str">
        <f>T("837")</f>
        <v>837</v>
      </c>
      <c r="E3580" t="str">
        <f t="shared" si="495"/>
        <v>담화공</v>
      </c>
      <c r="H3580" t="str">
        <f t="shared" si="494"/>
        <v>스토리위즈</v>
      </c>
      <c r="I3580" t="str">
        <f t="shared" si="496"/>
        <v>디버프 마스터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/>
      <c r="AQ3580">
        <v>0</v>
      </c>
      <c r="AR3580">
        <v>0</v>
      </c>
      <c r="AT3580">
        <v>0</v>
      </c>
      <c r="AU3580">
        <v>0</v>
      </c>
      <c r="AW3580">
        <v>0</v>
      </c>
      <c r="AX3580">
        <v>0</v>
      </c>
      <c r="AY3580">
        <v>70</v>
      </c>
      <c r="BC3580" t="str">
        <f t="shared" si="497"/>
        <v>9791137602663</v>
      </c>
      <c r="BE3580" t="str">
        <f t="shared" si="498"/>
        <v>판타지 웹소설 &gt; 퓨전 판타지</v>
      </c>
    </row>
    <row r="3581" spans="1:57" x14ac:dyDescent="0.3">
      <c r="A3581">
        <v>2313012849</v>
      </c>
      <c r="B3581">
        <v>2313013686</v>
      </c>
      <c r="C3581" t="str">
        <f>T("디버프 마스터 838화")</f>
        <v>디버프 마스터 838화</v>
      </c>
      <c r="D3581" t="str">
        <f>T("838")</f>
        <v>838</v>
      </c>
      <c r="E3581" t="str">
        <f t="shared" si="495"/>
        <v>담화공</v>
      </c>
      <c r="H3581" t="str">
        <f t="shared" si="494"/>
        <v>스토리위즈</v>
      </c>
      <c r="I3581" t="str">
        <f t="shared" si="496"/>
        <v>디버프 마스터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/>
      <c r="AQ3581">
        <v>0</v>
      </c>
      <c r="AR3581">
        <v>0</v>
      </c>
      <c r="AT3581">
        <v>0</v>
      </c>
      <c r="AU3581">
        <v>0</v>
      </c>
      <c r="AW3581">
        <v>0</v>
      </c>
      <c r="AX3581">
        <v>0</v>
      </c>
      <c r="AY3581">
        <v>70</v>
      </c>
      <c r="BC3581" t="str">
        <f t="shared" si="497"/>
        <v>9791137602663</v>
      </c>
      <c r="BE3581" t="str">
        <f t="shared" si="498"/>
        <v>판타지 웹소설 &gt; 퓨전 판타지</v>
      </c>
    </row>
    <row r="3582" spans="1:57" x14ac:dyDescent="0.3">
      <c r="A3582">
        <v>2313012849</v>
      </c>
      <c r="B3582">
        <v>2313013687</v>
      </c>
      <c r="C3582" t="str">
        <f>T("디버프 마스터 839화")</f>
        <v>디버프 마스터 839화</v>
      </c>
      <c r="D3582" t="str">
        <f>T("839")</f>
        <v>839</v>
      </c>
      <c r="E3582" t="str">
        <f t="shared" si="495"/>
        <v>담화공</v>
      </c>
      <c r="H3582" t="str">
        <f t="shared" si="494"/>
        <v>스토리위즈</v>
      </c>
      <c r="I3582" t="str">
        <f t="shared" si="496"/>
        <v>디버프 마스터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/>
      <c r="AQ3582">
        <v>0</v>
      </c>
      <c r="AR3582">
        <v>0</v>
      </c>
      <c r="AT3582">
        <v>0</v>
      </c>
      <c r="AU3582">
        <v>0</v>
      </c>
      <c r="AW3582">
        <v>0</v>
      </c>
      <c r="AX3582">
        <v>0</v>
      </c>
      <c r="AY3582">
        <v>70</v>
      </c>
      <c r="BC3582" t="str">
        <f t="shared" si="497"/>
        <v>9791137602663</v>
      </c>
      <c r="BE3582" t="str">
        <f t="shared" si="498"/>
        <v>판타지 웹소설 &gt; 퓨전 판타지</v>
      </c>
    </row>
    <row r="3583" spans="1:57" x14ac:dyDescent="0.3">
      <c r="A3583">
        <v>2313012849</v>
      </c>
      <c r="B3583">
        <v>2313013688</v>
      </c>
      <c r="C3583" t="str">
        <f>T("디버프 마스터 840화")</f>
        <v>디버프 마스터 840화</v>
      </c>
      <c r="D3583" t="str">
        <f>T("840")</f>
        <v>840</v>
      </c>
      <c r="E3583" t="str">
        <f t="shared" si="495"/>
        <v>담화공</v>
      </c>
      <c r="H3583" t="str">
        <f t="shared" si="494"/>
        <v>스토리위즈</v>
      </c>
      <c r="I3583" t="str">
        <f t="shared" si="496"/>
        <v>디버프 마스터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/>
      <c r="AQ3583">
        <v>0</v>
      </c>
      <c r="AR3583">
        <v>0</v>
      </c>
      <c r="AT3583">
        <v>0</v>
      </c>
      <c r="AU3583">
        <v>0</v>
      </c>
      <c r="AW3583">
        <v>0</v>
      </c>
      <c r="AX3583">
        <v>0</v>
      </c>
      <c r="AY3583">
        <v>70</v>
      </c>
      <c r="BC3583" t="str">
        <f t="shared" si="497"/>
        <v>9791137602663</v>
      </c>
      <c r="BE3583" t="str">
        <f t="shared" si="498"/>
        <v>판타지 웹소설 &gt; 퓨전 판타지</v>
      </c>
    </row>
    <row r="3584" spans="1:57" x14ac:dyDescent="0.3">
      <c r="A3584">
        <v>2313012849</v>
      </c>
      <c r="B3584">
        <v>2313013689</v>
      </c>
      <c r="C3584" t="str">
        <f>T("디버프 마스터 841화")</f>
        <v>디버프 마스터 841화</v>
      </c>
      <c r="D3584" t="str">
        <f>T("841")</f>
        <v>841</v>
      </c>
      <c r="E3584" t="str">
        <f t="shared" si="495"/>
        <v>담화공</v>
      </c>
      <c r="H3584" t="str">
        <f t="shared" si="494"/>
        <v>스토리위즈</v>
      </c>
      <c r="I3584" t="str">
        <f t="shared" si="496"/>
        <v>디버프 마스터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/>
      <c r="AQ3584">
        <v>0</v>
      </c>
      <c r="AR3584">
        <v>0</v>
      </c>
      <c r="AT3584">
        <v>0</v>
      </c>
      <c r="AU3584">
        <v>0</v>
      </c>
      <c r="AW3584">
        <v>0</v>
      </c>
      <c r="AX3584">
        <v>0</v>
      </c>
      <c r="AY3584">
        <v>70</v>
      </c>
      <c r="BC3584" t="str">
        <f t="shared" si="497"/>
        <v>9791137602663</v>
      </c>
      <c r="BE3584" t="str">
        <f t="shared" si="498"/>
        <v>판타지 웹소설 &gt; 퓨전 판타지</v>
      </c>
    </row>
    <row r="3585" spans="1:57" x14ac:dyDescent="0.3">
      <c r="A3585">
        <v>2313012849</v>
      </c>
      <c r="B3585">
        <v>2313013690</v>
      </c>
      <c r="C3585" t="str">
        <f>T("디버프 마스터 842화")</f>
        <v>디버프 마스터 842화</v>
      </c>
      <c r="D3585" t="str">
        <f>T("842")</f>
        <v>842</v>
      </c>
      <c r="E3585" t="str">
        <f t="shared" si="495"/>
        <v>담화공</v>
      </c>
      <c r="H3585" t="str">
        <f t="shared" si="494"/>
        <v>스토리위즈</v>
      </c>
      <c r="I3585" t="str">
        <f t="shared" si="496"/>
        <v>디버프 마스터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/>
      <c r="AQ3585">
        <v>0</v>
      </c>
      <c r="AR3585">
        <v>0</v>
      </c>
      <c r="AT3585">
        <v>0</v>
      </c>
      <c r="AU3585">
        <v>0</v>
      </c>
      <c r="AW3585">
        <v>0</v>
      </c>
      <c r="AX3585">
        <v>0</v>
      </c>
      <c r="AY3585">
        <v>70</v>
      </c>
      <c r="BC3585" t="str">
        <f t="shared" si="497"/>
        <v>9791137602663</v>
      </c>
      <c r="BE3585" t="str">
        <f t="shared" si="498"/>
        <v>판타지 웹소설 &gt; 퓨전 판타지</v>
      </c>
    </row>
    <row r="3586" spans="1:57" x14ac:dyDescent="0.3">
      <c r="A3586">
        <v>2313012849</v>
      </c>
      <c r="B3586">
        <v>2313013691</v>
      </c>
      <c r="C3586" t="str">
        <f>T("디버프 마스터 843화")</f>
        <v>디버프 마스터 843화</v>
      </c>
      <c r="D3586" t="str">
        <f>T("843")</f>
        <v>843</v>
      </c>
      <c r="E3586" t="str">
        <f t="shared" si="495"/>
        <v>담화공</v>
      </c>
      <c r="H3586" t="str">
        <f t="shared" si="494"/>
        <v>스토리위즈</v>
      </c>
      <c r="I3586" t="str">
        <f t="shared" si="496"/>
        <v>디버프 마스터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/>
      <c r="AQ3586">
        <v>0</v>
      </c>
      <c r="AR3586">
        <v>0</v>
      </c>
      <c r="AT3586">
        <v>0</v>
      </c>
      <c r="AU3586">
        <v>0</v>
      </c>
      <c r="AW3586">
        <v>0</v>
      </c>
      <c r="AX3586">
        <v>0</v>
      </c>
      <c r="AY3586">
        <v>70</v>
      </c>
      <c r="BC3586" t="str">
        <f t="shared" si="497"/>
        <v>9791137602663</v>
      </c>
      <c r="BE3586" t="str">
        <f t="shared" si="498"/>
        <v>판타지 웹소설 &gt; 퓨전 판타지</v>
      </c>
    </row>
    <row r="3587" spans="1:57" x14ac:dyDescent="0.3">
      <c r="A3587">
        <v>2313012849</v>
      </c>
      <c r="B3587">
        <v>2313013692</v>
      </c>
      <c r="C3587" t="str">
        <f>T("디버프 마스터 844화")</f>
        <v>디버프 마스터 844화</v>
      </c>
      <c r="D3587" t="str">
        <f>T("844")</f>
        <v>844</v>
      </c>
      <c r="E3587" t="str">
        <f t="shared" si="495"/>
        <v>담화공</v>
      </c>
      <c r="H3587" t="str">
        <f t="shared" si="494"/>
        <v>스토리위즈</v>
      </c>
      <c r="I3587" t="str">
        <f t="shared" si="496"/>
        <v>디버프 마스터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/>
      <c r="AQ3587">
        <v>0</v>
      </c>
      <c r="AR3587">
        <v>0</v>
      </c>
      <c r="AT3587">
        <v>0</v>
      </c>
      <c r="AU3587">
        <v>0</v>
      </c>
      <c r="AW3587">
        <v>0</v>
      </c>
      <c r="AX3587">
        <v>0</v>
      </c>
      <c r="AY3587">
        <v>70</v>
      </c>
      <c r="BC3587" t="str">
        <f t="shared" si="497"/>
        <v>9791137602663</v>
      </c>
      <c r="BE3587" t="str">
        <f t="shared" si="498"/>
        <v>판타지 웹소설 &gt; 퓨전 판타지</v>
      </c>
    </row>
    <row r="3588" spans="1:57" x14ac:dyDescent="0.3">
      <c r="A3588">
        <v>2313012849</v>
      </c>
      <c r="B3588">
        <v>2313013693</v>
      </c>
      <c r="C3588" t="str">
        <f>T("디버프 마스터 845화")</f>
        <v>디버프 마스터 845화</v>
      </c>
      <c r="D3588" t="str">
        <f>T("845")</f>
        <v>845</v>
      </c>
      <c r="E3588" t="str">
        <f t="shared" si="495"/>
        <v>담화공</v>
      </c>
      <c r="H3588" t="str">
        <f t="shared" si="494"/>
        <v>스토리위즈</v>
      </c>
      <c r="I3588" t="str">
        <f t="shared" si="496"/>
        <v>디버프 마스터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/>
      <c r="AQ3588">
        <v>0</v>
      </c>
      <c r="AR3588">
        <v>0</v>
      </c>
      <c r="AT3588">
        <v>0</v>
      </c>
      <c r="AU3588">
        <v>0</v>
      </c>
      <c r="AW3588">
        <v>0</v>
      </c>
      <c r="AX3588">
        <v>0</v>
      </c>
      <c r="AY3588">
        <v>70</v>
      </c>
      <c r="BC3588" t="str">
        <f t="shared" si="497"/>
        <v>9791137602663</v>
      </c>
      <c r="BE3588" t="str">
        <f t="shared" si="498"/>
        <v>판타지 웹소설 &gt; 퓨전 판타지</v>
      </c>
    </row>
    <row r="3589" spans="1:57" x14ac:dyDescent="0.3">
      <c r="A3589">
        <v>2313012849</v>
      </c>
      <c r="B3589">
        <v>2313013694</v>
      </c>
      <c r="C3589" t="str">
        <f>T("디버프 마스터 846화")</f>
        <v>디버프 마스터 846화</v>
      </c>
      <c r="D3589" t="str">
        <f>T("846")</f>
        <v>846</v>
      </c>
      <c r="E3589" t="str">
        <f t="shared" si="495"/>
        <v>담화공</v>
      </c>
      <c r="H3589" t="str">
        <f t="shared" si="494"/>
        <v>스토리위즈</v>
      </c>
      <c r="I3589" t="str">
        <f t="shared" si="496"/>
        <v>디버프 마스터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/>
      <c r="AQ3589">
        <v>0</v>
      </c>
      <c r="AR3589">
        <v>0</v>
      </c>
      <c r="AT3589">
        <v>0</v>
      </c>
      <c r="AU3589">
        <v>0</v>
      </c>
      <c r="AW3589">
        <v>0</v>
      </c>
      <c r="AX3589">
        <v>0</v>
      </c>
      <c r="AY3589">
        <v>70</v>
      </c>
      <c r="BC3589" t="str">
        <f t="shared" si="497"/>
        <v>9791137602663</v>
      </c>
      <c r="BE3589" t="str">
        <f t="shared" si="498"/>
        <v>판타지 웹소설 &gt; 퓨전 판타지</v>
      </c>
    </row>
    <row r="3590" spans="1:57" x14ac:dyDescent="0.3">
      <c r="A3590">
        <v>2313012849</v>
      </c>
      <c r="B3590">
        <v>2313013695</v>
      </c>
      <c r="C3590" t="str">
        <f>T("디버프 마스터 847화")</f>
        <v>디버프 마스터 847화</v>
      </c>
      <c r="D3590" t="str">
        <f>T("847")</f>
        <v>847</v>
      </c>
      <c r="E3590" t="str">
        <f t="shared" si="495"/>
        <v>담화공</v>
      </c>
      <c r="H3590" t="str">
        <f t="shared" si="494"/>
        <v>스토리위즈</v>
      </c>
      <c r="I3590" t="str">
        <f t="shared" si="496"/>
        <v>디버프 마스터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/>
      <c r="AQ3590">
        <v>0</v>
      </c>
      <c r="AR3590">
        <v>0</v>
      </c>
      <c r="AT3590">
        <v>0</v>
      </c>
      <c r="AU3590">
        <v>0</v>
      </c>
      <c r="AW3590">
        <v>0</v>
      </c>
      <c r="AX3590">
        <v>0</v>
      </c>
      <c r="AY3590">
        <v>70</v>
      </c>
      <c r="BC3590" t="str">
        <f t="shared" si="497"/>
        <v>9791137602663</v>
      </c>
      <c r="BE3590" t="str">
        <f t="shared" si="498"/>
        <v>판타지 웹소설 &gt; 퓨전 판타지</v>
      </c>
    </row>
    <row r="3591" spans="1:57" x14ac:dyDescent="0.3">
      <c r="A3591">
        <v>2313012849</v>
      </c>
      <c r="B3591">
        <v>2313013696</v>
      </c>
      <c r="C3591" t="str">
        <f>T("디버프 마스터 848화")</f>
        <v>디버프 마스터 848화</v>
      </c>
      <c r="D3591" t="str">
        <f>T("848")</f>
        <v>848</v>
      </c>
      <c r="E3591" t="str">
        <f t="shared" si="495"/>
        <v>담화공</v>
      </c>
      <c r="H3591" t="str">
        <f t="shared" si="494"/>
        <v>스토리위즈</v>
      </c>
      <c r="I3591" t="str">
        <f t="shared" si="496"/>
        <v>디버프 마스터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/>
      <c r="AQ3591">
        <v>0</v>
      </c>
      <c r="AR3591">
        <v>0</v>
      </c>
      <c r="AT3591">
        <v>0</v>
      </c>
      <c r="AU3591">
        <v>0</v>
      </c>
      <c r="AW3591">
        <v>0</v>
      </c>
      <c r="AX3591">
        <v>0</v>
      </c>
      <c r="AY3591">
        <v>70</v>
      </c>
      <c r="BC3591" t="str">
        <f t="shared" si="497"/>
        <v>9791137602663</v>
      </c>
      <c r="BE3591" t="str">
        <f t="shared" si="498"/>
        <v>판타지 웹소설 &gt; 퓨전 판타지</v>
      </c>
    </row>
    <row r="3592" spans="1:57" x14ac:dyDescent="0.3">
      <c r="A3592">
        <v>2313012849</v>
      </c>
      <c r="B3592">
        <v>2313013697</v>
      </c>
      <c r="C3592" t="str">
        <f>T("디버프 마스터 849화")</f>
        <v>디버프 마스터 849화</v>
      </c>
      <c r="D3592" t="str">
        <f>T("849")</f>
        <v>849</v>
      </c>
      <c r="E3592" t="str">
        <f t="shared" si="495"/>
        <v>담화공</v>
      </c>
      <c r="H3592" t="str">
        <f t="shared" si="494"/>
        <v>스토리위즈</v>
      </c>
      <c r="I3592" t="str">
        <f t="shared" si="496"/>
        <v>디버프 마스터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/>
      <c r="AQ3592">
        <v>0</v>
      </c>
      <c r="AR3592">
        <v>0</v>
      </c>
      <c r="AT3592">
        <v>0</v>
      </c>
      <c r="AU3592">
        <v>0</v>
      </c>
      <c r="AW3592">
        <v>0</v>
      </c>
      <c r="AX3592">
        <v>0</v>
      </c>
      <c r="AY3592">
        <v>70</v>
      </c>
      <c r="BC3592" t="str">
        <f t="shared" si="497"/>
        <v>9791137602663</v>
      </c>
      <c r="BE3592" t="str">
        <f t="shared" si="498"/>
        <v>판타지 웹소설 &gt; 퓨전 판타지</v>
      </c>
    </row>
    <row r="3593" spans="1:57" x14ac:dyDescent="0.3">
      <c r="A3593">
        <v>2313012849</v>
      </c>
      <c r="B3593">
        <v>2313013698</v>
      </c>
      <c r="C3593" t="str">
        <f>T("디버프 마스터 850화")</f>
        <v>디버프 마스터 850화</v>
      </c>
      <c r="D3593" t="str">
        <f>T("850")</f>
        <v>850</v>
      </c>
      <c r="E3593" t="str">
        <f t="shared" si="495"/>
        <v>담화공</v>
      </c>
      <c r="H3593" t="str">
        <f t="shared" si="494"/>
        <v>스토리위즈</v>
      </c>
      <c r="I3593" t="str">
        <f t="shared" si="496"/>
        <v>디버프 마스터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/>
      <c r="AQ3593">
        <v>0</v>
      </c>
      <c r="AR3593">
        <v>0</v>
      </c>
      <c r="AT3593">
        <v>0</v>
      </c>
      <c r="AU3593">
        <v>0</v>
      </c>
      <c r="AW3593">
        <v>0</v>
      </c>
      <c r="AX3593">
        <v>0</v>
      </c>
      <c r="AY3593">
        <v>70</v>
      </c>
      <c r="BC3593" t="str">
        <f t="shared" si="497"/>
        <v>9791137602663</v>
      </c>
      <c r="BE3593" t="str">
        <f t="shared" si="498"/>
        <v>판타지 웹소설 &gt; 퓨전 판타지</v>
      </c>
    </row>
    <row r="3594" spans="1:57" x14ac:dyDescent="0.3">
      <c r="A3594">
        <v>2313012849</v>
      </c>
      <c r="B3594">
        <v>2313013699</v>
      </c>
      <c r="C3594" t="str">
        <f>T("디버프 마스터 851화")</f>
        <v>디버프 마스터 851화</v>
      </c>
      <c r="D3594" t="str">
        <f>T("851")</f>
        <v>851</v>
      </c>
      <c r="E3594" t="str">
        <f t="shared" si="495"/>
        <v>담화공</v>
      </c>
      <c r="H3594" t="str">
        <f t="shared" si="494"/>
        <v>스토리위즈</v>
      </c>
      <c r="I3594" t="str">
        <f t="shared" si="496"/>
        <v>디버프 마스터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/>
      <c r="AQ3594">
        <v>0</v>
      </c>
      <c r="AR3594">
        <v>0</v>
      </c>
      <c r="AT3594">
        <v>0</v>
      </c>
      <c r="AU3594">
        <v>0</v>
      </c>
      <c r="AW3594">
        <v>0</v>
      </c>
      <c r="AX3594">
        <v>0</v>
      </c>
      <c r="AY3594">
        <v>70</v>
      </c>
      <c r="BC3594" t="str">
        <f t="shared" si="497"/>
        <v>9791137602663</v>
      </c>
      <c r="BE3594" t="str">
        <f t="shared" si="498"/>
        <v>판타지 웹소설 &gt; 퓨전 판타지</v>
      </c>
    </row>
    <row r="3595" spans="1:57" x14ac:dyDescent="0.3">
      <c r="A3595">
        <v>2313012849</v>
      </c>
      <c r="B3595">
        <v>2313013700</v>
      </c>
      <c r="C3595" t="str">
        <f>T("디버프 마스터 852화")</f>
        <v>디버프 마스터 852화</v>
      </c>
      <c r="D3595" t="str">
        <f>T("852")</f>
        <v>852</v>
      </c>
      <c r="E3595" t="str">
        <f t="shared" si="495"/>
        <v>담화공</v>
      </c>
      <c r="H3595" t="str">
        <f t="shared" si="494"/>
        <v>스토리위즈</v>
      </c>
      <c r="I3595" t="str">
        <f t="shared" si="496"/>
        <v>디버프 마스터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/>
      <c r="AQ3595">
        <v>0</v>
      </c>
      <c r="AR3595">
        <v>0</v>
      </c>
      <c r="AT3595">
        <v>0</v>
      </c>
      <c r="AU3595">
        <v>0</v>
      </c>
      <c r="AW3595">
        <v>0</v>
      </c>
      <c r="AX3595">
        <v>0</v>
      </c>
      <c r="AY3595">
        <v>70</v>
      </c>
      <c r="BC3595" t="str">
        <f t="shared" si="497"/>
        <v>9791137602663</v>
      </c>
      <c r="BE3595" t="str">
        <f t="shared" si="498"/>
        <v>판타지 웹소설 &gt; 퓨전 판타지</v>
      </c>
    </row>
    <row r="3596" spans="1:57" x14ac:dyDescent="0.3">
      <c r="A3596">
        <v>2313012849</v>
      </c>
      <c r="B3596">
        <v>2313013701</v>
      </c>
      <c r="C3596" t="str">
        <f>T("디버프 마스터 853화")</f>
        <v>디버프 마스터 853화</v>
      </c>
      <c r="D3596" t="str">
        <f>T("853")</f>
        <v>853</v>
      </c>
      <c r="E3596" t="str">
        <f t="shared" si="495"/>
        <v>담화공</v>
      </c>
      <c r="H3596" t="str">
        <f t="shared" si="494"/>
        <v>스토리위즈</v>
      </c>
      <c r="I3596" t="str">
        <f t="shared" si="496"/>
        <v>디버프 마스터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/>
      <c r="AQ3596">
        <v>0</v>
      </c>
      <c r="AR3596">
        <v>0</v>
      </c>
      <c r="AT3596">
        <v>0</v>
      </c>
      <c r="AU3596">
        <v>0</v>
      </c>
      <c r="AW3596">
        <v>0</v>
      </c>
      <c r="AX3596">
        <v>0</v>
      </c>
      <c r="AY3596">
        <v>70</v>
      </c>
      <c r="BC3596" t="str">
        <f t="shared" si="497"/>
        <v>9791137602663</v>
      </c>
      <c r="BE3596" t="str">
        <f t="shared" si="498"/>
        <v>판타지 웹소설 &gt; 퓨전 판타지</v>
      </c>
    </row>
    <row r="3597" spans="1:57" x14ac:dyDescent="0.3">
      <c r="A3597">
        <v>2313012849</v>
      </c>
      <c r="B3597">
        <v>2313013702</v>
      </c>
      <c r="C3597" t="str">
        <f>T("디버프 마스터 854화")</f>
        <v>디버프 마스터 854화</v>
      </c>
      <c r="D3597" t="str">
        <f>T("854")</f>
        <v>854</v>
      </c>
      <c r="E3597" t="str">
        <f t="shared" si="495"/>
        <v>담화공</v>
      </c>
      <c r="H3597" t="str">
        <f t="shared" si="494"/>
        <v>스토리위즈</v>
      </c>
      <c r="I3597" t="str">
        <f t="shared" si="496"/>
        <v>디버프 마스터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/>
      <c r="AQ3597">
        <v>0</v>
      </c>
      <c r="AR3597">
        <v>0</v>
      </c>
      <c r="AT3597">
        <v>0</v>
      </c>
      <c r="AU3597">
        <v>0</v>
      </c>
      <c r="AW3597">
        <v>0</v>
      </c>
      <c r="AX3597">
        <v>0</v>
      </c>
      <c r="AY3597">
        <v>70</v>
      </c>
      <c r="BC3597" t="str">
        <f t="shared" si="497"/>
        <v>9791137602663</v>
      </c>
      <c r="BE3597" t="str">
        <f t="shared" si="498"/>
        <v>판타지 웹소설 &gt; 퓨전 판타지</v>
      </c>
    </row>
    <row r="3598" spans="1:57" x14ac:dyDescent="0.3">
      <c r="A3598">
        <v>2313012849</v>
      </c>
      <c r="B3598">
        <v>2313013703</v>
      </c>
      <c r="C3598" t="str">
        <f>T("디버프 마스터 855화")</f>
        <v>디버프 마스터 855화</v>
      </c>
      <c r="D3598" t="str">
        <f>T("855")</f>
        <v>855</v>
      </c>
      <c r="E3598" t="str">
        <f t="shared" si="495"/>
        <v>담화공</v>
      </c>
      <c r="H3598" t="str">
        <f t="shared" si="494"/>
        <v>스토리위즈</v>
      </c>
      <c r="I3598" t="str">
        <f t="shared" si="496"/>
        <v>디버프 마스터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/>
      <c r="AQ3598">
        <v>0</v>
      </c>
      <c r="AR3598">
        <v>0</v>
      </c>
      <c r="AT3598">
        <v>0</v>
      </c>
      <c r="AU3598">
        <v>0</v>
      </c>
      <c r="AW3598">
        <v>0</v>
      </c>
      <c r="AX3598">
        <v>0</v>
      </c>
      <c r="AY3598">
        <v>70</v>
      </c>
      <c r="BC3598" t="str">
        <f t="shared" si="497"/>
        <v>9791137602663</v>
      </c>
      <c r="BE3598" t="str">
        <f t="shared" si="498"/>
        <v>판타지 웹소설 &gt; 퓨전 판타지</v>
      </c>
    </row>
    <row r="3599" spans="1:57" x14ac:dyDescent="0.3">
      <c r="A3599">
        <v>2313012849</v>
      </c>
      <c r="B3599">
        <v>2313013704</v>
      </c>
      <c r="C3599" t="str">
        <f>T("디버프 마스터 856화")</f>
        <v>디버프 마스터 856화</v>
      </c>
      <c r="D3599" t="str">
        <f>T("856")</f>
        <v>856</v>
      </c>
      <c r="E3599" t="str">
        <f t="shared" si="495"/>
        <v>담화공</v>
      </c>
      <c r="H3599" t="str">
        <f t="shared" si="494"/>
        <v>스토리위즈</v>
      </c>
      <c r="I3599" t="str">
        <f t="shared" si="496"/>
        <v>디버프 마스터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/>
      <c r="AQ3599">
        <v>0</v>
      </c>
      <c r="AR3599">
        <v>0</v>
      </c>
      <c r="AT3599">
        <v>0</v>
      </c>
      <c r="AU3599">
        <v>0</v>
      </c>
      <c r="AW3599">
        <v>0</v>
      </c>
      <c r="AX3599">
        <v>0</v>
      </c>
      <c r="AY3599">
        <v>70</v>
      </c>
      <c r="BC3599" t="str">
        <f t="shared" si="497"/>
        <v>9791137602663</v>
      </c>
      <c r="BE3599" t="str">
        <f t="shared" si="498"/>
        <v>판타지 웹소설 &gt; 퓨전 판타지</v>
      </c>
    </row>
    <row r="3600" spans="1:57" x14ac:dyDescent="0.3">
      <c r="A3600">
        <v>2313012849</v>
      </c>
      <c r="B3600">
        <v>2313013705</v>
      </c>
      <c r="C3600" t="str">
        <f>T("디버프 마스터 857화")</f>
        <v>디버프 마스터 857화</v>
      </c>
      <c r="D3600" t="str">
        <f>T("857")</f>
        <v>857</v>
      </c>
      <c r="E3600" t="str">
        <f t="shared" si="495"/>
        <v>담화공</v>
      </c>
      <c r="H3600" t="str">
        <f t="shared" si="494"/>
        <v>스토리위즈</v>
      </c>
      <c r="I3600" t="str">
        <f t="shared" si="496"/>
        <v>디버프 마스터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/>
      <c r="AQ3600">
        <v>0</v>
      </c>
      <c r="AR3600">
        <v>0</v>
      </c>
      <c r="AT3600">
        <v>0</v>
      </c>
      <c r="AU3600">
        <v>0</v>
      </c>
      <c r="AW3600">
        <v>0</v>
      </c>
      <c r="AX3600">
        <v>0</v>
      </c>
      <c r="AY3600">
        <v>70</v>
      </c>
      <c r="BC3600" t="str">
        <f t="shared" si="497"/>
        <v>9791137602663</v>
      </c>
      <c r="BE3600" t="str">
        <f t="shared" si="498"/>
        <v>판타지 웹소설 &gt; 퓨전 판타지</v>
      </c>
    </row>
    <row r="3601" spans="1:57" x14ac:dyDescent="0.3">
      <c r="A3601">
        <v>2313012849</v>
      </c>
      <c r="B3601">
        <v>2313013706</v>
      </c>
      <c r="C3601" t="str">
        <f>T("디버프 마스터 858화")</f>
        <v>디버프 마스터 858화</v>
      </c>
      <c r="D3601" t="str">
        <f>T("858")</f>
        <v>858</v>
      </c>
      <c r="E3601" t="str">
        <f t="shared" si="495"/>
        <v>담화공</v>
      </c>
      <c r="H3601" t="str">
        <f t="shared" si="494"/>
        <v>스토리위즈</v>
      </c>
      <c r="I3601" t="str">
        <f t="shared" si="496"/>
        <v>디버프 마스터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/>
      <c r="AQ3601">
        <v>0</v>
      </c>
      <c r="AR3601">
        <v>0</v>
      </c>
      <c r="AT3601">
        <v>0</v>
      </c>
      <c r="AU3601">
        <v>0</v>
      </c>
      <c r="AW3601">
        <v>0</v>
      </c>
      <c r="AX3601">
        <v>0</v>
      </c>
      <c r="AY3601">
        <v>70</v>
      </c>
      <c r="BC3601" t="str">
        <f t="shared" si="497"/>
        <v>9791137602663</v>
      </c>
      <c r="BE3601" t="str">
        <f t="shared" si="498"/>
        <v>판타지 웹소설 &gt; 퓨전 판타지</v>
      </c>
    </row>
    <row r="3602" spans="1:57" x14ac:dyDescent="0.3">
      <c r="A3602">
        <v>2313012849</v>
      </c>
      <c r="B3602">
        <v>2313013707</v>
      </c>
      <c r="C3602" t="str">
        <f>T("디버프 마스터 859화")</f>
        <v>디버프 마스터 859화</v>
      </c>
      <c r="D3602" t="str">
        <f>T("859")</f>
        <v>859</v>
      </c>
      <c r="E3602" t="str">
        <f t="shared" si="495"/>
        <v>담화공</v>
      </c>
      <c r="H3602" t="str">
        <f t="shared" si="494"/>
        <v>스토리위즈</v>
      </c>
      <c r="I3602" t="str">
        <f t="shared" si="496"/>
        <v>디버프 마스터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/>
      <c r="AQ3602">
        <v>0</v>
      </c>
      <c r="AR3602">
        <v>0</v>
      </c>
      <c r="AT3602">
        <v>0</v>
      </c>
      <c r="AU3602">
        <v>0</v>
      </c>
      <c r="AW3602">
        <v>0</v>
      </c>
      <c r="AX3602">
        <v>0</v>
      </c>
      <c r="AY3602">
        <v>70</v>
      </c>
      <c r="BC3602" t="str">
        <f t="shared" si="497"/>
        <v>9791137602663</v>
      </c>
      <c r="BE3602" t="str">
        <f t="shared" si="498"/>
        <v>판타지 웹소설 &gt; 퓨전 판타지</v>
      </c>
    </row>
    <row r="3603" spans="1:57" x14ac:dyDescent="0.3">
      <c r="A3603">
        <v>2313012849</v>
      </c>
      <c r="B3603">
        <v>2313013708</v>
      </c>
      <c r="C3603" t="str">
        <f>T("디버프 마스터 860화")</f>
        <v>디버프 마스터 860화</v>
      </c>
      <c r="D3603" t="str">
        <f>T("860")</f>
        <v>860</v>
      </c>
      <c r="E3603" t="str">
        <f t="shared" si="495"/>
        <v>담화공</v>
      </c>
      <c r="H3603" t="str">
        <f t="shared" si="494"/>
        <v>스토리위즈</v>
      </c>
      <c r="I3603" t="str">
        <f t="shared" si="496"/>
        <v>디버프 마스터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/>
      <c r="AQ3603">
        <v>0</v>
      </c>
      <c r="AR3603">
        <v>0</v>
      </c>
      <c r="AT3603">
        <v>0</v>
      </c>
      <c r="AU3603">
        <v>0</v>
      </c>
      <c r="AW3603">
        <v>0</v>
      </c>
      <c r="AX3603">
        <v>0</v>
      </c>
      <c r="AY3603">
        <v>70</v>
      </c>
      <c r="BC3603" t="str">
        <f t="shared" si="497"/>
        <v>9791137602663</v>
      </c>
      <c r="BE3603" t="str">
        <f t="shared" si="498"/>
        <v>판타지 웹소설 &gt; 퓨전 판타지</v>
      </c>
    </row>
    <row r="3604" spans="1:57" x14ac:dyDescent="0.3">
      <c r="A3604">
        <v>2313012849</v>
      </c>
      <c r="B3604">
        <v>2313013709</v>
      </c>
      <c r="C3604" t="str">
        <f>T("디버프 마스터 861화")</f>
        <v>디버프 마스터 861화</v>
      </c>
      <c r="D3604" t="str">
        <f>T("861")</f>
        <v>861</v>
      </c>
      <c r="E3604" t="str">
        <f t="shared" si="495"/>
        <v>담화공</v>
      </c>
      <c r="H3604" t="str">
        <f t="shared" si="494"/>
        <v>스토리위즈</v>
      </c>
      <c r="I3604" t="str">
        <f t="shared" si="496"/>
        <v>디버프 마스터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/>
      <c r="AQ3604">
        <v>0</v>
      </c>
      <c r="AR3604">
        <v>0</v>
      </c>
      <c r="AT3604">
        <v>0</v>
      </c>
      <c r="AU3604">
        <v>0</v>
      </c>
      <c r="AW3604">
        <v>0</v>
      </c>
      <c r="AX3604">
        <v>0</v>
      </c>
      <c r="AY3604">
        <v>70</v>
      </c>
      <c r="BC3604" t="str">
        <f t="shared" si="497"/>
        <v>9791137602663</v>
      </c>
      <c r="BE3604" t="str">
        <f t="shared" si="498"/>
        <v>판타지 웹소설 &gt; 퓨전 판타지</v>
      </c>
    </row>
    <row r="3605" spans="1:57" x14ac:dyDescent="0.3">
      <c r="A3605">
        <v>2313012849</v>
      </c>
      <c r="B3605">
        <v>2313013710</v>
      </c>
      <c r="C3605" t="str">
        <f>T("디버프 마스터 862화")</f>
        <v>디버프 마스터 862화</v>
      </c>
      <c r="D3605" t="str">
        <f>T("862")</f>
        <v>862</v>
      </c>
      <c r="E3605" t="str">
        <f t="shared" si="495"/>
        <v>담화공</v>
      </c>
      <c r="H3605" t="str">
        <f t="shared" si="494"/>
        <v>스토리위즈</v>
      </c>
      <c r="I3605" t="str">
        <f t="shared" si="496"/>
        <v>디버프 마스터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/>
      <c r="AQ3605">
        <v>0</v>
      </c>
      <c r="AR3605">
        <v>0</v>
      </c>
      <c r="AT3605">
        <v>0</v>
      </c>
      <c r="AU3605">
        <v>0</v>
      </c>
      <c r="AW3605">
        <v>0</v>
      </c>
      <c r="AX3605">
        <v>0</v>
      </c>
      <c r="AY3605">
        <v>70</v>
      </c>
      <c r="BC3605" t="str">
        <f t="shared" si="497"/>
        <v>9791137602663</v>
      </c>
      <c r="BE3605" t="str">
        <f t="shared" si="498"/>
        <v>판타지 웹소설 &gt; 퓨전 판타지</v>
      </c>
    </row>
    <row r="3606" spans="1:57" x14ac:dyDescent="0.3">
      <c r="A3606">
        <v>2313012849</v>
      </c>
      <c r="B3606">
        <v>2313013711</v>
      </c>
      <c r="C3606" t="str">
        <f>T("디버프 마스터 863화")</f>
        <v>디버프 마스터 863화</v>
      </c>
      <c r="D3606" t="str">
        <f>T("863")</f>
        <v>863</v>
      </c>
      <c r="E3606" t="str">
        <f t="shared" si="495"/>
        <v>담화공</v>
      </c>
      <c r="H3606" t="str">
        <f t="shared" si="494"/>
        <v>스토리위즈</v>
      </c>
      <c r="I3606" t="str">
        <f t="shared" si="496"/>
        <v>디버프 마스터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/>
      <c r="AQ3606">
        <v>0</v>
      </c>
      <c r="AR3606">
        <v>0</v>
      </c>
      <c r="AT3606">
        <v>0</v>
      </c>
      <c r="AU3606">
        <v>0</v>
      </c>
      <c r="AW3606">
        <v>0</v>
      </c>
      <c r="AX3606">
        <v>0</v>
      </c>
      <c r="AY3606">
        <v>70</v>
      </c>
      <c r="BC3606" t="str">
        <f t="shared" si="497"/>
        <v>9791137602663</v>
      </c>
      <c r="BE3606" t="str">
        <f t="shared" si="498"/>
        <v>판타지 웹소설 &gt; 퓨전 판타지</v>
      </c>
    </row>
    <row r="3607" spans="1:57" x14ac:dyDescent="0.3">
      <c r="A3607">
        <v>2313012849</v>
      </c>
      <c r="B3607">
        <v>2313013712</v>
      </c>
      <c r="C3607" t="str">
        <f>T("디버프 마스터 864화")</f>
        <v>디버프 마스터 864화</v>
      </c>
      <c r="D3607" t="str">
        <f>T("864")</f>
        <v>864</v>
      </c>
      <c r="E3607" t="str">
        <f t="shared" si="495"/>
        <v>담화공</v>
      </c>
      <c r="H3607" t="str">
        <f t="shared" ref="H3607:H3670" si="499">T("스토리위즈")</f>
        <v>스토리위즈</v>
      </c>
      <c r="I3607" t="str">
        <f t="shared" si="496"/>
        <v>디버프 마스터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/>
      <c r="AQ3607">
        <v>0</v>
      </c>
      <c r="AR3607">
        <v>0</v>
      </c>
      <c r="AT3607">
        <v>0</v>
      </c>
      <c r="AU3607">
        <v>0</v>
      </c>
      <c r="AW3607">
        <v>0</v>
      </c>
      <c r="AX3607">
        <v>0</v>
      </c>
      <c r="AY3607">
        <v>70</v>
      </c>
      <c r="BC3607" t="str">
        <f t="shared" si="497"/>
        <v>9791137602663</v>
      </c>
      <c r="BE3607" t="str">
        <f t="shared" si="498"/>
        <v>판타지 웹소설 &gt; 퓨전 판타지</v>
      </c>
    </row>
    <row r="3608" spans="1:57" x14ac:dyDescent="0.3">
      <c r="A3608">
        <v>2313012849</v>
      </c>
      <c r="B3608">
        <v>2313013713</v>
      </c>
      <c r="C3608" t="str">
        <f>T("디버프 마스터 865화")</f>
        <v>디버프 마스터 865화</v>
      </c>
      <c r="D3608" t="str">
        <f>T("865")</f>
        <v>865</v>
      </c>
      <c r="E3608" t="str">
        <f t="shared" si="495"/>
        <v>담화공</v>
      </c>
      <c r="H3608" t="str">
        <f t="shared" si="499"/>
        <v>스토리위즈</v>
      </c>
      <c r="I3608" t="str">
        <f t="shared" si="496"/>
        <v>디버프 마스터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/>
      <c r="AQ3608">
        <v>0</v>
      </c>
      <c r="AR3608">
        <v>0</v>
      </c>
      <c r="AT3608">
        <v>0</v>
      </c>
      <c r="AU3608">
        <v>0</v>
      </c>
      <c r="AW3608">
        <v>0</v>
      </c>
      <c r="AX3608">
        <v>0</v>
      </c>
      <c r="AY3608">
        <v>70</v>
      </c>
      <c r="BC3608" t="str">
        <f t="shared" si="497"/>
        <v>9791137602663</v>
      </c>
      <c r="BE3608" t="str">
        <f t="shared" si="498"/>
        <v>판타지 웹소설 &gt; 퓨전 판타지</v>
      </c>
    </row>
    <row r="3609" spans="1:57" x14ac:dyDescent="0.3">
      <c r="A3609">
        <v>2313012849</v>
      </c>
      <c r="B3609">
        <v>2313013714</v>
      </c>
      <c r="C3609" t="str">
        <f>T("디버프 마스터 866화")</f>
        <v>디버프 마스터 866화</v>
      </c>
      <c r="D3609" t="str">
        <f>T("866")</f>
        <v>866</v>
      </c>
      <c r="E3609" t="str">
        <f t="shared" si="495"/>
        <v>담화공</v>
      </c>
      <c r="H3609" t="str">
        <f t="shared" si="499"/>
        <v>스토리위즈</v>
      </c>
      <c r="I3609" t="str">
        <f t="shared" si="496"/>
        <v>디버프 마스터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/>
      <c r="AQ3609">
        <v>0</v>
      </c>
      <c r="AR3609">
        <v>0</v>
      </c>
      <c r="AT3609">
        <v>0</v>
      </c>
      <c r="AU3609">
        <v>0</v>
      </c>
      <c r="AW3609">
        <v>0</v>
      </c>
      <c r="AX3609">
        <v>0</v>
      </c>
      <c r="AY3609">
        <v>70</v>
      </c>
      <c r="BC3609" t="str">
        <f t="shared" si="497"/>
        <v>9791137602663</v>
      </c>
      <c r="BE3609" t="str">
        <f t="shared" si="498"/>
        <v>판타지 웹소설 &gt; 퓨전 판타지</v>
      </c>
    </row>
    <row r="3610" spans="1:57" x14ac:dyDescent="0.3">
      <c r="A3610">
        <v>2313012849</v>
      </c>
      <c r="B3610">
        <v>2313013715</v>
      </c>
      <c r="C3610" t="str">
        <f>T("디버프 마스터 867화")</f>
        <v>디버프 마스터 867화</v>
      </c>
      <c r="D3610" t="str">
        <f>T("867")</f>
        <v>867</v>
      </c>
      <c r="E3610" t="str">
        <f t="shared" si="495"/>
        <v>담화공</v>
      </c>
      <c r="H3610" t="str">
        <f t="shared" si="499"/>
        <v>스토리위즈</v>
      </c>
      <c r="I3610" t="str">
        <f t="shared" si="496"/>
        <v>디버프 마스터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/>
      <c r="AQ3610">
        <v>0</v>
      </c>
      <c r="AR3610">
        <v>0</v>
      </c>
      <c r="AT3610">
        <v>0</v>
      </c>
      <c r="AU3610">
        <v>0</v>
      </c>
      <c r="AW3610">
        <v>0</v>
      </c>
      <c r="AX3610">
        <v>0</v>
      </c>
      <c r="AY3610">
        <v>70</v>
      </c>
      <c r="BC3610" t="str">
        <f t="shared" si="497"/>
        <v>9791137602663</v>
      </c>
      <c r="BE3610" t="str">
        <f t="shared" si="498"/>
        <v>판타지 웹소설 &gt; 퓨전 판타지</v>
      </c>
    </row>
    <row r="3611" spans="1:57" x14ac:dyDescent="0.3">
      <c r="A3611">
        <v>2313012849</v>
      </c>
      <c r="B3611">
        <v>2313013716</v>
      </c>
      <c r="C3611" t="str">
        <f>T("디버프 마스터 868화")</f>
        <v>디버프 마스터 868화</v>
      </c>
      <c r="D3611" t="str">
        <f>T("868")</f>
        <v>868</v>
      </c>
      <c r="E3611" t="str">
        <f t="shared" si="495"/>
        <v>담화공</v>
      </c>
      <c r="H3611" t="str">
        <f t="shared" si="499"/>
        <v>스토리위즈</v>
      </c>
      <c r="I3611" t="str">
        <f t="shared" si="496"/>
        <v>디버프 마스터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/>
      <c r="AQ3611">
        <v>0</v>
      </c>
      <c r="AR3611">
        <v>0</v>
      </c>
      <c r="AT3611">
        <v>0</v>
      </c>
      <c r="AU3611">
        <v>0</v>
      </c>
      <c r="AW3611">
        <v>0</v>
      </c>
      <c r="AX3611">
        <v>0</v>
      </c>
      <c r="AY3611">
        <v>70</v>
      </c>
      <c r="BC3611" t="str">
        <f t="shared" si="497"/>
        <v>9791137602663</v>
      </c>
      <c r="BE3611" t="str">
        <f t="shared" si="498"/>
        <v>판타지 웹소설 &gt; 퓨전 판타지</v>
      </c>
    </row>
    <row r="3612" spans="1:57" x14ac:dyDescent="0.3">
      <c r="A3612">
        <v>2313012849</v>
      </c>
      <c r="B3612">
        <v>2313013717</v>
      </c>
      <c r="C3612" t="str">
        <f>T("디버프 마스터 869화")</f>
        <v>디버프 마스터 869화</v>
      </c>
      <c r="D3612" t="str">
        <f>T("869")</f>
        <v>869</v>
      </c>
      <c r="E3612" t="str">
        <f t="shared" si="495"/>
        <v>담화공</v>
      </c>
      <c r="H3612" t="str">
        <f t="shared" si="499"/>
        <v>스토리위즈</v>
      </c>
      <c r="I3612" t="str">
        <f t="shared" si="496"/>
        <v>디버프 마스터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/>
      <c r="AQ3612">
        <v>0</v>
      </c>
      <c r="AR3612">
        <v>0</v>
      </c>
      <c r="AT3612">
        <v>0</v>
      </c>
      <c r="AU3612">
        <v>0</v>
      </c>
      <c r="AW3612">
        <v>0</v>
      </c>
      <c r="AX3612">
        <v>0</v>
      </c>
      <c r="AY3612">
        <v>70</v>
      </c>
      <c r="BC3612" t="str">
        <f t="shared" si="497"/>
        <v>9791137602663</v>
      </c>
      <c r="BE3612" t="str">
        <f t="shared" si="498"/>
        <v>판타지 웹소설 &gt; 퓨전 판타지</v>
      </c>
    </row>
    <row r="3613" spans="1:57" x14ac:dyDescent="0.3">
      <c r="A3613">
        <v>2313012849</v>
      </c>
      <c r="B3613">
        <v>2313013718</v>
      </c>
      <c r="C3613" t="str">
        <f>T("디버프 마스터 870화")</f>
        <v>디버프 마스터 870화</v>
      </c>
      <c r="D3613" t="str">
        <f>T("870")</f>
        <v>870</v>
      </c>
      <c r="E3613" t="str">
        <f t="shared" ref="E3613:E3676" si="500">T("담화공")</f>
        <v>담화공</v>
      </c>
      <c r="H3613" t="str">
        <f t="shared" si="499"/>
        <v>스토리위즈</v>
      </c>
      <c r="I3613" t="str">
        <f t="shared" ref="I3613:I3676" si="501">T("디버프 마스터")</f>
        <v>디버프 마스터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/>
      <c r="AQ3613">
        <v>0</v>
      </c>
      <c r="AR3613">
        <v>0</v>
      </c>
      <c r="AT3613">
        <v>0</v>
      </c>
      <c r="AU3613">
        <v>0</v>
      </c>
      <c r="AW3613">
        <v>0</v>
      </c>
      <c r="AX3613">
        <v>0</v>
      </c>
      <c r="AY3613">
        <v>70</v>
      </c>
      <c r="BC3613" t="str">
        <f t="shared" ref="BC3613:BC3676" si="502">T("9791137602663")</f>
        <v>9791137602663</v>
      </c>
      <c r="BE3613" t="str">
        <f t="shared" ref="BE3613:BE3676" si="503">T("판타지 웹소설 &gt; 퓨전 판타지")</f>
        <v>판타지 웹소설 &gt; 퓨전 판타지</v>
      </c>
    </row>
    <row r="3614" spans="1:57" x14ac:dyDescent="0.3">
      <c r="A3614">
        <v>2313012849</v>
      </c>
      <c r="B3614">
        <v>2313013719</v>
      </c>
      <c r="C3614" t="str">
        <f>T("디버프 마스터 871화")</f>
        <v>디버프 마스터 871화</v>
      </c>
      <c r="D3614" t="str">
        <f>T("871")</f>
        <v>871</v>
      </c>
      <c r="E3614" t="str">
        <f t="shared" si="500"/>
        <v>담화공</v>
      </c>
      <c r="H3614" t="str">
        <f t="shared" si="499"/>
        <v>스토리위즈</v>
      </c>
      <c r="I3614" t="str">
        <f t="shared" si="501"/>
        <v>디버프 마스터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/>
      <c r="AQ3614">
        <v>0</v>
      </c>
      <c r="AR3614">
        <v>0</v>
      </c>
      <c r="AT3614">
        <v>0</v>
      </c>
      <c r="AU3614">
        <v>0</v>
      </c>
      <c r="AW3614">
        <v>0</v>
      </c>
      <c r="AX3614">
        <v>0</v>
      </c>
      <c r="AY3614">
        <v>70</v>
      </c>
      <c r="BC3614" t="str">
        <f t="shared" si="502"/>
        <v>9791137602663</v>
      </c>
      <c r="BE3614" t="str">
        <f t="shared" si="503"/>
        <v>판타지 웹소설 &gt; 퓨전 판타지</v>
      </c>
    </row>
    <row r="3615" spans="1:57" x14ac:dyDescent="0.3">
      <c r="A3615">
        <v>2313012849</v>
      </c>
      <c r="B3615">
        <v>2313013720</v>
      </c>
      <c r="C3615" t="str">
        <f>T("디버프 마스터 872화")</f>
        <v>디버프 마스터 872화</v>
      </c>
      <c r="D3615" t="str">
        <f>T("872")</f>
        <v>872</v>
      </c>
      <c r="E3615" t="str">
        <f t="shared" si="500"/>
        <v>담화공</v>
      </c>
      <c r="H3615" t="str">
        <f t="shared" si="499"/>
        <v>스토리위즈</v>
      </c>
      <c r="I3615" t="str">
        <f t="shared" si="501"/>
        <v>디버프 마스터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/>
      <c r="AQ3615">
        <v>0</v>
      </c>
      <c r="AR3615">
        <v>0</v>
      </c>
      <c r="AT3615">
        <v>0</v>
      </c>
      <c r="AU3615">
        <v>0</v>
      </c>
      <c r="AW3615">
        <v>0</v>
      </c>
      <c r="AX3615">
        <v>0</v>
      </c>
      <c r="AY3615">
        <v>70</v>
      </c>
      <c r="BC3615" t="str">
        <f t="shared" si="502"/>
        <v>9791137602663</v>
      </c>
      <c r="BE3615" t="str">
        <f t="shared" si="503"/>
        <v>판타지 웹소설 &gt; 퓨전 판타지</v>
      </c>
    </row>
    <row r="3616" spans="1:57" x14ac:dyDescent="0.3">
      <c r="A3616">
        <v>2313012849</v>
      </c>
      <c r="B3616">
        <v>2313013721</v>
      </c>
      <c r="C3616" t="str">
        <f>T("디버프 마스터 873화")</f>
        <v>디버프 마스터 873화</v>
      </c>
      <c r="D3616" t="str">
        <f>T("873")</f>
        <v>873</v>
      </c>
      <c r="E3616" t="str">
        <f t="shared" si="500"/>
        <v>담화공</v>
      </c>
      <c r="H3616" t="str">
        <f t="shared" si="499"/>
        <v>스토리위즈</v>
      </c>
      <c r="I3616" t="str">
        <f t="shared" si="501"/>
        <v>디버프 마스터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/>
      <c r="AQ3616">
        <v>0</v>
      </c>
      <c r="AR3616">
        <v>0</v>
      </c>
      <c r="AT3616">
        <v>0</v>
      </c>
      <c r="AU3616">
        <v>0</v>
      </c>
      <c r="AW3616">
        <v>0</v>
      </c>
      <c r="AX3616">
        <v>0</v>
      </c>
      <c r="AY3616">
        <v>70</v>
      </c>
      <c r="BC3616" t="str">
        <f t="shared" si="502"/>
        <v>9791137602663</v>
      </c>
      <c r="BE3616" t="str">
        <f t="shared" si="503"/>
        <v>판타지 웹소설 &gt; 퓨전 판타지</v>
      </c>
    </row>
    <row r="3617" spans="1:57" x14ac:dyDescent="0.3">
      <c r="A3617">
        <v>2313012849</v>
      </c>
      <c r="B3617">
        <v>2313013722</v>
      </c>
      <c r="C3617" t="str">
        <f>T("디버프 마스터 874화")</f>
        <v>디버프 마스터 874화</v>
      </c>
      <c r="D3617" t="str">
        <f>T("874")</f>
        <v>874</v>
      </c>
      <c r="E3617" t="str">
        <f t="shared" si="500"/>
        <v>담화공</v>
      </c>
      <c r="H3617" t="str">
        <f t="shared" si="499"/>
        <v>스토리위즈</v>
      </c>
      <c r="I3617" t="str">
        <f t="shared" si="501"/>
        <v>디버프 마스터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/>
      <c r="AQ3617">
        <v>0</v>
      </c>
      <c r="AR3617">
        <v>0</v>
      </c>
      <c r="AT3617">
        <v>0</v>
      </c>
      <c r="AU3617">
        <v>0</v>
      </c>
      <c r="AW3617">
        <v>0</v>
      </c>
      <c r="AX3617">
        <v>0</v>
      </c>
      <c r="AY3617">
        <v>70</v>
      </c>
      <c r="BC3617" t="str">
        <f t="shared" si="502"/>
        <v>9791137602663</v>
      </c>
      <c r="BE3617" t="str">
        <f t="shared" si="503"/>
        <v>판타지 웹소설 &gt; 퓨전 판타지</v>
      </c>
    </row>
    <row r="3618" spans="1:57" x14ac:dyDescent="0.3">
      <c r="A3618">
        <v>2313012849</v>
      </c>
      <c r="B3618">
        <v>2313013723</v>
      </c>
      <c r="C3618" t="str">
        <f>T("디버프 마스터 875화")</f>
        <v>디버프 마스터 875화</v>
      </c>
      <c r="D3618" t="str">
        <f>T("875")</f>
        <v>875</v>
      </c>
      <c r="E3618" t="str">
        <f t="shared" si="500"/>
        <v>담화공</v>
      </c>
      <c r="H3618" t="str">
        <f t="shared" si="499"/>
        <v>스토리위즈</v>
      </c>
      <c r="I3618" t="str">
        <f t="shared" si="501"/>
        <v>디버프 마스터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/>
      <c r="AQ3618">
        <v>0</v>
      </c>
      <c r="AR3618">
        <v>0</v>
      </c>
      <c r="AT3618">
        <v>0</v>
      </c>
      <c r="AU3618">
        <v>0</v>
      </c>
      <c r="AW3618">
        <v>0</v>
      </c>
      <c r="AX3618">
        <v>0</v>
      </c>
      <c r="AY3618">
        <v>70</v>
      </c>
      <c r="BC3618" t="str">
        <f t="shared" si="502"/>
        <v>9791137602663</v>
      </c>
      <c r="BE3618" t="str">
        <f t="shared" si="503"/>
        <v>판타지 웹소설 &gt; 퓨전 판타지</v>
      </c>
    </row>
    <row r="3619" spans="1:57" x14ac:dyDescent="0.3">
      <c r="A3619">
        <v>2313012849</v>
      </c>
      <c r="B3619">
        <v>2313013724</v>
      </c>
      <c r="C3619" t="str">
        <f>T("디버프 마스터 876화")</f>
        <v>디버프 마스터 876화</v>
      </c>
      <c r="D3619" t="str">
        <f>T("876")</f>
        <v>876</v>
      </c>
      <c r="E3619" t="str">
        <f t="shared" si="500"/>
        <v>담화공</v>
      </c>
      <c r="H3619" t="str">
        <f t="shared" si="499"/>
        <v>스토리위즈</v>
      </c>
      <c r="I3619" t="str">
        <f t="shared" si="501"/>
        <v>디버프 마스터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/>
      <c r="AQ3619">
        <v>0</v>
      </c>
      <c r="AR3619">
        <v>0</v>
      </c>
      <c r="AT3619">
        <v>0</v>
      </c>
      <c r="AU3619">
        <v>0</v>
      </c>
      <c r="AW3619">
        <v>0</v>
      </c>
      <c r="AX3619">
        <v>0</v>
      </c>
      <c r="AY3619">
        <v>70</v>
      </c>
      <c r="BC3619" t="str">
        <f t="shared" si="502"/>
        <v>9791137602663</v>
      </c>
      <c r="BE3619" t="str">
        <f t="shared" si="503"/>
        <v>판타지 웹소설 &gt; 퓨전 판타지</v>
      </c>
    </row>
    <row r="3620" spans="1:57" x14ac:dyDescent="0.3">
      <c r="A3620">
        <v>2313012849</v>
      </c>
      <c r="B3620">
        <v>2313013725</v>
      </c>
      <c r="C3620" t="str">
        <f>T("디버프 마스터 877화")</f>
        <v>디버프 마스터 877화</v>
      </c>
      <c r="D3620" t="str">
        <f>T("877")</f>
        <v>877</v>
      </c>
      <c r="E3620" t="str">
        <f t="shared" si="500"/>
        <v>담화공</v>
      </c>
      <c r="H3620" t="str">
        <f t="shared" si="499"/>
        <v>스토리위즈</v>
      </c>
      <c r="I3620" t="str">
        <f t="shared" si="501"/>
        <v>디버프 마스터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/>
      <c r="AQ3620">
        <v>0</v>
      </c>
      <c r="AR3620">
        <v>0</v>
      </c>
      <c r="AT3620">
        <v>0</v>
      </c>
      <c r="AU3620">
        <v>0</v>
      </c>
      <c r="AW3620">
        <v>0</v>
      </c>
      <c r="AX3620">
        <v>0</v>
      </c>
      <c r="AY3620">
        <v>70</v>
      </c>
      <c r="BC3620" t="str">
        <f t="shared" si="502"/>
        <v>9791137602663</v>
      </c>
      <c r="BE3620" t="str">
        <f t="shared" si="503"/>
        <v>판타지 웹소설 &gt; 퓨전 판타지</v>
      </c>
    </row>
    <row r="3621" spans="1:57" x14ac:dyDescent="0.3">
      <c r="A3621">
        <v>2313012849</v>
      </c>
      <c r="B3621">
        <v>2313013726</v>
      </c>
      <c r="C3621" t="str">
        <f>T("디버프 마스터 878화")</f>
        <v>디버프 마스터 878화</v>
      </c>
      <c r="D3621" t="str">
        <f>T("878")</f>
        <v>878</v>
      </c>
      <c r="E3621" t="str">
        <f t="shared" si="500"/>
        <v>담화공</v>
      </c>
      <c r="H3621" t="str">
        <f t="shared" si="499"/>
        <v>스토리위즈</v>
      </c>
      <c r="I3621" t="str">
        <f t="shared" si="501"/>
        <v>디버프 마스터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/>
      <c r="AQ3621">
        <v>0</v>
      </c>
      <c r="AR3621">
        <v>0</v>
      </c>
      <c r="AT3621">
        <v>0</v>
      </c>
      <c r="AU3621">
        <v>0</v>
      </c>
      <c r="AW3621">
        <v>0</v>
      </c>
      <c r="AX3621">
        <v>0</v>
      </c>
      <c r="AY3621">
        <v>70</v>
      </c>
      <c r="BC3621" t="str">
        <f t="shared" si="502"/>
        <v>9791137602663</v>
      </c>
      <c r="BE3621" t="str">
        <f t="shared" si="503"/>
        <v>판타지 웹소설 &gt; 퓨전 판타지</v>
      </c>
    </row>
    <row r="3622" spans="1:57" x14ac:dyDescent="0.3">
      <c r="A3622">
        <v>2313012849</v>
      </c>
      <c r="B3622">
        <v>2313013727</v>
      </c>
      <c r="C3622" t="str">
        <f>T("디버프 마스터 879화")</f>
        <v>디버프 마스터 879화</v>
      </c>
      <c r="D3622" t="str">
        <f>T("879")</f>
        <v>879</v>
      </c>
      <c r="E3622" t="str">
        <f t="shared" si="500"/>
        <v>담화공</v>
      </c>
      <c r="H3622" t="str">
        <f t="shared" si="499"/>
        <v>스토리위즈</v>
      </c>
      <c r="I3622" t="str">
        <f t="shared" si="501"/>
        <v>디버프 마스터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/>
      <c r="AQ3622">
        <v>0</v>
      </c>
      <c r="AR3622">
        <v>0</v>
      </c>
      <c r="AT3622">
        <v>0</v>
      </c>
      <c r="AU3622">
        <v>0</v>
      </c>
      <c r="AW3622">
        <v>0</v>
      </c>
      <c r="AX3622">
        <v>0</v>
      </c>
      <c r="AY3622">
        <v>70</v>
      </c>
      <c r="BC3622" t="str">
        <f t="shared" si="502"/>
        <v>9791137602663</v>
      </c>
      <c r="BE3622" t="str">
        <f t="shared" si="503"/>
        <v>판타지 웹소설 &gt; 퓨전 판타지</v>
      </c>
    </row>
    <row r="3623" spans="1:57" x14ac:dyDescent="0.3">
      <c r="A3623">
        <v>2313012849</v>
      </c>
      <c r="B3623">
        <v>2313013728</v>
      </c>
      <c r="C3623" t="str">
        <f>T("디버프 마스터 880화")</f>
        <v>디버프 마스터 880화</v>
      </c>
      <c r="D3623" t="str">
        <f>T("880")</f>
        <v>880</v>
      </c>
      <c r="E3623" t="str">
        <f t="shared" si="500"/>
        <v>담화공</v>
      </c>
      <c r="H3623" t="str">
        <f t="shared" si="499"/>
        <v>스토리위즈</v>
      </c>
      <c r="I3623" t="str">
        <f t="shared" si="501"/>
        <v>디버프 마스터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/>
      <c r="AQ3623">
        <v>0</v>
      </c>
      <c r="AR3623">
        <v>0</v>
      </c>
      <c r="AT3623">
        <v>0</v>
      </c>
      <c r="AU3623">
        <v>0</v>
      </c>
      <c r="AW3623">
        <v>0</v>
      </c>
      <c r="AX3623">
        <v>0</v>
      </c>
      <c r="AY3623">
        <v>70</v>
      </c>
      <c r="BC3623" t="str">
        <f t="shared" si="502"/>
        <v>9791137602663</v>
      </c>
      <c r="BE3623" t="str">
        <f t="shared" si="503"/>
        <v>판타지 웹소설 &gt; 퓨전 판타지</v>
      </c>
    </row>
    <row r="3624" spans="1:57" x14ac:dyDescent="0.3">
      <c r="A3624">
        <v>2313012849</v>
      </c>
      <c r="B3624">
        <v>2313013729</v>
      </c>
      <c r="C3624" t="str">
        <f>T("디버프 마스터 881화")</f>
        <v>디버프 마스터 881화</v>
      </c>
      <c r="D3624" t="str">
        <f>T("881")</f>
        <v>881</v>
      </c>
      <c r="E3624" t="str">
        <f t="shared" si="500"/>
        <v>담화공</v>
      </c>
      <c r="H3624" t="str">
        <f t="shared" si="499"/>
        <v>스토리위즈</v>
      </c>
      <c r="I3624" t="str">
        <f t="shared" si="501"/>
        <v>디버프 마스터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/>
      <c r="AQ3624">
        <v>0</v>
      </c>
      <c r="AR3624">
        <v>0</v>
      </c>
      <c r="AT3624">
        <v>0</v>
      </c>
      <c r="AU3624">
        <v>0</v>
      </c>
      <c r="AW3624">
        <v>0</v>
      </c>
      <c r="AX3624">
        <v>0</v>
      </c>
      <c r="AY3624">
        <v>70</v>
      </c>
      <c r="BC3624" t="str">
        <f t="shared" si="502"/>
        <v>9791137602663</v>
      </c>
      <c r="BE3624" t="str">
        <f t="shared" si="503"/>
        <v>판타지 웹소설 &gt; 퓨전 판타지</v>
      </c>
    </row>
    <row r="3625" spans="1:57" x14ac:dyDescent="0.3">
      <c r="A3625">
        <v>2313012849</v>
      </c>
      <c r="B3625">
        <v>2313013730</v>
      </c>
      <c r="C3625" t="str">
        <f>T("디버프 마스터 882화")</f>
        <v>디버프 마스터 882화</v>
      </c>
      <c r="D3625" t="str">
        <f>T("882")</f>
        <v>882</v>
      </c>
      <c r="E3625" t="str">
        <f t="shared" si="500"/>
        <v>담화공</v>
      </c>
      <c r="H3625" t="str">
        <f t="shared" si="499"/>
        <v>스토리위즈</v>
      </c>
      <c r="I3625" t="str">
        <f t="shared" si="501"/>
        <v>디버프 마스터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/>
      <c r="AQ3625">
        <v>0</v>
      </c>
      <c r="AR3625">
        <v>0</v>
      </c>
      <c r="AT3625">
        <v>0</v>
      </c>
      <c r="AU3625">
        <v>0</v>
      </c>
      <c r="AW3625">
        <v>0</v>
      </c>
      <c r="AX3625">
        <v>0</v>
      </c>
      <c r="AY3625">
        <v>70</v>
      </c>
      <c r="BC3625" t="str">
        <f t="shared" si="502"/>
        <v>9791137602663</v>
      </c>
      <c r="BE3625" t="str">
        <f t="shared" si="503"/>
        <v>판타지 웹소설 &gt; 퓨전 판타지</v>
      </c>
    </row>
    <row r="3626" spans="1:57" x14ac:dyDescent="0.3">
      <c r="A3626">
        <v>2313012849</v>
      </c>
      <c r="B3626">
        <v>2313013731</v>
      </c>
      <c r="C3626" t="str">
        <f>T("디버프 마스터 883화")</f>
        <v>디버프 마스터 883화</v>
      </c>
      <c r="D3626" t="str">
        <f>T("883")</f>
        <v>883</v>
      </c>
      <c r="E3626" t="str">
        <f t="shared" si="500"/>
        <v>담화공</v>
      </c>
      <c r="H3626" t="str">
        <f t="shared" si="499"/>
        <v>스토리위즈</v>
      </c>
      <c r="I3626" t="str">
        <f t="shared" si="501"/>
        <v>디버프 마스터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/>
      <c r="AQ3626">
        <v>0</v>
      </c>
      <c r="AR3626">
        <v>0</v>
      </c>
      <c r="AT3626">
        <v>0</v>
      </c>
      <c r="AU3626">
        <v>0</v>
      </c>
      <c r="AW3626">
        <v>0</v>
      </c>
      <c r="AX3626">
        <v>0</v>
      </c>
      <c r="AY3626">
        <v>70</v>
      </c>
      <c r="BC3626" t="str">
        <f t="shared" si="502"/>
        <v>9791137602663</v>
      </c>
      <c r="BE3626" t="str">
        <f t="shared" si="503"/>
        <v>판타지 웹소설 &gt; 퓨전 판타지</v>
      </c>
    </row>
    <row r="3627" spans="1:57" x14ac:dyDescent="0.3">
      <c r="A3627">
        <v>2313012849</v>
      </c>
      <c r="B3627">
        <v>2313013732</v>
      </c>
      <c r="C3627" t="str">
        <f>T("디버프 마스터 884화")</f>
        <v>디버프 마스터 884화</v>
      </c>
      <c r="D3627" t="str">
        <f>T("884")</f>
        <v>884</v>
      </c>
      <c r="E3627" t="str">
        <f t="shared" si="500"/>
        <v>담화공</v>
      </c>
      <c r="H3627" t="str">
        <f t="shared" si="499"/>
        <v>스토리위즈</v>
      </c>
      <c r="I3627" t="str">
        <f t="shared" si="501"/>
        <v>디버프 마스터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/>
      <c r="AQ3627">
        <v>0</v>
      </c>
      <c r="AR3627">
        <v>0</v>
      </c>
      <c r="AT3627">
        <v>0</v>
      </c>
      <c r="AU3627">
        <v>0</v>
      </c>
      <c r="AW3627">
        <v>0</v>
      </c>
      <c r="AX3627">
        <v>0</v>
      </c>
      <c r="AY3627">
        <v>70</v>
      </c>
      <c r="BC3627" t="str">
        <f t="shared" si="502"/>
        <v>9791137602663</v>
      </c>
      <c r="BE3627" t="str">
        <f t="shared" si="503"/>
        <v>판타지 웹소설 &gt; 퓨전 판타지</v>
      </c>
    </row>
    <row r="3628" spans="1:57" x14ac:dyDescent="0.3">
      <c r="A3628">
        <v>2313012849</v>
      </c>
      <c r="B3628">
        <v>2313013733</v>
      </c>
      <c r="C3628" t="str">
        <f>T("디버프 마스터 885화")</f>
        <v>디버프 마스터 885화</v>
      </c>
      <c r="D3628" t="str">
        <f>T("885")</f>
        <v>885</v>
      </c>
      <c r="E3628" t="str">
        <f t="shared" si="500"/>
        <v>담화공</v>
      </c>
      <c r="H3628" t="str">
        <f t="shared" si="499"/>
        <v>스토리위즈</v>
      </c>
      <c r="I3628" t="str">
        <f t="shared" si="501"/>
        <v>디버프 마스터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/>
      <c r="AQ3628">
        <v>0</v>
      </c>
      <c r="AR3628">
        <v>0</v>
      </c>
      <c r="AT3628">
        <v>0</v>
      </c>
      <c r="AU3628">
        <v>0</v>
      </c>
      <c r="AW3628">
        <v>0</v>
      </c>
      <c r="AX3628">
        <v>0</v>
      </c>
      <c r="AY3628">
        <v>70</v>
      </c>
      <c r="BC3628" t="str">
        <f t="shared" si="502"/>
        <v>9791137602663</v>
      </c>
      <c r="BE3628" t="str">
        <f t="shared" si="503"/>
        <v>판타지 웹소설 &gt; 퓨전 판타지</v>
      </c>
    </row>
    <row r="3629" spans="1:57" x14ac:dyDescent="0.3">
      <c r="A3629">
        <v>2313012849</v>
      </c>
      <c r="B3629">
        <v>2313013734</v>
      </c>
      <c r="C3629" t="str">
        <f>T("디버프 마스터 886화")</f>
        <v>디버프 마스터 886화</v>
      </c>
      <c r="D3629" t="str">
        <f>T("886")</f>
        <v>886</v>
      </c>
      <c r="E3629" t="str">
        <f t="shared" si="500"/>
        <v>담화공</v>
      </c>
      <c r="H3629" t="str">
        <f t="shared" si="499"/>
        <v>스토리위즈</v>
      </c>
      <c r="I3629" t="str">
        <f t="shared" si="501"/>
        <v>디버프 마스터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/>
      <c r="AQ3629">
        <v>0</v>
      </c>
      <c r="AR3629">
        <v>0</v>
      </c>
      <c r="AT3629">
        <v>0</v>
      </c>
      <c r="AU3629">
        <v>0</v>
      </c>
      <c r="AW3629">
        <v>0</v>
      </c>
      <c r="AX3629">
        <v>0</v>
      </c>
      <c r="AY3629">
        <v>70</v>
      </c>
      <c r="BC3629" t="str">
        <f t="shared" si="502"/>
        <v>9791137602663</v>
      </c>
      <c r="BE3629" t="str">
        <f t="shared" si="503"/>
        <v>판타지 웹소설 &gt; 퓨전 판타지</v>
      </c>
    </row>
    <row r="3630" spans="1:57" x14ac:dyDescent="0.3">
      <c r="A3630">
        <v>2313012849</v>
      </c>
      <c r="B3630">
        <v>2313013735</v>
      </c>
      <c r="C3630" t="str">
        <f>T("디버프 마스터 887화")</f>
        <v>디버프 마스터 887화</v>
      </c>
      <c r="D3630" t="str">
        <f>T("887")</f>
        <v>887</v>
      </c>
      <c r="E3630" t="str">
        <f t="shared" si="500"/>
        <v>담화공</v>
      </c>
      <c r="H3630" t="str">
        <f t="shared" si="499"/>
        <v>스토리위즈</v>
      </c>
      <c r="I3630" t="str">
        <f t="shared" si="501"/>
        <v>디버프 마스터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/>
      <c r="AQ3630">
        <v>0</v>
      </c>
      <c r="AR3630">
        <v>0</v>
      </c>
      <c r="AT3630">
        <v>0</v>
      </c>
      <c r="AU3630">
        <v>0</v>
      </c>
      <c r="AW3630">
        <v>0</v>
      </c>
      <c r="AX3630">
        <v>0</v>
      </c>
      <c r="AY3630">
        <v>70</v>
      </c>
      <c r="BC3630" t="str">
        <f t="shared" si="502"/>
        <v>9791137602663</v>
      </c>
      <c r="BE3630" t="str">
        <f t="shared" si="503"/>
        <v>판타지 웹소설 &gt; 퓨전 판타지</v>
      </c>
    </row>
    <row r="3631" spans="1:57" x14ac:dyDescent="0.3">
      <c r="A3631">
        <v>2313012849</v>
      </c>
      <c r="B3631">
        <v>2313013736</v>
      </c>
      <c r="C3631" t="str">
        <f>T("디버프 마스터 888화")</f>
        <v>디버프 마스터 888화</v>
      </c>
      <c r="D3631" t="str">
        <f>T("888")</f>
        <v>888</v>
      </c>
      <c r="E3631" t="str">
        <f t="shared" si="500"/>
        <v>담화공</v>
      </c>
      <c r="H3631" t="str">
        <f t="shared" si="499"/>
        <v>스토리위즈</v>
      </c>
      <c r="I3631" t="str">
        <f t="shared" si="501"/>
        <v>디버프 마스터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/>
      <c r="AQ3631">
        <v>0</v>
      </c>
      <c r="AR3631">
        <v>0</v>
      </c>
      <c r="AT3631">
        <v>0</v>
      </c>
      <c r="AU3631">
        <v>0</v>
      </c>
      <c r="AW3631">
        <v>0</v>
      </c>
      <c r="AX3631">
        <v>0</v>
      </c>
      <c r="AY3631">
        <v>70</v>
      </c>
      <c r="BC3631" t="str">
        <f t="shared" si="502"/>
        <v>9791137602663</v>
      </c>
      <c r="BE3631" t="str">
        <f t="shared" si="503"/>
        <v>판타지 웹소설 &gt; 퓨전 판타지</v>
      </c>
    </row>
    <row r="3632" spans="1:57" x14ac:dyDescent="0.3">
      <c r="A3632">
        <v>2313012849</v>
      </c>
      <c r="B3632">
        <v>2313013737</v>
      </c>
      <c r="C3632" t="str">
        <f>T("디버프 마스터 889화")</f>
        <v>디버프 마스터 889화</v>
      </c>
      <c r="D3632" t="str">
        <f>T("889")</f>
        <v>889</v>
      </c>
      <c r="E3632" t="str">
        <f t="shared" si="500"/>
        <v>담화공</v>
      </c>
      <c r="H3632" t="str">
        <f t="shared" si="499"/>
        <v>스토리위즈</v>
      </c>
      <c r="I3632" t="str">
        <f t="shared" si="501"/>
        <v>디버프 마스터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/>
      <c r="AQ3632">
        <v>0</v>
      </c>
      <c r="AR3632">
        <v>0</v>
      </c>
      <c r="AT3632">
        <v>0</v>
      </c>
      <c r="AU3632">
        <v>0</v>
      </c>
      <c r="AW3632">
        <v>0</v>
      </c>
      <c r="AX3632">
        <v>0</v>
      </c>
      <c r="AY3632">
        <v>70</v>
      </c>
      <c r="BC3632" t="str">
        <f t="shared" si="502"/>
        <v>9791137602663</v>
      </c>
      <c r="BE3632" t="str">
        <f t="shared" si="503"/>
        <v>판타지 웹소설 &gt; 퓨전 판타지</v>
      </c>
    </row>
    <row r="3633" spans="1:57" x14ac:dyDescent="0.3">
      <c r="A3633">
        <v>2313012849</v>
      </c>
      <c r="B3633">
        <v>2313013738</v>
      </c>
      <c r="C3633" t="str">
        <f>T("디버프 마스터 890화")</f>
        <v>디버프 마스터 890화</v>
      </c>
      <c r="D3633" t="str">
        <f>T("890")</f>
        <v>890</v>
      </c>
      <c r="E3633" t="str">
        <f t="shared" si="500"/>
        <v>담화공</v>
      </c>
      <c r="H3633" t="str">
        <f t="shared" si="499"/>
        <v>스토리위즈</v>
      </c>
      <c r="I3633" t="str">
        <f t="shared" si="501"/>
        <v>디버프 마스터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/>
      <c r="AQ3633">
        <v>0</v>
      </c>
      <c r="AR3633">
        <v>0</v>
      </c>
      <c r="AT3633">
        <v>0</v>
      </c>
      <c r="AU3633">
        <v>0</v>
      </c>
      <c r="AW3633">
        <v>0</v>
      </c>
      <c r="AX3633">
        <v>0</v>
      </c>
      <c r="AY3633">
        <v>70</v>
      </c>
      <c r="BC3633" t="str">
        <f t="shared" si="502"/>
        <v>9791137602663</v>
      </c>
      <c r="BE3633" t="str">
        <f t="shared" si="503"/>
        <v>판타지 웹소설 &gt; 퓨전 판타지</v>
      </c>
    </row>
    <row r="3634" spans="1:57" x14ac:dyDescent="0.3">
      <c r="A3634">
        <v>2313012849</v>
      </c>
      <c r="B3634">
        <v>2313013739</v>
      </c>
      <c r="C3634" t="str">
        <f>T("디버프 마스터 891화")</f>
        <v>디버프 마스터 891화</v>
      </c>
      <c r="D3634" t="str">
        <f>T("891")</f>
        <v>891</v>
      </c>
      <c r="E3634" t="str">
        <f t="shared" si="500"/>
        <v>담화공</v>
      </c>
      <c r="H3634" t="str">
        <f t="shared" si="499"/>
        <v>스토리위즈</v>
      </c>
      <c r="I3634" t="str">
        <f t="shared" si="501"/>
        <v>디버프 마스터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/>
      <c r="AQ3634">
        <v>0</v>
      </c>
      <c r="AR3634">
        <v>0</v>
      </c>
      <c r="AT3634">
        <v>0</v>
      </c>
      <c r="AU3634">
        <v>0</v>
      </c>
      <c r="AW3634">
        <v>0</v>
      </c>
      <c r="AX3634">
        <v>0</v>
      </c>
      <c r="AY3634">
        <v>70</v>
      </c>
      <c r="BC3634" t="str">
        <f t="shared" si="502"/>
        <v>9791137602663</v>
      </c>
      <c r="BE3634" t="str">
        <f t="shared" si="503"/>
        <v>판타지 웹소설 &gt; 퓨전 판타지</v>
      </c>
    </row>
    <row r="3635" spans="1:57" x14ac:dyDescent="0.3">
      <c r="A3635">
        <v>2313012849</v>
      </c>
      <c r="B3635">
        <v>2313013740</v>
      </c>
      <c r="C3635" t="str">
        <f>T("디버프 마스터 892화")</f>
        <v>디버프 마스터 892화</v>
      </c>
      <c r="D3635" t="str">
        <f>T("892")</f>
        <v>892</v>
      </c>
      <c r="E3635" t="str">
        <f t="shared" si="500"/>
        <v>담화공</v>
      </c>
      <c r="H3635" t="str">
        <f t="shared" si="499"/>
        <v>스토리위즈</v>
      </c>
      <c r="I3635" t="str">
        <f t="shared" si="501"/>
        <v>디버프 마스터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/>
      <c r="AQ3635">
        <v>0</v>
      </c>
      <c r="AR3635">
        <v>0</v>
      </c>
      <c r="AT3635">
        <v>0</v>
      </c>
      <c r="AU3635">
        <v>0</v>
      </c>
      <c r="AW3635">
        <v>0</v>
      </c>
      <c r="AX3635">
        <v>0</v>
      </c>
      <c r="AY3635">
        <v>70</v>
      </c>
      <c r="BC3635" t="str">
        <f t="shared" si="502"/>
        <v>9791137602663</v>
      </c>
      <c r="BE3635" t="str">
        <f t="shared" si="503"/>
        <v>판타지 웹소설 &gt; 퓨전 판타지</v>
      </c>
    </row>
    <row r="3636" spans="1:57" x14ac:dyDescent="0.3">
      <c r="A3636">
        <v>2313012849</v>
      </c>
      <c r="B3636">
        <v>2313013741</v>
      </c>
      <c r="C3636" t="str">
        <f>T("디버프 마스터 893화")</f>
        <v>디버프 마스터 893화</v>
      </c>
      <c r="D3636" t="str">
        <f>T("893")</f>
        <v>893</v>
      </c>
      <c r="E3636" t="str">
        <f t="shared" si="500"/>
        <v>담화공</v>
      </c>
      <c r="H3636" t="str">
        <f t="shared" si="499"/>
        <v>스토리위즈</v>
      </c>
      <c r="I3636" t="str">
        <f t="shared" si="501"/>
        <v>디버프 마스터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/>
      <c r="AQ3636">
        <v>0</v>
      </c>
      <c r="AR3636">
        <v>0</v>
      </c>
      <c r="AT3636">
        <v>0</v>
      </c>
      <c r="AU3636">
        <v>0</v>
      </c>
      <c r="AW3636">
        <v>0</v>
      </c>
      <c r="AX3636">
        <v>0</v>
      </c>
      <c r="AY3636">
        <v>70</v>
      </c>
      <c r="BC3636" t="str">
        <f t="shared" si="502"/>
        <v>9791137602663</v>
      </c>
      <c r="BE3636" t="str">
        <f t="shared" si="503"/>
        <v>판타지 웹소설 &gt; 퓨전 판타지</v>
      </c>
    </row>
    <row r="3637" spans="1:57" x14ac:dyDescent="0.3">
      <c r="A3637">
        <v>2313012849</v>
      </c>
      <c r="B3637">
        <v>2313013742</v>
      </c>
      <c r="C3637" t="str">
        <f>T("디버프 마스터 894화")</f>
        <v>디버프 마스터 894화</v>
      </c>
      <c r="D3637" t="str">
        <f>T("894")</f>
        <v>894</v>
      </c>
      <c r="E3637" t="str">
        <f t="shared" si="500"/>
        <v>담화공</v>
      </c>
      <c r="H3637" t="str">
        <f t="shared" si="499"/>
        <v>스토리위즈</v>
      </c>
      <c r="I3637" t="str">
        <f t="shared" si="501"/>
        <v>디버프 마스터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/>
      <c r="AQ3637">
        <v>0</v>
      </c>
      <c r="AR3637">
        <v>0</v>
      </c>
      <c r="AT3637">
        <v>0</v>
      </c>
      <c r="AU3637">
        <v>0</v>
      </c>
      <c r="AW3637">
        <v>0</v>
      </c>
      <c r="AX3637">
        <v>0</v>
      </c>
      <c r="AY3637">
        <v>70</v>
      </c>
      <c r="BC3637" t="str">
        <f t="shared" si="502"/>
        <v>9791137602663</v>
      </c>
      <c r="BE3637" t="str">
        <f t="shared" si="503"/>
        <v>판타지 웹소설 &gt; 퓨전 판타지</v>
      </c>
    </row>
    <row r="3638" spans="1:57" x14ac:dyDescent="0.3">
      <c r="A3638">
        <v>2313012849</v>
      </c>
      <c r="B3638">
        <v>2313013743</v>
      </c>
      <c r="C3638" t="str">
        <f>T("디버프 마스터 895화")</f>
        <v>디버프 마스터 895화</v>
      </c>
      <c r="D3638" t="str">
        <f>T("895")</f>
        <v>895</v>
      </c>
      <c r="E3638" t="str">
        <f t="shared" si="500"/>
        <v>담화공</v>
      </c>
      <c r="H3638" t="str">
        <f t="shared" si="499"/>
        <v>스토리위즈</v>
      </c>
      <c r="I3638" t="str">
        <f t="shared" si="501"/>
        <v>디버프 마스터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/>
      <c r="AQ3638">
        <v>0</v>
      </c>
      <c r="AR3638">
        <v>0</v>
      </c>
      <c r="AT3638">
        <v>0</v>
      </c>
      <c r="AU3638">
        <v>0</v>
      </c>
      <c r="AW3638">
        <v>0</v>
      </c>
      <c r="AX3638">
        <v>0</v>
      </c>
      <c r="AY3638">
        <v>70</v>
      </c>
      <c r="BC3638" t="str">
        <f t="shared" si="502"/>
        <v>9791137602663</v>
      </c>
      <c r="BE3638" t="str">
        <f t="shared" si="503"/>
        <v>판타지 웹소설 &gt; 퓨전 판타지</v>
      </c>
    </row>
    <row r="3639" spans="1:57" x14ac:dyDescent="0.3">
      <c r="A3639">
        <v>2313012849</v>
      </c>
      <c r="B3639">
        <v>2313013744</v>
      </c>
      <c r="C3639" t="str">
        <f>T("디버프 마스터 896화")</f>
        <v>디버프 마스터 896화</v>
      </c>
      <c r="D3639" t="str">
        <f>T("896")</f>
        <v>896</v>
      </c>
      <c r="E3639" t="str">
        <f t="shared" si="500"/>
        <v>담화공</v>
      </c>
      <c r="H3639" t="str">
        <f t="shared" si="499"/>
        <v>스토리위즈</v>
      </c>
      <c r="I3639" t="str">
        <f t="shared" si="501"/>
        <v>디버프 마스터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/>
      <c r="AQ3639">
        <v>0</v>
      </c>
      <c r="AR3639">
        <v>0</v>
      </c>
      <c r="AT3639">
        <v>0</v>
      </c>
      <c r="AU3639">
        <v>0</v>
      </c>
      <c r="AW3639">
        <v>0</v>
      </c>
      <c r="AX3639">
        <v>0</v>
      </c>
      <c r="AY3639">
        <v>70</v>
      </c>
      <c r="BC3639" t="str">
        <f t="shared" si="502"/>
        <v>9791137602663</v>
      </c>
      <c r="BE3639" t="str">
        <f t="shared" si="503"/>
        <v>판타지 웹소설 &gt; 퓨전 판타지</v>
      </c>
    </row>
    <row r="3640" spans="1:57" x14ac:dyDescent="0.3">
      <c r="A3640">
        <v>2313012849</v>
      </c>
      <c r="B3640">
        <v>2313013745</v>
      </c>
      <c r="C3640" t="str">
        <f>T("디버프 마스터 897화")</f>
        <v>디버프 마스터 897화</v>
      </c>
      <c r="D3640" t="str">
        <f>T("897")</f>
        <v>897</v>
      </c>
      <c r="E3640" t="str">
        <f t="shared" si="500"/>
        <v>담화공</v>
      </c>
      <c r="H3640" t="str">
        <f t="shared" si="499"/>
        <v>스토리위즈</v>
      </c>
      <c r="I3640" t="str">
        <f t="shared" si="501"/>
        <v>디버프 마스터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/>
      <c r="AQ3640">
        <v>0</v>
      </c>
      <c r="AR3640">
        <v>0</v>
      </c>
      <c r="AT3640">
        <v>0</v>
      </c>
      <c r="AU3640">
        <v>0</v>
      </c>
      <c r="AW3640">
        <v>0</v>
      </c>
      <c r="AX3640">
        <v>0</v>
      </c>
      <c r="AY3640">
        <v>70</v>
      </c>
      <c r="BC3640" t="str">
        <f t="shared" si="502"/>
        <v>9791137602663</v>
      </c>
      <c r="BE3640" t="str">
        <f t="shared" si="503"/>
        <v>판타지 웹소설 &gt; 퓨전 판타지</v>
      </c>
    </row>
    <row r="3641" spans="1:57" x14ac:dyDescent="0.3">
      <c r="A3641">
        <v>2313012849</v>
      </c>
      <c r="B3641">
        <v>2313013746</v>
      </c>
      <c r="C3641" t="str">
        <f>T("디버프 마스터 898화")</f>
        <v>디버프 마스터 898화</v>
      </c>
      <c r="D3641" t="str">
        <f>T("898")</f>
        <v>898</v>
      </c>
      <c r="E3641" t="str">
        <f t="shared" si="500"/>
        <v>담화공</v>
      </c>
      <c r="H3641" t="str">
        <f t="shared" si="499"/>
        <v>스토리위즈</v>
      </c>
      <c r="I3641" t="str">
        <f t="shared" si="501"/>
        <v>디버프 마스터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/>
      <c r="AQ3641">
        <v>0</v>
      </c>
      <c r="AR3641">
        <v>0</v>
      </c>
      <c r="AT3641">
        <v>0</v>
      </c>
      <c r="AU3641">
        <v>0</v>
      </c>
      <c r="AW3641">
        <v>0</v>
      </c>
      <c r="AX3641">
        <v>0</v>
      </c>
      <c r="AY3641">
        <v>70</v>
      </c>
      <c r="BC3641" t="str">
        <f t="shared" si="502"/>
        <v>9791137602663</v>
      </c>
      <c r="BE3641" t="str">
        <f t="shared" si="503"/>
        <v>판타지 웹소설 &gt; 퓨전 판타지</v>
      </c>
    </row>
    <row r="3642" spans="1:57" x14ac:dyDescent="0.3">
      <c r="A3642">
        <v>2313012849</v>
      </c>
      <c r="B3642">
        <v>2313013747</v>
      </c>
      <c r="C3642" t="str">
        <f>T("디버프 마스터 899화")</f>
        <v>디버프 마스터 899화</v>
      </c>
      <c r="D3642" t="str">
        <f>T("899")</f>
        <v>899</v>
      </c>
      <c r="E3642" t="str">
        <f t="shared" si="500"/>
        <v>담화공</v>
      </c>
      <c r="H3642" t="str">
        <f t="shared" si="499"/>
        <v>스토리위즈</v>
      </c>
      <c r="I3642" t="str">
        <f t="shared" si="501"/>
        <v>디버프 마스터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/>
      <c r="AQ3642">
        <v>0</v>
      </c>
      <c r="AR3642">
        <v>0</v>
      </c>
      <c r="AT3642">
        <v>0</v>
      </c>
      <c r="AU3642">
        <v>0</v>
      </c>
      <c r="AW3642">
        <v>0</v>
      </c>
      <c r="AX3642">
        <v>0</v>
      </c>
      <c r="AY3642">
        <v>70</v>
      </c>
      <c r="BC3642" t="str">
        <f t="shared" si="502"/>
        <v>9791137602663</v>
      </c>
      <c r="BE3642" t="str">
        <f t="shared" si="503"/>
        <v>판타지 웹소설 &gt; 퓨전 판타지</v>
      </c>
    </row>
    <row r="3643" spans="1:57" x14ac:dyDescent="0.3">
      <c r="A3643">
        <v>2313012849</v>
      </c>
      <c r="B3643">
        <v>2313013748</v>
      </c>
      <c r="C3643" t="str">
        <f>T("디버프 마스터 900화")</f>
        <v>디버프 마스터 900화</v>
      </c>
      <c r="D3643" t="str">
        <f>T("900")</f>
        <v>900</v>
      </c>
      <c r="E3643" t="str">
        <f t="shared" si="500"/>
        <v>담화공</v>
      </c>
      <c r="H3643" t="str">
        <f t="shared" si="499"/>
        <v>스토리위즈</v>
      </c>
      <c r="I3643" t="str">
        <f t="shared" si="501"/>
        <v>디버프 마스터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/>
      <c r="AQ3643">
        <v>0</v>
      </c>
      <c r="AR3643">
        <v>0</v>
      </c>
      <c r="AT3643">
        <v>0</v>
      </c>
      <c r="AU3643">
        <v>0</v>
      </c>
      <c r="AW3643">
        <v>0</v>
      </c>
      <c r="AX3643">
        <v>0</v>
      </c>
      <c r="AY3643">
        <v>70</v>
      </c>
      <c r="BC3643" t="str">
        <f t="shared" si="502"/>
        <v>9791137602663</v>
      </c>
      <c r="BE3643" t="str">
        <f t="shared" si="503"/>
        <v>판타지 웹소설 &gt; 퓨전 판타지</v>
      </c>
    </row>
    <row r="3644" spans="1:57" x14ac:dyDescent="0.3">
      <c r="A3644">
        <v>2313012849</v>
      </c>
      <c r="B3644">
        <v>2313013749</v>
      </c>
      <c r="C3644" t="str">
        <f>T("디버프 마스터 901화")</f>
        <v>디버프 마스터 901화</v>
      </c>
      <c r="D3644" t="str">
        <f>T("901")</f>
        <v>901</v>
      </c>
      <c r="E3644" t="str">
        <f t="shared" si="500"/>
        <v>담화공</v>
      </c>
      <c r="H3644" t="str">
        <f t="shared" si="499"/>
        <v>스토리위즈</v>
      </c>
      <c r="I3644" t="str">
        <f t="shared" si="501"/>
        <v>디버프 마스터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/>
      <c r="AQ3644">
        <v>0</v>
      </c>
      <c r="AR3644">
        <v>0</v>
      </c>
      <c r="AT3644">
        <v>0</v>
      </c>
      <c r="AU3644">
        <v>0</v>
      </c>
      <c r="AW3644">
        <v>0</v>
      </c>
      <c r="AX3644">
        <v>0</v>
      </c>
      <c r="AY3644">
        <v>70</v>
      </c>
      <c r="BC3644" t="str">
        <f t="shared" si="502"/>
        <v>9791137602663</v>
      </c>
      <c r="BE3644" t="str">
        <f t="shared" si="503"/>
        <v>판타지 웹소설 &gt; 퓨전 판타지</v>
      </c>
    </row>
    <row r="3645" spans="1:57" x14ac:dyDescent="0.3">
      <c r="A3645">
        <v>2313012849</v>
      </c>
      <c r="B3645">
        <v>2313013750</v>
      </c>
      <c r="C3645" t="str">
        <f>T("디버프 마스터 902화")</f>
        <v>디버프 마스터 902화</v>
      </c>
      <c r="D3645" t="str">
        <f>T("902")</f>
        <v>902</v>
      </c>
      <c r="E3645" t="str">
        <f t="shared" si="500"/>
        <v>담화공</v>
      </c>
      <c r="H3645" t="str">
        <f t="shared" si="499"/>
        <v>스토리위즈</v>
      </c>
      <c r="I3645" t="str">
        <f t="shared" si="501"/>
        <v>디버프 마스터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/>
      <c r="AQ3645">
        <v>0</v>
      </c>
      <c r="AR3645">
        <v>0</v>
      </c>
      <c r="AT3645">
        <v>0</v>
      </c>
      <c r="AU3645">
        <v>0</v>
      </c>
      <c r="AW3645">
        <v>0</v>
      </c>
      <c r="AX3645">
        <v>0</v>
      </c>
      <c r="AY3645">
        <v>70</v>
      </c>
      <c r="BC3645" t="str">
        <f t="shared" si="502"/>
        <v>9791137602663</v>
      </c>
      <c r="BE3645" t="str">
        <f t="shared" si="503"/>
        <v>판타지 웹소설 &gt; 퓨전 판타지</v>
      </c>
    </row>
    <row r="3646" spans="1:57" x14ac:dyDescent="0.3">
      <c r="A3646">
        <v>2313012849</v>
      </c>
      <c r="B3646">
        <v>2313013751</v>
      </c>
      <c r="C3646" t="str">
        <f>T("디버프 마스터 903화")</f>
        <v>디버프 마스터 903화</v>
      </c>
      <c r="D3646" t="str">
        <f>T("903")</f>
        <v>903</v>
      </c>
      <c r="E3646" t="str">
        <f t="shared" si="500"/>
        <v>담화공</v>
      </c>
      <c r="H3646" t="str">
        <f t="shared" si="499"/>
        <v>스토리위즈</v>
      </c>
      <c r="I3646" t="str">
        <f t="shared" si="501"/>
        <v>디버프 마스터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/>
      <c r="AQ3646">
        <v>0</v>
      </c>
      <c r="AR3646">
        <v>0</v>
      </c>
      <c r="AT3646">
        <v>0</v>
      </c>
      <c r="AU3646">
        <v>0</v>
      </c>
      <c r="AW3646">
        <v>0</v>
      </c>
      <c r="AX3646">
        <v>0</v>
      </c>
      <c r="AY3646">
        <v>70</v>
      </c>
      <c r="BC3646" t="str">
        <f t="shared" si="502"/>
        <v>9791137602663</v>
      </c>
      <c r="BE3646" t="str">
        <f t="shared" si="503"/>
        <v>판타지 웹소설 &gt; 퓨전 판타지</v>
      </c>
    </row>
    <row r="3647" spans="1:57" x14ac:dyDescent="0.3">
      <c r="A3647">
        <v>2313012849</v>
      </c>
      <c r="B3647">
        <v>2313013752</v>
      </c>
      <c r="C3647" t="str">
        <f>T("디버프 마스터 904화")</f>
        <v>디버프 마스터 904화</v>
      </c>
      <c r="D3647" t="str">
        <f>T("904")</f>
        <v>904</v>
      </c>
      <c r="E3647" t="str">
        <f t="shared" si="500"/>
        <v>담화공</v>
      </c>
      <c r="H3647" t="str">
        <f t="shared" si="499"/>
        <v>스토리위즈</v>
      </c>
      <c r="I3647" t="str">
        <f t="shared" si="501"/>
        <v>디버프 마스터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/>
      <c r="AQ3647">
        <v>0</v>
      </c>
      <c r="AR3647">
        <v>0</v>
      </c>
      <c r="AT3647">
        <v>0</v>
      </c>
      <c r="AU3647">
        <v>0</v>
      </c>
      <c r="AW3647">
        <v>0</v>
      </c>
      <c r="AX3647">
        <v>0</v>
      </c>
      <c r="AY3647">
        <v>70</v>
      </c>
      <c r="BC3647" t="str">
        <f t="shared" si="502"/>
        <v>9791137602663</v>
      </c>
      <c r="BE3647" t="str">
        <f t="shared" si="503"/>
        <v>판타지 웹소설 &gt; 퓨전 판타지</v>
      </c>
    </row>
    <row r="3648" spans="1:57" x14ac:dyDescent="0.3">
      <c r="A3648">
        <v>2313012849</v>
      </c>
      <c r="B3648">
        <v>2313013753</v>
      </c>
      <c r="C3648" t="str">
        <f>T("디버프 마스터 905화")</f>
        <v>디버프 마스터 905화</v>
      </c>
      <c r="D3648" t="str">
        <f>T("905")</f>
        <v>905</v>
      </c>
      <c r="E3648" t="str">
        <f t="shared" si="500"/>
        <v>담화공</v>
      </c>
      <c r="H3648" t="str">
        <f t="shared" si="499"/>
        <v>스토리위즈</v>
      </c>
      <c r="I3648" t="str">
        <f t="shared" si="501"/>
        <v>디버프 마스터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/>
      <c r="AQ3648">
        <v>0</v>
      </c>
      <c r="AR3648">
        <v>0</v>
      </c>
      <c r="AT3648">
        <v>0</v>
      </c>
      <c r="AU3648">
        <v>0</v>
      </c>
      <c r="AW3648">
        <v>0</v>
      </c>
      <c r="AX3648">
        <v>0</v>
      </c>
      <c r="AY3648">
        <v>70</v>
      </c>
      <c r="BC3648" t="str">
        <f t="shared" si="502"/>
        <v>9791137602663</v>
      </c>
      <c r="BE3648" t="str">
        <f t="shared" si="503"/>
        <v>판타지 웹소설 &gt; 퓨전 판타지</v>
      </c>
    </row>
    <row r="3649" spans="1:57" x14ac:dyDescent="0.3">
      <c r="A3649">
        <v>2313012849</v>
      </c>
      <c r="B3649">
        <v>2313013754</v>
      </c>
      <c r="C3649" t="str">
        <f>T("디버프 마스터 906화")</f>
        <v>디버프 마스터 906화</v>
      </c>
      <c r="D3649" t="str">
        <f>T("906")</f>
        <v>906</v>
      </c>
      <c r="E3649" t="str">
        <f t="shared" si="500"/>
        <v>담화공</v>
      </c>
      <c r="H3649" t="str">
        <f t="shared" si="499"/>
        <v>스토리위즈</v>
      </c>
      <c r="I3649" t="str">
        <f t="shared" si="501"/>
        <v>디버프 마스터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/>
      <c r="AQ3649">
        <v>0</v>
      </c>
      <c r="AR3649">
        <v>0</v>
      </c>
      <c r="AT3649">
        <v>0</v>
      </c>
      <c r="AU3649">
        <v>0</v>
      </c>
      <c r="AW3649">
        <v>0</v>
      </c>
      <c r="AX3649">
        <v>0</v>
      </c>
      <c r="AY3649">
        <v>70</v>
      </c>
      <c r="BC3649" t="str">
        <f t="shared" si="502"/>
        <v>9791137602663</v>
      </c>
      <c r="BE3649" t="str">
        <f t="shared" si="503"/>
        <v>판타지 웹소설 &gt; 퓨전 판타지</v>
      </c>
    </row>
    <row r="3650" spans="1:57" x14ac:dyDescent="0.3">
      <c r="A3650">
        <v>2313012849</v>
      </c>
      <c r="B3650">
        <v>2313013755</v>
      </c>
      <c r="C3650" t="str">
        <f>T("디버프 마스터 907화")</f>
        <v>디버프 마스터 907화</v>
      </c>
      <c r="D3650" t="str">
        <f>T("907")</f>
        <v>907</v>
      </c>
      <c r="E3650" t="str">
        <f t="shared" si="500"/>
        <v>담화공</v>
      </c>
      <c r="H3650" t="str">
        <f t="shared" si="499"/>
        <v>스토리위즈</v>
      </c>
      <c r="I3650" t="str">
        <f t="shared" si="501"/>
        <v>디버프 마스터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/>
      <c r="AQ3650">
        <v>0</v>
      </c>
      <c r="AR3650">
        <v>0</v>
      </c>
      <c r="AT3650">
        <v>0</v>
      </c>
      <c r="AU3650">
        <v>0</v>
      </c>
      <c r="AW3650">
        <v>0</v>
      </c>
      <c r="AX3650">
        <v>0</v>
      </c>
      <c r="AY3650">
        <v>70</v>
      </c>
      <c r="BC3650" t="str">
        <f t="shared" si="502"/>
        <v>9791137602663</v>
      </c>
      <c r="BE3650" t="str">
        <f t="shared" si="503"/>
        <v>판타지 웹소설 &gt; 퓨전 판타지</v>
      </c>
    </row>
    <row r="3651" spans="1:57" x14ac:dyDescent="0.3">
      <c r="A3651">
        <v>2313012849</v>
      </c>
      <c r="B3651">
        <v>2313013756</v>
      </c>
      <c r="C3651" t="str">
        <f>T("디버프 마스터 908화")</f>
        <v>디버프 마스터 908화</v>
      </c>
      <c r="D3651" t="str">
        <f>T("908")</f>
        <v>908</v>
      </c>
      <c r="E3651" t="str">
        <f t="shared" si="500"/>
        <v>담화공</v>
      </c>
      <c r="H3651" t="str">
        <f t="shared" si="499"/>
        <v>스토리위즈</v>
      </c>
      <c r="I3651" t="str">
        <f t="shared" si="501"/>
        <v>디버프 마스터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/>
      <c r="AQ3651">
        <v>0</v>
      </c>
      <c r="AR3651">
        <v>0</v>
      </c>
      <c r="AT3651">
        <v>0</v>
      </c>
      <c r="AU3651">
        <v>0</v>
      </c>
      <c r="AW3651">
        <v>0</v>
      </c>
      <c r="AX3651">
        <v>0</v>
      </c>
      <c r="AY3651">
        <v>70</v>
      </c>
      <c r="BC3651" t="str">
        <f t="shared" si="502"/>
        <v>9791137602663</v>
      </c>
      <c r="BE3651" t="str">
        <f t="shared" si="503"/>
        <v>판타지 웹소설 &gt; 퓨전 판타지</v>
      </c>
    </row>
    <row r="3652" spans="1:57" x14ac:dyDescent="0.3">
      <c r="A3652">
        <v>2313012849</v>
      </c>
      <c r="B3652">
        <v>2313013757</v>
      </c>
      <c r="C3652" t="str">
        <f>T("디버프 마스터 909화")</f>
        <v>디버프 마스터 909화</v>
      </c>
      <c r="D3652" t="str">
        <f>T("909")</f>
        <v>909</v>
      </c>
      <c r="E3652" t="str">
        <f t="shared" si="500"/>
        <v>담화공</v>
      </c>
      <c r="H3652" t="str">
        <f t="shared" si="499"/>
        <v>스토리위즈</v>
      </c>
      <c r="I3652" t="str">
        <f t="shared" si="501"/>
        <v>디버프 마스터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/>
      <c r="AQ3652">
        <v>0</v>
      </c>
      <c r="AR3652">
        <v>0</v>
      </c>
      <c r="AT3652">
        <v>0</v>
      </c>
      <c r="AU3652">
        <v>0</v>
      </c>
      <c r="AW3652">
        <v>0</v>
      </c>
      <c r="AX3652">
        <v>0</v>
      </c>
      <c r="AY3652">
        <v>70</v>
      </c>
      <c r="BC3652" t="str">
        <f t="shared" si="502"/>
        <v>9791137602663</v>
      </c>
      <c r="BE3652" t="str">
        <f t="shared" si="503"/>
        <v>판타지 웹소설 &gt; 퓨전 판타지</v>
      </c>
    </row>
    <row r="3653" spans="1:57" x14ac:dyDescent="0.3">
      <c r="A3653">
        <v>2313012849</v>
      </c>
      <c r="B3653">
        <v>2313013758</v>
      </c>
      <c r="C3653" t="str">
        <f>T("디버프 마스터 910화")</f>
        <v>디버프 마스터 910화</v>
      </c>
      <c r="D3653" t="str">
        <f>T("910")</f>
        <v>910</v>
      </c>
      <c r="E3653" t="str">
        <f t="shared" si="500"/>
        <v>담화공</v>
      </c>
      <c r="H3653" t="str">
        <f t="shared" si="499"/>
        <v>스토리위즈</v>
      </c>
      <c r="I3653" t="str">
        <f t="shared" si="501"/>
        <v>디버프 마스터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/>
      <c r="AQ3653">
        <v>0</v>
      </c>
      <c r="AR3653">
        <v>0</v>
      </c>
      <c r="AT3653">
        <v>0</v>
      </c>
      <c r="AU3653">
        <v>0</v>
      </c>
      <c r="AW3653">
        <v>0</v>
      </c>
      <c r="AX3653">
        <v>0</v>
      </c>
      <c r="AY3653">
        <v>70</v>
      </c>
      <c r="BC3653" t="str">
        <f t="shared" si="502"/>
        <v>9791137602663</v>
      </c>
      <c r="BE3653" t="str">
        <f t="shared" si="503"/>
        <v>판타지 웹소설 &gt; 퓨전 판타지</v>
      </c>
    </row>
    <row r="3654" spans="1:57" x14ac:dyDescent="0.3">
      <c r="A3654">
        <v>2313012849</v>
      </c>
      <c r="B3654">
        <v>2313013759</v>
      </c>
      <c r="C3654" t="str">
        <f>T("디버프 마스터 911화")</f>
        <v>디버프 마스터 911화</v>
      </c>
      <c r="D3654" t="str">
        <f>T("911")</f>
        <v>911</v>
      </c>
      <c r="E3654" t="str">
        <f t="shared" si="500"/>
        <v>담화공</v>
      </c>
      <c r="H3654" t="str">
        <f t="shared" si="499"/>
        <v>스토리위즈</v>
      </c>
      <c r="I3654" t="str">
        <f t="shared" si="501"/>
        <v>디버프 마스터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/>
      <c r="AQ3654">
        <v>0</v>
      </c>
      <c r="AR3654">
        <v>0</v>
      </c>
      <c r="AT3654">
        <v>0</v>
      </c>
      <c r="AU3654">
        <v>0</v>
      </c>
      <c r="AW3654">
        <v>0</v>
      </c>
      <c r="AX3654">
        <v>0</v>
      </c>
      <c r="AY3654">
        <v>70</v>
      </c>
      <c r="BC3654" t="str">
        <f t="shared" si="502"/>
        <v>9791137602663</v>
      </c>
      <c r="BE3654" t="str">
        <f t="shared" si="503"/>
        <v>판타지 웹소설 &gt; 퓨전 판타지</v>
      </c>
    </row>
    <row r="3655" spans="1:57" x14ac:dyDescent="0.3">
      <c r="A3655">
        <v>2313012849</v>
      </c>
      <c r="B3655">
        <v>2313013760</v>
      </c>
      <c r="C3655" t="str">
        <f>T("디버프 마스터 912화")</f>
        <v>디버프 마스터 912화</v>
      </c>
      <c r="D3655" t="str">
        <f>T("912")</f>
        <v>912</v>
      </c>
      <c r="E3655" t="str">
        <f t="shared" si="500"/>
        <v>담화공</v>
      </c>
      <c r="H3655" t="str">
        <f t="shared" si="499"/>
        <v>스토리위즈</v>
      </c>
      <c r="I3655" t="str">
        <f t="shared" si="501"/>
        <v>디버프 마스터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/>
      <c r="AQ3655">
        <v>0</v>
      </c>
      <c r="AR3655">
        <v>0</v>
      </c>
      <c r="AT3655">
        <v>0</v>
      </c>
      <c r="AU3655">
        <v>0</v>
      </c>
      <c r="AW3655">
        <v>0</v>
      </c>
      <c r="AX3655">
        <v>0</v>
      </c>
      <c r="AY3655">
        <v>70</v>
      </c>
      <c r="BC3655" t="str">
        <f t="shared" si="502"/>
        <v>9791137602663</v>
      </c>
      <c r="BE3655" t="str">
        <f t="shared" si="503"/>
        <v>판타지 웹소설 &gt; 퓨전 판타지</v>
      </c>
    </row>
    <row r="3656" spans="1:57" x14ac:dyDescent="0.3">
      <c r="A3656">
        <v>2313012849</v>
      </c>
      <c r="B3656">
        <v>2313013761</v>
      </c>
      <c r="C3656" t="str">
        <f>T("디버프 마스터 913화")</f>
        <v>디버프 마스터 913화</v>
      </c>
      <c r="D3656" t="str">
        <f>T("913")</f>
        <v>913</v>
      </c>
      <c r="E3656" t="str">
        <f t="shared" si="500"/>
        <v>담화공</v>
      </c>
      <c r="H3656" t="str">
        <f t="shared" si="499"/>
        <v>스토리위즈</v>
      </c>
      <c r="I3656" t="str">
        <f t="shared" si="501"/>
        <v>디버프 마스터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/>
      <c r="AQ3656">
        <v>0</v>
      </c>
      <c r="AR3656">
        <v>0</v>
      </c>
      <c r="AT3656">
        <v>0</v>
      </c>
      <c r="AU3656">
        <v>0</v>
      </c>
      <c r="AW3656">
        <v>0</v>
      </c>
      <c r="AX3656">
        <v>0</v>
      </c>
      <c r="AY3656">
        <v>70</v>
      </c>
      <c r="BC3656" t="str">
        <f t="shared" si="502"/>
        <v>9791137602663</v>
      </c>
      <c r="BE3656" t="str">
        <f t="shared" si="503"/>
        <v>판타지 웹소설 &gt; 퓨전 판타지</v>
      </c>
    </row>
    <row r="3657" spans="1:57" x14ac:dyDescent="0.3">
      <c r="A3657">
        <v>2313012849</v>
      </c>
      <c r="B3657">
        <v>2313013762</v>
      </c>
      <c r="C3657" t="str">
        <f>T("디버프 마스터 914화")</f>
        <v>디버프 마스터 914화</v>
      </c>
      <c r="D3657" t="str">
        <f>T("914")</f>
        <v>914</v>
      </c>
      <c r="E3657" t="str">
        <f t="shared" si="500"/>
        <v>담화공</v>
      </c>
      <c r="H3657" t="str">
        <f t="shared" si="499"/>
        <v>스토리위즈</v>
      </c>
      <c r="I3657" t="str">
        <f t="shared" si="501"/>
        <v>디버프 마스터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/>
      <c r="AQ3657">
        <v>0</v>
      </c>
      <c r="AR3657">
        <v>0</v>
      </c>
      <c r="AT3657">
        <v>0</v>
      </c>
      <c r="AU3657">
        <v>0</v>
      </c>
      <c r="AW3657">
        <v>0</v>
      </c>
      <c r="AX3657">
        <v>0</v>
      </c>
      <c r="AY3657">
        <v>70</v>
      </c>
      <c r="BC3657" t="str">
        <f t="shared" si="502"/>
        <v>9791137602663</v>
      </c>
      <c r="BE3657" t="str">
        <f t="shared" si="503"/>
        <v>판타지 웹소설 &gt; 퓨전 판타지</v>
      </c>
    </row>
    <row r="3658" spans="1:57" x14ac:dyDescent="0.3">
      <c r="A3658">
        <v>2313012849</v>
      </c>
      <c r="B3658">
        <v>2313013763</v>
      </c>
      <c r="C3658" t="str">
        <f>T("디버프 마스터 915화")</f>
        <v>디버프 마스터 915화</v>
      </c>
      <c r="D3658" t="str">
        <f>T("915")</f>
        <v>915</v>
      </c>
      <c r="E3658" t="str">
        <f t="shared" si="500"/>
        <v>담화공</v>
      </c>
      <c r="H3658" t="str">
        <f t="shared" si="499"/>
        <v>스토리위즈</v>
      </c>
      <c r="I3658" t="str">
        <f t="shared" si="501"/>
        <v>디버프 마스터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/>
      <c r="AQ3658">
        <v>0</v>
      </c>
      <c r="AR3658">
        <v>0</v>
      </c>
      <c r="AT3658">
        <v>0</v>
      </c>
      <c r="AU3658">
        <v>0</v>
      </c>
      <c r="AW3658">
        <v>0</v>
      </c>
      <c r="AX3658">
        <v>0</v>
      </c>
      <c r="AY3658">
        <v>70</v>
      </c>
      <c r="BC3658" t="str">
        <f t="shared" si="502"/>
        <v>9791137602663</v>
      </c>
      <c r="BE3658" t="str">
        <f t="shared" si="503"/>
        <v>판타지 웹소설 &gt; 퓨전 판타지</v>
      </c>
    </row>
    <row r="3659" spans="1:57" x14ac:dyDescent="0.3">
      <c r="A3659">
        <v>2313012849</v>
      </c>
      <c r="B3659">
        <v>2313013764</v>
      </c>
      <c r="C3659" t="str">
        <f>T("디버프 마스터 916화")</f>
        <v>디버프 마스터 916화</v>
      </c>
      <c r="D3659" t="str">
        <f>T("916")</f>
        <v>916</v>
      </c>
      <c r="E3659" t="str">
        <f t="shared" si="500"/>
        <v>담화공</v>
      </c>
      <c r="H3659" t="str">
        <f t="shared" si="499"/>
        <v>스토리위즈</v>
      </c>
      <c r="I3659" t="str">
        <f t="shared" si="501"/>
        <v>디버프 마스터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/>
      <c r="AQ3659">
        <v>0</v>
      </c>
      <c r="AR3659">
        <v>0</v>
      </c>
      <c r="AT3659">
        <v>0</v>
      </c>
      <c r="AU3659">
        <v>0</v>
      </c>
      <c r="AW3659">
        <v>0</v>
      </c>
      <c r="AX3659">
        <v>0</v>
      </c>
      <c r="AY3659">
        <v>70</v>
      </c>
      <c r="BC3659" t="str">
        <f t="shared" si="502"/>
        <v>9791137602663</v>
      </c>
      <c r="BE3659" t="str">
        <f t="shared" si="503"/>
        <v>판타지 웹소설 &gt; 퓨전 판타지</v>
      </c>
    </row>
    <row r="3660" spans="1:57" x14ac:dyDescent="0.3">
      <c r="A3660">
        <v>2313012849</v>
      </c>
      <c r="B3660">
        <v>2313013765</v>
      </c>
      <c r="C3660" t="str">
        <f>T("디버프 마스터 917화")</f>
        <v>디버프 마스터 917화</v>
      </c>
      <c r="D3660" t="str">
        <f>T("917")</f>
        <v>917</v>
      </c>
      <c r="E3660" t="str">
        <f t="shared" si="500"/>
        <v>담화공</v>
      </c>
      <c r="H3660" t="str">
        <f t="shared" si="499"/>
        <v>스토리위즈</v>
      </c>
      <c r="I3660" t="str">
        <f t="shared" si="501"/>
        <v>디버프 마스터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/>
      <c r="AQ3660">
        <v>0</v>
      </c>
      <c r="AR3660">
        <v>0</v>
      </c>
      <c r="AT3660">
        <v>0</v>
      </c>
      <c r="AU3660">
        <v>0</v>
      </c>
      <c r="AW3660">
        <v>0</v>
      </c>
      <c r="AX3660">
        <v>0</v>
      </c>
      <c r="AY3660">
        <v>70</v>
      </c>
      <c r="BC3660" t="str">
        <f t="shared" si="502"/>
        <v>9791137602663</v>
      </c>
      <c r="BE3660" t="str">
        <f t="shared" si="503"/>
        <v>판타지 웹소설 &gt; 퓨전 판타지</v>
      </c>
    </row>
    <row r="3661" spans="1:57" x14ac:dyDescent="0.3">
      <c r="A3661">
        <v>2313012849</v>
      </c>
      <c r="B3661">
        <v>2313013766</v>
      </c>
      <c r="C3661" t="str">
        <f>T("디버프 마스터 918화")</f>
        <v>디버프 마스터 918화</v>
      </c>
      <c r="D3661" t="str">
        <f>T("918")</f>
        <v>918</v>
      </c>
      <c r="E3661" t="str">
        <f t="shared" si="500"/>
        <v>담화공</v>
      </c>
      <c r="H3661" t="str">
        <f t="shared" si="499"/>
        <v>스토리위즈</v>
      </c>
      <c r="I3661" t="str">
        <f t="shared" si="501"/>
        <v>디버프 마스터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/>
      <c r="AQ3661">
        <v>0</v>
      </c>
      <c r="AR3661">
        <v>0</v>
      </c>
      <c r="AT3661">
        <v>0</v>
      </c>
      <c r="AU3661">
        <v>0</v>
      </c>
      <c r="AW3661">
        <v>0</v>
      </c>
      <c r="AX3661">
        <v>0</v>
      </c>
      <c r="AY3661">
        <v>70</v>
      </c>
      <c r="BC3661" t="str">
        <f t="shared" si="502"/>
        <v>9791137602663</v>
      </c>
      <c r="BE3661" t="str">
        <f t="shared" si="503"/>
        <v>판타지 웹소설 &gt; 퓨전 판타지</v>
      </c>
    </row>
    <row r="3662" spans="1:57" x14ac:dyDescent="0.3">
      <c r="A3662">
        <v>2313012849</v>
      </c>
      <c r="B3662">
        <v>2313013767</v>
      </c>
      <c r="C3662" t="str">
        <f>T("디버프 마스터 919화")</f>
        <v>디버프 마스터 919화</v>
      </c>
      <c r="D3662" t="str">
        <f>T("919")</f>
        <v>919</v>
      </c>
      <c r="E3662" t="str">
        <f t="shared" si="500"/>
        <v>담화공</v>
      </c>
      <c r="H3662" t="str">
        <f t="shared" si="499"/>
        <v>스토리위즈</v>
      </c>
      <c r="I3662" t="str">
        <f t="shared" si="501"/>
        <v>디버프 마스터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/>
      <c r="AQ3662">
        <v>0</v>
      </c>
      <c r="AR3662">
        <v>0</v>
      </c>
      <c r="AT3662">
        <v>0</v>
      </c>
      <c r="AU3662">
        <v>0</v>
      </c>
      <c r="AW3662">
        <v>0</v>
      </c>
      <c r="AX3662">
        <v>0</v>
      </c>
      <c r="AY3662">
        <v>70</v>
      </c>
      <c r="BC3662" t="str">
        <f t="shared" si="502"/>
        <v>9791137602663</v>
      </c>
      <c r="BE3662" t="str">
        <f t="shared" si="503"/>
        <v>판타지 웹소설 &gt; 퓨전 판타지</v>
      </c>
    </row>
    <row r="3663" spans="1:57" x14ac:dyDescent="0.3">
      <c r="A3663">
        <v>2313012849</v>
      </c>
      <c r="B3663">
        <v>2313013768</v>
      </c>
      <c r="C3663" t="str">
        <f>T("디버프 마스터 920화")</f>
        <v>디버프 마스터 920화</v>
      </c>
      <c r="D3663" t="str">
        <f>T("920")</f>
        <v>920</v>
      </c>
      <c r="E3663" t="str">
        <f t="shared" si="500"/>
        <v>담화공</v>
      </c>
      <c r="H3663" t="str">
        <f t="shared" si="499"/>
        <v>스토리위즈</v>
      </c>
      <c r="I3663" t="str">
        <f t="shared" si="501"/>
        <v>디버프 마스터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/>
      <c r="AQ3663">
        <v>0</v>
      </c>
      <c r="AR3663">
        <v>0</v>
      </c>
      <c r="AT3663">
        <v>0</v>
      </c>
      <c r="AU3663">
        <v>0</v>
      </c>
      <c r="AW3663">
        <v>0</v>
      </c>
      <c r="AX3663">
        <v>0</v>
      </c>
      <c r="AY3663">
        <v>70</v>
      </c>
      <c r="BC3663" t="str">
        <f t="shared" si="502"/>
        <v>9791137602663</v>
      </c>
      <c r="BE3663" t="str">
        <f t="shared" si="503"/>
        <v>판타지 웹소설 &gt; 퓨전 판타지</v>
      </c>
    </row>
    <row r="3664" spans="1:57" x14ac:dyDescent="0.3">
      <c r="A3664">
        <v>2313012849</v>
      </c>
      <c r="B3664">
        <v>2313013769</v>
      </c>
      <c r="C3664" t="str">
        <f>T("디버프 마스터 921화")</f>
        <v>디버프 마스터 921화</v>
      </c>
      <c r="D3664" t="str">
        <f>T("921")</f>
        <v>921</v>
      </c>
      <c r="E3664" t="str">
        <f t="shared" si="500"/>
        <v>담화공</v>
      </c>
      <c r="H3664" t="str">
        <f t="shared" si="499"/>
        <v>스토리위즈</v>
      </c>
      <c r="I3664" t="str">
        <f t="shared" si="501"/>
        <v>디버프 마스터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/>
      <c r="AQ3664">
        <v>0</v>
      </c>
      <c r="AR3664">
        <v>0</v>
      </c>
      <c r="AT3664">
        <v>0</v>
      </c>
      <c r="AU3664">
        <v>0</v>
      </c>
      <c r="AW3664">
        <v>0</v>
      </c>
      <c r="AX3664">
        <v>0</v>
      </c>
      <c r="AY3664">
        <v>70</v>
      </c>
      <c r="BC3664" t="str">
        <f t="shared" si="502"/>
        <v>9791137602663</v>
      </c>
      <c r="BE3664" t="str">
        <f t="shared" si="503"/>
        <v>판타지 웹소설 &gt; 퓨전 판타지</v>
      </c>
    </row>
    <row r="3665" spans="1:57" x14ac:dyDescent="0.3">
      <c r="A3665">
        <v>2313012849</v>
      </c>
      <c r="B3665">
        <v>2313013770</v>
      </c>
      <c r="C3665" t="str">
        <f>T("디버프 마스터 922화")</f>
        <v>디버프 마스터 922화</v>
      </c>
      <c r="D3665" t="str">
        <f>T("922")</f>
        <v>922</v>
      </c>
      <c r="E3665" t="str">
        <f t="shared" si="500"/>
        <v>담화공</v>
      </c>
      <c r="H3665" t="str">
        <f t="shared" si="499"/>
        <v>스토리위즈</v>
      </c>
      <c r="I3665" t="str">
        <f t="shared" si="501"/>
        <v>디버프 마스터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/>
      <c r="AQ3665">
        <v>0</v>
      </c>
      <c r="AR3665">
        <v>0</v>
      </c>
      <c r="AT3665">
        <v>0</v>
      </c>
      <c r="AU3665">
        <v>0</v>
      </c>
      <c r="AW3665">
        <v>0</v>
      </c>
      <c r="AX3665">
        <v>0</v>
      </c>
      <c r="AY3665">
        <v>70</v>
      </c>
      <c r="BC3665" t="str">
        <f t="shared" si="502"/>
        <v>9791137602663</v>
      </c>
      <c r="BE3665" t="str">
        <f t="shared" si="503"/>
        <v>판타지 웹소설 &gt; 퓨전 판타지</v>
      </c>
    </row>
    <row r="3666" spans="1:57" x14ac:dyDescent="0.3">
      <c r="A3666">
        <v>2313012849</v>
      </c>
      <c r="B3666">
        <v>2313013771</v>
      </c>
      <c r="C3666" t="str">
        <f>T("디버프 마스터 923화")</f>
        <v>디버프 마스터 923화</v>
      </c>
      <c r="D3666" t="str">
        <f>T("923")</f>
        <v>923</v>
      </c>
      <c r="E3666" t="str">
        <f t="shared" si="500"/>
        <v>담화공</v>
      </c>
      <c r="H3666" t="str">
        <f t="shared" si="499"/>
        <v>스토리위즈</v>
      </c>
      <c r="I3666" t="str">
        <f t="shared" si="501"/>
        <v>디버프 마스터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/>
      <c r="AQ3666">
        <v>0</v>
      </c>
      <c r="AR3666">
        <v>0</v>
      </c>
      <c r="AT3666">
        <v>0</v>
      </c>
      <c r="AU3666">
        <v>0</v>
      </c>
      <c r="AW3666">
        <v>0</v>
      </c>
      <c r="AX3666">
        <v>0</v>
      </c>
      <c r="AY3666">
        <v>70</v>
      </c>
      <c r="BC3666" t="str">
        <f t="shared" si="502"/>
        <v>9791137602663</v>
      </c>
      <c r="BE3666" t="str">
        <f t="shared" si="503"/>
        <v>판타지 웹소설 &gt; 퓨전 판타지</v>
      </c>
    </row>
    <row r="3667" spans="1:57" x14ac:dyDescent="0.3">
      <c r="A3667">
        <v>2313012849</v>
      </c>
      <c r="B3667">
        <v>2313013772</v>
      </c>
      <c r="C3667" t="str">
        <f>T("디버프 마스터 924화")</f>
        <v>디버프 마스터 924화</v>
      </c>
      <c r="D3667" t="str">
        <f>T("924")</f>
        <v>924</v>
      </c>
      <c r="E3667" t="str">
        <f t="shared" si="500"/>
        <v>담화공</v>
      </c>
      <c r="H3667" t="str">
        <f t="shared" si="499"/>
        <v>스토리위즈</v>
      </c>
      <c r="I3667" t="str">
        <f t="shared" si="501"/>
        <v>디버프 마스터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/>
      <c r="AQ3667">
        <v>0</v>
      </c>
      <c r="AR3667">
        <v>0</v>
      </c>
      <c r="AT3667">
        <v>0</v>
      </c>
      <c r="AU3667">
        <v>0</v>
      </c>
      <c r="AW3667">
        <v>0</v>
      </c>
      <c r="AX3667">
        <v>0</v>
      </c>
      <c r="AY3667">
        <v>70</v>
      </c>
      <c r="BC3667" t="str">
        <f t="shared" si="502"/>
        <v>9791137602663</v>
      </c>
      <c r="BE3667" t="str">
        <f t="shared" si="503"/>
        <v>판타지 웹소설 &gt; 퓨전 판타지</v>
      </c>
    </row>
    <row r="3668" spans="1:57" x14ac:dyDescent="0.3">
      <c r="A3668">
        <v>2313012849</v>
      </c>
      <c r="B3668">
        <v>2313013773</v>
      </c>
      <c r="C3668" t="str">
        <f>T("디버프 마스터 925화")</f>
        <v>디버프 마스터 925화</v>
      </c>
      <c r="D3668" t="str">
        <f>T("925")</f>
        <v>925</v>
      </c>
      <c r="E3668" t="str">
        <f t="shared" si="500"/>
        <v>담화공</v>
      </c>
      <c r="H3668" t="str">
        <f t="shared" si="499"/>
        <v>스토리위즈</v>
      </c>
      <c r="I3668" t="str">
        <f t="shared" si="501"/>
        <v>디버프 마스터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/>
      <c r="AQ3668">
        <v>0</v>
      </c>
      <c r="AR3668">
        <v>0</v>
      </c>
      <c r="AT3668">
        <v>0</v>
      </c>
      <c r="AU3668">
        <v>0</v>
      </c>
      <c r="AW3668">
        <v>0</v>
      </c>
      <c r="AX3668">
        <v>0</v>
      </c>
      <c r="AY3668">
        <v>70</v>
      </c>
      <c r="BC3668" t="str">
        <f t="shared" si="502"/>
        <v>9791137602663</v>
      </c>
      <c r="BE3668" t="str">
        <f t="shared" si="503"/>
        <v>판타지 웹소설 &gt; 퓨전 판타지</v>
      </c>
    </row>
    <row r="3669" spans="1:57" x14ac:dyDescent="0.3">
      <c r="A3669">
        <v>2313012849</v>
      </c>
      <c r="B3669">
        <v>2313013774</v>
      </c>
      <c r="C3669" t="str">
        <f>T("디버프 마스터 926화")</f>
        <v>디버프 마스터 926화</v>
      </c>
      <c r="D3669" t="str">
        <f>T("926")</f>
        <v>926</v>
      </c>
      <c r="E3669" t="str">
        <f t="shared" si="500"/>
        <v>담화공</v>
      </c>
      <c r="H3669" t="str">
        <f t="shared" si="499"/>
        <v>스토리위즈</v>
      </c>
      <c r="I3669" t="str">
        <f t="shared" si="501"/>
        <v>디버프 마스터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/>
      <c r="AQ3669">
        <v>0</v>
      </c>
      <c r="AR3669">
        <v>0</v>
      </c>
      <c r="AT3669">
        <v>0</v>
      </c>
      <c r="AU3669">
        <v>0</v>
      </c>
      <c r="AW3669">
        <v>0</v>
      </c>
      <c r="AX3669">
        <v>0</v>
      </c>
      <c r="AY3669">
        <v>70</v>
      </c>
      <c r="BC3669" t="str">
        <f t="shared" si="502"/>
        <v>9791137602663</v>
      </c>
      <c r="BE3669" t="str">
        <f t="shared" si="503"/>
        <v>판타지 웹소설 &gt; 퓨전 판타지</v>
      </c>
    </row>
    <row r="3670" spans="1:57" x14ac:dyDescent="0.3">
      <c r="A3670">
        <v>2313012849</v>
      </c>
      <c r="B3670">
        <v>2313013775</v>
      </c>
      <c r="C3670" t="str">
        <f>T("디버프 마스터 927화")</f>
        <v>디버프 마스터 927화</v>
      </c>
      <c r="D3670" t="str">
        <f>T("927")</f>
        <v>927</v>
      </c>
      <c r="E3670" t="str">
        <f t="shared" si="500"/>
        <v>담화공</v>
      </c>
      <c r="H3670" t="str">
        <f t="shared" si="499"/>
        <v>스토리위즈</v>
      </c>
      <c r="I3670" t="str">
        <f t="shared" si="501"/>
        <v>디버프 마스터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/>
      <c r="AQ3670">
        <v>0</v>
      </c>
      <c r="AR3670">
        <v>0</v>
      </c>
      <c r="AT3670">
        <v>0</v>
      </c>
      <c r="AU3670">
        <v>0</v>
      </c>
      <c r="AW3670">
        <v>0</v>
      </c>
      <c r="AX3670">
        <v>0</v>
      </c>
      <c r="AY3670">
        <v>70</v>
      </c>
      <c r="BC3670" t="str">
        <f t="shared" si="502"/>
        <v>9791137602663</v>
      </c>
      <c r="BE3670" t="str">
        <f t="shared" si="503"/>
        <v>판타지 웹소설 &gt; 퓨전 판타지</v>
      </c>
    </row>
    <row r="3671" spans="1:57" x14ac:dyDescent="0.3">
      <c r="A3671">
        <v>2313012849</v>
      </c>
      <c r="B3671">
        <v>2313013776</v>
      </c>
      <c r="C3671" t="str">
        <f>T("디버프 마스터 928화")</f>
        <v>디버프 마스터 928화</v>
      </c>
      <c r="D3671" t="str">
        <f>T("928")</f>
        <v>928</v>
      </c>
      <c r="E3671" t="str">
        <f t="shared" si="500"/>
        <v>담화공</v>
      </c>
      <c r="H3671" t="str">
        <f t="shared" ref="H3671:H3734" si="504">T("스토리위즈")</f>
        <v>스토리위즈</v>
      </c>
      <c r="I3671" t="str">
        <f t="shared" si="501"/>
        <v>디버프 마스터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/>
      <c r="AQ3671">
        <v>0</v>
      </c>
      <c r="AR3671">
        <v>0</v>
      </c>
      <c r="AT3671">
        <v>0</v>
      </c>
      <c r="AU3671">
        <v>0</v>
      </c>
      <c r="AW3671">
        <v>0</v>
      </c>
      <c r="AX3671">
        <v>0</v>
      </c>
      <c r="AY3671">
        <v>70</v>
      </c>
      <c r="BC3671" t="str">
        <f t="shared" si="502"/>
        <v>9791137602663</v>
      </c>
      <c r="BE3671" t="str">
        <f t="shared" si="503"/>
        <v>판타지 웹소설 &gt; 퓨전 판타지</v>
      </c>
    </row>
    <row r="3672" spans="1:57" x14ac:dyDescent="0.3">
      <c r="A3672">
        <v>2313012849</v>
      </c>
      <c r="B3672">
        <v>2313013777</v>
      </c>
      <c r="C3672" t="str">
        <f>T("디버프 마스터 929화")</f>
        <v>디버프 마스터 929화</v>
      </c>
      <c r="D3672" t="str">
        <f>T("929")</f>
        <v>929</v>
      </c>
      <c r="E3672" t="str">
        <f t="shared" si="500"/>
        <v>담화공</v>
      </c>
      <c r="H3672" t="str">
        <f t="shared" si="504"/>
        <v>스토리위즈</v>
      </c>
      <c r="I3672" t="str">
        <f t="shared" si="501"/>
        <v>디버프 마스터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/>
      <c r="AQ3672">
        <v>0</v>
      </c>
      <c r="AR3672">
        <v>0</v>
      </c>
      <c r="AT3672">
        <v>0</v>
      </c>
      <c r="AU3672">
        <v>0</v>
      </c>
      <c r="AW3672">
        <v>0</v>
      </c>
      <c r="AX3672">
        <v>0</v>
      </c>
      <c r="AY3672">
        <v>70</v>
      </c>
      <c r="BC3672" t="str">
        <f t="shared" si="502"/>
        <v>9791137602663</v>
      </c>
      <c r="BE3672" t="str">
        <f t="shared" si="503"/>
        <v>판타지 웹소설 &gt; 퓨전 판타지</v>
      </c>
    </row>
    <row r="3673" spans="1:57" x14ac:dyDescent="0.3">
      <c r="A3673">
        <v>2313012849</v>
      </c>
      <c r="B3673">
        <v>2313013778</v>
      </c>
      <c r="C3673" t="str">
        <f>T("디버프 마스터 930화")</f>
        <v>디버프 마스터 930화</v>
      </c>
      <c r="D3673" t="str">
        <f>T("930")</f>
        <v>930</v>
      </c>
      <c r="E3673" t="str">
        <f t="shared" si="500"/>
        <v>담화공</v>
      </c>
      <c r="H3673" t="str">
        <f t="shared" si="504"/>
        <v>스토리위즈</v>
      </c>
      <c r="I3673" t="str">
        <f t="shared" si="501"/>
        <v>디버프 마스터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/>
      <c r="AQ3673">
        <v>0</v>
      </c>
      <c r="AR3673">
        <v>0</v>
      </c>
      <c r="AT3673">
        <v>0</v>
      </c>
      <c r="AU3673">
        <v>0</v>
      </c>
      <c r="AW3673">
        <v>0</v>
      </c>
      <c r="AX3673">
        <v>0</v>
      </c>
      <c r="AY3673">
        <v>70</v>
      </c>
      <c r="BC3673" t="str">
        <f t="shared" si="502"/>
        <v>9791137602663</v>
      </c>
      <c r="BE3673" t="str">
        <f t="shared" si="503"/>
        <v>판타지 웹소설 &gt; 퓨전 판타지</v>
      </c>
    </row>
    <row r="3674" spans="1:57" x14ac:dyDescent="0.3">
      <c r="A3674">
        <v>2313012849</v>
      </c>
      <c r="B3674">
        <v>2313013779</v>
      </c>
      <c r="C3674" t="str">
        <f>T("디버프 마스터 931화")</f>
        <v>디버프 마스터 931화</v>
      </c>
      <c r="D3674" t="str">
        <f>T("931")</f>
        <v>931</v>
      </c>
      <c r="E3674" t="str">
        <f t="shared" si="500"/>
        <v>담화공</v>
      </c>
      <c r="H3674" t="str">
        <f t="shared" si="504"/>
        <v>스토리위즈</v>
      </c>
      <c r="I3674" t="str">
        <f t="shared" si="501"/>
        <v>디버프 마스터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/>
      <c r="AQ3674">
        <v>0</v>
      </c>
      <c r="AR3674">
        <v>0</v>
      </c>
      <c r="AT3674">
        <v>0</v>
      </c>
      <c r="AU3674">
        <v>0</v>
      </c>
      <c r="AW3674">
        <v>0</v>
      </c>
      <c r="AX3674">
        <v>0</v>
      </c>
      <c r="AY3674">
        <v>70</v>
      </c>
      <c r="BC3674" t="str">
        <f t="shared" si="502"/>
        <v>9791137602663</v>
      </c>
      <c r="BE3674" t="str">
        <f t="shared" si="503"/>
        <v>판타지 웹소설 &gt; 퓨전 판타지</v>
      </c>
    </row>
    <row r="3675" spans="1:57" x14ac:dyDescent="0.3">
      <c r="A3675">
        <v>2313012849</v>
      </c>
      <c r="B3675">
        <v>2313013780</v>
      </c>
      <c r="C3675" t="str">
        <f>T("디버프 마스터 932화")</f>
        <v>디버프 마스터 932화</v>
      </c>
      <c r="D3675" t="str">
        <f>T("932")</f>
        <v>932</v>
      </c>
      <c r="E3675" t="str">
        <f t="shared" si="500"/>
        <v>담화공</v>
      </c>
      <c r="H3675" t="str">
        <f t="shared" si="504"/>
        <v>스토리위즈</v>
      </c>
      <c r="I3675" t="str">
        <f t="shared" si="501"/>
        <v>디버프 마스터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/>
      <c r="AQ3675">
        <v>0</v>
      </c>
      <c r="AR3675">
        <v>0</v>
      </c>
      <c r="AT3675">
        <v>0</v>
      </c>
      <c r="AU3675">
        <v>0</v>
      </c>
      <c r="AW3675">
        <v>0</v>
      </c>
      <c r="AX3675">
        <v>0</v>
      </c>
      <c r="AY3675">
        <v>70</v>
      </c>
      <c r="BC3675" t="str">
        <f t="shared" si="502"/>
        <v>9791137602663</v>
      </c>
      <c r="BE3675" t="str">
        <f t="shared" si="503"/>
        <v>판타지 웹소설 &gt; 퓨전 판타지</v>
      </c>
    </row>
    <row r="3676" spans="1:57" x14ac:dyDescent="0.3">
      <c r="A3676">
        <v>2313012849</v>
      </c>
      <c r="B3676">
        <v>2313013781</v>
      </c>
      <c r="C3676" t="str">
        <f>T("디버프 마스터 933화")</f>
        <v>디버프 마스터 933화</v>
      </c>
      <c r="D3676" t="str">
        <f>T("933")</f>
        <v>933</v>
      </c>
      <c r="E3676" t="str">
        <f t="shared" si="500"/>
        <v>담화공</v>
      </c>
      <c r="H3676" t="str">
        <f t="shared" si="504"/>
        <v>스토리위즈</v>
      </c>
      <c r="I3676" t="str">
        <f t="shared" si="501"/>
        <v>디버프 마스터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/>
      <c r="AQ3676">
        <v>0</v>
      </c>
      <c r="AR3676">
        <v>0</v>
      </c>
      <c r="AT3676">
        <v>0</v>
      </c>
      <c r="AU3676">
        <v>0</v>
      </c>
      <c r="AW3676">
        <v>0</v>
      </c>
      <c r="AX3676">
        <v>0</v>
      </c>
      <c r="AY3676">
        <v>70</v>
      </c>
      <c r="BC3676" t="str">
        <f t="shared" si="502"/>
        <v>9791137602663</v>
      </c>
      <c r="BE3676" t="str">
        <f t="shared" si="503"/>
        <v>판타지 웹소설 &gt; 퓨전 판타지</v>
      </c>
    </row>
    <row r="3677" spans="1:57" x14ac:dyDescent="0.3">
      <c r="A3677">
        <v>2313012849</v>
      </c>
      <c r="B3677">
        <v>2313013782</v>
      </c>
      <c r="C3677" t="str">
        <f>T("디버프 마스터 934화")</f>
        <v>디버프 마스터 934화</v>
      </c>
      <c r="D3677" t="str">
        <f>T("934")</f>
        <v>934</v>
      </c>
      <c r="E3677" t="str">
        <f t="shared" ref="E3677:E3740" si="505">T("담화공")</f>
        <v>담화공</v>
      </c>
      <c r="H3677" t="str">
        <f t="shared" si="504"/>
        <v>스토리위즈</v>
      </c>
      <c r="I3677" t="str">
        <f t="shared" ref="I3677:I3740" si="506">T("디버프 마스터")</f>
        <v>디버프 마스터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/>
      <c r="AQ3677">
        <v>0</v>
      </c>
      <c r="AR3677">
        <v>0</v>
      </c>
      <c r="AT3677">
        <v>0</v>
      </c>
      <c r="AU3677">
        <v>0</v>
      </c>
      <c r="AW3677">
        <v>0</v>
      </c>
      <c r="AX3677">
        <v>0</v>
      </c>
      <c r="AY3677">
        <v>70</v>
      </c>
      <c r="BC3677" t="str">
        <f t="shared" ref="BC3677:BC3740" si="507">T("9791137602663")</f>
        <v>9791137602663</v>
      </c>
      <c r="BE3677" t="str">
        <f t="shared" ref="BE3677:BE3740" si="508">T("판타지 웹소설 &gt; 퓨전 판타지")</f>
        <v>판타지 웹소설 &gt; 퓨전 판타지</v>
      </c>
    </row>
    <row r="3678" spans="1:57" x14ac:dyDescent="0.3">
      <c r="A3678">
        <v>2313012849</v>
      </c>
      <c r="B3678">
        <v>2313013783</v>
      </c>
      <c r="C3678" t="str">
        <f>T("디버프 마스터 935화")</f>
        <v>디버프 마스터 935화</v>
      </c>
      <c r="D3678" t="str">
        <f>T("935")</f>
        <v>935</v>
      </c>
      <c r="E3678" t="str">
        <f t="shared" si="505"/>
        <v>담화공</v>
      </c>
      <c r="H3678" t="str">
        <f t="shared" si="504"/>
        <v>스토리위즈</v>
      </c>
      <c r="I3678" t="str">
        <f t="shared" si="506"/>
        <v>디버프 마스터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/>
      <c r="AQ3678">
        <v>0</v>
      </c>
      <c r="AR3678">
        <v>0</v>
      </c>
      <c r="AT3678">
        <v>0</v>
      </c>
      <c r="AU3678">
        <v>0</v>
      </c>
      <c r="AW3678">
        <v>0</v>
      </c>
      <c r="AX3678">
        <v>0</v>
      </c>
      <c r="AY3678">
        <v>70</v>
      </c>
      <c r="BC3678" t="str">
        <f t="shared" si="507"/>
        <v>9791137602663</v>
      </c>
      <c r="BE3678" t="str">
        <f t="shared" si="508"/>
        <v>판타지 웹소설 &gt; 퓨전 판타지</v>
      </c>
    </row>
    <row r="3679" spans="1:57" x14ac:dyDescent="0.3">
      <c r="A3679">
        <v>2313012849</v>
      </c>
      <c r="B3679">
        <v>2313013784</v>
      </c>
      <c r="C3679" t="str">
        <f>T("디버프 마스터 936화")</f>
        <v>디버프 마스터 936화</v>
      </c>
      <c r="D3679" t="str">
        <f>T("936")</f>
        <v>936</v>
      </c>
      <c r="E3679" t="str">
        <f t="shared" si="505"/>
        <v>담화공</v>
      </c>
      <c r="H3679" t="str">
        <f t="shared" si="504"/>
        <v>스토리위즈</v>
      </c>
      <c r="I3679" t="str">
        <f t="shared" si="506"/>
        <v>디버프 마스터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/>
      <c r="AQ3679">
        <v>0</v>
      </c>
      <c r="AR3679">
        <v>0</v>
      </c>
      <c r="AT3679">
        <v>0</v>
      </c>
      <c r="AU3679">
        <v>0</v>
      </c>
      <c r="AW3679">
        <v>0</v>
      </c>
      <c r="AX3679">
        <v>0</v>
      </c>
      <c r="AY3679">
        <v>70</v>
      </c>
      <c r="BC3679" t="str">
        <f t="shared" si="507"/>
        <v>9791137602663</v>
      </c>
      <c r="BE3679" t="str">
        <f t="shared" si="508"/>
        <v>판타지 웹소설 &gt; 퓨전 판타지</v>
      </c>
    </row>
    <row r="3680" spans="1:57" x14ac:dyDescent="0.3">
      <c r="A3680">
        <v>2313012849</v>
      </c>
      <c r="B3680">
        <v>2313013785</v>
      </c>
      <c r="C3680" t="str">
        <f>T("디버프 마스터 937화")</f>
        <v>디버프 마스터 937화</v>
      </c>
      <c r="D3680" t="str">
        <f>T("937")</f>
        <v>937</v>
      </c>
      <c r="E3680" t="str">
        <f t="shared" si="505"/>
        <v>담화공</v>
      </c>
      <c r="H3680" t="str">
        <f t="shared" si="504"/>
        <v>스토리위즈</v>
      </c>
      <c r="I3680" t="str">
        <f t="shared" si="506"/>
        <v>디버프 마스터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/>
      <c r="AQ3680">
        <v>0</v>
      </c>
      <c r="AR3680">
        <v>0</v>
      </c>
      <c r="AT3680">
        <v>0</v>
      </c>
      <c r="AU3680">
        <v>0</v>
      </c>
      <c r="AW3680">
        <v>0</v>
      </c>
      <c r="AX3680">
        <v>0</v>
      </c>
      <c r="AY3680">
        <v>70</v>
      </c>
      <c r="BC3680" t="str">
        <f t="shared" si="507"/>
        <v>9791137602663</v>
      </c>
      <c r="BE3680" t="str">
        <f t="shared" si="508"/>
        <v>판타지 웹소설 &gt; 퓨전 판타지</v>
      </c>
    </row>
    <row r="3681" spans="1:57" x14ac:dyDescent="0.3">
      <c r="A3681">
        <v>2313012849</v>
      </c>
      <c r="B3681">
        <v>2313013786</v>
      </c>
      <c r="C3681" t="str">
        <f>T("디버프 마스터 938화")</f>
        <v>디버프 마스터 938화</v>
      </c>
      <c r="D3681" t="str">
        <f>T("938")</f>
        <v>938</v>
      </c>
      <c r="E3681" t="str">
        <f t="shared" si="505"/>
        <v>담화공</v>
      </c>
      <c r="H3681" t="str">
        <f t="shared" si="504"/>
        <v>스토리위즈</v>
      </c>
      <c r="I3681" t="str">
        <f t="shared" si="506"/>
        <v>디버프 마스터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/>
      <c r="AQ3681">
        <v>0</v>
      </c>
      <c r="AR3681">
        <v>0</v>
      </c>
      <c r="AT3681">
        <v>0</v>
      </c>
      <c r="AU3681">
        <v>0</v>
      </c>
      <c r="AW3681">
        <v>0</v>
      </c>
      <c r="AX3681">
        <v>0</v>
      </c>
      <c r="AY3681">
        <v>70</v>
      </c>
      <c r="BC3681" t="str">
        <f t="shared" si="507"/>
        <v>9791137602663</v>
      </c>
      <c r="BE3681" t="str">
        <f t="shared" si="508"/>
        <v>판타지 웹소설 &gt; 퓨전 판타지</v>
      </c>
    </row>
    <row r="3682" spans="1:57" x14ac:dyDescent="0.3">
      <c r="A3682">
        <v>2313012849</v>
      </c>
      <c r="B3682">
        <v>2313013787</v>
      </c>
      <c r="C3682" t="str">
        <f>T("디버프 마스터 939화")</f>
        <v>디버프 마스터 939화</v>
      </c>
      <c r="D3682" t="str">
        <f>T("939")</f>
        <v>939</v>
      </c>
      <c r="E3682" t="str">
        <f t="shared" si="505"/>
        <v>담화공</v>
      </c>
      <c r="H3682" t="str">
        <f t="shared" si="504"/>
        <v>스토리위즈</v>
      </c>
      <c r="I3682" t="str">
        <f t="shared" si="506"/>
        <v>디버프 마스터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/>
      <c r="AQ3682">
        <v>0</v>
      </c>
      <c r="AR3682">
        <v>0</v>
      </c>
      <c r="AT3682">
        <v>0</v>
      </c>
      <c r="AU3682">
        <v>0</v>
      </c>
      <c r="AW3682">
        <v>0</v>
      </c>
      <c r="AX3682">
        <v>0</v>
      </c>
      <c r="AY3682">
        <v>70</v>
      </c>
      <c r="BC3682" t="str">
        <f t="shared" si="507"/>
        <v>9791137602663</v>
      </c>
      <c r="BE3682" t="str">
        <f t="shared" si="508"/>
        <v>판타지 웹소설 &gt; 퓨전 판타지</v>
      </c>
    </row>
    <row r="3683" spans="1:57" x14ac:dyDescent="0.3">
      <c r="A3683">
        <v>2313012849</v>
      </c>
      <c r="B3683">
        <v>2313013788</v>
      </c>
      <c r="C3683" t="str">
        <f>T("디버프 마스터 940화")</f>
        <v>디버프 마스터 940화</v>
      </c>
      <c r="D3683" t="str">
        <f>T("940")</f>
        <v>940</v>
      </c>
      <c r="E3683" t="str">
        <f t="shared" si="505"/>
        <v>담화공</v>
      </c>
      <c r="H3683" t="str">
        <f t="shared" si="504"/>
        <v>스토리위즈</v>
      </c>
      <c r="I3683" t="str">
        <f t="shared" si="506"/>
        <v>디버프 마스터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/>
      <c r="AQ3683">
        <v>0</v>
      </c>
      <c r="AR3683">
        <v>0</v>
      </c>
      <c r="AT3683">
        <v>0</v>
      </c>
      <c r="AU3683">
        <v>0</v>
      </c>
      <c r="AW3683">
        <v>0</v>
      </c>
      <c r="AX3683">
        <v>0</v>
      </c>
      <c r="AY3683">
        <v>70</v>
      </c>
      <c r="BC3683" t="str">
        <f t="shared" si="507"/>
        <v>9791137602663</v>
      </c>
      <c r="BE3683" t="str">
        <f t="shared" si="508"/>
        <v>판타지 웹소설 &gt; 퓨전 판타지</v>
      </c>
    </row>
    <row r="3684" spans="1:57" x14ac:dyDescent="0.3">
      <c r="A3684">
        <v>2313012849</v>
      </c>
      <c r="B3684">
        <v>2313013789</v>
      </c>
      <c r="C3684" t="str">
        <f>T("디버프 마스터 941화")</f>
        <v>디버프 마스터 941화</v>
      </c>
      <c r="D3684" t="str">
        <f>T("941")</f>
        <v>941</v>
      </c>
      <c r="E3684" t="str">
        <f t="shared" si="505"/>
        <v>담화공</v>
      </c>
      <c r="H3684" t="str">
        <f t="shared" si="504"/>
        <v>스토리위즈</v>
      </c>
      <c r="I3684" t="str">
        <f t="shared" si="506"/>
        <v>디버프 마스터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/>
      <c r="AQ3684">
        <v>0</v>
      </c>
      <c r="AR3684">
        <v>0</v>
      </c>
      <c r="AT3684">
        <v>0</v>
      </c>
      <c r="AU3684">
        <v>0</v>
      </c>
      <c r="AW3684">
        <v>0</v>
      </c>
      <c r="AX3684">
        <v>0</v>
      </c>
      <c r="AY3684">
        <v>70</v>
      </c>
      <c r="BC3684" t="str">
        <f t="shared" si="507"/>
        <v>9791137602663</v>
      </c>
      <c r="BE3684" t="str">
        <f t="shared" si="508"/>
        <v>판타지 웹소설 &gt; 퓨전 판타지</v>
      </c>
    </row>
    <row r="3685" spans="1:57" x14ac:dyDescent="0.3">
      <c r="A3685">
        <v>2313012849</v>
      </c>
      <c r="B3685">
        <v>2313013790</v>
      </c>
      <c r="C3685" t="str">
        <f>T("디버프 마스터 942화")</f>
        <v>디버프 마스터 942화</v>
      </c>
      <c r="D3685" t="str">
        <f>T("942")</f>
        <v>942</v>
      </c>
      <c r="E3685" t="str">
        <f t="shared" si="505"/>
        <v>담화공</v>
      </c>
      <c r="H3685" t="str">
        <f t="shared" si="504"/>
        <v>스토리위즈</v>
      </c>
      <c r="I3685" t="str">
        <f t="shared" si="506"/>
        <v>디버프 마스터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/>
      <c r="AQ3685">
        <v>0</v>
      </c>
      <c r="AR3685">
        <v>0</v>
      </c>
      <c r="AT3685">
        <v>0</v>
      </c>
      <c r="AU3685">
        <v>0</v>
      </c>
      <c r="AW3685">
        <v>0</v>
      </c>
      <c r="AX3685">
        <v>0</v>
      </c>
      <c r="AY3685">
        <v>70</v>
      </c>
      <c r="BC3685" t="str">
        <f t="shared" si="507"/>
        <v>9791137602663</v>
      </c>
      <c r="BE3685" t="str">
        <f t="shared" si="508"/>
        <v>판타지 웹소설 &gt; 퓨전 판타지</v>
      </c>
    </row>
    <row r="3686" spans="1:57" x14ac:dyDescent="0.3">
      <c r="A3686">
        <v>2313012849</v>
      </c>
      <c r="B3686">
        <v>2313013791</v>
      </c>
      <c r="C3686" t="str">
        <f>T("디버프 마스터 943화")</f>
        <v>디버프 마스터 943화</v>
      </c>
      <c r="D3686" t="str">
        <f>T("943")</f>
        <v>943</v>
      </c>
      <c r="E3686" t="str">
        <f t="shared" si="505"/>
        <v>담화공</v>
      </c>
      <c r="H3686" t="str">
        <f t="shared" si="504"/>
        <v>스토리위즈</v>
      </c>
      <c r="I3686" t="str">
        <f t="shared" si="506"/>
        <v>디버프 마스터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/>
      <c r="AQ3686">
        <v>0</v>
      </c>
      <c r="AR3686">
        <v>0</v>
      </c>
      <c r="AT3686">
        <v>0</v>
      </c>
      <c r="AU3686">
        <v>0</v>
      </c>
      <c r="AW3686">
        <v>0</v>
      </c>
      <c r="AX3686">
        <v>0</v>
      </c>
      <c r="AY3686">
        <v>70</v>
      </c>
      <c r="BC3686" t="str">
        <f t="shared" si="507"/>
        <v>9791137602663</v>
      </c>
      <c r="BE3686" t="str">
        <f t="shared" si="508"/>
        <v>판타지 웹소설 &gt; 퓨전 판타지</v>
      </c>
    </row>
    <row r="3687" spans="1:57" x14ac:dyDescent="0.3">
      <c r="A3687">
        <v>2313012849</v>
      </c>
      <c r="B3687">
        <v>2313013792</v>
      </c>
      <c r="C3687" t="str">
        <f>T("디버프 마스터 944화")</f>
        <v>디버프 마스터 944화</v>
      </c>
      <c r="D3687" t="str">
        <f>T("944")</f>
        <v>944</v>
      </c>
      <c r="E3687" t="str">
        <f t="shared" si="505"/>
        <v>담화공</v>
      </c>
      <c r="H3687" t="str">
        <f t="shared" si="504"/>
        <v>스토리위즈</v>
      </c>
      <c r="I3687" t="str">
        <f t="shared" si="506"/>
        <v>디버프 마스터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/>
      <c r="AQ3687">
        <v>0</v>
      </c>
      <c r="AR3687">
        <v>0</v>
      </c>
      <c r="AT3687">
        <v>0</v>
      </c>
      <c r="AU3687">
        <v>0</v>
      </c>
      <c r="AW3687">
        <v>0</v>
      </c>
      <c r="AX3687">
        <v>0</v>
      </c>
      <c r="AY3687">
        <v>70</v>
      </c>
      <c r="BC3687" t="str">
        <f t="shared" si="507"/>
        <v>9791137602663</v>
      </c>
      <c r="BE3687" t="str">
        <f t="shared" si="508"/>
        <v>판타지 웹소설 &gt; 퓨전 판타지</v>
      </c>
    </row>
    <row r="3688" spans="1:57" x14ac:dyDescent="0.3">
      <c r="A3688">
        <v>2313012849</v>
      </c>
      <c r="B3688">
        <v>2313013793</v>
      </c>
      <c r="C3688" t="str">
        <f>T("디버프 마스터 945화")</f>
        <v>디버프 마스터 945화</v>
      </c>
      <c r="D3688" t="str">
        <f>T("945")</f>
        <v>945</v>
      </c>
      <c r="E3688" t="str">
        <f t="shared" si="505"/>
        <v>담화공</v>
      </c>
      <c r="H3688" t="str">
        <f t="shared" si="504"/>
        <v>스토리위즈</v>
      </c>
      <c r="I3688" t="str">
        <f t="shared" si="506"/>
        <v>디버프 마스터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/>
      <c r="AQ3688">
        <v>0</v>
      </c>
      <c r="AR3688">
        <v>0</v>
      </c>
      <c r="AT3688">
        <v>0</v>
      </c>
      <c r="AU3688">
        <v>0</v>
      </c>
      <c r="AW3688">
        <v>0</v>
      </c>
      <c r="AX3688">
        <v>0</v>
      </c>
      <c r="AY3688">
        <v>70</v>
      </c>
      <c r="BC3688" t="str">
        <f t="shared" si="507"/>
        <v>9791137602663</v>
      </c>
      <c r="BE3688" t="str">
        <f t="shared" si="508"/>
        <v>판타지 웹소설 &gt; 퓨전 판타지</v>
      </c>
    </row>
    <row r="3689" spans="1:57" x14ac:dyDescent="0.3">
      <c r="A3689">
        <v>2313012849</v>
      </c>
      <c r="B3689">
        <v>2313013794</v>
      </c>
      <c r="C3689" t="str">
        <f>T("디버프 마스터 946화")</f>
        <v>디버프 마스터 946화</v>
      </c>
      <c r="D3689" t="str">
        <f>T("946")</f>
        <v>946</v>
      </c>
      <c r="E3689" t="str">
        <f t="shared" si="505"/>
        <v>담화공</v>
      </c>
      <c r="H3689" t="str">
        <f t="shared" si="504"/>
        <v>스토리위즈</v>
      </c>
      <c r="I3689" t="str">
        <f t="shared" si="506"/>
        <v>디버프 마스터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/>
      <c r="AQ3689">
        <v>0</v>
      </c>
      <c r="AR3689">
        <v>0</v>
      </c>
      <c r="AT3689">
        <v>0</v>
      </c>
      <c r="AU3689">
        <v>0</v>
      </c>
      <c r="AW3689">
        <v>0</v>
      </c>
      <c r="AX3689">
        <v>0</v>
      </c>
      <c r="AY3689">
        <v>70</v>
      </c>
      <c r="BC3689" t="str">
        <f t="shared" si="507"/>
        <v>9791137602663</v>
      </c>
      <c r="BE3689" t="str">
        <f t="shared" si="508"/>
        <v>판타지 웹소설 &gt; 퓨전 판타지</v>
      </c>
    </row>
    <row r="3690" spans="1:57" x14ac:dyDescent="0.3">
      <c r="A3690">
        <v>2313012849</v>
      </c>
      <c r="B3690">
        <v>2313013795</v>
      </c>
      <c r="C3690" t="str">
        <f>T("디버프 마스터 947화")</f>
        <v>디버프 마스터 947화</v>
      </c>
      <c r="D3690" t="str">
        <f>T("947")</f>
        <v>947</v>
      </c>
      <c r="E3690" t="str">
        <f t="shared" si="505"/>
        <v>담화공</v>
      </c>
      <c r="H3690" t="str">
        <f t="shared" si="504"/>
        <v>스토리위즈</v>
      </c>
      <c r="I3690" t="str">
        <f t="shared" si="506"/>
        <v>디버프 마스터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/>
      <c r="AQ3690">
        <v>0</v>
      </c>
      <c r="AR3690">
        <v>0</v>
      </c>
      <c r="AT3690">
        <v>0</v>
      </c>
      <c r="AU3690">
        <v>0</v>
      </c>
      <c r="AW3690">
        <v>0</v>
      </c>
      <c r="AX3690">
        <v>0</v>
      </c>
      <c r="AY3690">
        <v>70</v>
      </c>
      <c r="BC3690" t="str">
        <f t="shared" si="507"/>
        <v>9791137602663</v>
      </c>
      <c r="BE3690" t="str">
        <f t="shared" si="508"/>
        <v>판타지 웹소설 &gt; 퓨전 판타지</v>
      </c>
    </row>
    <row r="3691" spans="1:57" x14ac:dyDescent="0.3">
      <c r="A3691">
        <v>2313012849</v>
      </c>
      <c r="B3691">
        <v>2313013796</v>
      </c>
      <c r="C3691" t="str">
        <f>T("디버프 마스터 948화")</f>
        <v>디버프 마스터 948화</v>
      </c>
      <c r="D3691" t="str">
        <f>T("948")</f>
        <v>948</v>
      </c>
      <c r="E3691" t="str">
        <f t="shared" si="505"/>
        <v>담화공</v>
      </c>
      <c r="H3691" t="str">
        <f t="shared" si="504"/>
        <v>스토리위즈</v>
      </c>
      <c r="I3691" t="str">
        <f t="shared" si="506"/>
        <v>디버프 마스터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/>
      <c r="AQ3691">
        <v>0</v>
      </c>
      <c r="AR3691">
        <v>0</v>
      </c>
      <c r="AT3691">
        <v>0</v>
      </c>
      <c r="AU3691">
        <v>0</v>
      </c>
      <c r="AW3691">
        <v>0</v>
      </c>
      <c r="AX3691">
        <v>0</v>
      </c>
      <c r="AY3691">
        <v>70</v>
      </c>
      <c r="BC3691" t="str">
        <f t="shared" si="507"/>
        <v>9791137602663</v>
      </c>
      <c r="BE3691" t="str">
        <f t="shared" si="508"/>
        <v>판타지 웹소설 &gt; 퓨전 판타지</v>
      </c>
    </row>
    <row r="3692" spans="1:57" x14ac:dyDescent="0.3">
      <c r="A3692">
        <v>2313012849</v>
      </c>
      <c r="B3692">
        <v>2313013797</v>
      </c>
      <c r="C3692" t="str">
        <f>T("디버프 마스터 949화")</f>
        <v>디버프 마스터 949화</v>
      </c>
      <c r="D3692" t="str">
        <f>T("949")</f>
        <v>949</v>
      </c>
      <c r="E3692" t="str">
        <f t="shared" si="505"/>
        <v>담화공</v>
      </c>
      <c r="H3692" t="str">
        <f t="shared" si="504"/>
        <v>스토리위즈</v>
      </c>
      <c r="I3692" t="str">
        <f t="shared" si="506"/>
        <v>디버프 마스터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/>
      <c r="AQ3692">
        <v>0</v>
      </c>
      <c r="AR3692">
        <v>0</v>
      </c>
      <c r="AT3692">
        <v>0</v>
      </c>
      <c r="AU3692">
        <v>0</v>
      </c>
      <c r="AW3692">
        <v>0</v>
      </c>
      <c r="AX3692">
        <v>0</v>
      </c>
      <c r="AY3692">
        <v>70</v>
      </c>
      <c r="BC3692" t="str">
        <f t="shared" si="507"/>
        <v>9791137602663</v>
      </c>
      <c r="BE3692" t="str">
        <f t="shared" si="508"/>
        <v>판타지 웹소설 &gt; 퓨전 판타지</v>
      </c>
    </row>
    <row r="3693" spans="1:57" x14ac:dyDescent="0.3">
      <c r="A3693">
        <v>2313012849</v>
      </c>
      <c r="B3693">
        <v>2313013798</v>
      </c>
      <c r="C3693" t="str">
        <f>T("디버프 마스터 950화")</f>
        <v>디버프 마스터 950화</v>
      </c>
      <c r="D3693" t="str">
        <f>T("950")</f>
        <v>950</v>
      </c>
      <c r="E3693" t="str">
        <f t="shared" si="505"/>
        <v>담화공</v>
      </c>
      <c r="H3693" t="str">
        <f t="shared" si="504"/>
        <v>스토리위즈</v>
      </c>
      <c r="I3693" t="str">
        <f t="shared" si="506"/>
        <v>디버프 마스터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/>
      <c r="AQ3693">
        <v>0</v>
      </c>
      <c r="AR3693">
        <v>0</v>
      </c>
      <c r="AT3693">
        <v>0</v>
      </c>
      <c r="AU3693">
        <v>0</v>
      </c>
      <c r="AW3693">
        <v>0</v>
      </c>
      <c r="AX3693">
        <v>0</v>
      </c>
      <c r="AY3693">
        <v>70</v>
      </c>
      <c r="BC3693" t="str">
        <f t="shared" si="507"/>
        <v>9791137602663</v>
      </c>
      <c r="BE3693" t="str">
        <f t="shared" si="508"/>
        <v>판타지 웹소설 &gt; 퓨전 판타지</v>
      </c>
    </row>
    <row r="3694" spans="1:57" x14ac:dyDescent="0.3">
      <c r="A3694">
        <v>2313012849</v>
      </c>
      <c r="B3694">
        <v>2313013799</v>
      </c>
      <c r="C3694" t="str">
        <f>T("디버프 마스터 951화")</f>
        <v>디버프 마스터 951화</v>
      </c>
      <c r="D3694" t="str">
        <f>T("951")</f>
        <v>951</v>
      </c>
      <c r="E3694" t="str">
        <f t="shared" si="505"/>
        <v>담화공</v>
      </c>
      <c r="H3694" t="str">
        <f t="shared" si="504"/>
        <v>스토리위즈</v>
      </c>
      <c r="I3694" t="str">
        <f t="shared" si="506"/>
        <v>디버프 마스터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/>
      <c r="AQ3694">
        <v>0</v>
      </c>
      <c r="AR3694">
        <v>0</v>
      </c>
      <c r="AT3694">
        <v>0</v>
      </c>
      <c r="AU3694">
        <v>0</v>
      </c>
      <c r="AW3694">
        <v>0</v>
      </c>
      <c r="AX3694">
        <v>0</v>
      </c>
      <c r="AY3694">
        <v>70</v>
      </c>
      <c r="BC3694" t="str">
        <f t="shared" si="507"/>
        <v>9791137602663</v>
      </c>
      <c r="BE3694" t="str">
        <f t="shared" si="508"/>
        <v>판타지 웹소설 &gt; 퓨전 판타지</v>
      </c>
    </row>
    <row r="3695" spans="1:57" x14ac:dyDescent="0.3">
      <c r="A3695">
        <v>2313012849</v>
      </c>
      <c r="B3695">
        <v>2313013800</v>
      </c>
      <c r="C3695" t="str">
        <f>T("디버프 마스터 952화")</f>
        <v>디버프 마스터 952화</v>
      </c>
      <c r="D3695" t="str">
        <f>T("952")</f>
        <v>952</v>
      </c>
      <c r="E3695" t="str">
        <f t="shared" si="505"/>
        <v>담화공</v>
      </c>
      <c r="H3695" t="str">
        <f t="shared" si="504"/>
        <v>스토리위즈</v>
      </c>
      <c r="I3695" t="str">
        <f t="shared" si="506"/>
        <v>디버프 마스터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/>
      <c r="AQ3695">
        <v>0</v>
      </c>
      <c r="AR3695">
        <v>0</v>
      </c>
      <c r="AT3695">
        <v>0</v>
      </c>
      <c r="AU3695">
        <v>0</v>
      </c>
      <c r="AW3695">
        <v>0</v>
      </c>
      <c r="AX3695">
        <v>0</v>
      </c>
      <c r="AY3695">
        <v>70</v>
      </c>
      <c r="BC3695" t="str">
        <f t="shared" si="507"/>
        <v>9791137602663</v>
      </c>
      <c r="BE3695" t="str">
        <f t="shared" si="508"/>
        <v>판타지 웹소설 &gt; 퓨전 판타지</v>
      </c>
    </row>
    <row r="3696" spans="1:57" x14ac:dyDescent="0.3">
      <c r="A3696">
        <v>2313012849</v>
      </c>
      <c r="B3696">
        <v>2313013801</v>
      </c>
      <c r="C3696" t="str">
        <f>T("디버프 마스터 953화")</f>
        <v>디버프 마스터 953화</v>
      </c>
      <c r="D3696" t="str">
        <f>T("953")</f>
        <v>953</v>
      </c>
      <c r="E3696" t="str">
        <f t="shared" si="505"/>
        <v>담화공</v>
      </c>
      <c r="H3696" t="str">
        <f t="shared" si="504"/>
        <v>스토리위즈</v>
      </c>
      <c r="I3696" t="str">
        <f t="shared" si="506"/>
        <v>디버프 마스터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/>
      <c r="AQ3696">
        <v>0</v>
      </c>
      <c r="AR3696">
        <v>0</v>
      </c>
      <c r="AT3696">
        <v>0</v>
      </c>
      <c r="AU3696">
        <v>0</v>
      </c>
      <c r="AW3696">
        <v>0</v>
      </c>
      <c r="AX3696">
        <v>0</v>
      </c>
      <c r="AY3696">
        <v>70</v>
      </c>
      <c r="BC3696" t="str">
        <f t="shared" si="507"/>
        <v>9791137602663</v>
      </c>
      <c r="BE3696" t="str">
        <f t="shared" si="508"/>
        <v>판타지 웹소설 &gt; 퓨전 판타지</v>
      </c>
    </row>
    <row r="3697" spans="1:57" x14ac:dyDescent="0.3">
      <c r="A3697">
        <v>2313012849</v>
      </c>
      <c r="B3697">
        <v>2313013802</v>
      </c>
      <c r="C3697" t="str">
        <f>T("디버프 마스터 954화")</f>
        <v>디버프 마스터 954화</v>
      </c>
      <c r="D3697" t="str">
        <f>T("954")</f>
        <v>954</v>
      </c>
      <c r="E3697" t="str">
        <f t="shared" si="505"/>
        <v>담화공</v>
      </c>
      <c r="H3697" t="str">
        <f t="shared" si="504"/>
        <v>스토리위즈</v>
      </c>
      <c r="I3697" t="str">
        <f t="shared" si="506"/>
        <v>디버프 마스터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/>
      <c r="AQ3697">
        <v>0</v>
      </c>
      <c r="AR3697">
        <v>0</v>
      </c>
      <c r="AT3697">
        <v>0</v>
      </c>
      <c r="AU3697">
        <v>0</v>
      </c>
      <c r="AW3697">
        <v>0</v>
      </c>
      <c r="AX3697">
        <v>0</v>
      </c>
      <c r="AY3697">
        <v>70</v>
      </c>
      <c r="BC3697" t="str">
        <f t="shared" si="507"/>
        <v>9791137602663</v>
      </c>
      <c r="BE3697" t="str">
        <f t="shared" si="508"/>
        <v>판타지 웹소설 &gt; 퓨전 판타지</v>
      </c>
    </row>
    <row r="3698" spans="1:57" x14ac:dyDescent="0.3">
      <c r="A3698">
        <v>2313012849</v>
      </c>
      <c r="B3698">
        <v>2313013803</v>
      </c>
      <c r="C3698" t="str">
        <f>T("디버프 마스터 955화")</f>
        <v>디버프 마스터 955화</v>
      </c>
      <c r="D3698" t="str">
        <f>T("955")</f>
        <v>955</v>
      </c>
      <c r="E3698" t="str">
        <f t="shared" si="505"/>
        <v>담화공</v>
      </c>
      <c r="H3698" t="str">
        <f t="shared" si="504"/>
        <v>스토리위즈</v>
      </c>
      <c r="I3698" t="str">
        <f t="shared" si="506"/>
        <v>디버프 마스터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/>
      <c r="AQ3698">
        <v>0</v>
      </c>
      <c r="AR3698">
        <v>0</v>
      </c>
      <c r="AT3698">
        <v>0</v>
      </c>
      <c r="AU3698">
        <v>0</v>
      </c>
      <c r="AW3698">
        <v>0</v>
      </c>
      <c r="AX3698">
        <v>0</v>
      </c>
      <c r="AY3698">
        <v>70</v>
      </c>
      <c r="BC3698" t="str">
        <f t="shared" si="507"/>
        <v>9791137602663</v>
      </c>
      <c r="BE3698" t="str">
        <f t="shared" si="508"/>
        <v>판타지 웹소설 &gt; 퓨전 판타지</v>
      </c>
    </row>
    <row r="3699" spans="1:57" x14ac:dyDescent="0.3">
      <c r="A3699">
        <v>2313012849</v>
      </c>
      <c r="B3699">
        <v>2313013804</v>
      </c>
      <c r="C3699" t="str">
        <f>T("디버프 마스터 956화")</f>
        <v>디버프 마스터 956화</v>
      </c>
      <c r="D3699" t="str">
        <f>T("956")</f>
        <v>956</v>
      </c>
      <c r="E3699" t="str">
        <f t="shared" si="505"/>
        <v>담화공</v>
      </c>
      <c r="H3699" t="str">
        <f t="shared" si="504"/>
        <v>스토리위즈</v>
      </c>
      <c r="I3699" t="str">
        <f t="shared" si="506"/>
        <v>디버프 마스터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/>
      <c r="AQ3699">
        <v>0</v>
      </c>
      <c r="AR3699">
        <v>0</v>
      </c>
      <c r="AT3699">
        <v>0</v>
      </c>
      <c r="AU3699">
        <v>0</v>
      </c>
      <c r="AW3699">
        <v>0</v>
      </c>
      <c r="AX3699">
        <v>0</v>
      </c>
      <c r="AY3699">
        <v>70</v>
      </c>
      <c r="BC3699" t="str">
        <f t="shared" si="507"/>
        <v>9791137602663</v>
      </c>
      <c r="BE3699" t="str">
        <f t="shared" si="508"/>
        <v>판타지 웹소설 &gt; 퓨전 판타지</v>
      </c>
    </row>
    <row r="3700" spans="1:57" x14ac:dyDescent="0.3">
      <c r="A3700">
        <v>2313012849</v>
      </c>
      <c r="B3700">
        <v>2313013805</v>
      </c>
      <c r="C3700" t="str">
        <f>T("디버프 마스터 957화")</f>
        <v>디버프 마스터 957화</v>
      </c>
      <c r="D3700" t="str">
        <f>T("957")</f>
        <v>957</v>
      </c>
      <c r="E3700" t="str">
        <f t="shared" si="505"/>
        <v>담화공</v>
      </c>
      <c r="H3700" t="str">
        <f t="shared" si="504"/>
        <v>스토리위즈</v>
      </c>
      <c r="I3700" t="str">
        <f t="shared" si="506"/>
        <v>디버프 마스터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/>
      <c r="AQ3700">
        <v>0</v>
      </c>
      <c r="AR3700">
        <v>0</v>
      </c>
      <c r="AT3700">
        <v>0</v>
      </c>
      <c r="AU3700">
        <v>0</v>
      </c>
      <c r="AW3700">
        <v>0</v>
      </c>
      <c r="AX3700">
        <v>0</v>
      </c>
      <c r="AY3700">
        <v>70</v>
      </c>
      <c r="BC3700" t="str">
        <f t="shared" si="507"/>
        <v>9791137602663</v>
      </c>
      <c r="BE3700" t="str">
        <f t="shared" si="508"/>
        <v>판타지 웹소설 &gt; 퓨전 판타지</v>
      </c>
    </row>
    <row r="3701" spans="1:57" x14ac:dyDescent="0.3">
      <c r="A3701">
        <v>2313012849</v>
      </c>
      <c r="B3701">
        <v>2313013806</v>
      </c>
      <c r="C3701" t="str">
        <f>T("디버프 마스터 958화")</f>
        <v>디버프 마스터 958화</v>
      </c>
      <c r="D3701" t="str">
        <f>T("958")</f>
        <v>958</v>
      </c>
      <c r="E3701" t="str">
        <f t="shared" si="505"/>
        <v>담화공</v>
      </c>
      <c r="H3701" t="str">
        <f t="shared" si="504"/>
        <v>스토리위즈</v>
      </c>
      <c r="I3701" t="str">
        <f t="shared" si="506"/>
        <v>디버프 마스터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/>
      <c r="AQ3701">
        <v>0</v>
      </c>
      <c r="AR3701">
        <v>0</v>
      </c>
      <c r="AT3701">
        <v>0</v>
      </c>
      <c r="AU3701">
        <v>0</v>
      </c>
      <c r="AW3701">
        <v>0</v>
      </c>
      <c r="AX3701">
        <v>0</v>
      </c>
      <c r="AY3701">
        <v>70</v>
      </c>
      <c r="BC3701" t="str">
        <f t="shared" si="507"/>
        <v>9791137602663</v>
      </c>
      <c r="BE3701" t="str">
        <f t="shared" si="508"/>
        <v>판타지 웹소설 &gt; 퓨전 판타지</v>
      </c>
    </row>
    <row r="3702" spans="1:57" x14ac:dyDescent="0.3">
      <c r="A3702">
        <v>2313012849</v>
      </c>
      <c r="B3702">
        <v>2313013807</v>
      </c>
      <c r="C3702" t="str">
        <f>T("디버프 마스터 959화")</f>
        <v>디버프 마스터 959화</v>
      </c>
      <c r="D3702" t="str">
        <f>T("959")</f>
        <v>959</v>
      </c>
      <c r="E3702" t="str">
        <f t="shared" si="505"/>
        <v>담화공</v>
      </c>
      <c r="H3702" t="str">
        <f t="shared" si="504"/>
        <v>스토리위즈</v>
      </c>
      <c r="I3702" t="str">
        <f t="shared" si="506"/>
        <v>디버프 마스터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/>
      <c r="AQ3702">
        <v>0</v>
      </c>
      <c r="AR3702">
        <v>0</v>
      </c>
      <c r="AT3702">
        <v>0</v>
      </c>
      <c r="AU3702">
        <v>0</v>
      </c>
      <c r="AW3702">
        <v>0</v>
      </c>
      <c r="AX3702">
        <v>0</v>
      </c>
      <c r="AY3702">
        <v>70</v>
      </c>
      <c r="BC3702" t="str">
        <f t="shared" si="507"/>
        <v>9791137602663</v>
      </c>
      <c r="BE3702" t="str">
        <f t="shared" si="508"/>
        <v>판타지 웹소설 &gt; 퓨전 판타지</v>
      </c>
    </row>
    <row r="3703" spans="1:57" x14ac:dyDescent="0.3">
      <c r="A3703">
        <v>2313012849</v>
      </c>
      <c r="B3703">
        <v>2313013808</v>
      </c>
      <c r="C3703" t="str">
        <f>T("디버프 마스터 960화")</f>
        <v>디버프 마스터 960화</v>
      </c>
      <c r="D3703" t="str">
        <f>T("960")</f>
        <v>960</v>
      </c>
      <c r="E3703" t="str">
        <f t="shared" si="505"/>
        <v>담화공</v>
      </c>
      <c r="H3703" t="str">
        <f t="shared" si="504"/>
        <v>스토리위즈</v>
      </c>
      <c r="I3703" t="str">
        <f t="shared" si="506"/>
        <v>디버프 마스터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/>
      <c r="AQ3703">
        <v>0</v>
      </c>
      <c r="AR3703">
        <v>0</v>
      </c>
      <c r="AT3703">
        <v>0</v>
      </c>
      <c r="AU3703">
        <v>0</v>
      </c>
      <c r="AW3703">
        <v>0</v>
      </c>
      <c r="AX3703">
        <v>0</v>
      </c>
      <c r="AY3703">
        <v>70</v>
      </c>
      <c r="BC3703" t="str">
        <f t="shared" si="507"/>
        <v>9791137602663</v>
      </c>
      <c r="BE3703" t="str">
        <f t="shared" si="508"/>
        <v>판타지 웹소설 &gt; 퓨전 판타지</v>
      </c>
    </row>
    <row r="3704" spans="1:57" x14ac:dyDescent="0.3">
      <c r="A3704">
        <v>2313012849</v>
      </c>
      <c r="B3704">
        <v>2313013809</v>
      </c>
      <c r="C3704" t="str">
        <f>T("디버프 마스터 961화")</f>
        <v>디버프 마스터 961화</v>
      </c>
      <c r="D3704" t="str">
        <f>T("961")</f>
        <v>961</v>
      </c>
      <c r="E3704" t="str">
        <f t="shared" si="505"/>
        <v>담화공</v>
      </c>
      <c r="H3704" t="str">
        <f t="shared" si="504"/>
        <v>스토리위즈</v>
      </c>
      <c r="I3704" t="str">
        <f t="shared" si="506"/>
        <v>디버프 마스터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/>
      <c r="AQ3704">
        <v>0</v>
      </c>
      <c r="AR3704">
        <v>0</v>
      </c>
      <c r="AT3704">
        <v>0</v>
      </c>
      <c r="AU3704">
        <v>0</v>
      </c>
      <c r="AW3704">
        <v>0</v>
      </c>
      <c r="AX3704">
        <v>0</v>
      </c>
      <c r="AY3704">
        <v>70</v>
      </c>
      <c r="BC3704" t="str">
        <f t="shared" si="507"/>
        <v>9791137602663</v>
      </c>
      <c r="BE3704" t="str">
        <f t="shared" si="508"/>
        <v>판타지 웹소설 &gt; 퓨전 판타지</v>
      </c>
    </row>
    <row r="3705" spans="1:57" x14ac:dyDescent="0.3">
      <c r="A3705">
        <v>2313012849</v>
      </c>
      <c r="B3705">
        <v>2313013810</v>
      </c>
      <c r="C3705" t="str">
        <f>T("디버프 마스터 962화")</f>
        <v>디버프 마스터 962화</v>
      </c>
      <c r="D3705" t="str">
        <f>T("962")</f>
        <v>962</v>
      </c>
      <c r="E3705" t="str">
        <f t="shared" si="505"/>
        <v>담화공</v>
      </c>
      <c r="H3705" t="str">
        <f t="shared" si="504"/>
        <v>스토리위즈</v>
      </c>
      <c r="I3705" t="str">
        <f t="shared" si="506"/>
        <v>디버프 마스터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/>
      <c r="AQ3705">
        <v>0</v>
      </c>
      <c r="AR3705">
        <v>0</v>
      </c>
      <c r="AT3705">
        <v>0</v>
      </c>
      <c r="AU3705">
        <v>0</v>
      </c>
      <c r="AW3705">
        <v>0</v>
      </c>
      <c r="AX3705">
        <v>0</v>
      </c>
      <c r="AY3705">
        <v>70</v>
      </c>
      <c r="BC3705" t="str">
        <f t="shared" si="507"/>
        <v>9791137602663</v>
      </c>
      <c r="BE3705" t="str">
        <f t="shared" si="508"/>
        <v>판타지 웹소설 &gt; 퓨전 판타지</v>
      </c>
    </row>
    <row r="3706" spans="1:57" x14ac:dyDescent="0.3">
      <c r="A3706">
        <v>2313012849</v>
      </c>
      <c r="B3706">
        <v>2313013811</v>
      </c>
      <c r="C3706" t="str">
        <f>T("디버프 마스터 963화")</f>
        <v>디버프 마스터 963화</v>
      </c>
      <c r="D3706" t="str">
        <f>T("963")</f>
        <v>963</v>
      </c>
      <c r="E3706" t="str">
        <f t="shared" si="505"/>
        <v>담화공</v>
      </c>
      <c r="H3706" t="str">
        <f t="shared" si="504"/>
        <v>스토리위즈</v>
      </c>
      <c r="I3706" t="str">
        <f t="shared" si="506"/>
        <v>디버프 마스터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/>
      <c r="AQ3706">
        <v>0</v>
      </c>
      <c r="AR3706">
        <v>0</v>
      </c>
      <c r="AT3706">
        <v>0</v>
      </c>
      <c r="AU3706">
        <v>0</v>
      </c>
      <c r="AW3706">
        <v>0</v>
      </c>
      <c r="AX3706">
        <v>0</v>
      </c>
      <c r="AY3706">
        <v>70</v>
      </c>
      <c r="BC3706" t="str">
        <f t="shared" si="507"/>
        <v>9791137602663</v>
      </c>
      <c r="BE3706" t="str">
        <f t="shared" si="508"/>
        <v>판타지 웹소설 &gt; 퓨전 판타지</v>
      </c>
    </row>
    <row r="3707" spans="1:57" x14ac:dyDescent="0.3">
      <c r="A3707">
        <v>2313012849</v>
      </c>
      <c r="B3707">
        <v>2313013812</v>
      </c>
      <c r="C3707" t="str">
        <f>T("디버프 마스터 964화")</f>
        <v>디버프 마스터 964화</v>
      </c>
      <c r="D3707" t="str">
        <f>T("964")</f>
        <v>964</v>
      </c>
      <c r="E3707" t="str">
        <f t="shared" si="505"/>
        <v>담화공</v>
      </c>
      <c r="H3707" t="str">
        <f t="shared" si="504"/>
        <v>스토리위즈</v>
      </c>
      <c r="I3707" t="str">
        <f t="shared" si="506"/>
        <v>디버프 마스터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/>
      <c r="AQ3707">
        <v>0</v>
      </c>
      <c r="AR3707">
        <v>0</v>
      </c>
      <c r="AT3707">
        <v>0</v>
      </c>
      <c r="AU3707">
        <v>0</v>
      </c>
      <c r="AW3707">
        <v>0</v>
      </c>
      <c r="AX3707">
        <v>0</v>
      </c>
      <c r="AY3707">
        <v>70</v>
      </c>
      <c r="BC3707" t="str">
        <f t="shared" si="507"/>
        <v>9791137602663</v>
      </c>
      <c r="BE3707" t="str">
        <f t="shared" si="508"/>
        <v>판타지 웹소설 &gt; 퓨전 판타지</v>
      </c>
    </row>
    <row r="3708" spans="1:57" x14ac:dyDescent="0.3">
      <c r="A3708">
        <v>2313012849</v>
      </c>
      <c r="B3708">
        <v>2313013813</v>
      </c>
      <c r="C3708" t="str">
        <f>T("디버프 마스터 965화")</f>
        <v>디버프 마스터 965화</v>
      </c>
      <c r="D3708" t="str">
        <f>T("965")</f>
        <v>965</v>
      </c>
      <c r="E3708" t="str">
        <f t="shared" si="505"/>
        <v>담화공</v>
      </c>
      <c r="H3708" t="str">
        <f t="shared" si="504"/>
        <v>스토리위즈</v>
      </c>
      <c r="I3708" t="str">
        <f t="shared" si="506"/>
        <v>디버프 마스터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/>
      <c r="AQ3708">
        <v>0</v>
      </c>
      <c r="AR3708">
        <v>0</v>
      </c>
      <c r="AT3708">
        <v>0</v>
      </c>
      <c r="AU3708">
        <v>0</v>
      </c>
      <c r="AW3708">
        <v>0</v>
      </c>
      <c r="AX3708">
        <v>0</v>
      </c>
      <c r="AY3708">
        <v>70</v>
      </c>
      <c r="BC3708" t="str">
        <f t="shared" si="507"/>
        <v>9791137602663</v>
      </c>
      <c r="BE3708" t="str">
        <f t="shared" si="508"/>
        <v>판타지 웹소설 &gt; 퓨전 판타지</v>
      </c>
    </row>
    <row r="3709" spans="1:57" x14ac:dyDescent="0.3">
      <c r="A3709">
        <v>2313012849</v>
      </c>
      <c r="B3709">
        <v>2313013814</v>
      </c>
      <c r="C3709" t="str">
        <f>T("디버프 마스터 966화")</f>
        <v>디버프 마스터 966화</v>
      </c>
      <c r="D3709" t="str">
        <f>T("966")</f>
        <v>966</v>
      </c>
      <c r="E3709" t="str">
        <f t="shared" si="505"/>
        <v>담화공</v>
      </c>
      <c r="H3709" t="str">
        <f t="shared" si="504"/>
        <v>스토리위즈</v>
      </c>
      <c r="I3709" t="str">
        <f t="shared" si="506"/>
        <v>디버프 마스터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/>
      <c r="AQ3709">
        <v>0</v>
      </c>
      <c r="AR3709">
        <v>0</v>
      </c>
      <c r="AT3709">
        <v>0</v>
      </c>
      <c r="AU3709">
        <v>0</v>
      </c>
      <c r="AW3709">
        <v>0</v>
      </c>
      <c r="AX3709">
        <v>0</v>
      </c>
      <c r="AY3709">
        <v>70</v>
      </c>
      <c r="BC3709" t="str">
        <f t="shared" si="507"/>
        <v>9791137602663</v>
      </c>
      <c r="BE3709" t="str">
        <f t="shared" si="508"/>
        <v>판타지 웹소설 &gt; 퓨전 판타지</v>
      </c>
    </row>
    <row r="3710" spans="1:57" x14ac:dyDescent="0.3">
      <c r="A3710">
        <v>2313012849</v>
      </c>
      <c r="B3710">
        <v>2313013815</v>
      </c>
      <c r="C3710" t="str">
        <f>T("디버프 마스터 967화")</f>
        <v>디버프 마스터 967화</v>
      </c>
      <c r="D3710" t="str">
        <f>T("967")</f>
        <v>967</v>
      </c>
      <c r="E3710" t="str">
        <f t="shared" si="505"/>
        <v>담화공</v>
      </c>
      <c r="H3710" t="str">
        <f t="shared" si="504"/>
        <v>스토리위즈</v>
      </c>
      <c r="I3710" t="str">
        <f t="shared" si="506"/>
        <v>디버프 마스터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/>
      <c r="AQ3710">
        <v>0</v>
      </c>
      <c r="AR3710">
        <v>0</v>
      </c>
      <c r="AT3710">
        <v>0</v>
      </c>
      <c r="AU3710">
        <v>0</v>
      </c>
      <c r="AW3710">
        <v>0</v>
      </c>
      <c r="AX3710">
        <v>0</v>
      </c>
      <c r="AY3710">
        <v>70</v>
      </c>
      <c r="BC3710" t="str">
        <f t="shared" si="507"/>
        <v>9791137602663</v>
      </c>
      <c r="BE3710" t="str">
        <f t="shared" si="508"/>
        <v>판타지 웹소설 &gt; 퓨전 판타지</v>
      </c>
    </row>
    <row r="3711" spans="1:57" x14ac:dyDescent="0.3">
      <c r="A3711">
        <v>2313012849</v>
      </c>
      <c r="B3711">
        <v>2313013816</v>
      </c>
      <c r="C3711" t="str">
        <f>T("디버프 마스터 968화")</f>
        <v>디버프 마스터 968화</v>
      </c>
      <c r="D3711" t="str">
        <f>T("968")</f>
        <v>968</v>
      </c>
      <c r="E3711" t="str">
        <f t="shared" si="505"/>
        <v>담화공</v>
      </c>
      <c r="H3711" t="str">
        <f t="shared" si="504"/>
        <v>스토리위즈</v>
      </c>
      <c r="I3711" t="str">
        <f t="shared" si="506"/>
        <v>디버프 마스터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/>
      <c r="AQ3711">
        <v>0</v>
      </c>
      <c r="AR3711">
        <v>0</v>
      </c>
      <c r="AT3711">
        <v>0</v>
      </c>
      <c r="AU3711">
        <v>0</v>
      </c>
      <c r="AW3711">
        <v>0</v>
      </c>
      <c r="AX3711">
        <v>0</v>
      </c>
      <c r="AY3711">
        <v>70</v>
      </c>
      <c r="BC3711" t="str">
        <f t="shared" si="507"/>
        <v>9791137602663</v>
      </c>
      <c r="BE3711" t="str">
        <f t="shared" si="508"/>
        <v>판타지 웹소설 &gt; 퓨전 판타지</v>
      </c>
    </row>
    <row r="3712" spans="1:57" x14ac:dyDescent="0.3">
      <c r="A3712">
        <v>2313012849</v>
      </c>
      <c r="B3712">
        <v>2313013817</v>
      </c>
      <c r="C3712" t="str">
        <f>T("디버프 마스터 969화")</f>
        <v>디버프 마스터 969화</v>
      </c>
      <c r="D3712" t="str">
        <f>T("969")</f>
        <v>969</v>
      </c>
      <c r="E3712" t="str">
        <f t="shared" si="505"/>
        <v>담화공</v>
      </c>
      <c r="H3712" t="str">
        <f t="shared" si="504"/>
        <v>스토리위즈</v>
      </c>
      <c r="I3712" t="str">
        <f t="shared" si="506"/>
        <v>디버프 마스터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/>
      <c r="AQ3712">
        <v>0</v>
      </c>
      <c r="AR3712">
        <v>0</v>
      </c>
      <c r="AT3712">
        <v>0</v>
      </c>
      <c r="AU3712">
        <v>0</v>
      </c>
      <c r="AW3712">
        <v>0</v>
      </c>
      <c r="AX3712">
        <v>0</v>
      </c>
      <c r="AY3712">
        <v>70</v>
      </c>
      <c r="BC3712" t="str">
        <f t="shared" si="507"/>
        <v>9791137602663</v>
      </c>
      <c r="BE3712" t="str">
        <f t="shared" si="508"/>
        <v>판타지 웹소설 &gt; 퓨전 판타지</v>
      </c>
    </row>
    <row r="3713" spans="1:57" x14ac:dyDescent="0.3">
      <c r="A3713">
        <v>2313012849</v>
      </c>
      <c r="B3713">
        <v>2313013818</v>
      </c>
      <c r="C3713" t="str">
        <f>T("디버프 마스터 970화")</f>
        <v>디버프 마스터 970화</v>
      </c>
      <c r="D3713" t="str">
        <f>T("970")</f>
        <v>970</v>
      </c>
      <c r="E3713" t="str">
        <f t="shared" si="505"/>
        <v>담화공</v>
      </c>
      <c r="H3713" t="str">
        <f t="shared" si="504"/>
        <v>스토리위즈</v>
      </c>
      <c r="I3713" t="str">
        <f t="shared" si="506"/>
        <v>디버프 마스터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/>
      <c r="AQ3713">
        <v>0</v>
      </c>
      <c r="AR3713">
        <v>0</v>
      </c>
      <c r="AT3713">
        <v>0</v>
      </c>
      <c r="AU3713">
        <v>0</v>
      </c>
      <c r="AW3713">
        <v>0</v>
      </c>
      <c r="AX3713">
        <v>0</v>
      </c>
      <c r="AY3713">
        <v>70</v>
      </c>
      <c r="BC3713" t="str">
        <f t="shared" si="507"/>
        <v>9791137602663</v>
      </c>
      <c r="BE3713" t="str">
        <f t="shared" si="508"/>
        <v>판타지 웹소설 &gt; 퓨전 판타지</v>
      </c>
    </row>
    <row r="3714" spans="1:57" x14ac:dyDescent="0.3">
      <c r="A3714">
        <v>2313012849</v>
      </c>
      <c r="B3714">
        <v>2313013819</v>
      </c>
      <c r="C3714" t="str">
        <f>T("디버프 마스터 971화")</f>
        <v>디버프 마스터 971화</v>
      </c>
      <c r="D3714" t="str">
        <f>T("971")</f>
        <v>971</v>
      </c>
      <c r="E3714" t="str">
        <f t="shared" si="505"/>
        <v>담화공</v>
      </c>
      <c r="H3714" t="str">
        <f t="shared" si="504"/>
        <v>스토리위즈</v>
      </c>
      <c r="I3714" t="str">
        <f t="shared" si="506"/>
        <v>디버프 마스터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/>
      <c r="AQ3714">
        <v>0</v>
      </c>
      <c r="AR3714">
        <v>0</v>
      </c>
      <c r="AT3714">
        <v>0</v>
      </c>
      <c r="AU3714">
        <v>0</v>
      </c>
      <c r="AW3714">
        <v>0</v>
      </c>
      <c r="AX3714">
        <v>0</v>
      </c>
      <c r="AY3714">
        <v>70</v>
      </c>
      <c r="BC3714" t="str">
        <f t="shared" si="507"/>
        <v>9791137602663</v>
      </c>
      <c r="BE3714" t="str">
        <f t="shared" si="508"/>
        <v>판타지 웹소설 &gt; 퓨전 판타지</v>
      </c>
    </row>
    <row r="3715" spans="1:57" x14ac:dyDescent="0.3">
      <c r="A3715">
        <v>2313012849</v>
      </c>
      <c r="B3715">
        <v>2313013820</v>
      </c>
      <c r="C3715" t="str">
        <f>T("디버프 마스터 972화")</f>
        <v>디버프 마스터 972화</v>
      </c>
      <c r="D3715" t="str">
        <f>T("972")</f>
        <v>972</v>
      </c>
      <c r="E3715" t="str">
        <f t="shared" si="505"/>
        <v>담화공</v>
      </c>
      <c r="H3715" t="str">
        <f t="shared" si="504"/>
        <v>스토리위즈</v>
      </c>
      <c r="I3715" t="str">
        <f t="shared" si="506"/>
        <v>디버프 마스터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/>
      <c r="AQ3715">
        <v>0</v>
      </c>
      <c r="AR3715">
        <v>0</v>
      </c>
      <c r="AT3715">
        <v>0</v>
      </c>
      <c r="AU3715">
        <v>0</v>
      </c>
      <c r="AW3715">
        <v>0</v>
      </c>
      <c r="AX3715">
        <v>0</v>
      </c>
      <c r="AY3715">
        <v>70</v>
      </c>
      <c r="BC3715" t="str">
        <f t="shared" si="507"/>
        <v>9791137602663</v>
      </c>
      <c r="BE3715" t="str">
        <f t="shared" si="508"/>
        <v>판타지 웹소설 &gt; 퓨전 판타지</v>
      </c>
    </row>
    <row r="3716" spans="1:57" x14ac:dyDescent="0.3">
      <c r="A3716">
        <v>2313012849</v>
      </c>
      <c r="B3716">
        <v>2313013821</v>
      </c>
      <c r="C3716" t="str">
        <f>T("디버프 마스터 973화")</f>
        <v>디버프 마스터 973화</v>
      </c>
      <c r="D3716" t="str">
        <f>T("973")</f>
        <v>973</v>
      </c>
      <c r="E3716" t="str">
        <f t="shared" si="505"/>
        <v>담화공</v>
      </c>
      <c r="H3716" t="str">
        <f t="shared" si="504"/>
        <v>스토리위즈</v>
      </c>
      <c r="I3716" t="str">
        <f t="shared" si="506"/>
        <v>디버프 마스터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/>
      <c r="AQ3716">
        <v>0</v>
      </c>
      <c r="AR3716">
        <v>0</v>
      </c>
      <c r="AT3716">
        <v>0</v>
      </c>
      <c r="AU3716">
        <v>0</v>
      </c>
      <c r="AW3716">
        <v>0</v>
      </c>
      <c r="AX3716">
        <v>0</v>
      </c>
      <c r="AY3716">
        <v>70</v>
      </c>
      <c r="BC3716" t="str">
        <f t="shared" si="507"/>
        <v>9791137602663</v>
      </c>
      <c r="BE3716" t="str">
        <f t="shared" si="508"/>
        <v>판타지 웹소설 &gt; 퓨전 판타지</v>
      </c>
    </row>
    <row r="3717" spans="1:57" x14ac:dyDescent="0.3">
      <c r="A3717">
        <v>2313012849</v>
      </c>
      <c r="B3717">
        <v>2313013822</v>
      </c>
      <c r="C3717" t="str">
        <f>T("디버프 마스터 974화")</f>
        <v>디버프 마스터 974화</v>
      </c>
      <c r="D3717" t="str">
        <f>T("974")</f>
        <v>974</v>
      </c>
      <c r="E3717" t="str">
        <f t="shared" si="505"/>
        <v>담화공</v>
      </c>
      <c r="H3717" t="str">
        <f t="shared" si="504"/>
        <v>스토리위즈</v>
      </c>
      <c r="I3717" t="str">
        <f t="shared" si="506"/>
        <v>디버프 마스터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/>
      <c r="AQ3717">
        <v>0</v>
      </c>
      <c r="AR3717">
        <v>0</v>
      </c>
      <c r="AT3717">
        <v>0</v>
      </c>
      <c r="AU3717">
        <v>0</v>
      </c>
      <c r="AW3717">
        <v>0</v>
      </c>
      <c r="AX3717">
        <v>0</v>
      </c>
      <c r="AY3717">
        <v>70</v>
      </c>
      <c r="BC3717" t="str">
        <f t="shared" si="507"/>
        <v>9791137602663</v>
      </c>
      <c r="BE3717" t="str">
        <f t="shared" si="508"/>
        <v>판타지 웹소설 &gt; 퓨전 판타지</v>
      </c>
    </row>
    <row r="3718" spans="1:57" x14ac:dyDescent="0.3">
      <c r="A3718">
        <v>2313012849</v>
      </c>
      <c r="B3718">
        <v>2313013823</v>
      </c>
      <c r="C3718" t="str">
        <f>T("디버프 마스터 975화")</f>
        <v>디버프 마스터 975화</v>
      </c>
      <c r="D3718" t="str">
        <f>T("975")</f>
        <v>975</v>
      </c>
      <c r="E3718" t="str">
        <f t="shared" si="505"/>
        <v>담화공</v>
      </c>
      <c r="H3718" t="str">
        <f t="shared" si="504"/>
        <v>스토리위즈</v>
      </c>
      <c r="I3718" t="str">
        <f t="shared" si="506"/>
        <v>디버프 마스터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/>
      <c r="AQ3718">
        <v>0</v>
      </c>
      <c r="AR3718">
        <v>0</v>
      </c>
      <c r="AT3718">
        <v>0</v>
      </c>
      <c r="AU3718">
        <v>0</v>
      </c>
      <c r="AW3718">
        <v>0</v>
      </c>
      <c r="AX3718">
        <v>0</v>
      </c>
      <c r="AY3718">
        <v>70</v>
      </c>
      <c r="BC3718" t="str">
        <f t="shared" si="507"/>
        <v>9791137602663</v>
      </c>
      <c r="BE3718" t="str">
        <f t="shared" si="508"/>
        <v>판타지 웹소설 &gt; 퓨전 판타지</v>
      </c>
    </row>
    <row r="3719" spans="1:57" x14ac:dyDescent="0.3">
      <c r="A3719">
        <v>2313012849</v>
      </c>
      <c r="B3719">
        <v>2313013824</v>
      </c>
      <c r="C3719" t="str">
        <f>T("디버프 마스터 976화")</f>
        <v>디버프 마스터 976화</v>
      </c>
      <c r="D3719" t="str">
        <f>T("976")</f>
        <v>976</v>
      </c>
      <c r="E3719" t="str">
        <f t="shared" si="505"/>
        <v>담화공</v>
      </c>
      <c r="H3719" t="str">
        <f t="shared" si="504"/>
        <v>스토리위즈</v>
      </c>
      <c r="I3719" t="str">
        <f t="shared" si="506"/>
        <v>디버프 마스터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/>
      <c r="AQ3719">
        <v>0</v>
      </c>
      <c r="AR3719">
        <v>0</v>
      </c>
      <c r="AT3719">
        <v>0</v>
      </c>
      <c r="AU3719">
        <v>0</v>
      </c>
      <c r="AW3719">
        <v>0</v>
      </c>
      <c r="AX3719">
        <v>0</v>
      </c>
      <c r="AY3719">
        <v>70</v>
      </c>
      <c r="BC3719" t="str">
        <f t="shared" si="507"/>
        <v>9791137602663</v>
      </c>
      <c r="BE3719" t="str">
        <f t="shared" si="508"/>
        <v>판타지 웹소설 &gt; 퓨전 판타지</v>
      </c>
    </row>
    <row r="3720" spans="1:57" x14ac:dyDescent="0.3">
      <c r="A3720">
        <v>2313012849</v>
      </c>
      <c r="B3720">
        <v>2313013825</v>
      </c>
      <c r="C3720" t="str">
        <f>T("디버프 마스터 977화")</f>
        <v>디버프 마스터 977화</v>
      </c>
      <c r="D3720" t="str">
        <f>T("977")</f>
        <v>977</v>
      </c>
      <c r="E3720" t="str">
        <f t="shared" si="505"/>
        <v>담화공</v>
      </c>
      <c r="H3720" t="str">
        <f t="shared" si="504"/>
        <v>스토리위즈</v>
      </c>
      <c r="I3720" t="str">
        <f t="shared" si="506"/>
        <v>디버프 마스터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/>
      <c r="AQ3720">
        <v>0</v>
      </c>
      <c r="AR3720">
        <v>0</v>
      </c>
      <c r="AT3720">
        <v>0</v>
      </c>
      <c r="AU3720">
        <v>0</v>
      </c>
      <c r="AW3720">
        <v>0</v>
      </c>
      <c r="AX3720">
        <v>0</v>
      </c>
      <c r="AY3720">
        <v>70</v>
      </c>
      <c r="BC3720" t="str">
        <f t="shared" si="507"/>
        <v>9791137602663</v>
      </c>
      <c r="BE3720" t="str">
        <f t="shared" si="508"/>
        <v>판타지 웹소설 &gt; 퓨전 판타지</v>
      </c>
    </row>
    <row r="3721" spans="1:57" x14ac:dyDescent="0.3">
      <c r="A3721">
        <v>2313012849</v>
      </c>
      <c r="B3721">
        <v>2313013826</v>
      </c>
      <c r="C3721" t="str">
        <f>T("디버프 마스터 978화")</f>
        <v>디버프 마스터 978화</v>
      </c>
      <c r="D3721" t="str">
        <f>T("978")</f>
        <v>978</v>
      </c>
      <c r="E3721" t="str">
        <f t="shared" si="505"/>
        <v>담화공</v>
      </c>
      <c r="H3721" t="str">
        <f t="shared" si="504"/>
        <v>스토리위즈</v>
      </c>
      <c r="I3721" t="str">
        <f t="shared" si="506"/>
        <v>디버프 마스터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/>
      <c r="AQ3721">
        <v>0</v>
      </c>
      <c r="AR3721">
        <v>0</v>
      </c>
      <c r="AT3721">
        <v>0</v>
      </c>
      <c r="AU3721">
        <v>0</v>
      </c>
      <c r="AW3721">
        <v>0</v>
      </c>
      <c r="AX3721">
        <v>0</v>
      </c>
      <c r="AY3721">
        <v>70</v>
      </c>
      <c r="BC3721" t="str">
        <f t="shared" si="507"/>
        <v>9791137602663</v>
      </c>
      <c r="BE3721" t="str">
        <f t="shared" si="508"/>
        <v>판타지 웹소설 &gt; 퓨전 판타지</v>
      </c>
    </row>
    <row r="3722" spans="1:57" x14ac:dyDescent="0.3">
      <c r="A3722">
        <v>2313012849</v>
      </c>
      <c r="B3722">
        <v>2313013827</v>
      </c>
      <c r="C3722" t="str">
        <f>T("디버프 마스터 979화")</f>
        <v>디버프 마스터 979화</v>
      </c>
      <c r="D3722" t="str">
        <f>T("979")</f>
        <v>979</v>
      </c>
      <c r="E3722" t="str">
        <f t="shared" si="505"/>
        <v>담화공</v>
      </c>
      <c r="H3722" t="str">
        <f t="shared" si="504"/>
        <v>스토리위즈</v>
      </c>
      <c r="I3722" t="str">
        <f t="shared" si="506"/>
        <v>디버프 마스터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/>
      <c r="AQ3722">
        <v>0</v>
      </c>
      <c r="AR3722">
        <v>0</v>
      </c>
      <c r="AT3722">
        <v>0</v>
      </c>
      <c r="AU3722">
        <v>0</v>
      </c>
      <c r="AW3722">
        <v>0</v>
      </c>
      <c r="AX3722">
        <v>0</v>
      </c>
      <c r="AY3722">
        <v>70</v>
      </c>
      <c r="BC3722" t="str">
        <f t="shared" si="507"/>
        <v>9791137602663</v>
      </c>
      <c r="BE3722" t="str">
        <f t="shared" si="508"/>
        <v>판타지 웹소설 &gt; 퓨전 판타지</v>
      </c>
    </row>
    <row r="3723" spans="1:57" x14ac:dyDescent="0.3">
      <c r="A3723">
        <v>2313012849</v>
      </c>
      <c r="B3723">
        <v>2313013828</v>
      </c>
      <c r="C3723" t="str">
        <f>T("디버프 마스터 980화")</f>
        <v>디버프 마스터 980화</v>
      </c>
      <c r="D3723" t="str">
        <f>T("980")</f>
        <v>980</v>
      </c>
      <c r="E3723" t="str">
        <f t="shared" si="505"/>
        <v>담화공</v>
      </c>
      <c r="H3723" t="str">
        <f t="shared" si="504"/>
        <v>스토리위즈</v>
      </c>
      <c r="I3723" t="str">
        <f t="shared" si="506"/>
        <v>디버프 마스터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/>
      <c r="AQ3723">
        <v>0</v>
      </c>
      <c r="AR3723">
        <v>0</v>
      </c>
      <c r="AT3723">
        <v>0</v>
      </c>
      <c r="AU3723">
        <v>0</v>
      </c>
      <c r="AW3723">
        <v>0</v>
      </c>
      <c r="AX3723">
        <v>0</v>
      </c>
      <c r="AY3723">
        <v>70</v>
      </c>
      <c r="BC3723" t="str">
        <f t="shared" si="507"/>
        <v>9791137602663</v>
      </c>
      <c r="BE3723" t="str">
        <f t="shared" si="508"/>
        <v>판타지 웹소설 &gt; 퓨전 판타지</v>
      </c>
    </row>
    <row r="3724" spans="1:57" x14ac:dyDescent="0.3">
      <c r="A3724">
        <v>2313012849</v>
      </c>
      <c r="B3724">
        <v>2313013829</v>
      </c>
      <c r="C3724" t="str">
        <f>T("디버프 마스터 981화")</f>
        <v>디버프 마스터 981화</v>
      </c>
      <c r="D3724" t="str">
        <f>T("981")</f>
        <v>981</v>
      </c>
      <c r="E3724" t="str">
        <f t="shared" si="505"/>
        <v>담화공</v>
      </c>
      <c r="H3724" t="str">
        <f t="shared" si="504"/>
        <v>스토리위즈</v>
      </c>
      <c r="I3724" t="str">
        <f t="shared" si="506"/>
        <v>디버프 마스터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/>
      <c r="AQ3724">
        <v>0</v>
      </c>
      <c r="AR3724">
        <v>0</v>
      </c>
      <c r="AT3724">
        <v>0</v>
      </c>
      <c r="AU3724">
        <v>0</v>
      </c>
      <c r="AW3724">
        <v>0</v>
      </c>
      <c r="AX3724">
        <v>0</v>
      </c>
      <c r="AY3724">
        <v>70</v>
      </c>
      <c r="BC3724" t="str">
        <f t="shared" si="507"/>
        <v>9791137602663</v>
      </c>
      <c r="BE3724" t="str">
        <f t="shared" si="508"/>
        <v>판타지 웹소설 &gt; 퓨전 판타지</v>
      </c>
    </row>
    <row r="3725" spans="1:57" x14ac:dyDescent="0.3">
      <c r="A3725">
        <v>2313012849</v>
      </c>
      <c r="B3725">
        <v>2313013830</v>
      </c>
      <c r="C3725" t="str">
        <f>T("디버프 마스터 982화")</f>
        <v>디버프 마스터 982화</v>
      </c>
      <c r="D3725" t="str">
        <f>T("982")</f>
        <v>982</v>
      </c>
      <c r="E3725" t="str">
        <f t="shared" si="505"/>
        <v>담화공</v>
      </c>
      <c r="H3725" t="str">
        <f t="shared" si="504"/>
        <v>스토리위즈</v>
      </c>
      <c r="I3725" t="str">
        <f t="shared" si="506"/>
        <v>디버프 마스터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/>
      <c r="AQ3725">
        <v>0</v>
      </c>
      <c r="AR3725">
        <v>0</v>
      </c>
      <c r="AT3725">
        <v>0</v>
      </c>
      <c r="AU3725">
        <v>0</v>
      </c>
      <c r="AW3725">
        <v>0</v>
      </c>
      <c r="AX3725">
        <v>0</v>
      </c>
      <c r="AY3725">
        <v>70</v>
      </c>
      <c r="BC3725" t="str">
        <f t="shared" si="507"/>
        <v>9791137602663</v>
      </c>
      <c r="BE3725" t="str">
        <f t="shared" si="508"/>
        <v>판타지 웹소설 &gt; 퓨전 판타지</v>
      </c>
    </row>
    <row r="3726" spans="1:57" x14ac:dyDescent="0.3">
      <c r="A3726">
        <v>2313012849</v>
      </c>
      <c r="B3726">
        <v>2313013831</v>
      </c>
      <c r="C3726" t="str">
        <f>T("디버프 마스터 983화")</f>
        <v>디버프 마스터 983화</v>
      </c>
      <c r="D3726" t="str">
        <f>T("983")</f>
        <v>983</v>
      </c>
      <c r="E3726" t="str">
        <f t="shared" si="505"/>
        <v>담화공</v>
      </c>
      <c r="H3726" t="str">
        <f t="shared" si="504"/>
        <v>스토리위즈</v>
      </c>
      <c r="I3726" t="str">
        <f t="shared" si="506"/>
        <v>디버프 마스터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/>
      <c r="AQ3726">
        <v>0</v>
      </c>
      <c r="AR3726">
        <v>0</v>
      </c>
      <c r="AT3726">
        <v>0</v>
      </c>
      <c r="AU3726">
        <v>0</v>
      </c>
      <c r="AW3726">
        <v>0</v>
      </c>
      <c r="AX3726">
        <v>0</v>
      </c>
      <c r="AY3726">
        <v>70</v>
      </c>
      <c r="BC3726" t="str">
        <f t="shared" si="507"/>
        <v>9791137602663</v>
      </c>
      <c r="BE3726" t="str">
        <f t="shared" si="508"/>
        <v>판타지 웹소설 &gt; 퓨전 판타지</v>
      </c>
    </row>
    <row r="3727" spans="1:57" x14ac:dyDescent="0.3">
      <c r="A3727">
        <v>2313012849</v>
      </c>
      <c r="B3727">
        <v>2313013832</v>
      </c>
      <c r="C3727" t="str">
        <f>T("디버프 마스터 984화")</f>
        <v>디버프 마스터 984화</v>
      </c>
      <c r="D3727" t="str">
        <f>T("984")</f>
        <v>984</v>
      </c>
      <c r="E3727" t="str">
        <f t="shared" si="505"/>
        <v>담화공</v>
      </c>
      <c r="H3727" t="str">
        <f t="shared" si="504"/>
        <v>스토리위즈</v>
      </c>
      <c r="I3727" t="str">
        <f t="shared" si="506"/>
        <v>디버프 마스터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/>
      <c r="AQ3727">
        <v>0</v>
      </c>
      <c r="AR3727">
        <v>0</v>
      </c>
      <c r="AT3727">
        <v>0</v>
      </c>
      <c r="AU3727">
        <v>0</v>
      </c>
      <c r="AW3727">
        <v>0</v>
      </c>
      <c r="AX3727">
        <v>0</v>
      </c>
      <c r="AY3727">
        <v>70</v>
      </c>
      <c r="BC3727" t="str">
        <f t="shared" si="507"/>
        <v>9791137602663</v>
      </c>
      <c r="BE3727" t="str">
        <f t="shared" si="508"/>
        <v>판타지 웹소설 &gt; 퓨전 판타지</v>
      </c>
    </row>
    <row r="3728" spans="1:57" x14ac:dyDescent="0.3">
      <c r="A3728">
        <v>2313012849</v>
      </c>
      <c r="B3728">
        <v>2313013833</v>
      </c>
      <c r="C3728" t="str">
        <f>T("디버프 마스터 985화")</f>
        <v>디버프 마스터 985화</v>
      </c>
      <c r="D3728" t="str">
        <f>T("985")</f>
        <v>985</v>
      </c>
      <c r="E3728" t="str">
        <f t="shared" si="505"/>
        <v>담화공</v>
      </c>
      <c r="H3728" t="str">
        <f t="shared" si="504"/>
        <v>스토리위즈</v>
      </c>
      <c r="I3728" t="str">
        <f t="shared" si="506"/>
        <v>디버프 마스터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/>
      <c r="AQ3728">
        <v>0</v>
      </c>
      <c r="AR3728">
        <v>0</v>
      </c>
      <c r="AT3728">
        <v>0</v>
      </c>
      <c r="AU3728">
        <v>0</v>
      </c>
      <c r="AW3728">
        <v>0</v>
      </c>
      <c r="AX3728">
        <v>0</v>
      </c>
      <c r="AY3728">
        <v>70</v>
      </c>
      <c r="BC3728" t="str">
        <f t="shared" si="507"/>
        <v>9791137602663</v>
      </c>
      <c r="BE3728" t="str">
        <f t="shared" si="508"/>
        <v>판타지 웹소설 &gt; 퓨전 판타지</v>
      </c>
    </row>
    <row r="3729" spans="1:57" x14ac:dyDescent="0.3">
      <c r="A3729">
        <v>2313012849</v>
      </c>
      <c r="B3729">
        <v>2313013834</v>
      </c>
      <c r="C3729" t="str">
        <f>T("디버프 마스터 986화")</f>
        <v>디버프 마스터 986화</v>
      </c>
      <c r="D3729" t="str">
        <f>T("986")</f>
        <v>986</v>
      </c>
      <c r="E3729" t="str">
        <f t="shared" si="505"/>
        <v>담화공</v>
      </c>
      <c r="H3729" t="str">
        <f t="shared" si="504"/>
        <v>스토리위즈</v>
      </c>
      <c r="I3729" t="str">
        <f t="shared" si="506"/>
        <v>디버프 마스터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/>
      <c r="AQ3729">
        <v>0</v>
      </c>
      <c r="AR3729">
        <v>0</v>
      </c>
      <c r="AT3729">
        <v>0</v>
      </c>
      <c r="AU3729">
        <v>0</v>
      </c>
      <c r="AW3729">
        <v>0</v>
      </c>
      <c r="AX3729">
        <v>0</v>
      </c>
      <c r="AY3729">
        <v>70</v>
      </c>
      <c r="BC3729" t="str">
        <f t="shared" si="507"/>
        <v>9791137602663</v>
      </c>
      <c r="BE3729" t="str">
        <f t="shared" si="508"/>
        <v>판타지 웹소설 &gt; 퓨전 판타지</v>
      </c>
    </row>
    <row r="3730" spans="1:57" x14ac:dyDescent="0.3">
      <c r="A3730">
        <v>2313012849</v>
      </c>
      <c r="B3730">
        <v>2313013835</v>
      </c>
      <c r="C3730" t="str">
        <f>T("디버프 마스터 987화")</f>
        <v>디버프 마스터 987화</v>
      </c>
      <c r="D3730" t="str">
        <f>T("987")</f>
        <v>987</v>
      </c>
      <c r="E3730" t="str">
        <f t="shared" si="505"/>
        <v>담화공</v>
      </c>
      <c r="H3730" t="str">
        <f t="shared" si="504"/>
        <v>스토리위즈</v>
      </c>
      <c r="I3730" t="str">
        <f t="shared" si="506"/>
        <v>디버프 마스터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/>
      <c r="AQ3730">
        <v>0</v>
      </c>
      <c r="AR3730">
        <v>0</v>
      </c>
      <c r="AT3730">
        <v>0</v>
      </c>
      <c r="AU3730">
        <v>0</v>
      </c>
      <c r="AW3730">
        <v>0</v>
      </c>
      <c r="AX3730">
        <v>0</v>
      </c>
      <c r="AY3730">
        <v>70</v>
      </c>
      <c r="BC3730" t="str">
        <f t="shared" si="507"/>
        <v>9791137602663</v>
      </c>
      <c r="BE3730" t="str">
        <f t="shared" si="508"/>
        <v>판타지 웹소설 &gt; 퓨전 판타지</v>
      </c>
    </row>
    <row r="3731" spans="1:57" x14ac:dyDescent="0.3">
      <c r="A3731">
        <v>2313012849</v>
      </c>
      <c r="B3731">
        <v>2313013836</v>
      </c>
      <c r="C3731" t="str">
        <f>T("디버프 마스터 988화")</f>
        <v>디버프 마스터 988화</v>
      </c>
      <c r="D3731" t="str">
        <f>T("988")</f>
        <v>988</v>
      </c>
      <c r="E3731" t="str">
        <f t="shared" si="505"/>
        <v>담화공</v>
      </c>
      <c r="H3731" t="str">
        <f t="shared" si="504"/>
        <v>스토리위즈</v>
      </c>
      <c r="I3731" t="str">
        <f t="shared" si="506"/>
        <v>디버프 마스터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/>
      <c r="AQ3731">
        <v>0</v>
      </c>
      <c r="AR3731">
        <v>0</v>
      </c>
      <c r="AT3731">
        <v>0</v>
      </c>
      <c r="AU3731">
        <v>0</v>
      </c>
      <c r="AW3731">
        <v>0</v>
      </c>
      <c r="AX3731">
        <v>0</v>
      </c>
      <c r="AY3731">
        <v>70</v>
      </c>
      <c r="BC3731" t="str">
        <f t="shared" si="507"/>
        <v>9791137602663</v>
      </c>
      <c r="BE3731" t="str">
        <f t="shared" si="508"/>
        <v>판타지 웹소설 &gt; 퓨전 판타지</v>
      </c>
    </row>
    <row r="3732" spans="1:57" x14ac:dyDescent="0.3">
      <c r="A3732">
        <v>2313012849</v>
      </c>
      <c r="B3732">
        <v>2313013837</v>
      </c>
      <c r="C3732" t="str">
        <f>T("디버프 마스터 989화")</f>
        <v>디버프 마스터 989화</v>
      </c>
      <c r="D3732" t="str">
        <f>T("989")</f>
        <v>989</v>
      </c>
      <c r="E3732" t="str">
        <f t="shared" si="505"/>
        <v>담화공</v>
      </c>
      <c r="H3732" t="str">
        <f t="shared" si="504"/>
        <v>스토리위즈</v>
      </c>
      <c r="I3732" t="str">
        <f t="shared" si="506"/>
        <v>디버프 마스터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/>
      <c r="AQ3732">
        <v>0</v>
      </c>
      <c r="AR3732">
        <v>0</v>
      </c>
      <c r="AT3732">
        <v>0</v>
      </c>
      <c r="AU3732">
        <v>0</v>
      </c>
      <c r="AW3732">
        <v>0</v>
      </c>
      <c r="AX3732">
        <v>0</v>
      </c>
      <c r="AY3732">
        <v>70</v>
      </c>
      <c r="BC3732" t="str">
        <f t="shared" si="507"/>
        <v>9791137602663</v>
      </c>
      <c r="BE3732" t="str">
        <f t="shared" si="508"/>
        <v>판타지 웹소설 &gt; 퓨전 판타지</v>
      </c>
    </row>
    <row r="3733" spans="1:57" x14ac:dyDescent="0.3">
      <c r="A3733">
        <v>2313012849</v>
      </c>
      <c r="B3733">
        <v>2313013838</v>
      </c>
      <c r="C3733" t="str">
        <f>T("디버프 마스터 990화")</f>
        <v>디버프 마스터 990화</v>
      </c>
      <c r="D3733" t="str">
        <f>T("990")</f>
        <v>990</v>
      </c>
      <c r="E3733" t="str">
        <f t="shared" si="505"/>
        <v>담화공</v>
      </c>
      <c r="H3733" t="str">
        <f t="shared" si="504"/>
        <v>스토리위즈</v>
      </c>
      <c r="I3733" t="str">
        <f t="shared" si="506"/>
        <v>디버프 마스터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/>
      <c r="AQ3733">
        <v>0</v>
      </c>
      <c r="AR3733">
        <v>0</v>
      </c>
      <c r="AT3733">
        <v>0</v>
      </c>
      <c r="AU3733">
        <v>0</v>
      </c>
      <c r="AW3733">
        <v>0</v>
      </c>
      <c r="AX3733">
        <v>0</v>
      </c>
      <c r="AY3733">
        <v>70</v>
      </c>
      <c r="BC3733" t="str">
        <f t="shared" si="507"/>
        <v>9791137602663</v>
      </c>
      <c r="BE3733" t="str">
        <f t="shared" si="508"/>
        <v>판타지 웹소설 &gt; 퓨전 판타지</v>
      </c>
    </row>
    <row r="3734" spans="1:57" x14ac:dyDescent="0.3">
      <c r="A3734">
        <v>2313012849</v>
      </c>
      <c r="B3734">
        <v>2313013839</v>
      </c>
      <c r="C3734" t="str">
        <f>T("디버프 마스터 991화")</f>
        <v>디버프 마스터 991화</v>
      </c>
      <c r="D3734" t="str">
        <f>T("991")</f>
        <v>991</v>
      </c>
      <c r="E3734" t="str">
        <f t="shared" si="505"/>
        <v>담화공</v>
      </c>
      <c r="H3734" t="str">
        <f t="shared" si="504"/>
        <v>스토리위즈</v>
      </c>
      <c r="I3734" t="str">
        <f t="shared" si="506"/>
        <v>디버프 마스터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/>
      <c r="AQ3734">
        <v>0</v>
      </c>
      <c r="AR3734">
        <v>0</v>
      </c>
      <c r="AT3734">
        <v>0</v>
      </c>
      <c r="AU3734">
        <v>0</v>
      </c>
      <c r="AW3734">
        <v>0</v>
      </c>
      <c r="AX3734">
        <v>0</v>
      </c>
      <c r="AY3734">
        <v>70</v>
      </c>
      <c r="BC3734" t="str">
        <f t="shared" si="507"/>
        <v>9791137602663</v>
      </c>
      <c r="BE3734" t="str">
        <f t="shared" si="508"/>
        <v>판타지 웹소설 &gt; 퓨전 판타지</v>
      </c>
    </row>
    <row r="3735" spans="1:57" x14ac:dyDescent="0.3">
      <c r="A3735">
        <v>2313012849</v>
      </c>
      <c r="B3735">
        <v>2313013840</v>
      </c>
      <c r="C3735" t="str">
        <f>T("디버프 마스터 992화")</f>
        <v>디버프 마스터 992화</v>
      </c>
      <c r="D3735" t="str">
        <f>T("992")</f>
        <v>992</v>
      </c>
      <c r="E3735" t="str">
        <f t="shared" si="505"/>
        <v>담화공</v>
      </c>
      <c r="H3735" t="str">
        <f t="shared" ref="H3735:H3798" si="509">T("스토리위즈")</f>
        <v>스토리위즈</v>
      </c>
      <c r="I3735" t="str">
        <f t="shared" si="506"/>
        <v>디버프 마스터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/>
      <c r="AQ3735">
        <v>0</v>
      </c>
      <c r="AR3735">
        <v>0</v>
      </c>
      <c r="AT3735">
        <v>0</v>
      </c>
      <c r="AU3735">
        <v>0</v>
      </c>
      <c r="AW3735">
        <v>0</v>
      </c>
      <c r="AX3735">
        <v>0</v>
      </c>
      <c r="AY3735">
        <v>70</v>
      </c>
      <c r="BC3735" t="str">
        <f t="shared" si="507"/>
        <v>9791137602663</v>
      </c>
      <c r="BE3735" t="str">
        <f t="shared" si="508"/>
        <v>판타지 웹소설 &gt; 퓨전 판타지</v>
      </c>
    </row>
    <row r="3736" spans="1:57" x14ac:dyDescent="0.3">
      <c r="A3736">
        <v>2313012849</v>
      </c>
      <c r="B3736">
        <v>2313013841</v>
      </c>
      <c r="C3736" t="str">
        <f>T("디버프 마스터 993화")</f>
        <v>디버프 마스터 993화</v>
      </c>
      <c r="D3736" t="str">
        <f>T("993")</f>
        <v>993</v>
      </c>
      <c r="E3736" t="str">
        <f t="shared" si="505"/>
        <v>담화공</v>
      </c>
      <c r="H3736" t="str">
        <f t="shared" si="509"/>
        <v>스토리위즈</v>
      </c>
      <c r="I3736" t="str">
        <f t="shared" si="506"/>
        <v>디버프 마스터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/>
      <c r="AQ3736">
        <v>0</v>
      </c>
      <c r="AR3736">
        <v>0</v>
      </c>
      <c r="AT3736">
        <v>0</v>
      </c>
      <c r="AU3736">
        <v>0</v>
      </c>
      <c r="AW3736">
        <v>0</v>
      </c>
      <c r="AX3736">
        <v>0</v>
      </c>
      <c r="AY3736">
        <v>70</v>
      </c>
      <c r="BC3736" t="str">
        <f t="shared" si="507"/>
        <v>9791137602663</v>
      </c>
      <c r="BE3736" t="str">
        <f t="shared" si="508"/>
        <v>판타지 웹소설 &gt; 퓨전 판타지</v>
      </c>
    </row>
    <row r="3737" spans="1:57" x14ac:dyDescent="0.3">
      <c r="A3737">
        <v>2313012849</v>
      </c>
      <c r="B3737">
        <v>2313013842</v>
      </c>
      <c r="C3737" t="str">
        <f>T("디버프 마스터 994화")</f>
        <v>디버프 마스터 994화</v>
      </c>
      <c r="D3737" t="str">
        <f>T("994")</f>
        <v>994</v>
      </c>
      <c r="E3737" t="str">
        <f t="shared" si="505"/>
        <v>담화공</v>
      </c>
      <c r="H3737" t="str">
        <f t="shared" si="509"/>
        <v>스토리위즈</v>
      </c>
      <c r="I3737" t="str">
        <f t="shared" si="506"/>
        <v>디버프 마스터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/>
      <c r="AQ3737">
        <v>0</v>
      </c>
      <c r="AR3737">
        <v>0</v>
      </c>
      <c r="AT3737">
        <v>0</v>
      </c>
      <c r="AU3737">
        <v>0</v>
      </c>
      <c r="AW3737">
        <v>0</v>
      </c>
      <c r="AX3737">
        <v>0</v>
      </c>
      <c r="AY3737">
        <v>70</v>
      </c>
      <c r="BC3737" t="str">
        <f t="shared" si="507"/>
        <v>9791137602663</v>
      </c>
      <c r="BE3737" t="str">
        <f t="shared" si="508"/>
        <v>판타지 웹소설 &gt; 퓨전 판타지</v>
      </c>
    </row>
    <row r="3738" spans="1:57" x14ac:dyDescent="0.3">
      <c r="A3738">
        <v>2313012849</v>
      </c>
      <c r="B3738">
        <v>2313013843</v>
      </c>
      <c r="C3738" t="str">
        <f>T("디버프 마스터 995화")</f>
        <v>디버프 마스터 995화</v>
      </c>
      <c r="D3738" t="str">
        <f>T("995")</f>
        <v>995</v>
      </c>
      <c r="E3738" t="str">
        <f t="shared" si="505"/>
        <v>담화공</v>
      </c>
      <c r="H3738" t="str">
        <f t="shared" si="509"/>
        <v>스토리위즈</v>
      </c>
      <c r="I3738" t="str">
        <f t="shared" si="506"/>
        <v>디버프 마스터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/>
      <c r="AQ3738">
        <v>0</v>
      </c>
      <c r="AR3738">
        <v>0</v>
      </c>
      <c r="AT3738">
        <v>0</v>
      </c>
      <c r="AU3738">
        <v>0</v>
      </c>
      <c r="AW3738">
        <v>0</v>
      </c>
      <c r="AX3738">
        <v>0</v>
      </c>
      <c r="AY3738">
        <v>70</v>
      </c>
      <c r="BC3738" t="str">
        <f t="shared" si="507"/>
        <v>9791137602663</v>
      </c>
      <c r="BE3738" t="str">
        <f t="shared" si="508"/>
        <v>판타지 웹소설 &gt; 퓨전 판타지</v>
      </c>
    </row>
    <row r="3739" spans="1:57" x14ac:dyDescent="0.3">
      <c r="A3739">
        <v>2313012849</v>
      </c>
      <c r="B3739">
        <v>2313013844</v>
      </c>
      <c r="C3739" t="str">
        <f>T("디버프 마스터 996화")</f>
        <v>디버프 마스터 996화</v>
      </c>
      <c r="D3739" t="str">
        <f>T("996")</f>
        <v>996</v>
      </c>
      <c r="E3739" t="str">
        <f t="shared" si="505"/>
        <v>담화공</v>
      </c>
      <c r="H3739" t="str">
        <f t="shared" si="509"/>
        <v>스토리위즈</v>
      </c>
      <c r="I3739" t="str">
        <f t="shared" si="506"/>
        <v>디버프 마스터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/>
      <c r="AQ3739">
        <v>0</v>
      </c>
      <c r="AR3739">
        <v>0</v>
      </c>
      <c r="AT3739">
        <v>0</v>
      </c>
      <c r="AU3739">
        <v>0</v>
      </c>
      <c r="AW3739">
        <v>0</v>
      </c>
      <c r="AX3739">
        <v>0</v>
      </c>
      <c r="AY3739">
        <v>70</v>
      </c>
      <c r="BC3739" t="str">
        <f t="shared" si="507"/>
        <v>9791137602663</v>
      </c>
      <c r="BE3739" t="str">
        <f t="shared" si="508"/>
        <v>판타지 웹소설 &gt; 퓨전 판타지</v>
      </c>
    </row>
    <row r="3740" spans="1:57" x14ac:dyDescent="0.3">
      <c r="A3740">
        <v>2313012849</v>
      </c>
      <c r="B3740">
        <v>2313013845</v>
      </c>
      <c r="C3740" t="str">
        <f>T("디버프 마스터 997화")</f>
        <v>디버프 마스터 997화</v>
      </c>
      <c r="D3740" t="str">
        <f>T("997")</f>
        <v>997</v>
      </c>
      <c r="E3740" t="str">
        <f t="shared" si="505"/>
        <v>담화공</v>
      </c>
      <c r="H3740" t="str">
        <f t="shared" si="509"/>
        <v>스토리위즈</v>
      </c>
      <c r="I3740" t="str">
        <f t="shared" si="506"/>
        <v>디버프 마스터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/>
      <c r="AQ3740">
        <v>0</v>
      </c>
      <c r="AR3740">
        <v>0</v>
      </c>
      <c r="AT3740">
        <v>0</v>
      </c>
      <c r="AU3740">
        <v>0</v>
      </c>
      <c r="AW3740">
        <v>0</v>
      </c>
      <c r="AX3740">
        <v>0</v>
      </c>
      <c r="AY3740">
        <v>70</v>
      </c>
      <c r="BC3740" t="str">
        <f t="shared" si="507"/>
        <v>9791137602663</v>
      </c>
      <c r="BE3740" t="str">
        <f t="shared" si="508"/>
        <v>판타지 웹소설 &gt; 퓨전 판타지</v>
      </c>
    </row>
    <row r="3741" spans="1:57" x14ac:dyDescent="0.3">
      <c r="A3741">
        <v>2313012849</v>
      </c>
      <c r="B3741">
        <v>2313013846</v>
      </c>
      <c r="C3741" t="str">
        <f>T("디버프 마스터 998화")</f>
        <v>디버프 마스터 998화</v>
      </c>
      <c r="D3741" t="str">
        <f>T("998")</f>
        <v>998</v>
      </c>
      <c r="E3741" t="str">
        <f t="shared" ref="E3741:E3804" si="510">T("담화공")</f>
        <v>담화공</v>
      </c>
      <c r="H3741" t="str">
        <f t="shared" si="509"/>
        <v>스토리위즈</v>
      </c>
      <c r="I3741" t="str">
        <f t="shared" ref="I3741:I3804" si="511">T("디버프 마스터")</f>
        <v>디버프 마스터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/>
      <c r="AQ3741">
        <v>0</v>
      </c>
      <c r="AR3741">
        <v>0</v>
      </c>
      <c r="AT3741">
        <v>0</v>
      </c>
      <c r="AU3741">
        <v>0</v>
      </c>
      <c r="AW3741">
        <v>0</v>
      </c>
      <c r="AX3741">
        <v>0</v>
      </c>
      <c r="AY3741">
        <v>70</v>
      </c>
      <c r="BC3741" t="str">
        <f t="shared" ref="BC3741:BC3804" si="512">T("9791137602663")</f>
        <v>9791137602663</v>
      </c>
      <c r="BE3741" t="str">
        <f t="shared" ref="BE3741:BE3804" si="513">T("판타지 웹소설 &gt; 퓨전 판타지")</f>
        <v>판타지 웹소설 &gt; 퓨전 판타지</v>
      </c>
    </row>
    <row r="3742" spans="1:57" x14ac:dyDescent="0.3">
      <c r="A3742">
        <v>2313012849</v>
      </c>
      <c r="B3742">
        <v>2313013847</v>
      </c>
      <c r="C3742" t="str">
        <f>T("디버프 마스터 999화")</f>
        <v>디버프 마스터 999화</v>
      </c>
      <c r="D3742" t="str">
        <f>T("999")</f>
        <v>999</v>
      </c>
      <c r="E3742" t="str">
        <f t="shared" si="510"/>
        <v>담화공</v>
      </c>
      <c r="H3742" t="str">
        <f t="shared" si="509"/>
        <v>스토리위즈</v>
      </c>
      <c r="I3742" t="str">
        <f t="shared" si="511"/>
        <v>디버프 마스터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/>
      <c r="AQ3742">
        <v>0</v>
      </c>
      <c r="AR3742">
        <v>0</v>
      </c>
      <c r="AT3742">
        <v>0</v>
      </c>
      <c r="AU3742">
        <v>0</v>
      </c>
      <c r="AW3742">
        <v>0</v>
      </c>
      <c r="AX3742">
        <v>0</v>
      </c>
      <c r="AY3742">
        <v>70</v>
      </c>
      <c r="BC3742" t="str">
        <f t="shared" si="512"/>
        <v>9791137602663</v>
      </c>
      <c r="BE3742" t="str">
        <f t="shared" si="513"/>
        <v>판타지 웹소설 &gt; 퓨전 판타지</v>
      </c>
    </row>
    <row r="3743" spans="1:57" x14ac:dyDescent="0.3">
      <c r="A3743">
        <v>2313012849</v>
      </c>
      <c r="B3743">
        <v>2313013848</v>
      </c>
      <c r="C3743" t="str">
        <f>T("디버프 마스터 1000화")</f>
        <v>디버프 마스터 1000화</v>
      </c>
      <c r="D3743" t="str">
        <f>T("1000")</f>
        <v>1000</v>
      </c>
      <c r="E3743" t="str">
        <f t="shared" si="510"/>
        <v>담화공</v>
      </c>
      <c r="H3743" t="str">
        <f t="shared" si="509"/>
        <v>스토리위즈</v>
      </c>
      <c r="I3743" t="str">
        <f t="shared" si="511"/>
        <v>디버프 마스터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/>
      <c r="AQ3743">
        <v>0</v>
      </c>
      <c r="AR3743">
        <v>0</v>
      </c>
      <c r="AT3743">
        <v>0</v>
      </c>
      <c r="AU3743">
        <v>0</v>
      </c>
      <c r="AW3743">
        <v>0</v>
      </c>
      <c r="AX3743">
        <v>0</v>
      </c>
      <c r="AY3743">
        <v>70</v>
      </c>
      <c r="BC3743" t="str">
        <f t="shared" si="512"/>
        <v>9791137602663</v>
      </c>
      <c r="BE3743" t="str">
        <f t="shared" si="513"/>
        <v>판타지 웹소설 &gt; 퓨전 판타지</v>
      </c>
    </row>
    <row r="3744" spans="1:57" x14ac:dyDescent="0.3">
      <c r="A3744">
        <v>2313012849</v>
      </c>
      <c r="B3744">
        <v>2313013849</v>
      </c>
      <c r="C3744" t="str">
        <f>T("디버프 마스터 1001화")</f>
        <v>디버프 마스터 1001화</v>
      </c>
      <c r="D3744" t="str">
        <f>T("1001")</f>
        <v>1001</v>
      </c>
      <c r="E3744" t="str">
        <f t="shared" si="510"/>
        <v>담화공</v>
      </c>
      <c r="H3744" t="str">
        <f t="shared" si="509"/>
        <v>스토리위즈</v>
      </c>
      <c r="I3744" t="str">
        <f t="shared" si="511"/>
        <v>디버프 마스터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/>
      <c r="AQ3744">
        <v>0</v>
      </c>
      <c r="AR3744">
        <v>0</v>
      </c>
      <c r="AT3744">
        <v>0</v>
      </c>
      <c r="AU3744">
        <v>0</v>
      </c>
      <c r="AW3744">
        <v>0</v>
      </c>
      <c r="AX3744">
        <v>0</v>
      </c>
      <c r="AY3744">
        <v>70</v>
      </c>
      <c r="BC3744" t="str">
        <f t="shared" si="512"/>
        <v>9791137602663</v>
      </c>
      <c r="BE3744" t="str">
        <f t="shared" si="513"/>
        <v>판타지 웹소설 &gt; 퓨전 판타지</v>
      </c>
    </row>
    <row r="3745" spans="1:57" x14ac:dyDescent="0.3">
      <c r="A3745">
        <v>2313012849</v>
      </c>
      <c r="B3745">
        <v>2313013850</v>
      </c>
      <c r="C3745" t="str">
        <f>T("디버프 마스터 1002화")</f>
        <v>디버프 마스터 1002화</v>
      </c>
      <c r="D3745" t="str">
        <f>T("1002")</f>
        <v>1002</v>
      </c>
      <c r="E3745" t="str">
        <f t="shared" si="510"/>
        <v>담화공</v>
      </c>
      <c r="H3745" t="str">
        <f t="shared" si="509"/>
        <v>스토리위즈</v>
      </c>
      <c r="I3745" t="str">
        <f t="shared" si="511"/>
        <v>디버프 마스터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/>
      <c r="AQ3745">
        <v>0</v>
      </c>
      <c r="AR3745">
        <v>0</v>
      </c>
      <c r="AT3745">
        <v>0</v>
      </c>
      <c r="AU3745">
        <v>0</v>
      </c>
      <c r="AW3745">
        <v>0</v>
      </c>
      <c r="AX3745">
        <v>0</v>
      </c>
      <c r="AY3745">
        <v>70</v>
      </c>
      <c r="BC3745" t="str">
        <f t="shared" si="512"/>
        <v>9791137602663</v>
      </c>
      <c r="BE3745" t="str">
        <f t="shared" si="513"/>
        <v>판타지 웹소설 &gt; 퓨전 판타지</v>
      </c>
    </row>
    <row r="3746" spans="1:57" x14ac:dyDescent="0.3">
      <c r="A3746">
        <v>2313012849</v>
      </c>
      <c r="B3746">
        <v>2313013851</v>
      </c>
      <c r="C3746" t="str">
        <f>T("디버프 마스터 1003화")</f>
        <v>디버프 마스터 1003화</v>
      </c>
      <c r="D3746" t="str">
        <f>T("1003")</f>
        <v>1003</v>
      </c>
      <c r="E3746" t="str">
        <f t="shared" si="510"/>
        <v>담화공</v>
      </c>
      <c r="H3746" t="str">
        <f t="shared" si="509"/>
        <v>스토리위즈</v>
      </c>
      <c r="I3746" t="str">
        <f t="shared" si="511"/>
        <v>디버프 마스터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/>
      <c r="AQ3746">
        <v>0</v>
      </c>
      <c r="AR3746">
        <v>0</v>
      </c>
      <c r="AT3746">
        <v>0</v>
      </c>
      <c r="AU3746">
        <v>0</v>
      </c>
      <c r="AW3746">
        <v>0</v>
      </c>
      <c r="AX3746">
        <v>0</v>
      </c>
      <c r="AY3746">
        <v>70</v>
      </c>
      <c r="BC3746" t="str">
        <f t="shared" si="512"/>
        <v>9791137602663</v>
      </c>
      <c r="BE3746" t="str">
        <f t="shared" si="513"/>
        <v>판타지 웹소설 &gt; 퓨전 판타지</v>
      </c>
    </row>
    <row r="3747" spans="1:57" x14ac:dyDescent="0.3">
      <c r="A3747">
        <v>2313012849</v>
      </c>
      <c r="B3747">
        <v>2313013852</v>
      </c>
      <c r="C3747" t="str">
        <f>T("디버프 마스터 1004화")</f>
        <v>디버프 마스터 1004화</v>
      </c>
      <c r="D3747" t="str">
        <f>T("1004")</f>
        <v>1004</v>
      </c>
      <c r="E3747" t="str">
        <f t="shared" si="510"/>
        <v>담화공</v>
      </c>
      <c r="H3747" t="str">
        <f t="shared" si="509"/>
        <v>스토리위즈</v>
      </c>
      <c r="I3747" t="str">
        <f t="shared" si="511"/>
        <v>디버프 마스터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/>
      <c r="AQ3747">
        <v>0</v>
      </c>
      <c r="AR3747">
        <v>0</v>
      </c>
      <c r="AT3747">
        <v>0</v>
      </c>
      <c r="AU3747">
        <v>0</v>
      </c>
      <c r="AW3747">
        <v>0</v>
      </c>
      <c r="AX3747">
        <v>0</v>
      </c>
      <c r="AY3747">
        <v>70</v>
      </c>
      <c r="BC3747" t="str">
        <f t="shared" si="512"/>
        <v>9791137602663</v>
      </c>
      <c r="BE3747" t="str">
        <f t="shared" si="513"/>
        <v>판타지 웹소설 &gt; 퓨전 판타지</v>
      </c>
    </row>
    <row r="3748" spans="1:57" x14ac:dyDescent="0.3">
      <c r="A3748">
        <v>2313012849</v>
      </c>
      <c r="B3748">
        <v>2313013853</v>
      </c>
      <c r="C3748" t="str">
        <f>T("디버프 마스터 1005화")</f>
        <v>디버프 마스터 1005화</v>
      </c>
      <c r="D3748" t="str">
        <f>T("1005")</f>
        <v>1005</v>
      </c>
      <c r="E3748" t="str">
        <f t="shared" si="510"/>
        <v>담화공</v>
      </c>
      <c r="H3748" t="str">
        <f t="shared" si="509"/>
        <v>스토리위즈</v>
      </c>
      <c r="I3748" t="str">
        <f t="shared" si="511"/>
        <v>디버프 마스터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/>
      <c r="AQ3748">
        <v>0</v>
      </c>
      <c r="AR3748">
        <v>0</v>
      </c>
      <c r="AT3748">
        <v>0</v>
      </c>
      <c r="AU3748">
        <v>0</v>
      </c>
      <c r="AW3748">
        <v>0</v>
      </c>
      <c r="AX3748">
        <v>0</v>
      </c>
      <c r="AY3748">
        <v>70</v>
      </c>
      <c r="BC3748" t="str">
        <f t="shared" si="512"/>
        <v>9791137602663</v>
      </c>
      <c r="BE3748" t="str">
        <f t="shared" si="513"/>
        <v>판타지 웹소설 &gt; 퓨전 판타지</v>
      </c>
    </row>
    <row r="3749" spans="1:57" x14ac:dyDescent="0.3">
      <c r="A3749">
        <v>2313012849</v>
      </c>
      <c r="B3749">
        <v>2313013854</v>
      </c>
      <c r="C3749" t="str">
        <f>T("디버프 마스터 1006화")</f>
        <v>디버프 마스터 1006화</v>
      </c>
      <c r="D3749" t="str">
        <f>T("1006")</f>
        <v>1006</v>
      </c>
      <c r="E3749" t="str">
        <f t="shared" si="510"/>
        <v>담화공</v>
      </c>
      <c r="H3749" t="str">
        <f t="shared" si="509"/>
        <v>스토리위즈</v>
      </c>
      <c r="I3749" t="str">
        <f t="shared" si="511"/>
        <v>디버프 마스터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/>
      <c r="AQ3749">
        <v>0</v>
      </c>
      <c r="AR3749">
        <v>0</v>
      </c>
      <c r="AT3749">
        <v>0</v>
      </c>
      <c r="AU3749">
        <v>0</v>
      </c>
      <c r="AW3749">
        <v>0</v>
      </c>
      <c r="AX3749">
        <v>0</v>
      </c>
      <c r="AY3749">
        <v>70</v>
      </c>
      <c r="BC3749" t="str">
        <f t="shared" si="512"/>
        <v>9791137602663</v>
      </c>
      <c r="BE3749" t="str">
        <f t="shared" si="513"/>
        <v>판타지 웹소설 &gt; 퓨전 판타지</v>
      </c>
    </row>
    <row r="3750" spans="1:57" x14ac:dyDescent="0.3">
      <c r="A3750">
        <v>2313012849</v>
      </c>
      <c r="B3750">
        <v>2313013855</v>
      </c>
      <c r="C3750" t="str">
        <f>T("디버프 마스터 1007화")</f>
        <v>디버프 마스터 1007화</v>
      </c>
      <c r="D3750" t="str">
        <f>T("1007")</f>
        <v>1007</v>
      </c>
      <c r="E3750" t="str">
        <f t="shared" si="510"/>
        <v>담화공</v>
      </c>
      <c r="H3750" t="str">
        <f t="shared" si="509"/>
        <v>스토리위즈</v>
      </c>
      <c r="I3750" t="str">
        <f t="shared" si="511"/>
        <v>디버프 마스터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/>
      <c r="AQ3750">
        <v>0</v>
      </c>
      <c r="AR3750">
        <v>0</v>
      </c>
      <c r="AT3750">
        <v>0</v>
      </c>
      <c r="AU3750">
        <v>0</v>
      </c>
      <c r="AW3750">
        <v>0</v>
      </c>
      <c r="AX3750">
        <v>0</v>
      </c>
      <c r="AY3750">
        <v>70</v>
      </c>
      <c r="BC3750" t="str">
        <f t="shared" si="512"/>
        <v>9791137602663</v>
      </c>
      <c r="BE3750" t="str">
        <f t="shared" si="513"/>
        <v>판타지 웹소설 &gt; 퓨전 판타지</v>
      </c>
    </row>
    <row r="3751" spans="1:57" x14ac:dyDescent="0.3">
      <c r="A3751">
        <v>2313012849</v>
      </c>
      <c r="B3751">
        <v>2313013856</v>
      </c>
      <c r="C3751" t="str">
        <f>T("디버프 마스터 1008화")</f>
        <v>디버프 마스터 1008화</v>
      </c>
      <c r="D3751" t="str">
        <f>T("1008")</f>
        <v>1008</v>
      </c>
      <c r="E3751" t="str">
        <f t="shared" si="510"/>
        <v>담화공</v>
      </c>
      <c r="H3751" t="str">
        <f t="shared" si="509"/>
        <v>스토리위즈</v>
      </c>
      <c r="I3751" t="str">
        <f t="shared" si="511"/>
        <v>디버프 마스터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/>
      <c r="AQ3751">
        <v>0</v>
      </c>
      <c r="AR3751">
        <v>0</v>
      </c>
      <c r="AT3751">
        <v>0</v>
      </c>
      <c r="AU3751">
        <v>0</v>
      </c>
      <c r="AW3751">
        <v>0</v>
      </c>
      <c r="AX3751">
        <v>0</v>
      </c>
      <c r="AY3751">
        <v>70</v>
      </c>
      <c r="BC3751" t="str">
        <f t="shared" si="512"/>
        <v>9791137602663</v>
      </c>
      <c r="BE3751" t="str">
        <f t="shared" si="513"/>
        <v>판타지 웹소설 &gt; 퓨전 판타지</v>
      </c>
    </row>
    <row r="3752" spans="1:57" x14ac:dyDescent="0.3">
      <c r="A3752">
        <v>2313012849</v>
      </c>
      <c r="B3752">
        <v>2313013857</v>
      </c>
      <c r="C3752" t="str">
        <f>T("디버프 마스터 1009화")</f>
        <v>디버프 마스터 1009화</v>
      </c>
      <c r="D3752" t="str">
        <f>T("1009")</f>
        <v>1009</v>
      </c>
      <c r="E3752" t="str">
        <f t="shared" si="510"/>
        <v>담화공</v>
      </c>
      <c r="H3752" t="str">
        <f t="shared" si="509"/>
        <v>스토리위즈</v>
      </c>
      <c r="I3752" t="str">
        <f t="shared" si="511"/>
        <v>디버프 마스터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/>
      <c r="AQ3752">
        <v>0</v>
      </c>
      <c r="AR3752">
        <v>0</v>
      </c>
      <c r="AT3752">
        <v>0</v>
      </c>
      <c r="AU3752">
        <v>0</v>
      </c>
      <c r="AW3752">
        <v>0</v>
      </c>
      <c r="AX3752">
        <v>0</v>
      </c>
      <c r="AY3752">
        <v>70</v>
      </c>
      <c r="BC3752" t="str">
        <f t="shared" si="512"/>
        <v>9791137602663</v>
      </c>
      <c r="BE3752" t="str">
        <f t="shared" si="513"/>
        <v>판타지 웹소설 &gt; 퓨전 판타지</v>
      </c>
    </row>
    <row r="3753" spans="1:57" x14ac:dyDescent="0.3">
      <c r="A3753">
        <v>2313012849</v>
      </c>
      <c r="B3753">
        <v>2313013858</v>
      </c>
      <c r="C3753" t="str">
        <f>T("디버프 마스터 1010화")</f>
        <v>디버프 마스터 1010화</v>
      </c>
      <c r="D3753" t="str">
        <f>T("1010")</f>
        <v>1010</v>
      </c>
      <c r="E3753" t="str">
        <f t="shared" si="510"/>
        <v>담화공</v>
      </c>
      <c r="H3753" t="str">
        <f t="shared" si="509"/>
        <v>스토리위즈</v>
      </c>
      <c r="I3753" t="str">
        <f t="shared" si="511"/>
        <v>디버프 마스터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/>
      <c r="AQ3753">
        <v>0</v>
      </c>
      <c r="AR3753">
        <v>0</v>
      </c>
      <c r="AT3753">
        <v>0</v>
      </c>
      <c r="AU3753">
        <v>0</v>
      </c>
      <c r="AW3753">
        <v>0</v>
      </c>
      <c r="AX3753">
        <v>0</v>
      </c>
      <c r="AY3753">
        <v>70</v>
      </c>
      <c r="BC3753" t="str">
        <f t="shared" si="512"/>
        <v>9791137602663</v>
      </c>
      <c r="BE3753" t="str">
        <f t="shared" si="513"/>
        <v>판타지 웹소설 &gt; 퓨전 판타지</v>
      </c>
    </row>
    <row r="3754" spans="1:57" x14ac:dyDescent="0.3">
      <c r="A3754">
        <v>2313012849</v>
      </c>
      <c r="B3754">
        <v>2313013859</v>
      </c>
      <c r="C3754" t="str">
        <f>T("디버프 마스터 1011화")</f>
        <v>디버프 마스터 1011화</v>
      </c>
      <c r="D3754" t="str">
        <f>T("1011")</f>
        <v>1011</v>
      </c>
      <c r="E3754" t="str">
        <f t="shared" si="510"/>
        <v>담화공</v>
      </c>
      <c r="H3754" t="str">
        <f t="shared" si="509"/>
        <v>스토리위즈</v>
      </c>
      <c r="I3754" t="str">
        <f t="shared" si="511"/>
        <v>디버프 마스터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/>
      <c r="AQ3754">
        <v>0</v>
      </c>
      <c r="AR3754">
        <v>0</v>
      </c>
      <c r="AT3754">
        <v>0</v>
      </c>
      <c r="AU3754">
        <v>0</v>
      </c>
      <c r="AW3754">
        <v>0</v>
      </c>
      <c r="AX3754">
        <v>0</v>
      </c>
      <c r="AY3754">
        <v>70</v>
      </c>
      <c r="BC3754" t="str">
        <f t="shared" si="512"/>
        <v>9791137602663</v>
      </c>
      <c r="BE3754" t="str">
        <f t="shared" si="513"/>
        <v>판타지 웹소설 &gt; 퓨전 판타지</v>
      </c>
    </row>
    <row r="3755" spans="1:57" x14ac:dyDescent="0.3">
      <c r="A3755">
        <v>2313012849</v>
      </c>
      <c r="B3755">
        <v>2313013860</v>
      </c>
      <c r="C3755" t="str">
        <f>T("디버프 마스터 1012화")</f>
        <v>디버프 마스터 1012화</v>
      </c>
      <c r="D3755" t="str">
        <f>T("1012")</f>
        <v>1012</v>
      </c>
      <c r="E3755" t="str">
        <f t="shared" si="510"/>
        <v>담화공</v>
      </c>
      <c r="H3755" t="str">
        <f t="shared" si="509"/>
        <v>스토리위즈</v>
      </c>
      <c r="I3755" t="str">
        <f t="shared" si="511"/>
        <v>디버프 마스터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/>
      <c r="AQ3755">
        <v>0</v>
      </c>
      <c r="AR3755">
        <v>0</v>
      </c>
      <c r="AT3755">
        <v>0</v>
      </c>
      <c r="AU3755">
        <v>0</v>
      </c>
      <c r="AW3755">
        <v>0</v>
      </c>
      <c r="AX3755">
        <v>0</v>
      </c>
      <c r="AY3755">
        <v>70</v>
      </c>
      <c r="BC3755" t="str">
        <f t="shared" si="512"/>
        <v>9791137602663</v>
      </c>
      <c r="BE3755" t="str">
        <f t="shared" si="513"/>
        <v>판타지 웹소설 &gt; 퓨전 판타지</v>
      </c>
    </row>
    <row r="3756" spans="1:57" x14ac:dyDescent="0.3">
      <c r="A3756">
        <v>2313012849</v>
      </c>
      <c r="B3756">
        <v>2313013861</v>
      </c>
      <c r="C3756" t="str">
        <f>T("디버프 마스터 1013화")</f>
        <v>디버프 마스터 1013화</v>
      </c>
      <c r="D3756" t="str">
        <f>T("1013")</f>
        <v>1013</v>
      </c>
      <c r="E3756" t="str">
        <f t="shared" si="510"/>
        <v>담화공</v>
      </c>
      <c r="H3756" t="str">
        <f t="shared" si="509"/>
        <v>스토리위즈</v>
      </c>
      <c r="I3756" t="str">
        <f t="shared" si="511"/>
        <v>디버프 마스터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/>
      <c r="AQ3756">
        <v>0</v>
      </c>
      <c r="AR3756">
        <v>0</v>
      </c>
      <c r="AT3756">
        <v>0</v>
      </c>
      <c r="AU3756">
        <v>0</v>
      </c>
      <c r="AW3756">
        <v>0</v>
      </c>
      <c r="AX3756">
        <v>0</v>
      </c>
      <c r="AY3756">
        <v>70</v>
      </c>
      <c r="BC3756" t="str">
        <f t="shared" si="512"/>
        <v>9791137602663</v>
      </c>
      <c r="BE3756" t="str">
        <f t="shared" si="513"/>
        <v>판타지 웹소설 &gt; 퓨전 판타지</v>
      </c>
    </row>
    <row r="3757" spans="1:57" x14ac:dyDescent="0.3">
      <c r="A3757">
        <v>2313012849</v>
      </c>
      <c r="B3757">
        <v>2313013862</v>
      </c>
      <c r="C3757" t="str">
        <f>T("디버프 마스터 1014화")</f>
        <v>디버프 마스터 1014화</v>
      </c>
      <c r="D3757" t="str">
        <f>T("1014")</f>
        <v>1014</v>
      </c>
      <c r="E3757" t="str">
        <f t="shared" si="510"/>
        <v>담화공</v>
      </c>
      <c r="H3757" t="str">
        <f t="shared" si="509"/>
        <v>스토리위즈</v>
      </c>
      <c r="I3757" t="str">
        <f t="shared" si="511"/>
        <v>디버프 마스터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/>
      <c r="AQ3757">
        <v>0</v>
      </c>
      <c r="AR3757">
        <v>0</v>
      </c>
      <c r="AT3757">
        <v>0</v>
      </c>
      <c r="AU3757">
        <v>0</v>
      </c>
      <c r="AW3757">
        <v>0</v>
      </c>
      <c r="AX3757">
        <v>0</v>
      </c>
      <c r="AY3757">
        <v>70</v>
      </c>
      <c r="BC3757" t="str">
        <f t="shared" si="512"/>
        <v>9791137602663</v>
      </c>
      <c r="BE3757" t="str">
        <f t="shared" si="513"/>
        <v>판타지 웹소설 &gt; 퓨전 판타지</v>
      </c>
    </row>
    <row r="3758" spans="1:57" x14ac:dyDescent="0.3">
      <c r="A3758">
        <v>2313012849</v>
      </c>
      <c r="B3758">
        <v>2313013863</v>
      </c>
      <c r="C3758" t="str">
        <f>T("디버프 마스터 1015화")</f>
        <v>디버프 마스터 1015화</v>
      </c>
      <c r="D3758" t="str">
        <f>T("1015")</f>
        <v>1015</v>
      </c>
      <c r="E3758" t="str">
        <f t="shared" si="510"/>
        <v>담화공</v>
      </c>
      <c r="H3758" t="str">
        <f t="shared" si="509"/>
        <v>스토리위즈</v>
      </c>
      <c r="I3758" t="str">
        <f t="shared" si="511"/>
        <v>디버프 마스터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/>
      <c r="AQ3758">
        <v>0</v>
      </c>
      <c r="AR3758">
        <v>0</v>
      </c>
      <c r="AT3758">
        <v>0</v>
      </c>
      <c r="AU3758">
        <v>0</v>
      </c>
      <c r="AW3758">
        <v>0</v>
      </c>
      <c r="AX3758">
        <v>0</v>
      </c>
      <c r="AY3758">
        <v>70</v>
      </c>
      <c r="BC3758" t="str">
        <f t="shared" si="512"/>
        <v>9791137602663</v>
      </c>
      <c r="BE3758" t="str">
        <f t="shared" si="513"/>
        <v>판타지 웹소설 &gt; 퓨전 판타지</v>
      </c>
    </row>
    <row r="3759" spans="1:57" x14ac:dyDescent="0.3">
      <c r="A3759">
        <v>2313012849</v>
      </c>
      <c r="B3759">
        <v>2313013864</v>
      </c>
      <c r="C3759" t="str">
        <f>T("디버프 마스터 1016화")</f>
        <v>디버프 마스터 1016화</v>
      </c>
      <c r="D3759" t="str">
        <f>T("1016")</f>
        <v>1016</v>
      </c>
      <c r="E3759" t="str">
        <f t="shared" si="510"/>
        <v>담화공</v>
      </c>
      <c r="H3759" t="str">
        <f t="shared" si="509"/>
        <v>스토리위즈</v>
      </c>
      <c r="I3759" t="str">
        <f t="shared" si="511"/>
        <v>디버프 마스터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/>
      <c r="AQ3759">
        <v>0</v>
      </c>
      <c r="AR3759">
        <v>0</v>
      </c>
      <c r="AT3759">
        <v>0</v>
      </c>
      <c r="AU3759">
        <v>0</v>
      </c>
      <c r="AW3759">
        <v>0</v>
      </c>
      <c r="AX3759">
        <v>0</v>
      </c>
      <c r="AY3759">
        <v>70</v>
      </c>
      <c r="BC3759" t="str">
        <f t="shared" si="512"/>
        <v>9791137602663</v>
      </c>
      <c r="BE3759" t="str">
        <f t="shared" si="513"/>
        <v>판타지 웹소설 &gt; 퓨전 판타지</v>
      </c>
    </row>
    <row r="3760" spans="1:57" x14ac:dyDescent="0.3">
      <c r="A3760">
        <v>2313012849</v>
      </c>
      <c r="B3760">
        <v>2313013865</v>
      </c>
      <c r="C3760" t="str">
        <f>T("디버프 마스터 1017화")</f>
        <v>디버프 마스터 1017화</v>
      </c>
      <c r="D3760" t="str">
        <f>T("1017")</f>
        <v>1017</v>
      </c>
      <c r="E3760" t="str">
        <f t="shared" si="510"/>
        <v>담화공</v>
      </c>
      <c r="H3760" t="str">
        <f t="shared" si="509"/>
        <v>스토리위즈</v>
      </c>
      <c r="I3760" t="str">
        <f t="shared" si="511"/>
        <v>디버프 마스터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/>
      <c r="AQ3760">
        <v>0</v>
      </c>
      <c r="AR3760">
        <v>0</v>
      </c>
      <c r="AT3760">
        <v>0</v>
      </c>
      <c r="AU3760">
        <v>0</v>
      </c>
      <c r="AW3760">
        <v>0</v>
      </c>
      <c r="AX3760">
        <v>0</v>
      </c>
      <c r="AY3760">
        <v>70</v>
      </c>
      <c r="BC3760" t="str">
        <f t="shared" si="512"/>
        <v>9791137602663</v>
      </c>
      <c r="BE3760" t="str">
        <f t="shared" si="513"/>
        <v>판타지 웹소설 &gt; 퓨전 판타지</v>
      </c>
    </row>
    <row r="3761" spans="1:57" x14ac:dyDescent="0.3">
      <c r="A3761">
        <v>2313012849</v>
      </c>
      <c r="B3761">
        <v>2313013866</v>
      </c>
      <c r="C3761" t="str">
        <f>T("디버프 마스터 1018화")</f>
        <v>디버프 마스터 1018화</v>
      </c>
      <c r="D3761" t="str">
        <f>T("1018")</f>
        <v>1018</v>
      </c>
      <c r="E3761" t="str">
        <f t="shared" si="510"/>
        <v>담화공</v>
      </c>
      <c r="H3761" t="str">
        <f t="shared" si="509"/>
        <v>스토리위즈</v>
      </c>
      <c r="I3761" t="str">
        <f t="shared" si="511"/>
        <v>디버프 마스터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/>
      <c r="AQ3761">
        <v>0</v>
      </c>
      <c r="AR3761">
        <v>0</v>
      </c>
      <c r="AT3761">
        <v>0</v>
      </c>
      <c r="AU3761">
        <v>0</v>
      </c>
      <c r="AW3761">
        <v>0</v>
      </c>
      <c r="AX3761">
        <v>0</v>
      </c>
      <c r="AY3761">
        <v>70</v>
      </c>
      <c r="BC3761" t="str">
        <f t="shared" si="512"/>
        <v>9791137602663</v>
      </c>
      <c r="BE3761" t="str">
        <f t="shared" si="513"/>
        <v>판타지 웹소설 &gt; 퓨전 판타지</v>
      </c>
    </row>
    <row r="3762" spans="1:57" x14ac:dyDescent="0.3">
      <c r="A3762">
        <v>2313012849</v>
      </c>
      <c r="B3762">
        <v>2313013867</v>
      </c>
      <c r="C3762" t="str">
        <f>T("디버프 마스터 1019화")</f>
        <v>디버프 마스터 1019화</v>
      </c>
      <c r="D3762" t="str">
        <f>T("1019")</f>
        <v>1019</v>
      </c>
      <c r="E3762" t="str">
        <f t="shared" si="510"/>
        <v>담화공</v>
      </c>
      <c r="H3762" t="str">
        <f t="shared" si="509"/>
        <v>스토리위즈</v>
      </c>
      <c r="I3762" t="str">
        <f t="shared" si="511"/>
        <v>디버프 마스터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/>
      <c r="AQ3762">
        <v>0</v>
      </c>
      <c r="AR3762">
        <v>0</v>
      </c>
      <c r="AT3762">
        <v>0</v>
      </c>
      <c r="AU3762">
        <v>0</v>
      </c>
      <c r="AW3762">
        <v>0</v>
      </c>
      <c r="AX3762">
        <v>0</v>
      </c>
      <c r="AY3762">
        <v>70</v>
      </c>
      <c r="BC3762" t="str">
        <f t="shared" si="512"/>
        <v>9791137602663</v>
      </c>
      <c r="BE3762" t="str">
        <f t="shared" si="513"/>
        <v>판타지 웹소설 &gt; 퓨전 판타지</v>
      </c>
    </row>
    <row r="3763" spans="1:57" x14ac:dyDescent="0.3">
      <c r="A3763">
        <v>2313012849</v>
      </c>
      <c r="B3763">
        <v>2313013868</v>
      </c>
      <c r="C3763" t="str">
        <f>T("디버프 마스터 1020화")</f>
        <v>디버프 마스터 1020화</v>
      </c>
      <c r="D3763" t="str">
        <f>T("1020")</f>
        <v>1020</v>
      </c>
      <c r="E3763" t="str">
        <f t="shared" si="510"/>
        <v>담화공</v>
      </c>
      <c r="H3763" t="str">
        <f t="shared" si="509"/>
        <v>스토리위즈</v>
      </c>
      <c r="I3763" t="str">
        <f t="shared" si="511"/>
        <v>디버프 마스터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/>
      <c r="AQ3763">
        <v>0</v>
      </c>
      <c r="AR3763">
        <v>0</v>
      </c>
      <c r="AT3763">
        <v>0</v>
      </c>
      <c r="AU3763">
        <v>0</v>
      </c>
      <c r="AW3763">
        <v>0</v>
      </c>
      <c r="AX3763">
        <v>0</v>
      </c>
      <c r="AY3763">
        <v>70</v>
      </c>
      <c r="BC3763" t="str">
        <f t="shared" si="512"/>
        <v>9791137602663</v>
      </c>
      <c r="BE3763" t="str">
        <f t="shared" si="513"/>
        <v>판타지 웹소설 &gt; 퓨전 판타지</v>
      </c>
    </row>
    <row r="3764" spans="1:57" x14ac:dyDescent="0.3">
      <c r="A3764">
        <v>2313012849</v>
      </c>
      <c r="B3764">
        <v>2313013869</v>
      </c>
      <c r="C3764" t="str">
        <f>T("디버프 마스터 1021화")</f>
        <v>디버프 마스터 1021화</v>
      </c>
      <c r="D3764" t="str">
        <f>T("1021")</f>
        <v>1021</v>
      </c>
      <c r="E3764" t="str">
        <f t="shared" si="510"/>
        <v>담화공</v>
      </c>
      <c r="H3764" t="str">
        <f t="shared" si="509"/>
        <v>스토리위즈</v>
      </c>
      <c r="I3764" t="str">
        <f t="shared" si="511"/>
        <v>디버프 마스터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/>
      <c r="AQ3764">
        <v>0</v>
      </c>
      <c r="AR3764">
        <v>0</v>
      </c>
      <c r="AT3764">
        <v>0</v>
      </c>
      <c r="AU3764">
        <v>0</v>
      </c>
      <c r="AW3764">
        <v>0</v>
      </c>
      <c r="AX3764">
        <v>0</v>
      </c>
      <c r="AY3764">
        <v>70</v>
      </c>
      <c r="BC3764" t="str">
        <f t="shared" si="512"/>
        <v>9791137602663</v>
      </c>
      <c r="BE3764" t="str">
        <f t="shared" si="513"/>
        <v>판타지 웹소설 &gt; 퓨전 판타지</v>
      </c>
    </row>
    <row r="3765" spans="1:57" x14ac:dyDescent="0.3">
      <c r="A3765">
        <v>2313012849</v>
      </c>
      <c r="B3765">
        <v>2313013870</v>
      </c>
      <c r="C3765" t="str">
        <f>T("디버프 마스터 1022화")</f>
        <v>디버프 마스터 1022화</v>
      </c>
      <c r="D3765" t="str">
        <f>T("1022")</f>
        <v>1022</v>
      </c>
      <c r="E3765" t="str">
        <f t="shared" si="510"/>
        <v>담화공</v>
      </c>
      <c r="H3765" t="str">
        <f t="shared" si="509"/>
        <v>스토리위즈</v>
      </c>
      <c r="I3765" t="str">
        <f t="shared" si="511"/>
        <v>디버프 마스터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/>
      <c r="AQ3765">
        <v>0</v>
      </c>
      <c r="AR3765">
        <v>0</v>
      </c>
      <c r="AT3765">
        <v>0</v>
      </c>
      <c r="AU3765">
        <v>0</v>
      </c>
      <c r="AW3765">
        <v>0</v>
      </c>
      <c r="AX3765">
        <v>0</v>
      </c>
      <c r="AY3765">
        <v>70</v>
      </c>
      <c r="BC3765" t="str">
        <f t="shared" si="512"/>
        <v>9791137602663</v>
      </c>
      <c r="BE3765" t="str">
        <f t="shared" si="513"/>
        <v>판타지 웹소설 &gt; 퓨전 판타지</v>
      </c>
    </row>
    <row r="3766" spans="1:57" x14ac:dyDescent="0.3">
      <c r="A3766">
        <v>2313012849</v>
      </c>
      <c r="B3766">
        <v>2313013871</v>
      </c>
      <c r="C3766" t="str">
        <f>T("디버프 마스터 1023화")</f>
        <v>디버프 마스터 1023화</v>
      </c>
      <c r="D3766" t="str">
        <f>T("1023")</f>
        <v>1023</v>
      </c>
      <c r="E3766" t="str">
        <f t="shared" si="510"/>
        <v>담화공</v>
      </c>
      <c r="H3766" t="str">
        <f t="shared" si="509"/>
        <v>스토리위즈</v>
      </c>
      <c r="I3766" t="str">
        <f t="shared" si="511"/>
        <v>디버프 마스터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/>
      <c r="AQ3766">
        <v>0</v>
      </c>
      <c r="AR3766">
        <v>0</v>
      </c>
      <c r="AT3766">
        <v>0</v>
      </c>
      <c r="AU3766">
        <v>0</v>
      </c>
      <c r="AW3766">
        <v>0</v>
      </c>
      <c r="AX3766">
        <v>0</v>
      </c>
      <c r="AY3766">
        <v>70</v>
      </c>
      <c r="BC3766" t="str">
        <f t="shared" si="512"/>
        <v>9791137602663</v>
      </c>
      <c r="BE3766" t="str">
        <f t="shared" si="513"/>
        <v>판타지 웹소설 &gt; 퓨전 판타지</v>
      </c>
    </row>
    <row r="3767" spans="1:57" x14ac:dyDescent="0.3">
      <c r="A3767">
        <v>2313012849</v>
      </c>
      <c r="B3767">
        <v>2313013872</v>
      </c>
      <c r="C3767" t="str">
        <f>T("디버프 마스터 1024화")</f>
        <v>디버프 마스터 1024화</v>
      </c>
      <c r="D3767" t="str">
        <f>T("1024")</f>
        <v>1024</v>
      </c>
      <c r="E3767" t="str">
        <f t="shared" si="510"/>
        <v>담화공</v>
      </c>
      <c r="H3767" t="str">
        <f t="shared" si="509"/>
        <v>스토리위즈</v>
      </c>
      <c r="I3767" t="str">
        <f t="shared" si="511"/>
        <v>디버프 마스터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/>
      <c r="AQ3767">
        <v>0</v>
      </c>
      <c r="AR3767">
        <v>0</v>
      </c>
      <c r="AT3767">
        <v>0</v>
      </c>
      <c r="AU3767">
        <v>0</v>
      </c>
      <c r="AW3767">
        <v>0</v>
      </c>
      <c r="AX3767">
        <v>0</v>
      </c>
      <c r="AY3767">
        <v>70</v>
      </c>
      <c r="BC3767" t="str">
        <f t="shared" si="512"/>
        <v>9791137602663</v>
      </c>
      <c r="BE3767" t="str">
        <f t="shared" si="513"/>
        <v>판타지 웹소설 &gt; 퓨전 판타지</v>
      </c>
    </row>
    <row r="3768" spans="1:57" x14ac:dyDescent="0.3">
      <c r="A3768">
        <v>2313012849</v>
      </c>
      <c r="B3768">
        <v>2313013873</v>
      </c>
      <c r="C3768" t="str">
        <f>T("디버프 마스터 1025화")</f>
        <v>디버프 마스터 1025화</v>
      </c>
      <c r="D3768" t="str">
        <f>T("1025")</f>
        <v>1025</v>
      </c>
      <c r="E3768" t="str">
        <f t="shared" si="510"/>
        <v>담화공</v>
      </c>
      <c r="H3768" t="str">
        <f t="shared" si="509"/>
        <v>스토리위즈</v>
      </c>
      <c r="I3768" t="str">
        <f t="shared" si="511"/>
        <v>디버프 마스터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/>
      <c r="AQ3768">
        <v>0</v>
      </c>
      <c r="AR3768">
        <v>0</v>
      </c>
      <c r="AT3768">
        <v>0</v>
      </c>
      <c r="AU3768">
        <v>0</v>
      </c>
      <c r="AW3768">
        <v>0</v>
      </c>
      <c r="AX3768">
        <v>0</v>
      </c>
      <c r="AY3768">
        <v>70</v>
      </c>
      <c r="BC3768" t="str">
        <f t="shared" si="512"/>
        <v>9791137602663</v>
      </c>
      <c r="BE3768" t="str">
        <f t="shared" si="513"/>
        <v>판타지 웹소설 &gt; 퓨전 판타지</v>
      </c>
    </row>
    <row r="3769" spans="1:57" x14ac:dyDescent="0.3">
      <c r="A3769">
        <v>2313012849</v>
      </c>
      <c r="B3769">
        <v>2313013874</v>
      </c>
      <c r="C3769" t="str">
        <f>T("디버프 마스터 1026화")</f>
        <v>디버프 마스터 1026화</v>
      </c>
      <c r="D3769" t="str">
        <f>T("1026")</f>
        <v>1026</v>
      </c>
      <c r="E3769" t="str">
        <f t="shared" si="510"/>
        <v>담화공</v>
      </c>
      <c r="H3769" t="str">
        <f t="shared" si="509"/>
        <v>스토리위즈</v>
      </c>
      <c r="I3769" t="str">
        <f t="shared" si="511"/>
        <v>디버프 마스터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/>
      <c r="AQ3769">
        <v>0</v>
      </c>
      <c r="AR3769">
        <v>0</v>
      </c>
      <c r="AT3769">
        <v>0</v>
      </c>
      <c r="AU3769">
        <v>0</v>
      </c>
      <c r="AW3769">
        <v>0</v>
      </c>
      <c r="AX3769">
        <v>0</v>
      </c>
      <c r="AY3769">
        <v>70</v>
      </c>
      <c r="BC3769" t="str">
        <f t="shared" si="512"/>
        <v>9791137602663</v>
      </c>
      <c r="BE3769" t="str">
        <f t="shared" si="513"/>
        <v>판타지 웹소설 &gt; 퓨전 판타지</v>
      </c>
    </row>
    <row r="3770" spans="1:57" x14ac:dyDescent="0.3">
      <c r="A3770">
        <v>2313012849</v>
      </c>
      <c r="B3770">
        <v>2313013875</v>
      </c>
      <c r="C3770" t="str">
        <f>T("디버프 마스터 1027화")</f>
        <v>디버프 마스터 1027화</v>
      </c>
      <c r="D3770" t="str">
        <f>T("1027")</f>
        <v>1027</v>
      </c>
      <c r="E3770" t="str">
        <f t="shared" si="510"/>
        <v>담화공</v>
      </c>
      <c r="H3770" t="str">
        <f t="shared" si="509"/>
        <v>스토리위즈</v>
      </c>
      <c r="I3770" t="str">
        <f t="shared" si="511"/>
        <v>디버프 마스터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/>
      <c r="AQ3770">
        <v>0</v>
      </c>
      <c r="AR3770">
        <v>0</v>
      </c>
      <c r="AT3770">
        <v>0</v>
      </c>
      <c r="AU3770">
        <v>0</v>
      </c>
      <c r="AW3770">
        <v>0</v>
      </c>
      <c r="AX3770">
        <v>0</v>
      </c>
      <c r="AY3770">
        <v>70</v>
      </c>
      <c r="BC3770" t="str">
        <f t="shared" si="512"/>
        <v>9791137602663</v>
      </c>
      <c r="BE3770" t="str">
        <f t="shared" si="513"/>
        <v>판타지 웹소설 &gt; 퓨전 판타지</v>
      </c>
    </row>
    <row r="3771" spans="1:57" x14ac:dyDescent="0.3">
      <c r="A3771">
        <v>2313012849</v>
      </c>
      <c r="B3771">
        <v>2313013876</v>
      </c>
      <c r="C3771" t="str">
        <f>T("디버프 마스터 1028화")</f>
        <v>디버프 마스터 1028화</v>
      </c>
      <c r="D3771" t="str">
        <f>T("1028")</f>
        <v>1028</v>
      </c>
      <c r="E3771" t="str">
        <f t="shared" si="510"/>
        <v>담화공</v>
      </c>
      <c r="H3771" t="str">
        <f t="shared" si="509"/>
        <v>스토리위즈</v>
      </c>
      <c r="I3771" t="str">
        <f t="shared" si="511"/>
        <v>디버프 마스터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/>
      <c r="AQ3771">
        <v>0</v>
      </c>
      <c r="AR3771">
        <v>0</v>
      </c>
      <c r="AT3771">
        <v>0</v>
      </c>
      <c r="AU3771">
        <v>0</v>
      </c>
      <c r="AW3771">
        <v>0</v>
      </c>
      <c r="AX3771">
        <v>0</v>
      </c>
      <c r="AY3771">
        <v>70</v>
      </c>
      <c r="BC3771" t="str">
        <f t="shared" si="512"/>
        <v>9791137602663</v>
      </c>
      <c r="BE3771" t="str">
        <f t="shared" si="513"/>
        <v>판타지 웹소설 &gt; 퓨전 판타지</v>
      </c>
    </row>
    <row r="3772" spans="1:57" x14ac:dyDescent="0.3">
      <c r="A3772">
        <v>2313012849</v>
      </c>
      <c r="B3772">
        <v>2313013877</v>
      </c>
      <c r="C3772" t="str">
        <f>T("디버프 마스터 1029화")</f>
        <v>디버프 마스터 1029화</v>
      </c>
      <c r="D3772" t="str">
        <f>T("1029")</f>
        <v>1029</v>
      </c>
      <c r="E3772" t="str">
        <f t="shared" si="510"/>
        <v>담화공</v>
      </c>
      <c r="H3772" t="str">
        <f t="shared" si="509"/>
        <v>스토리위즈</v>
      </c>
      <c r="I3772" t="str">
        <f t="shared" si="511"/>
        <v>디버프 마스터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/>
      <c r="AQ3772">
        <v>0</v>
      </c>
      <c r="AR3772">
        <v>0</v>
      </c>
      <c r="AT3772">
        <v>0</v>
      </c>
      <c r="AU3772">
        <v>0</v>
      </c>
      <c r="AW3772">
        <v>0</v>
      </c>
      <c r="AX3772">
        <v>0</v>
      </c>
      <c r="AY3772">
        <v>70</v>
      </c>
      <c r="BC3772" t="str">
        <f t="shared" si="512"/>
        <v>9791137602663</v>
      </c>
      <c r="BE3772" t="str">
        <f t="shared" si="513"/>
        <v>판타지 웹소설 &gt; 퓨전 판타지</v>
      </c>
    </row>
    <row r="3773" spans="1:57" x14ac:dyDescent="0.3">
      <c r="A3773">
        <v>2313012849</v>
      </c>
      <c r="B3773">
        <v>2313013878</v>
      </c>
      <c r="C3773" t="str">
        <f>T("디버프 마스터 1030화")</f>
        <v>디버프 마스터 1030화</v>
      </c>
      <c r="D3773" t="str">
        <f>T("1030")</f>
        <v>1030</v>
      </c>
      <c r="E3773" t="str">
        <f t="shared" si="510"/>
        <v>담화공</v>
      </c>
      <c r="H3773" t="str">
        <f t="shared" si="509"/>
        <v>스토리위즈</v>
      </c>
      <c r="I3773" t="str">
        <f t="shared" si="511"/>
        <v>디버프 마스터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/>
      <c r="AQ3773">
        <v>0</v>
      </c>
      <c r="AR3773">
        <v>0</v>
      </c>
      <c r="AT3773">
        <v>0</v>
      </c>
      <c r="AU3773">
        <v>0</v>
      </c>
      <c r="AW3773">
        <v>0</v>
      </c>
      <c r="AX3773">
        <v>0</v>
      </c>
      <c r="AY3773">
        <v>70</v>
      </c>
      <c r="BC3773" t="str">
        <f t="shared" si="512"/>
        <v>9791137602663</v>
      </c>
      <c r="BE3773" t="str">
        <f t="shared" si="513"/>
        <v>판타지 웹소설 &gt; 퓨전 판타지</v>
      </c>
    </row>
    <row r="3774" spans="1:57" x14ac:dyDescent="0.3">
      <c r="A3774">
        <v>2313012849</v>
      </c>
      <c r="B3774">
        <v>2313013879</v>
      </c>
      <c r="C3774" t="str">
        <f>T("디버프 마스터 1031화")</f>
        <v>디버프 마스터 1031화</v>
      </c>
      <c r="D3774" t="str">
        <f>T("1031")</f>
        <v>1031</v>
      </c>
      <c r="E3774" t="str">
        <f t="shared" si="510"/>
        <v>담화공</v>
      </c>
      <c r="H3774" t="str">
        <f t="shared" si="509"/>
        <v>스토리위즈</v>
      </c>
      <c r="I3774" t="str">
        <f t="shared" si="511"/>
        <v>디버프 마스터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/>
      <c r="AQ3774">
        <v>0</v>
      </c>
      <c r="AR3774">
        <v>0</v>
      </c>
      <c r="AT3774">
        <v>0</v>
      </c>
      <c r="AU3774">
        <v>0</v>
      </c>
      <c r="AW3774">
        <v>0</v>
      </c>
      <c r="AX3774">
        <v>0</v>
      </c>
      <c r="AY3774">
        <v>70</v>
      </c>
      <c r="BC3774" t="str">
        <f t="shared" si="512"/>
        <v>9791137602663</v>
      </c>
      <c r="BE3774" t="str">
        <f t="shared" si="513"/>
        <v>판타지 웹소설 &gt; 퓨전 판타지</v>
      </c>
    </row>
    <row r="3775" spans="1:57" x14ac:dyDescent="0.3">
      <c r="A3775">
        <v>2313012849</v>
      </c>
      <c r="B3775">
        <v>2313013880</v>
      </c>
      <c r="C3775" t="str">
        <f>T("디버프 마스터 1032화")</f>
        <v>디버프 마스터 1032화</v>
      </c>
      <c r="D3775" t="str">
        <f>T("1032")</f>
        <v>1032</v>
      </c>
      <c r="E3775" t="str">
        <f t="shared" si="510"/>
        <v>담화공</v>
      </c>
      <c r="H3775" t="str">
        <f t="shared" si="509"/>
        <v>스토리위즈</v>
      </c>
      <c r="I3775" t="str">
        <f t="shared" si="511"/>
        <v>디버프 마스터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/>
      <c r="AQ3775">
        <v>0</v>
      </c>
      <c r="AR3775">
        <v>0</v>
      </c>
      <c r="AT3775">
        <v>0</v>
      </c>
      <c r="AU3775">
        <v>0</v>
      </c>
      <c r="AW3775">
        <v>0</v>
      </c>
      <c r="AX3775">
        <v>0</v>
      </c>
      <c r="AY3775">
        <v>70</v>
      </c>
      <c r="BC3775" t="str">
        <f t="shared" si="512"/>
        <v>9791137602663</v>
      </c>
      <c r="BE3775" t="str">
        <f t="shared" si="513"/>
        <v>판타지 웹소설 &gt; 퓨전 판타지</v>
      </c>
    </row>
    <row r="3776" spans="1:57" x14ac:dyDescent="0.3">
      <c r="A3776">
        <v>2313012849</v>
      </c>
      <c r="B3776">
        <v>2313013881</v>
      </c>
      <c r="C3776" t="str">
        <f>T("디버프 마스터 1033화")</f>
        <v>디버프 마스터 1033화</v>
      </c>
      <c r="D3776" t="str">
        <f>T("1033")</f>
        <v>1033</v>
      </c>
      <c r="E3776" t="str">
        <f t="shared" si="510"/>
        <v>담화공</v>
      </c>
      <c r="H3776" t="str">
        <f t="shared" si="509"/>
        <v>스토리위즈</v>
      </c>
      <c r="I3776" t="str">
        <f t="shared" si="511"/>
        <v>디버프 마스터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/>
      <c r="AQ3776">
        <v>0</v>
      </c>
      <c r="AR3776">
        <v>0</v>
      </c>
      <c r="AT3776">
        <v>0</v>
      </c>
      <c r="AU3776">
        <v>0</v>
      </c>
      <c r="AW3776">
        <v>0</v>
      </c>
      <c r="AX3776">
        <v>0</v>
      </c>
      <c r="AY3776">
        <v>70</v>
      </c>
      <c r="BC3776" t="str">
        <f t="shared" si="512"/>
        <v>9791137602663</v>
      </c>
      <c r="BE3776" t="str">
        <f t="shared" si="513"/>
        <v>판타지 웹소설 &gt; 퓨전 판타지</v>
      </c>
    </row>
    <row r="3777" spans="1:57" x14ac:dyDescent="0.3">
      <c r="A3777">
        <v>2313012849</v>
      </c>
      <c r="B3777">
        <v>2313013882</v>
      </c>
      <c r="C3777" t="str">
        <f>T("디버프 마스터 1034화")</f>
        <v>디버프 마스터 1034화</v>
      </c>
      <c r="D3777" t="str">
        <f>T("1034")</f>
        <v>1034</v>
      </c>
      <c r="E3777" t="str">
        <f t="shared" si="510"/>
        <v>담화공</v>
      </c>
      <c r="H3777" t="str">
        <f t="shared" si="509"/>
        <v>스토리위즈</v>
      </c>
      <c r="I3777" t="str">
        <f t="shared" si="511"/>
        <v>디버프 마스터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/>
      <c r="AQ3777">
        <v>0</v>
      </c>
      <c r="AR3777">
        <v>0</v>
      </c>
      <c r="AT3777">
        <v>0</v>
      </c>
      <c r="AU3777">
        <v>0</v>
      </c>
      <c r="AW3777">
        <v>0</v>
      </c>
      <c r="AX3777">
        <v>0</v>
      </c>
      <c r="AY3777">
        <v>70</v>
      </c>
      <c r="BC3777" t="str">
        <f t="shared" si="512"/>
        <v>9791137602663</v>
      </c>
      <c r="BE3777" t="str">
        <f t="shared" si="513"/>
        <v>판타지 웹소설 &gt; 퓨전 판타지</v>
      </c>
    </row>
    <row r="3778" spans="1:57" x14ac:dyDescent="0.3">
      <c r="A3778">
        <v>2313012849</v>
      </c>
      <c r="B3778">
        <v>2313013883</v>
      </c>
      <c r="C3778" t="str">
        <f>T("디버프 마스터 1035화")</f>
        <v>디버프 마스터 1035화</v>
      </c>
      <c r="D3778" t="str">
        <f>T("1035")</f>
        <v>1035</v>
      </c>
      <c r="E3778" t="str">
        <f t="shared" si="510"/>
        <v>담화공</v>
      </c>
      <c r="H3778" t="str">
        <f t="shared" si="509"/>
        <v>스토리위즈</v>
      </c>
      <c r="I3778" t="str">
        <f t="shared" si="511"/>
        <v>디버프 마스터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/>
      <c r="AQ3778">
        <v>0</v>
      </c>
      <c r="AR3778">
        <v>0</v>
      </c>
      <c r="AT3778">
        <v>0</v>
      </c>
      <c r="AU3778">
        <v>0</v>
      </c>
      <c r="AW3778">
        <v>0</v>
      </c>
      <c r="AX3778">
        <v>0</v>
      </c>
      <c r="AY3778">
        <v>70</v>
      </c>
      <c r="BC3778" t="str">
        <f t="shared" si="512"/>
        <v>9791137602663</v>
      </c>
      <c r="BE3778" t="str">
        <f t="shared" si="513"/>
        <v>판타지 웹소설 &gt; 퓨전 판타지</v>
      </c>
    </row>
    <row r="3779" spans="1:57" x14ac:dyDescent="0.3">
      <c r="A3779">
        <v>2313012849</v>
      </c>
      <c r="B3779">
        <v>2313013884</v>
      </c>
      <c r="C3779" t="str">
        <f>T("디버프 마스터 1036화")</f>
        <v>디버프 마스터 1036화</v>
      </c>
      <c r="D3779" t="str">
        <f>T("1036")</f>
        <v>1036</v>
      </c>
      <c r="E3779" t="str">
        <f t="shared" si="510"/>
        <v>담화공</v>
      </c>
      <c r="H3779" t="str">
        <f t="shared" si="509"/>
        <v>스토리위즈</v>
      </c>
      <c r="I3779" t="str">
        <f t="shared" si="511"/>
        <v>디버프 마스터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/>
      <c r="AQ3779">
        <v>0</v>
      </c>
      <c r="AR3779">
        <v>0</v>
      </c>
      <c r="AT3779">
        <v>0</v>
      </c>
      <c r="AU3779">
        <v>0</v>
      </c>
      <c r="AW3779">
        <v>0</v>
      </c>
      <c r="AX3779">
        <v>0</v>
      </c>
      <c r="AY3779">
        <v>70</v>
      </c>
      <c r="BC3779" t="str">
        <f t="shared" si="512"/>
        <v>9791137602663</v>
      </c>
      <c r="BE3779" t="str">
        <f t="shared" si="513"/>
        <v>판타지 웹소설 &gt; 퓨전 판타지</v>
      </c>
    </row>
    <row r="3780" spans="1:57" x14ac:dyDescent="0.3">
      <c r="A3780">
        <v>2313012849</v>
      </c>
      <c r="B3780">
        <v>2313013885</v>
      </c>
      <c r="C3780" t="str">
        <f>T("디버프 마스터 1037화")</f>
        <v>디버프 마스터 1037화</v>
      </c>
      <c r="D3780" t="str">
        <f>T("1037")</f>
        <v>1037</v>
      </c>
      <c r="E3780" t="str">
        <f t="shared" si="510"/>
        <v>담화공</v>
      </c>
      <c r="H3780" t="str">
        <f t="shared" si="509"/>
        <v>스토리위즈</v>
      </c>
      <c r="I3780" t="str">
        <f t="shared" si="511"/>
        <v>디버프 마스터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/>
      <c r="AQ3780">
        <v>0</v>
      </c>
      <c r="AR3780">
        <v>0</v>
      </c>
      <c r="AT3780">
        <v>0</v>
      </c>
      <c r="AU3780">
        <v>0</v>
      </c>
      <c r="AW3780">
        <v>0</v>
      </c>
      <c r="AX3780">
        <v>0</v>
      </c>
      <c r="AY3780">
        <v>70</v>
      </c>
      <c r="BC3780" t="str">
        <f t="shared" si="512"/>
        <v>9791137602663</v>
      </c>
      <c r="BE3780" t="str">
        <f t="shared" si="513"/>
        <v>판타지 웹소설 &gt; 퓨전 판타지</v>
      </c>
    </row>
    <row r="3781" spans="1:57" x14ac:dyDescent="0.3">
      <c r="A3781">
        <v>2313012849</v>
      </c>
      <c r="B3781">
        <v>2313013886</v>
      </c>
      <c r="C3781" t="str">
        <f>T("디버프 마스터 1038화")</f>
        <v>디버프 마스터 1038화</v>
      </c>
      <c r="D3781" t="str">
        <f>T("1038")</f>
        <v>1038</v>
      </c>
      <c r="E3781" t="str">
        <f t="shared" si="510"/>
        <v>담화공</v>
      </c>
      <c r="H3781" t="str">
        <f t="shared" si="509"/>
        <v>스토리위즈</v>
      </c>
      <c r="I3781" t="str">
        <f t="shared" si="511"/>
        <v>디버프 마스터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/>
      <c r="AQ3781">
        <v>0</v>
      </c>
      <c r="AR3781">
        <v>0</v>
      </c>
      <c r="AT3781">
        <v>0</v>
      </c>
      <c r="AU3781">
        <v>0</v>
      </c>
      <c r="AW3781">
        <v>0</v>
      </c>
      <c r="AX3781">
        <v>0</v>
      </c>
      <c r="AY3781">
        <v>70</v>
      </c>
      <c r="BC3781" t="str">
        <f t="shared" si="512"/>
        <v>9791137602663</v>
      </c>
      <c r="BE3781" t="str">
        <f t="shared" si="513"/>
        <v>판타지 웹소설 &gt; 퓨전 판타지</v>
      </c>
    </row>
    <row r="3782" spans="1:57" x14ac:dyDescent="0.3">
      <c r="A3782">
        <v>2313012849</v>
      </c>
      <c r="B3782">
        <v>2313013887</v>
      </c>
      <c r="C3782" t="str">
        <f>T("디버프 마스터 1039화")</f>
        <v>디버프 마스터 1039화</v>
      </c>
      <c r="D3782" t="str">
        <f>T("1039")</f>
        <v>1039</v>
      </c>
      <c r="E3782" t="str">
        <f t="shared" si="510"/>
        <v>담화공</v>
      </c>
      <c r="H3782" t="str">
        <f t="shared" si="509"/>
        <v>스토리위즈</v>
      </c>
      <c r="I3782" t="str">
        <f t="shared" si="511"/>
        <v>디버프 마스터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/>
      <c r="AQ3782">
        <v>0</v>
      </c>
      <c r="AR3782">
        <v>0</v>
      </c>
      <c r="AT3782">
        <v>0</v>
      </c>
      <c r="AU3782">
        <v>0</v>
      </c>
      <c r="AW3782">
        <v>0</v>
      </c>
      <c r="AX3782">
        <v>0</v>
      </c>
      <c r="AY3782">
        <v>70</v>
      </c>
      <c r="BC3782" t="str">
        <f t="shared" si="512"/>
        <v>9791137602663</v>
      </c>
      <c r="BE3782" t="str">
        <f t="shared" si="513"/>
        <v>판타지 웹소설 &gt; 퓨전 판타지</v>
      </c>
    </row>
    <row r="3783" spans="1:57" x14ac:dyDescent="0.3">
      <c r="A3783">
        <v>2313012849</v>
      </c>
      <c r="B3783">
        <v>2313013888</v>
      </c>
      <c r="C3783" t="str">
        <f>T("디버프 마스터 1040화")</f>
        <v>디버프 마스터 1040화</v>
      </c>
      <c r="D3783" t="str">
        <f>T("1040")</f>
        <v>1040</v>
      </c>
      <c r="E3783" t="str">
        <f t="shared" si="510"/>
        <v>담화공</v>
      </c>
      <c r="H3783" t="str">
        <f t="shared" si="509"/>
        <v>스토리위즈</v>
      </c>
      <c r="I3783" t="str">
        <f t="shared" si="511"/>
        <v>디버프 마스터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/>
      <c r="AQ3783">
        <v>0</v>
      </c>
      <c r="AR3783">
        <v>0</v>
      </c>
      <c r="AT3783">
        <v>0</v>
      </c>
      <c r="AU3783">
        <v>0</v>
      </c>
      <c r="AW3783">
        <v>0</v>
      </c>
      <c r="AX3783">
        <v>0</v>
      </c>
      <c r="AY3783">
        <v>70</v>
      </c>
      <c r="BC3783" t="str">
        <f t="shared" si="512"/>
        <v>9791137602663</v>
      </c>
      <c r="BE3783" t="str">
        <f t="shared" si="513"/>
        <v>판타지 웹소설 &gt; 퓨전 판타지</v>
      </c>
    </row>
    <row r="3784" spans="1:57" x14ac:dyDescent="0.3">
      <c r="A3784">
        <v>2313012849</v>
      </c>
      <c r="B3784">
        <v>2313013889</v>
      </c>
      <c r="C3784" t="str">
        <f>T("디버프 마스터 1041화")</f>
        <v>디버프 마스터 1041화</v>
      </c>
      <c r="D3784" t="str">
        <f>T("1041")</f>
        <v>1041</v>
      </c>
      <c r="E3784" t="str">
        <f t="shared" si="510"/>
        <v>담화공</v>
      </c>
      <c r="H3784" t="str">
        <f t="shared" si="509"/>
        <v>스토리위즈</v>
      </c>
      <c r="I3784" t="str">
        <f t="shared" si="511"/>
        <v>디버프 마스터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/>
      <c r="AQ3784">
        <v>0</v>
      </c>
      <c r="AR3784">
        <v>0</v>
      </c>
      <c r="AT3784">
        <v>0</v>
      </c>
      <c r="AU3784">
        <v>0</v>
      </c>
      <c r="AW3784">
        <v>0</v>
      </c>
      <c r="AX3784">
        <v>0</v>
      </c>
      <c r="AY3784">
        <v>70</v>
      </c>
      <c r="BC3784" t="str">
        <f t="shared" si="512"/>
        <v>9791137602663</v>
      </c>
      <c r="BE3784" t="str">
        <f t="shared" si="513"/>
        <v>판타지 웹소설 &gt; 퓨전 판타지</v>
      </c>
    </row>
    <row r="3785" spans="1:57" x14ac:dyDescent="0.3">
      <c r="A3785">
        <v>2313012849</v>
      </c>
      <c r="B3785">
        <v>2313013890</v>
      </c>
      <c r="C3785" t="str">
        <f>T("디버프 마스터 1042화")</f>
        <v>디버프 마스터 1042화</v>
      </c>
      <c r="D3785" t="str">
        <f>T("1042")</f>
        <v>1042</v>
      </c>
      <c r="E3785" t="str">
        <f t="shared" si="510"/>
        <v>담화공</v>
      </c>
      <c r="H3785" t="str">
        <f t="shared" si="509"/>
        <v>스토리위즈</v>
      </c>
      <c r="I3785" t="str">
        <f t="shared" si="511"/>
        <v>디버프 마스터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/>
      <c r="AQ3785">
        <v>0</v>
      </c>
      <c r="AR3785">
        <v>0</v>
      </c>
      <c r="AT3785">
        <v>0</v>
      </c>
      <c r="AU3785">
        <v>0</v>
      </c>
      <c r="AW3785">
        <v>0</v>
      </c>
      <c r="AX3785">
        <v>0</v>
      </c>
      <c r="AY3785">
        <v>70</v>
      </c>
      <c r="BC3785" t="str">
        <f t="shared" si="512"/>
        <v>9791137602663</v>
      </c>
      <c r="BE3785" t="str">
        <f t="shared" si="513"/>
        <v>판타지 웹소설 &gt; 퓨전 판타지</v>
      </c>
    </row>
    <row r="3786" spans="1:57" x14ac:dyDescent="0.3">
      <c r="A3786">
        <v>2313012849</v>
      </c>
      <c r="B3786">
        <v>2313013891</v>
      </c>
      <c r="C3786" t="str">
        <f>T("디버프 마스터 1043화")</f>
        <v>디버프 마스터 1043화</v>
      </c>
      <c r="D3786" t="str">
        <f>T("1043")</f>
        <v>1043</v>
      </c>
      <c r="E3786" t="str">
        <f t="shared" si="510"/>
        <v>담화공</v>
      </c>
      <c r="H3786" t="str">
        <f t="shared" si="509"/>
        <v>스토리위즈</v>
      </c>
      <c r="I3786" t="str">
        <f t="shared" si="511"/>
        <v>디버프 마스터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/>
      <c r="AQ3786">
        <v>0</v>
      </c>
      <c r="AR3786">
        <v>0</v>
      </c>
      <c r="AT3786">
        <v>0</v>
      </c>
      <c r="AU3786">
        <v>0</v>
      </c>
      <c r="AW3786">
        <v>0</v>
      </c>
      <c r="AX3786">
        <v>0</v>
      </c>
      <c r="AY3786">
        <v>70</v>
      </c>
      <c r="BC3786" t="str">
        <f t="shared" si="512"/>
        <v>9791137602663</v>
      </c>
      <c r="BE3786" t="str">
        <f t="shared" si="513"/>
        <v>판타지 웹소설 &gt; 퓨전 판타지</v>
      </c>
    </row>
    <row r="3787" spans="1:57" x14ac:dyDescent="0.3">
      <c r="A3787">
        <v>2313012849</v>
      </c>
      <c r="B3787">
        <v>2313013892</v>
      </c>
      <c r="C3787" t="str">
        <f>T("디버프 마스터 1044화")</f>
        <v>디버프 마스터 1044화</v>
      </c>
      <c r="D3787" t="str">
        <f>T("1044")</f>
        <v>1044</v>
      </c>
      <c r="E3787" t="str">
        <f t="shared" si="510"/>
        <v>담화공</v>
      </c>
      <c r="H3787" t="str">
        <f t="shared" si="509"/>
        <v>스토리위즈</v>
      </c>
      <c r="I3787" t="str">
        <f t="shared" si="511"/>
        <v>디버프 마스터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/>
      <c r="AQ3787">
        <v>0</v>
      </c>
      <c r="AR3787">
        <v>0</v>
      </c>
      <c r="AT3787">
        <v>0</v>
      </c>
      <c r="AU3787">
        <v>0</v>
      </c>
      <c r="AW3787">
        <v>0</v>
      </c>
      <c r="AX3787">
        <v>0</v>
      </c>
      <c r="AY3787">
        <v>70</v>
      </c>
      <c r="BC3787" t="str">
        <f t="shared" si="512"/>
        <v>9791137602663</v>
      </c>
      <c r="BE3787" t="str">
        <f t="shared" si="513"/>
        <v>판타지 웹소설 &gt; 퓨전 판타지</v>
      </c>
    </row>
    <row r="3788" spans="1:57" x14ac:dyDescent="0.3">
      <c r="A3788">
        <v>2313012849</v>
      </c>
      <c r="B3788">
        <v>2313013893</v>
      </c>
      <c r="C3788" t="str">
        <f>T("디버프 마스터 1045화")</f>
        <v>디버프 마스터 1045화</v>
      </c>
      <c r="D3788" t="str">
        <f>T("1045")</f>
        <v>1045</v>
      </c>
      <c r="E3788" t="str">
        <f t="shared" si="510"/>
        <v>담화공</v>
      </c>
      <c r="H3788" t="str">
        <f t="shared" si="509"/>
        <v>스토리위즈</v>
      </c>
      <c r="I3788" t="str">
        <f t="shared" si="511"/>
        <v>디버프 마스터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/>
      <c r="AQ3788">
        <v>0</v>
      </c>
      <c r="AR3788">
        <v>0</v>
      </c>
      <c r="AT3788">
        <v>0</v>
      </c>
      <c r="AU3788">
        <v>0</v>
      </c>
      <c r="AW3788">
        <v>0</v>
      </c>
      <c r="AX3788">
        <v>0</v>
      </c>
      <c r="AY3788">
        <v>70</v>
      </c>
      <c r="BC3788" t="str">
        <f t="shared" si="512"/>
        <v>9791137602663</v>
      </c>
      <c r="BE3788" t="str">
        <f t="shared" si="513"/>
        <v>판타지 웹소설 &gt; 퓨전 판타지</v>
      </c>
    </row>
    <row r="3789" spans="1:57" x14ac:dyDescent="0.3">
      <c r="A3789">
        <v>2313012849</v>
      </c>
      <c r="B3789">
        <v>2313013894</v>
      </c>
      <c r="C3789" t="str">
        <f>T("디버프 마스터 1046화")</f>
        <v>디버프 마스터 1046화</v>
      </c>
      <c r="D3789" t="str">
        <f>T("1046")</f>
        <v>1046</v>
      </c>
      <c r="E3789" t="str">
        <f t="shared" si="510"/>
        <v>담화공</v>
      </c>
      <c r="H3789" t="str">
        <f t="shared" si="509"/>
        <v>스토리위즈</v>
      </c>
      <c r="I3789" t="str">
        <f t="shared" si="511"/>
        <v>디버프 마스터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/>
      <c r="AQ3789">
        <v>0</v>
      </c>
      <c r="AR3789">
        <v>0</v>
      </c>
      <c r="AT3789">
        <v>0</v>
      </c>
      <c r="AU3789">
        <v>0</v>
      </c>
      <c r="AW3789">
        <v>0</v>
      </c>
      <c r="AX3789">
        <v>0</v>
      </c>
      <c r="AY3789">
        <v>70</v>
      </c>
      <c r="BC3789" t="str">
        <f t="shared" si="512"/>
        <v>9791137602663</v>
      </c>
      <c r="BE3789" t="str">
        <f t="shared" si="513"/>
        <v>판타지 웹소설 &gt; 퓨전 판타지</v>
      </c>
    </row>
    <row r="3790" spans="1:57" x14ac:dyDescent="0.3">
      <c r="A3790">
        <v>2313012849</v>
      </c>
      <c r="B3790">
        <v>2313013895</v>
      </c>
      <c r="C3790" t="str">
        <f>T("디버프 마스터 1047화")</f>
        <v>디버프 마스터 1047화</v>
      </c>
      <c r="D3790" t="str">
        <f>T("1047")</f>
        <v>1047</v>
      </c>
      <c r="E3790" t="str">
        <f t="shared" si="510"/>
        <v>담화공</v>
      </c>
      <c r="H3790" t="str">
        <f t="shared" si="509"/>
        <v>스토리위즈</v>
      </c>
      <c r="I3790" t="str">
        <f t="shared" si="511"/>
        <v>디버프 마스터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/>
      <c r="AQ3790">
        <v>0</v>
      </c>
      <c r="AR3790">
        <v>0</v>
      </c>
      <c r="AT3790">
        <v>0</v>
      </c>
      <c r="AU3790">
        <v>0</v>
      </c>
      <c r="AW3790">
        <v>0</v>
      </c>
      <c r="AX3790">
        <v>0</v>
      </c>
      <c r="AY3790">
        <v>70</v>
      </c>
      <c r="BC3790" t="str">
        <f t="shared" si="512"/>
        <v>9791137602663</v>
      </c>
      <c r="BE3790" t="str">
        <f t="shared" si="513"/>
        <v>판타지 웹소설 &gt; 퓨전 판타지</v>
      </c>
    </row>
    <row r="3791" spans="1:57" x14ac:dyDescent="0.3">
      <c r="A3791">
        <v>2313012849</v>
      </c>
      <c r="B3791">
        <v>2313013896</v>
      </c>
      <c r="C3791" t="str">
        <f>T("디버프 마스터 1048화")</f>
        <v>디버프 마스터 1048화</v>
      </c>
      <c r="D3791" t="str">
        <f>T("1048")</f>
        <v>1048</v>
      </c>
      <c r="E3791" t="str">
        <f t="shared" si="510"/>
        <v>담화공</v>
      </c>
      <c r="H3791" t="str">
        <f t="shared" si="509"/>
        <v>스토리위즈</v>
      </c>
      <c r="I3791" t="str">
        <f t="shared" si="511"/>
        <v>디버프 마스터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/>
      <c r="AQ3791">
        <v>0</v>
      </c>
      <c r="AR3791">
        <v>0</v>
      </c>
      <c r="AT3791">
        <v>0</v>
      </c>
      <c r="AU3791">
        <v>0</v>
      </c>
      <c r="AW3791">
        <v>0</v>
      </c>
      <c r="AX3791">
        <v>0</v>
      </c>
      <c r="AY3791">
        <v>70</v>
      </c>
      <c r="BC3791" t="str">
        <f t="shared" si="512"/>
        <v>9791137602663</v>
      </c>
      <c r="BE3791" t="str">
        <f t="shared" si="513"/>
        <v>판타지 웹소설 &gt; 퓨전 판타지</v>
      </c>
    </row>
    <row r="3792" spans="1:57" x14ac:dyDescent="0.3">
      <c r="A3792">
        <v>2313012849</v>
      </c>
      <c r="B3792">
        <v>2313013897</v>
      </c>
      <c r="C3792" t="str">
        <f>T("디버프 마스터 1049화")</f>
        <v>디버프 마스터 1049화</v>
      </c>
      <c r="D3792" t="str">
        <f>T("1049")</f>
        <v>1049</v>
      </c>
      <c r="E3792" t="str">
        <f t="shared" si="510"/>
        <v>담화공</v>
      </c>
      <c r="H3792" t="str">
        <f t="shared" si="509"/>
        <v>스토리위즈</v>
      </c>
      <c r="I3792" t="str">
        <f t="shared" si="511"/>
        <v>디버프 마스터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/>
      <c r="AQ3792">
        <v>0</v>
      </c>
      <c r="AR3792">
        <v>0</v>
      </c>
      <c r="AT3792">
        <v>0</v>
      </c>
      <c r="AU3792">
        <v>0</v>
      </c>
      <c r="AW3792">
        <v>0</v>
      </c>
      <c r="AX3792">
        <v>0</v>
      </c>
      <c r="AY3792">
        <v>70</v>
      </c>
      <c r="BC3792" t="str">
        <f t="shared" si="512"/>
        <v>9791137602663</v>
      </c>
      <c r="BE3792" t="str">
        <f t="shared" si="513"/>
        <v>판타지 웹소설 &gt; 퓨전 판타지</v>
      </c>
    </row>
    <row r="3793" spans="1:57" x14ac:dyDescent="0.3">
      <c r="A3793">
        <v>2313012849</v>
      </c>
      <c r="B3793">
        <v>2313013898</v>
      </c>
      <c r="C3793" t="str">
        <f>T("디버프 마스터 1050화")</f>
        <v>디버프 마스터 1050화</v>
      </c>
      <c r="D3793" t="str">
        <f>T("1050")</f>
        <v>1050</v>
      </c>
      <c r="E3793" t="str">
        <f t="shared" si="510"/>
        <v>담화공</v>
      </c>
      <c r="H3793" t="str">
        <f t="shared" si="509"/>
        <v>스토리위즈</v>
      </c>
      <c r="I3793" t="str">
        <f t="shared" si="511"/>
        <v>디버프 마스터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/>
      <c r="AQ3793">
        <v>0</v>
      </c>
      <c r="AR3793">
        <v>0</v>
      </c>
      <c r="AT3793">
        <v>0</v>
      </c>
      <c r="AU3793">
        <v>0</v>
      </c>
      <c r="AW3793">
        <v>0</v>
      </c>
      <c r="AX3793">
        <v>0</v>
      </c>
      <c r="AY3793">
        <v>70</v>
      </c>
      <c r="BC3793" t="str">
        <f t="shared" si="512"/>
        <v>9791137602663</v>
      </c>
      <c r="BE3793" t="str">
        <f t="shared" si="513"/>
        <v>판타지 웹소설 &gt; 퓨전 판타지</v>
      </c>
    </row>
    <row r="3794" spans="1:57" x14ac:dyDescent="0.3">
      <c r="A3794">
        <v>2313012849</v>
      </c>
      <c r="B3794">
        <v>2313013899</v>
      </c>
      <c r="C3794" t="str">
        <f>T("디버프 마스터 1051화")</f>
        <v>디버프 마스터 1051화</v>
      </c>
      <c r="D3794" t="str">
        <f>T("1051")</f>
        <v>1051</v>
      </c>
      <c r="E3794" t="str">
        <f t="shared" si="510"/>
        <v>담화공</v>
      </c>
      <c r="H3794" t="str">
        <f t="shared" si="509"/>
        <v>스토리위즈</v>
      </c>
      <c r="I3794" t="str">
        <f t="shared" si="511"/>
        <v>디버프 마스터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/>
      <c r="AQ3794">
        <v>0</v>
      </c>
      <c r="AR3794">
        <v>0</v>
      </c>
      <c r="AT3794">
        <v>0</v>
      </c>
      <c r="AU3794">
        <v>0</v>
      </c>
      <c r="AW3794">
        <v>0</v>
      </c>
      <c r="AX3794">
        <v>0</v>
      </c>
      <c r="AY3794">
        <v>70</v>
      </c>
      <c r="BC3794" t="str">
        <f t="shared" si="512"/>
        <v>9791137602663</v>
      </c>
      <c r="BE3794" t="str">
        <f t="shared" si="513"/>
        <v>판타지 웹소설 &gt; 퓨전 판타지</v>
      </c>
    </row>
    <row r="3795" spans="1:57" x14ac:dyDescent="0.3">
      <c r="A3795">
        <v>2313012849</v>
      </c>
      <c r="B3795">
        <v>2313013900</v>
      </c>
      <c r="C3795" t="str">
        <f>T("디버프 마스터 1052화")</f>
        <v>디버프 마스터 1052화</v>
      </c>
      <c r="D3795" t="str">
        <f>T("1052")</f>
        <v>1052</v>
      </c>
      <c r="E3795" t="str">
        <f t="shared" si="510"/>
        <v>담화공</v>
      </c>
      <c r="H3795" t="str">
        <f t="shared" si="509"/>
        <v>스토리위즈</v>
      </c>
      <c r="I3795" t="str">
        <f t="shared" si="511"/>
        <v>디버프 마스터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/>
      <c r="AQ3795">
        <v>0</v>
      </c>
      <c r="AR3795">
        <v>0</v>
      </c>
      <c r="AT3795">
        <v>0</v>
      </c>
      <c r="AU3795">
        <v>0</v>
      </c>
      <c r="AW3795">
        <v>0</v>
      </c>
      <c r="AX3795">
        <v>0</v>
      </c>
      <c r="AY3795">
        <v>70</v>
      </c>
      <c r="BC3795" t="str">
        <f t="shared" si="512"/>
        <v>9791137602663</v>
      </c>
      <c r="BE3795" t="str">
        <f t="shared" si="513"/>
        <v>판타지 웹소설 &gt; 퓨전 판타지</v>
      </c>
    </row>
    <row r="3796" spans="1:57" x14ac:dyDescent="0.3">
      <c r="A3796">
        <v>2313012849</v>
      </c>
      <c r="B3796">
        <v>2313013901</v>
      </c>
      <c r="C3796" t="str">
        <f>T("디버프 마스터 1053화")</f>
        <v>디버프 마스터 1053화</v>
      </c>
      <c r="D3796" t="str">
        <f>T("1053")</f>
        <v>1053</v>
      </c>
      <c r="E3796" t="str">
        <f t="shared" si="510"/>
        <v>담화공</v>
      </c>
      <c r="H3796" t="str">
        <f t="shared" si="509"/>
        <v>스토리위즈</v>
      </c>
      <c r="I3796" t="str">
        <f t="shared" si="511"/>
        <v>디버프 마스터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/>
      <c r="AQ3796">
        <v>0</v>
      </c>
      <c r="AR3796">
        <v>0</v>
      </c>
      <c r="AT3796">
        <v>0</v>
      </c>
      <c r="AU3796">
        <v>0</v>
      </c>
      <c r="AW3796">
        <v>0</v>
      </c>
      <c r="AX3796">
        <v>0</v>
      </c>
      <c r="AY3796">
        <v>70</v>
      </c>
      <c r="BC3796" t="str">
        <f t="shared" si="512"/>
        <v>9791137602663</v>
      </c>
      <c r="BE3796" t="str">
        <f t="shared" si="513"/>
        <v>판타지 웹소설 &gt; 퓨전 판타지</v>
      </c>
    </row>
    <row r="3797" spans="1:57" x14ac:dyDescent="0.3">
      <c r="A3797">
        <v>2313012849</v>
      </c>
      <c r="B3797">
        <v>2313013902</v>
      </c>
      <c r="C3797" t="str">
        <f>T("디버프 마스터 1054화")</f>
        <v>디버프 마스터 1054화</v>
      </c>
      <c r="D3797" t="str">
        <f>T("1054")</f>
        <v>1054</v>
      </c>
      <c r="E3797" t="str">
        <f t="shared" si="510"/>
        <v>담화공</v>
      </c>
      <c r="H3797" t="str">
        <f t="shared" si="509"/>
        <v>스토리위즈</v>
      </c>
      <c r="I3797" t="str">
        <f t="shared" si="511"/>
        <v>디버프 마스터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/>
      <c r="AQ3797">
        <v>0</v>
      </c>
      <c r="AR3797">
        <v>0</v>
      </c>
      <c r="AT3797">
        <v>0</v>
      </c>
      <c r="AU3797">
        <v>0</v>
      </c>
      <c r="AW3797">
        <v>0</v>
      </c>
      <c r="AX3797">
        <v>0</v>
      </c>
      <c r="AY3797">
        <v>70</v>
      </c>
      <c r="BC3797" t="str">
        <f t="shared" si="512"/>
        <v>9791137602663</v>
      </c>
      <c r="BE3797" t="str">
        <f t="shared" si="513"/>
        <v>판타지 웹소설 &gt; 퓨전 판타지</v>
      </c>
    </row>
    <row r="3798" spans="1:57" x14ac:dyDescent="0.3">
      <c r="A3798">
        <v>2313012849</v>
      </c>
      <c r="B3798">
        <v>2313013903</v>
      </c>
      <c r="C3798" t="str">
        <f>T("디버프 마스터 1055화")</f>
        <v>디버프 마스터 1055화</v>
      </c>
      <c r="D3798" t="str">
        <f>T("1055")</f>
        <v>1055</v>
      </c>
      <c r="E3798" t="str">
        <f t="shared" si="510"/>
        <v>담화공</v>
      </c>
      <c r="H3798" t="str">
        <f t="shared" si="509"/>
        <v>스토리위즈</v>
      </c>
      <c r="I3798" t="str">
        <f t="shared" si="511"/>
        <v>디버프 마스터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/>
      <c r="AQ3798">
        <v>0</v>
      </c>
      <c r="AR3798">
        <v>0</v>
      </c>
      <c r="AT3798">
        <v>0</v>
      </c>
      <c r="AU3798">
        <v>0</v>
      </c>
      <c r="AW3798">
        <v>0</v>
      </c>
      <c r="AX3798">
        <v>0</v>
      </c>
      <c r="AY3798">
        <v>70</v>
      </c>
      <c r="BC3798" t="str">
        <f t="shared" si="512"/>
        <v>9791137602663</v>
      </c>
      <c r="BE3798" t="str">
        <f t="shared" si="513"/>
        <v>판타지 웹소설 &gt; 퓨전 판타지</v>
      </c>
    </row>
    <row r="3799" spans="1:57" x14ac:dyDescent="0.3">
      <c r="A3799">
        <v>2313012849</v>
      </c>
      <c r="B3799">
        <v>2313013904</v>
      </c>
      <c r="C3799" t="str">
        <f>T("디버프 마스터 1056화")</f>
        <v>디버프 마스터 1056화</v>
      </c>
      <c r="D3799" t="str">
        <f>T("1056")</f>
        <v>1056</v>
      </c>
      <c r="E3799" t="str">
        <f t="shared" si="510"/>
        <v>담화공</v>
      </c>
      <c r="H3799" t="str">
        <f t="shared" ref="H3799:H3862" si="514">T("스토리위즈")</f>
        <v>스토리위즈</v>
      </c>
      <c r="I3799" t="str">
        <f t="shared" si="511"/>
        <v>디버프 마스터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/>
      <c r="AQ3799">
        <v>0</v>
      </c>
      <c r="AR3799">
        <v>0</v>
      </c>
      <c r="AT3799">
        <v>0</v>
      </c>
      <c r="AU3799">
        <v>0</v>
      </c>
      <c r="AW3799">
        <v>0</v>
      </c>
      <c r="AX3799">
        <v>0</v>
      </c>
      <c r="AY3799">
        <v>70</v>
      </c>
      <c r="BC3799" t="str">
        <f t="shared" si="512"/>
        <v>9791137602663</v>
      </c>
      <c r="BE3799" t="str">
        <f t="shared" si="513"/>
        <v>판타지 웹소설 &gt; 퓨전 판타지</v>
      </c>
    </row>
    <row r="3800" spans="1:57" x14ac:dyDescent="0.3">
      <c r="A3800">
        <v>2313012849</v>
      </c>
      <c r="B3800">
        <v>2313013905</v>
      </c>
      <c r="C3800" t="str">
        <f>T("디버프 마스터 1057화")</f>
        <v>디버프 마스터 1057화</v>
      </c>
      <c r="D3800" t="str">
        <f>T("1057")</f>
        <v>1057</v>
      </c>
      <c r="E3800" t="str">
        <f t="shared" si="510"/>
        <v>담화공</v>
      </c>
      <c r="H3800" t="str">
        <f t="shared" si="514"/>
        <v>스토리위즈</v>
      </c>
      <c r="I3800" t="str">
        <f t="shared" si="511"/>
        <v>디버프 마스터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/>
      <c r="AQ3800">
        <v>0</v>
      </c>
      <c r="AR3800">
        <v>0</v>
      </c>
      <c r="AT3800">
        <v>0</v>
      </c>
      <c r="AU3800">
        <v>0</v>
      </c>
      <c r="AW3800">
        <v>0</v>
      </c>
      <c r="AX3800">
        <v>0</v>
      </c>
      <c r="AY3800">
        <v>70</v>
      </c>
      <c r="BC3800" t="str">
        <f t="shared" si="512"/>
        <v>9791137602663</v>
      </c>
      <c r="BE3800" t="str">
        <f t="shared" si="513"/>
        <v>판타지 웹소설 &gt; 퓨전 판타지</v>
      </c>
    </row>
    <row r="3801" spans="1:57" x14ac:dyDescent="0.3">
      <c r="A3801">
        <v>2313012849</v>
      </c>
      <c r="B3801">
        <v>2313013906</v>
      </c>
      <c r="C3801" t="str">
        <f>T("디버프 마스터 1058화")</f>
        <v>디버프 마스터 1058화</v>
      </c>
      <c r="D3801" t="str">
        <f>T("1058")</f>
        <v>1058</v>
      </c>
      <c r="E3801" t="str">
        <f t="shared" si="510"/>
        <v>담화공</v>
      </c>
      <c r="H3801" t="str">
        <f t="shared" si="514"/>
        <v>스토리위즈</v>
      </c>
      <c r="I3801" t="str">
        <f t="shared" si="511"/>
        <v>디버프 마스터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/>
      <c r="AQ3801">
        <v>0</v>
      </c>
      <c r="AR3801">
        <v>0</v>
      </c>
      <c r="AT3801">
        <v>0</v>
      </c>
      <c r="AU3801">
        <v>0</v>
      </c>
      <c r="AW3801">
        <v>0</v>
      </c>
      <c r="AX3801">
        <v>0</v>
      </c>
      <c r="AY3801">
        <v>70</v>
      </c>
      <c r="BC3801" t="str">
        <f t="shared" si="512"/>
        <v>9791137602663</v>
      </c>
      <c r="BE3801" t="str">
        <f t="shared" si="513"/>
        <v>판타지 웹소설 &gt; 퓨전 판타지</v>
      </c>
    </row>
    <row r="3802" spans="1:57" x14ac:dyDescent="0.3">
      <c r="A3802">
        <v>2313012849</v>
      </c>
      <c r="B3802">
        <v>2313013907</v>
      </c>
      <c r="C3802" t="str">
        <f>T("디버프 마스터 1059화")</f>
        <v>디버프 마스터 1059화</v>
      </c>
      <c r="D3802" t="str">
        <f>T("1059")</f>
        <v>1059</v>
      </c>
      <c r="E3802" t="str">
        <f t="shared" si="510"/>
        <v>담화공</v>
      </c>
      <c r="H3802" t="str">
        <f t="shared" si="514"/>
        <v>스토리위즈</v>
      </c>
      <c r="I3802" t="str">
        <f t="shared" si="511"/>
        <v>디버프 마스터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/>
      <c r="AQ3802">
        <v>0</v>
      </c>
      <c r="AR3802">
        <v>0</v>
      </c>
      <c r="AT3802">
        <v>0</v>
      </c>
      <c r="AU3802">
        <v>0</v>
      </c>
      <c r="AW3802">
        <v>0</v>
      </c>
      <c r="AX3802">
        <v>0</v>
      </c>
      <c r="AY3802">
        <v>70</v>
      </c>
      <c r="BC3802" t="str">
        <f t="shared" si="512"/>
        <v>9791137602663</v>
      </c>
      <c r="BE3802" t="str">
        <f t="shared" si="513"/>
        <v>판타지 웹소설 &gt; 퓨전 판타지</v>
      </c>
    </row>
    <row r="3803" spans="1:57" x14ac:dyDescent="0.3">
      <c r="A3803">
        <v>2313012849</v>
      </c>
      <c r="B3803">
        <v>2313013908</v>
      </c>
      <c r="C3803" t="str">
        <f>T("디버프 마스터 1060화")</f>
        <v>디버프 마스터 1060화</v>
      </c>
      <c r="D3803" t="str">
        <f>T("1060")</f>
        <v>1060</v>
      </c>
      <c r="E3803" t="str">
        <f t="shared" si="510"/>
        <v>담화공</v>
      </c>
      <c r="H3803" t="str">
        <f t="shared" si="514"/>
        <v>스토리위즈</v>
      </c>
      <c r="I3803" t="str">
        <f t="shared" si="511"/>
        <v>디버프 마스터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/>
      <c r="AQ3803">
        <v>0</v>
      </c>
      <c r="AR3803">
        <v>0</v>
      </c>
      <c r="AT3803">
        <v>0</v>
      </c>
      <c r="AU3803">
        <v>0</v>
      </c>
      <c r="AW3803">
        <v>0</v>
      </c>
      <c r="AX3803">
        <v>0</v>
      </c>
      <c r="AY3803">
        <v>70</v>
      </c>
      <c r="BC3803" t="str">
        <f t="shared" si="512"/>
        <v>9791137602663</v>
      </c>
      <c r="BE3803" t="str">
        <f t="shared" si="513"/>
        <v>판타지 웹소설 &gt; 퓨전 판타지</v>
      </c>
    </row>
    <row r="3804" spans="1:57" x14ac:dyDescent="0.3">
      <c r="A3804">
        <v>2313012849</v>
      </c>
      <c r="B3804">
        <v>2313013909</v>
      </c>
      <c r="C3804" t="str">
        <f>T("디버프 마스터 1061화")</f>
        <v>디버프 마스터 1061화</v>
      </c>
      <c r="D3804" t="str">
        <f>T("1061")</f>
        <v>1061</v>
      </c>
      <c r="E3804" t="str">
        <f t="shared" si="510"/>
        <v>담화공</v>
      </c>
      <c r="H3804" t="str">
        <f t="shared" si="514"/>
        <v>스토리위즈</v>
      </c>
      <c r="I3804" t="str">
        <f t="shared" si="511"/>
        <v>디버프 마스터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/>
      <c r="AQ3804">
        <v>0</v>
      </c>
      <c r="AR3804">
        <v>0</v>
      </c>
      <c r="AT3804">
        <v>0</v>
      </c>
      <c r="AU3804">
        <v>0</v>
      </c>
      <c r="AW3804">
        <v>0</v>
      </c>
      <c r="AX3804">
        <v>0</v>
      </c>
      <c r="AY3804">
        <v>70</v>
      </c>
      <c r="BC3804" t="str">
        <f t="shared" si="512"/>
        <v>9791137602663</v>
      </c>
      <c r="BE3804" t="str">
        <f t="shared" si="513"/>
        <v>판타지 웹소설 &gt; 퓨전 판타지</v>
      </c>
    </row>
    <row r="3805" spans="1:57" x14ac:dyDescent="0.3">
      <c r="A3805">
        <v>2313012849</v>
      </c>
      <c r="B3805">
        <v>2313013910</v>
      </c>
      <c r="C3805" t="str">
        <f>T("디버프 마스터 1062화")</f>
        <v>디버프 마스터 1062화</v>
      </c>
      <c r="D3805" t="str">
        <f>T("1062")</f>
        <v>1062</v>
      </c>
      <c r="E3805" t="str">
        <f t="shared" ref="E3805:E3868" si="515">T("담화공")</f>
        <v>담화공</v>
      </c>
      <c r="H3805" t="str">
        <f t="shared" si="514"/>
        <v>스토리위즈</v>
      </c>
      <c r="I3805" t="str">
        <f t="shared" ref="I3805:I3868" si="516">T("디버프 마스터")</f>
        <v>디버프 마스터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/>
      <c r="AQ3805">
        <v>0</v>
      </c>
      <c r="AR3805">
        <v>0</v>
      </c>
      <c r="AT3805">
        <v>0</v>
      </c>
      <c r="AU3805">
        <v>0</v>
      </c>
      <c r="AW3805">
        <v>0</v>
      </c>
      <c r="AX3805">
        <v>0</v>
      </c>
      <c r="AY3805">
        <v>70</v>
      </c>
      <c r="BC3805" t="str">
        <f t="shared" ref="BC3805:BC3868" si="517">T("9791137602663")</f>
        <v>9791137602663</v>
      </c>
      <c r="BE3805" t="str">
        <f t="shared" ref="BE3805:BE3868" si="518">T("판타지 웹소설 &gt; 퓨전 판타지")</f>
        <v>판타지 웹소설 &gt; 퓨전 판타지</v>
      </c>
    </row>
    <row r="3806" spans="1:57" x14ac:dyDescent="0.3">
      <c r="A3806">
        <v>2313012849</v>
      </c>
      <c r="B3806">
        <v>2313013911</v>
      </c>
      <c r="C3806" t="str">
        <f>T("디버프 마스터 1063화")</f>
        <v>디버프 마스터 1063화</v>
      </c>
      <c r="D3806" t="str">
        <f>T("1063")</f>
        <v>1063</v>
      </c>
      <c r="E3806" t="str">
        <f t="shared" si="515"/>
        <v>담화공</v>
      </c>
      <c r="H3806" t="str">
        <f t="shared" si="514"/>
        <v>스토리위즈</v>
      </c>
      <c r="I3806" t="str">
        <f t="shared" si="516"/>
        <v>디버프 마스터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/>
      <c r="AQ3806">
        <v>0</v>
      </c>
      <c r="AR3806">
        <v>0</v>
      </c>
      <c r="AT3806">
        <v>0</v>
      </c>
      <c r="AU3806">
        <v>0</v>
      </c>
      <c r="AW3806">
        <v>0</v>
      </c>
      <c r="AX3806">
        <v>0</v>
      </c>
      <c r="AY3806">
        <v>70</v>
      </c>
      <c r="BC3806" t="str">
        <f t="shared" si="517"/>
        <v>9791137602663</v>
      </c>
      <c r="BE3806" t="str">
        <f t="shared" si="518"/>
        <v>판타지 웹소설 &gt; 퓨전 판타지</v>
      </c>
    </row>
    <row r="3807" spans="1:57" x14ac:dyDescent="0.3">
      <c r="A3807">
        <v>2313012849</v>
      </c>
      <c r="B3807">
        <v>2313013912</v>
      </c>
      <c r="C3807" t="str">
        <f>T("디버프 마스터 1064화")</f>
        <v>디버프 마스터 1064화</v>
      </c>
      <c r="D3807" t="str">
        <f>T("1064")</f>
        <v>1064</v>
      </c>
      <c r="E3807" t="str">
        <f t="shared" si="515"/>
        <v>담화공</v>
      </c>
      <c r="H3807" t="str">
        <f t="shared" si="514"/>
        <v>스토리위즈</v>
      </c>
      <c r="I3807" t="str">
        <f t="shared" si="516"/>
        <v>디버프 마스터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/>
      <c r="AQ3807">
        <v>0</v>
      </c>
      <c r="AR3807">
        <v>0</v>
      </c>
      <c r="AT3807">
        <v>0</v>
      </c>
      <c r="AU3807">
        <v>0</v>
      </c>
      <c r="AW3807">
        <v>0</v>
      </c>
      <c r="AX3807">
        <v>0</v>
      </c>
      <c r="AY3807">
        <v>70</v>
      </c>
      <c r="BC3807" t="str">
        <f t="shared" si="517"/>
        <v>9791137602663</v>
      </c>
      <c r="BE3807" t="str">
        <f t="shared" si="518"/>
        <v>판타지 웹소설 &gt; 퓨전 판타지</v>
      </c>
    </row>
    <row r="3808" spans="1:57" x14ac:dyDescent="0.3">
      <c r="A3808">
        <v>2313012849</v>
      </c>
      <c r="B3808">
        <v>2313013913</v>
      </c>
      <c r="C3808" t="str">
        <f>T("디버프 마스터 1065화")</f>
        <v>디버프 마스터 1065화</v>
      </c>
      <c r="D3808" t="str">
        <f>T("1065")</f>
        <v>1065</v>
      </c>
      <c r="E3808" t="str">
        <f t="shared" si="515"/>
        <v>담화공</v>
      </c>
      <c r="H3808" t="str">
        <f t="shared" si="514"/>
        <v>스토리위즈</v>
      </c>
      <c r="I3808" t="str">
        <f t="shared" si="516"/>
        <v>디버프 마스터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/>
      <c r="AQ3808">
        <v>0</v>
      </c>
      <c r="AR3808">
        <v>0</v>
      </c>
      <c r="AT3808">
        <v>0</v>
      </c>
      <c r="AU3808">
        <v>0</v>
      </c>
      <c r="AW3808">
        <v>0</v>
      </c>
      <c r="AX3808">
        <v>0</v>
      </c>
      <c r="AY3808">
        <v>70</v>
      </c>
      <c r="BC3808" t="str">
        <f t="shared" si="517"/>
        <v>9791137602663</v>
      </c>
      <c r="BE3808" t="str">
        <f t="shared" si="518"/>
        <v>판타지 웹소설 &gt; 퓨전 판타지</v>
      </c>
    </row>
    <row r="3809" spans="1:57" x14ac:dyDescent="0.3">
      <c r="A3809">
        <v>2313012849</v>
      </c>
      <c r="B3809">
        <v>2313013914</v>
      </c>
      <c r="C3809" t="str">
        <f>T("디버프 마스터 1066화")</f>
        <v>디버프 마스터 1066화</v>
      </c>
      <c r="D3809" t="str">
        <f>T("1066")</f>
        <v>1066</v>
      </c>
      <c r="E3809" t="str">
        <f t="shared" si="515"/>
        <v>담화공</v>
      </c>
      <c r="H3809" t="str">
        <f t="shared" si="514"/>
        <v>스토리위즈</v>
      </c>
      <c r="I3809" t="str">
        <f t="shared" si="516"/>
        <v>디버프 마스터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/>
      <c r="AQ3809">
        <v>0</v>
      </c>
      <c r="AR3809">
        <v>0</v>
      </c>
      <c r="AT3809">
        <v>0</v>
      </c>
      <c r="AU3809">
        <v>0</v>
      </c>
      <c r="AW3809">
        <v>0</v>
      </c>
      <c r="AX3809">
        <v>0</v>
      </c>
      <c r="AY3809">
        <v>70</v>
      </c>
      <c r="BC3809" t="str">
        <f t="shared" si="517"/>
        <v>9791137602663</v>
      </c>
      <c r="BE3809" t="str">
        <f t="shared" si="518"/>
        <v>판타지 웹소설 &gt; 퓨전 판타지</v>
      </c>
    </row>
    <row r="3810" spans="1:57" x14ac:dyDescent="0.3">
      <c r="A3810">
        <v>2313012849</v>
      </c>
      <c r="B3810">
        <v>2313013915</v>
      </c>
      <c r="C3810" t="str">
        <f>T("디버프 마스터 1067화")</f>
        <v>디버프 마스터 1067화</v>
      </c>
      <c r="D3810" t="str">
        <f>T("1067")</f>
        <v>1067</v>
      </c>
      <c r="E3810" t="str">
        <f t="shared" si="515"/>
        <v>담화공</v>
      </c>
      <c r="H3810" t="str">
        <f t="shared" si="514"/>
        <v>스토리위즈</v>
      </c>
      <c r="I3810" t="str">
        <f t="shared" si="516"/>
        <v>디버프 마스터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/>
      <c r="AQ3810">
        <v>0</v>
      </c>
      <c r="AR3810">
        <v>0</v>
      </c>
      <c r="AT3810">
        <v>0</v>
      </c>
      <c r="AU3810">
        <v>0</v>
      </c>
      <c r="AW3810">
        <v>0</v>
      </c>
      <c r="AX3810">
        <v>0</v>
      </c>
      <c r="AY3810">
        <v>70</v>
      </c>
      <c r="BC3810" t="str">
        <f t="shared" si="517"/>
        <v>9791137602663</v>
      </c>
      <c r="BE3810" t="str">
        <f t="shared" si="518"/>
        <v>판타지 웹소설 &gt; 퓨전 판타지</v>
      </c>
    </row>
    <row r="3811" spans="1:57" x14ac:dyDescent="0.3">
      <c r="A3811">
        <v>2313012849</v>
      </c>
      <c r="B3811">
        <v>2313013916</v>
      </c>
      <c r="C3811" t="str">
        <f>T("디버프 마스터 1068화")</f>
        <v>디버프 마스터 1068화</v>
      </c>
      <c r="D3811" t="str">
        <f>T("1068")</f>
        <v>1068</v>
      </c>
      <c r="E3811" t="str">
        <f t="shared" si="515"/>
        <v>담화공</v>
      </c>
      <c r="H3811" t="str">
        <f t="shared" si="514"/>
        <v>스토리위즈</v>
      </c>
      <c r="I3811" t="str">
        <f t="shared" si="516"/>
        <v>디버프 마스터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/>
      <c r="AQ3811">
        <v>0</v>
      </c>
      <c r="AR3811">
        <v>0</v>
      </c>
      <c r="AT3811">
        <v>0</v>
      </c>
      <c r="AU3811">
        <v>0</v>
      </c>
      <c r="AW3811">
        <v>0</v>
      </c>
      <c r="AX3811">
        <v>0</v>
      </c>
      <c r="AY3811">
        <v>70</v>
      </c>
      <c r="BC3811" t="str">
        <f t="shared" si="517"/>
        <v>9791137602663</v>
      </c>
      <c r="BE3811" t="str">
        <f t="shared" si="518"/>
        <v>판타지 웹소설 &gt; 퓨전 판타지</v>
      </c>
    </row>
    <row r="3812" spans="1:57" x14ac:dyDescent="0.3">
      <c r="A3812">
        <v>2313012849</v>
      </c>
      <c r="B3812">
        <v>2313013917</v>
      </c>
      <c r="C3812" t="str">
        <f>T("디버프 마스터 1069화")</f>
        <v>디버프 마스터 1069화</v>
      </c>
      <c r="D3812" t="str">
        <f>T("1069")</f>
        <v>1069</v>
      </c>
      <c r="E3812" t="str">
        <f t="shared" si="515"/>
        <v>담화공</v>
      </c>
      <c r="H3812" t="str">
        <f t="shared" si="514"/>
        <v>스토리위즈</v>
      </c>
      <c r="I3812" t="str">
        <f t="shared" si="516"/>
        <v>디버프 마스터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/>
      <c r="AQ3812">
        <v>0</v>
      </c>
      <c r="AR3812">
        <v>0</v>
      </c>
      <c r="AT3812">
        <v>0</v>
      </c>
      <c r="AU3812">
        <v>0</v>
      </c>
      <c r="AW3812">
        <v>0</v>
      </c>
      <c r="AX3812">
        <v>0</v>
      </c>
      <c r="AY3812">
        <v>70</v>
      </c>
      <c r="BC3812" t="str">
        <f t="shared" si="517"/>
        <v>9791137602663</v>
      </c>
      <c r="BE3812" t="str">
        <f t="shared" si="518"/>
        <v>판타지 웹소설 &gt; 퓨전 판타지</v>
      </c>
    </row>
    <row r="3813" spans="1:57" x14ac:dyDescent="0.3">
      <c r="A3813">
        <v>2313012849</v>
      </c>
      <c r="B3813">
        <v>2313013918</v>
      </c>
      <c r="C3813" t="str">
        <f>T("디버프 마스터 1070화")</f>
        <v>디버프 마스터 1070화</v>
      </c>
      <c r="D3813" t="str">
        <f>T("1070")</f>
        <v>1070</v>
      </c>
      <c r="E3813" t="str">
        <f t="shared" si="515"/>
        <v>담화공</v>
      </c>
      <c r="H3813" t="str">
        <f t="shared" si="514"/>
        <v>스토리위즈</v>
      </c>
      <c r="I3813" t="str">
        <f t="shared" si="516"/>
        <v>디버프 마스터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/>
      <c r="AQ3813">
        <v>0</v>
      </c>
      <c r="AR3813">
        <v>0</v>
      </c>
      <c r="AT3813">
        <v>0</v>
      </c>
      <c r="AU3813">
        <v>0</v>
      </c>
      <c r="AW3813">
        <v>0</v>
      </c>
      <c r="AX3813">
        <v>0</v>
      </c>
      <c r="AY3813">
        <v>70</v>
      </c>
      <c r="BC3813" t="str">
        <f t="shared" si="517"/>
        <v>9791137602663</v>
      </c>
      <c r="BE3813" t="str">
        <f t="shared" si="518"/>
        <v>판타지 웹소설 &gt; 퓨전 판타지</v>
      </c>
    </row>
    <row r="3814" spans="1:57" x14ac:dyDescent="0.3">
      <c r="A3814">
        <v>2313012849</v>
      </c>
      <c r="B3814">
        <v>2313013919</v>
      </c>
      <c r="C3814" t="str">
        <f>T("디버프 마스터 1071화")</f>
        <v>디버프 마스터 1071화</v>
      </c>
      <c r="D3814" t="str">
        <f>T("1071")</f>
        <v>1071</v>
      </c>
      <c r="E3814" t="str">
        <f t="shared" si="515"/>
        <v>담화공</v>
      </c>
      <c r="H3814" t="str">
        <f t="shared" si="514"/>
        <v>스토리위즈</v>
      </c>
      <c r="I3814" t="str">
        <f t="shared" si="516"/>
        <v>디버프 마스터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/>
      <c r="AQ3814">
        <v>0</v>
      </c>
      <c r="AR3814">
        <v>0</v>
      </c>
      <c r="AT3814">
        <v>0</v>
      </c>
      <c r="AU3814">
        <v>0</v>
      </c>
      <c r="AW3814">
        <v>0</v>
      </c>
      <c r="AX3814">
        <v>0</v>
      </c>
      <c r="AY3814">
        <v>70</v>
      </c>
      <c r="BC3814" t="str">
        <f t="shared" si="517"/>
        <v>9791137602663</v>
      </c>
      <c r="BE3814" t="str">
        <f t="shared" si="518"/>
        <v>판타지 웹소설 &gt; 퓨전 판타지</v>
      </c>
    </row>
    <row r="3815" spans="1:57" x14ac:dyDescent="0.3">
      <c r="A3815">
        <v>2313012849</v>
      </c>
      <c r="B3815">
        <v>2313013920</v>
      </c>
      <c r="C3815" t="str">
        <f>T("디버프 마스터 1072화")</f>
        <v>디버프 마스터 1072화</v>
      </c>
      <c r="D3815" t="str">
        <f>T("1072")</f>
        <v>1072</v>
      </c>
      <c r="E3815" t="str">
        <f t="shared" si="515"/>
        <v>담화공</v>
      </c>
      <c r="H3815" t="str">
        <f t="shared" si="514"/>
        <v>스토리위즈</v>
      </c>
      <c r="I3815" t="str">
        <f t="shared" si="516"/>
        <v>디버프 마스터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/>
      <c r="AQ3815">
        <v>0</v>
      </c>
      <c r="AR3815">
        <v>0</v>
      </c>
      <c r="AT3815">
        <v>0</v>
      </c>
      <c r="AU3815">
        <v>0</v>
      </c>
      <c r="AW3815">
        <v>0</v>
      </c>
      <c r="AX3815">
        <v>0</v>
      </c>
      <c r="AY3815">
        <v>70</v>
      </c>
      <c r="BC3815" t="str">
        <f t="shared" si="517"/>
        <v>9791137602663</v>
      </c>
      <c r="BE3815" t="str">
        <f t="shared" si="518"/>
        <v>판타지 웹소설 &gt; 퓨전 판타지</v>
      </c>
    </row>
    <row r="3816" spans="1:57" x14ac:dyDescent="0.3">
      <c r="A3816">
        <v>2313012849</v>
      </c>
      <c r="B3816">
        <v>2313013921</v>
      </c>
      <c r="C3816" t="str">
        <f>T("디버프 마스터 1073화")</f>
        <v>디버프 마스터 1073화</v>
      </c>
      <c r="D3816" t="str">
        <f>T("1073")</f>
        <v>1073</v>
      </c>
      <c r="E3816" t="str">
        <f t="shared" si="515"/>
        <v>담화공</v>
      </c>
      <c r="H3816" t="str">
        <f t="shared" si="514"/>
        <v>스토리위즈</v>
      </c>
      <c r="I3816" t="str">
        <f t="shared" si="516"/>
        <v>디버프 마스터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/>
      <c r="AQ3816">
        <v>0</v>
      </c>
      <c r="AR3816">
        <v>0</v>
      </c>
      <c r="AT3816">
        <v>0</v>
      </c>
      <c r="AU3816">
        <v>0</v>
      </c>
      <c r="AW3816">
        <v>0</v>
      </c>
      <c r="AX3816">
        <v>0</v>
      </c>
      <c r="AY3816">
        <v>70</v>
      </c>
      <c r="BC3816" t="str">
        <f t="shared" si="517"/>
        <v>9791137602663</v>
      </c>
      <c r="BE3816" t="str">
        <f t="shared" si="518"/>
        <v>판타지 웹소설 &gt; 퓨전 판타지</v>
      </c>
    </row>
    <row r="3817" spans="1:57" x14ac:dyDescent="0.3">
      <c r="A3817">
        <v>2313012849</v>
      </c>
      <c r="B3817">
        <v>2313013922</v>
      </c>
      <c r="C3817" t="str">
        <f>T("디버프 마스터 1074화")</f>
        <v>디버프 마스터 1074화</v>
      </c>
      <c r="D3817" t="str">
        <f>T("1074")</f>
        <v>1074</v>
      </c>
      <c r="E3817" t="str">
        <f t="shared" si="515"/>
        <v>담화공</v>
      </c>
      <c r="H3817" t="str">
        <f t="shared" si="514"/>
        <v>스토리위즈</v>
      </c>
      <c r="I3817" t="str">
        <f t="shared" si="516"/>
        <v>디버프 마스터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/>
      <c r="AQ3817">
        <v>0</v>
      </c>
      <c r="AR3817">
        <v>0</v>
      </c>
      <c r="AT3817">
        <v>0</v>
      </c>
      <c r="AU3817">
        <v>0</v>
      </c>
      <c r="AW3817">
        <v>0</v>
      </c>
      <c r="AX3817">
        <v>0</v>
      </c>
      <c r="AY3817">
        <v>70</v>
      </c>
      <c r="BC3817" t="str">
        <f t="shared" si="517"/>
        <v>9791137602663</v>
      </c>
      <c r="BE3817" t="str">
        <f t="shared" si="518"/>
        <v>판타지 웹소설 &gt; 퓨전 판타지</v>
      </c>
    </row>
    <row r="3818" spans="1:57" x14ac:dyDescent="0.3">
      <c r="A3818">
        <v>2313012849</v>
      </c>
      <c r="B3818">
        <v>2313013923</v>
      </c>
      <c r="C3818" t="str">
        <f>T("디버프 마스터 1075화")</f>
        <v>디버프 마스터 1075화</v>
      </c>
      <c r="D3818" t="str">
        <f>T("1075")</f>
        <v>1075</v>
      </c>
      <c r="E3818" t="str">
        <f t="shared" si="515"/>
        <v>담화공</v>
      </c>
      <c r="H3818" t="str">
        <f t="shared" si="514"/>
        <v>스토리위즈</v>
      </c>
      <c r="I3818" t="str">
        <f t="shared" si="516"/>
        <v>디버프 마스터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/>
      <c r="AQ3818">
        <v>0</v>
      </c>
      <c r="AR3818">
        <v>0</v>
      </c>
      <c r="AT3818">
        <v>0</v>
      </c>
      <c r="AU3818">
        <v>0</v>
      </c>
      <c r="AW3818">
        <v>0</v>
      </c>
      <c r="AX3818">
        <v>0</v>
      </c>
      <c r="AY3818">
        <v>70</v>
      </c>
      <c r="BC3818" t="str">
        <f t="shared" si="517"/>
        <v>9791137602663</v>
      </c>
      <c r="BE3818" t="str">
        <f t="shared" si="518"/>
        <v>판타지 웹소설 &gt; 퓨전 판타지</v>
      </c>
    </row>
    <row r="3819" spans="1:57" x14ac:dyDescent="0.3">
      <c r="A3819">
        <v>2313012849</v>
      </c>
      <c r="B3819">
        <v>2313013924</v>
      </c>
      <c r="C3819" t="str">
        <f>T("디버프 마스터 1076화")</f>
        <v>디버프 마스터 1076화</v>
      </c>
      <c r="D3819" t="str">
        <f>T("1076")</f>
        <v>1076</v>
      </c>
      <c r="E3819" t="str">
        <f t="shared" si="515"/>
        <v>담화공</v>
      </c>
      <c r="H3819" t="str">
        <f t="shared" si="514"/>
        <v>스토리위즈</v>
      </c>
      <c r="I3819" t="str">
        <f t="shared" si="516"/>
        <v>디버프 마스터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/>
      <c r="AQ3819">
        <v>0</v>
      </c>
      <c r="AR3819">
        <v>0</v>
      </c>
      <c r="AT3819">
        <v>0</v>
      </c>
      <c r="AU3819">
        <v>0</v>
      </c>
      <c r="AW3819">
        <v>0</v>
      </c>
      <c r="AX3819">
        <v>0</v>
      </c>
      <c r="AY3819">
        <v>70</v>
      </c>
      <c r="BC3819" t="str">
        <f t="shared" si="517"/>
        <v>9791137602663</v>
      </c>
      <c r="BE3819" t="str">
        <f t="shared" si="518"/>
        <v>판타지 웹소설 &gt; 퓨전 판타지</v>
      </c>
    </row>
    <row r="3820" spans="1:57" x14ac:dyDescent="0.3">
      <c r="A3820">
        <v>2313012849</v>
      </c>
      <c r="B3820">
        <v>2313013925</v>
      </c>
      <c r="C3820" t="str">
        <f>T("디버프 마스터 1077화")</f>
        <v>디버프 마스터 1077화</v>
      </c>
      <c r="D3820" t="str">
        <f>T("1077")</f>
        <v>1077</v>
      </c>
      <c r="E3820" t="str">
        <f t="shared" si="515"/>
        <v>담화공</v>
      </c>
      <c r="H3820" t="str">
        <f t="shared" si="514"/>
        <v>스토리위즈</v>
      </c>
      <c r="I3820" t="str">
        <f t="shared" si="516"/>
        <v>디버프 마스터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/>
      <c r="AQ3820">
        <v>0</v>
      </c>
      <c r="AR3820">
        <v>0</v>
      </c>
      <c r="AT3820">
        <v>0</v>
      </c>
      <c r="AU3820">
        <v>0</v>
      </c>
      <c r="AW3820">
        <v>0</v>
      </c>
      <c r="AX3820">
        <v>0</v>
      </c>
      <c r="AY3820">
        <v>70</v>
      </c>
      <c r="BC3820" t="str">
        <f t="shared" si="517"/>
        <v>9791137602663</v>
      </c>
      <c r="BE3820" t="str">
        <f t="shared" si="518"/>
        <v>판타지 웹소설 &gt; 퓨전 판타지</v>
      </c>
    </row>
    <row r="3821" spans="1:57" x14ac:dyDescent="0.3">
      <c r="A3821">
        <v>2313012849</v>
      </c>
      <c r="B3821">
        <v>2313013926</v>
      </c>
      <c r="C3821" t="str">
        <f>T("디버프 마스터 1078화")</f>
        <v>디버프 마스터 1078화</v>
      </c>
      <c r="D3821" t="str">
        <f>T("1078")</f>
        <v>1078</v>
      </c>
      <c r="E3821" t="str">
        <f t="shared" si="515"/>
        <v>담화공</v>
      </c>
      <c r="H3821" t="str">
        <f t="shared" si="514"/>
        <v>스토리위즈</v>
      </c>
      <c r="I3821" t="str">
        <f t="shared" si="516"/>
        <v>디버프 마스터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/>
      <c r="AQ3821">
        <v>0</v>
      </c>
      <c r="AR3821">
        <v>0</v>
      </c>
      <c r="AT3821">
        <v>0</v>
      </c>
      <c r="AU3821">
        <v>0</v>
      </c>
      <c r="AW3821">
        <v>0</v>
      </c>
      <c r="AX3821">
        <v>0</v>
      </c>
      <c r="AY3821">
        <v>70</v>
      </c>
      <c r="BC3821" t="str">
        <f t="shared" si="517"/>
        <v>9791137602663</v>
      </c>
      <c r="BE3821" t="str">
        <f t="shared" si="518"/>
        <v>판타지 웹소설 &gt; 퓨전 판타지</v>
      </c>
    </row>
    <row r="3822" spans="1:57" x14ac:dyDescent="0.3">
      <c r="A3822">
        <v>2313012849</v>
      </c>
      <c r="B3822">
        <v>2313013927</v>
      </c>
      <c r="C3822" t="str">
        <f>T("디버프 마스터 1079화")</f>
        <v>디버프 마스터 1079화</v>
      </c>
      <c r="D3822" t="str">
        <f>T("1079")</f>
        <v>1079</v>
      </c>
      <c r="E3822" t="str">
        <f t="shared" si="515"/>
        <v>담화공</v>
      </c>
      <c r="H3822" t="str">
        <f t="shared" si="514"/>
        <v>스토리위즈</v>
      </c>
      <c r="I3822" t="str">
        <f t="shared" si="516"/>
        <v>디버프 마스터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/>
      <c r="AQ3822">
        <v>0</v>
      </c>
      <c r="AR3822">
        <v>0</v>
      </c>
      <c r="AT3822">
        <v>0</v>
      </c>
      <c r="AU3822">
        <v>0</v>
      </c>
      <c r="AW3822">
        <v>0</v>
      </c>
      <c r="AX3822">
        <v>0</v>
      </c>
      <c r="AY3822">
        <v>70</v>
      </c>
      <c r="BC3822" t="str">
        <f t="shared" si="517"/>
        <v>9791137602663</v>
      </c>
      <c r="BE3822" t="str">
        <f t="shared" si="518"/>
        <v>판타지 웹소설 &gt; 퓨전 판타지</v>
      </c>
    </row>
    <row r="3823" spans="1:57" x14ac:dyDescent="0.3">
      <c r="A3823">
        <v>2313012849</v>
      </c>
      <c r="B3823">
        <v>2313013928</v>
      </c>
      <c r="C3823" t="str">
        <f>T("디버프 마스터 1080화")</f>
        <v>디버프 마스터 1080화</v>
      </c>
      <c r="D3823" t="str">
        <f>T("1080")</f>
        <v>1080</v>
      </c>
      <c r="E3823" t="str">
        <f t="shared" si="515"/>
        <v>담화공</v>
      </c>
      <c r="H3823" t="str">
        <f t="shared" si="514"/>
        <v>스토리위즈</v>
      </c>
      <c r="I3823" t="str">
        <f t="shared" si="516"/>
        <v>디버프 마스터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/>
      <c r="AQ3823">
        <v>0</v>
      </c>
      <c r="AR3823">
        <v>0</v>
      </c>
      <c r="AT3823">
        <v>0</v>
      </c>
      <c r="AU3823">
        <v>0</v>
      </c>
      <c r="AW3823">
        <v>0</v>
      </c>
      <c r="AX3823">
        <v>0</v>
      </c>
      <c r="AY3823">
        <v>70</v>
      </c>
      <c r="BC3823" t="str">
        <f t="shared" si="517"/>
        <v>9791137602663</v>
      </c>
      <c r="BE3823" t="str">
        <f t="shared" si="518"/>
        <v>판타지 웹소설 &gt; 퓨전 판타지</v>
      </c>
    </row>
    <row r="3824" spans="1:57" x14ac:dyDescent="0.3">
      <c r="A3824">
        <v>2313012849</v>
      </c>
      <c r="B3824">
        <v>2313013929</v>
      </c>
      <c r="C3824" t="str">
        <f>T("디버프 마스터 1081화")</f>
        <v>디버프 마스터 1081화</v>
      </c>
      <c r="D3824" t="str">
        <f>T("1081")</f>
        <v>1081</v>
      </c>
      <c r="E3824" t="str">
        <f t="shared" si="515"/>
        <v>담화공</v>
      </c>
      <c r="H3824" t="str">
        <f t="shared" si="514"/>
        <v>스토리위즈</v>
      </c>
      <c r="I3824" t="str">
        <f t="shared" si="516"/>
        <v>디버프 마스터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/>
      <c r="AQ3824">
        <v>0</v>
      </c>
      <c r="AR3824">
        <v>0</v>
      </c>
      <c r="AT3824">
        <v>0</v>
      </c>
      <c r="AU3824">
        <v>0</v>
      </c>
      <c r="AW3824">
        <v>0</v>
      </c>
      <c r="AX3824">
        <v>0</v>
      </c>
      <c r="AY3824">
        <v>70</v>
      </c>
      <c r="BC3824" t="str">
        <f t="shared" si="517"/>
        <v>9791137602663</v>
      </c>
      <c r="BE3824" t="str">
        <f t="shared" si="518"/>
        <v>판타지 웹소설 &gt; 퓨전 판타지</v>
      </c>
    </row>
    <row r="3825" spans="1:57" x14ac:dyDescent="0.3">
      <c r="A3825">
        <v>2313012849</v>
      </c>
      <c r="B3825">
        <v>2313013930</v>
      </c>
      <c r="C3825" t="str">
        <f>T("디버프 마스터 1082화")</f>
        <v>디버프 마스터 1082화</v>
      </c>
      <c r="D3825" t="str">
        <f>T("1082")</f>
        <v>1082</v>
      </c>
      <c r="E3825" t="str">
        <f t="shared" si="515"/>
        <v>담화공</v>
      </c>
      <c r="H3825" t="str">
        <f t="shared" si="514"/>
        <v>스토리위즈</v>
      </c>
      <c r="I3825" t="str">
        <f t="shared" si="516"/>
        <v>디버프 마스터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/>
      <c r="AQ3825">
        <v>0</v>
      </c>
      <c r="AR3825">
        <v>0</v>
      </c>
      <c r="AT3825">
        <v>0</v>
      </c>
      <c r="AU3825">
        <v>0</v>
      </c>
      <c r="AW3825">
        <v>0</v>
      </c>
      <c r="AX3825">
        <v>0</v>
      </c>
      <c r="AY3825">
        <v>70</v>
      </c>
      <c r="BC3825" t="str">
        <f t="shared" si="517"/>
        <v>9791137602663</v>
      </c>
      <c r="BE3825" t="str">
        <f t="shared" si="518"/>
        <v>판타지 웹소설 &gt; 퓨전 판타지</v>
      </c>
    </row>
    <row r="3826" spans="1:57" x14ac:dyDescent="0.3">
      <c r="A3826">
        <v>2313012849</v>
      </c>
      <c r="B3826">
        <v>2313013931</v>
      </c>
      <c r="C3826" t="str">
        <f>T("디버프 마스터 1083화")</f>
        <v>디버프 마스터 1083화</v>
      </c>
      <c r="D3826" t="str">
        <f>T("1083")</f>
        <v>1083</v>
      </c>
      <c r="E3826" t="str">
        <f t="shared" si="515"/>
        <v>담화공</v>
      </c>
      <c r="H3826" t="str">
        <f t="shared" si="514"/>
        <v>스토리위즈</v>
      </c>
      <c r="I3826" t="str">
        <f t="shared" si="516"/>
        <v>디버프 마스터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/>
      <c r="AQ3826">
        <v>0</v>
      </c>
      <c r="AR3826">
        <v>0</v>
      </c>
      <c r="AT3826">
        <v>0</v>
      </c>
      <c r="AU3826">
        <v>0</v>
      </c>
      <c r="AW3826">
        <v>0</v>
      </c>
      <c r="AX3826">
        <v>0</v>
      </c>
      <c r="AY3826">
        <v>70</v>
      </c>
      <c r="BC3826" t="str">
        <f t="shared" si="517"/>
        <v>9791137602663</v>
      </c>
      <c r="BE3826" t="str">
        <f t="shared" si="518"/>
        <v>판타지 웹소설 &gt; 퓨전 판타지</v>
      </c>
    </row>
    <row r="3827" spans="1:57" x14ac:dyDescent="0.3">
      <c r="A3827">
        <v>2313012849</v>
      </c>
      <c r="B3827">
        <v>2313013932</v>
      </c>
      <c r="C3827" t="str">
        <f>T("디버프 마스터 1084화")</f>
        <v>디버프 마스터 1084화</v>
      </c>
      <c r="D3827" t="str">
        <f>T("1084")</f>
        <v>1084</v>
      </c>
      <c r="E3827" t="str">
        <f t="shared" si="515"/>
        <v>담화공</v>
      </c>
      <c r="H3827" t="str">
        <f t="shared" si="514"/>
        <v>스토리위즈</v>
      </c>
      <c r="I3827" t="str">
        <f t="shared" si="516"/>
        <v>디버프 마스터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/>
      <c r="AQ3827">
        <v>0</v>
      </c>
      <c r="AR3827">
        <v>0</v>
      </c>
      <c r="AT3827">
        <v>0</v>
      </c>
      <c r="AU3827">
        <v>0</v>
      </c>
      <c r="AW3827">
        <v>0</v>
      </c>
      <c r="AX3827">
        <v>0</v>
      </c>
      <c r="AY3827">
        <v>70</v>
      </c>
      <c r="BC3827" t="str">
        <f t="shared" si="517"/>
        <v>9791137602663</v>
      </c>
      <c r="BE3827" t="str">
        <f t="shared" si="518"/>
        <v>판타지 웹소설 &gt; 퓨전 판타지</v>
      </c>
    </row>
    <row r="3828" spans="1:57" x14ac:dyDescent="0.3">
      <c r="A3828">
        <v>2313012849</v>
      </c>
      <c r="B3828">
        <v>2313013933</v>
      </c>
      <c r="C3828" t="str">
        <f>T("디버프 마스터 1085화")</f>
        <v>디버프 마스터 1085화</v>
      </c>
      <c r="D3828" t="str">
        <f>T("1085")</f>
        <v>1085</v>
      </c>
      <c r="E3828" t="str">
        <f t="shared" si="515"/>
        <v>담화공</v>
      </c>
      <c r="H3828" t="str">
        <f t="shared" si="514"/>
        <v>스토리위즈</v>
      </c>
      <c r="I3828" t="str">
        <f t="shared" si="516"/>
        <v>디버프 마스터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/>
      <c r="AQ3828">
        <v>0</v>
      </c>
      <c r="AR3828">
        <v>0</v>
      </c>
      <c r="AT3828">
        <v>0</v>
      </c>
      <c r="AU3828">
        <v>0</v>
      </c>
      <c r="AW3828">
        <v>0</v>
      </c>
      <c r="AX3828">
        <v>0</v>
      </c>
      <c r="AY3828">
        <v>70</v>
      </c>
      <c r="BC3828" t="str">
        <f t="shared" si="517"/>
        <v>9791137602663</v>
      </c>
      <c r="BE3828" t="str">
        <f t="shared" si="518"/>
        <v>판타지 웹소설 &gt; 퓨전 판타지</v>
      </c>
    </row>
    <row r="3829" spans="1:57" x14ac:dyDescent="0.3">
      <c r="A3829">
        <v>2313012849</v>
      </c>
      <c r="B3829">
        <v>2313013934</v>
      </c>
      <c r="C3829" t="str">
        <f>T("디버프 마스터 1086화")</f>
        <v>디버프 마스터 1086화</v>
      </c>
      <c r="D3829" t="str">
        <f>T("1086")</f>
        <v>1086</v>
      </c>
      <c r="E3829" t="str">
        <f t="shared" si="515"/>
        <v>담화공</v>
      </c>
      <c r="H3829" t="str">
        <f t="shared" si="514"/>
        <v>스토리위즈</v>
      </c>
      <c r="I3829" t="str">
        <f t="shared" si="516"/>
        <v>디버프 마스터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/>
      <c r="AQ3829">
        <v>0</v>
      </c>
      <c r="AR3829">
        <v>0</v>
      </c>
      <c r="AT3829">
        <v>0</v>
      </c>
      <c r="AU3829">
        <v>0</v>
      </c>
      <c r="AW3829">
        <v>0</v>
      </c>
      <c r="AX3829">
        <v>0</v>
      </c>
      <c r="AY3829">
        <v>70</v>
      </c>
      <c r="BC3829" t="str">
        <f t="shared" si="517"/>
        <v>9791137602663</v>
      </c>
      <c r="BE3829" t="str">
        <f t="shared" si="518"/>
        <v>판타지 웹소설 &gt; 퓨전 판타지</v>
      </c>
    </row>
    <row r="3830" spans="1:57" x14ac:dyDescent="0.3">
      <c r="A3830">
        <v>2313012849</v>
      </c>
      <c r="B3830">
        <v>2313013935</v>
      </c>
      <c r="C3830" t="str">
        <f>T("디버프 마스터 1087화")</f>
        <v>디버프 마스터 1087화</v>
      </c>
      <c r="D3830" t="str">
        <f>T("1087")</f>
        <v>1087</v>
      </c>
      <c r="E3830" t="str">
        <f t="shared" si="515"/>
        <v>담화공</v>
      </c>
      <c r="H3830" t="str">
        <f t="shared" si="514"/>
        <v>스토리위즈</v>
      </c>
      <c r="I3830" t="str">
        <f t="shared" si="516"/>
        <v>디버프 마스터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/>
      <c r="AQ3830">
        <v>0</v>
      </c>
      <c r="AR3830">
        <v>0</v>
      </c>
      <c r="AT3830">
        <v>0</v>
      </c>
      <c r="AU3830">
        <v>0</v>
      </c>
      <c r="AW3830">
        <v>0</v>
      </c>
      <c r="AX3830">
        <v>0</v>
      </c>
      <c r="AY3830">
        <v>70</v>
      </c>
      <c r="BC3830" t="str">
        <f t="shared" si="517"/>
        <v>9791137602663</v>
      </c>
      <c r="BE3830" t="str">
        <f t="shared" si="518"/>
        <v>판타지 웹소설 &gt; 퓨전 판타지</v>
      </c>
    </row>
    <row r="3831" spans="1:57" x14ac:dyDescent="0.3">
      <c r="A3831">
        <v>2313012849</v>
      </c>
      <c r="B3831">
        <v>2313013936</v>
      </c>
      <c r="C3831" t="str">
        <f>T("디버프 마스터 1088화")</f>
        <v>디버프 마스터 1088화</v>
      </c>
      <c r="D3831" t="str">
        <f>T("1088")</f>
        <v>1088</v>
      </c>
      <c r="E3831" t="str">
        <f t="shared" si="515"/>
        <v>담화공</v>
      </c>
      <c r="H3831" t="str">
        <f t="shared" si="514"/>
        <v>스토리위즈</v>
      </c>
      <c r="I3831" t="str">
        <f t="shared" si="516"/>
        <v>디버프 마스터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/>
      <c r="AQ3831">
        <v>0</v>
      </c>
      <c r="AR3831">
        <v>0</v>
      </c>
      <c r="AT3831">
        <v>0</v>
      </c>
      <c r="AU3831">
        <v>0</v>
      </c>
      <c r="AW3831">
        <v>0</v>
      </c>
      <c r="AX3831">
        <v>0</v>
      </c>
      <c r="AY3831">
        <v>70</v>
      </c>
      <c r="BC3831" t="str">
        <f t="shared" si="517"/>
        <v>9791137602663</v>
      </c>
      <c r="BE3831" t="str">
        <f t="shared" si="518"/>
        <v>판타지 웹소설 &gt; 퓨전 판타지</v>
      </c>
    </row>
    <row r="3832" spans="1:57" x14ac:dyDescent="0.3">
      <c r="A3832">
        <v>2313012849</v>
      </c>
      <c r="B3832">
        <v>2313013937</v>
      </c>
      <c r="C3832" t="str">
        <f>T("디버프 마스터 1089화")</f>
        <v>디버프 마스터 1089화</v>
      </c>
      <c r="D3832" t="str">
        <f>T("1089")</f>
        <v>1089</v>
      </c>
      <c r="E3832" t="str">
        <f t="shared" si="515"/>
        <v>담화공</v>
      </c>
      <c r="H3832" t="str">
        <f t="shared" si="514"/>
        <v>스토리위즈</v>
      </c>
      <c r="I3832" t="str">
        <f t="shared" si="516"/>
        <v>디버프 마스터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/>
      <c r="AQ3832">
        <v>0</v>
      </c>
      <c r="AR3832">
        <v>0</v>
      </c>
      <c r="AT3832">
        <v>0</v>
      </c>
      <c r="AU3832">
        <v>0</v>
      </c>
      <c r="AW3832">
        <v>0</v>
      </c>
      <c r="AX3832">
        <v>0</v>
      </c>
      <c r="AY3832">
        <v>70</v>
      </c>
      <c r="BC3832" t="str">
        <f t="shared" si="517"/>
        <v>9791137602663</v>
      </c>
      <c r="BE3832" t="str">
        <f t="shared" si="518"/>
        <v>판타지 웹소설 &gt; 퓨전 판타지</v>
      </c>
    </row>
    <row r="3833" spans="1:57" x14ac:dyDescent="0.3">
      <c r="A3833">
        <v>2313012849</v>
      </c>
      <c r="B3833">
        <v>2313013938</v>
      </c>
      <c r="C3833" t="str">
        <f>T("디버프 마스터 1090화")</f>
        <v>디버프 마스터 1090화</v>
      </c>
      <c r="D3833" t="str">
        <f>T("1090")</f>
        <v>1090</v>
      </c>
      <c r="E3833" t="str">
        <f t="shared" si="515"/>
        <v>담화공</v>
      </c>
      <c r="H3833" t="str">
        <f t="shared" si="514"/>
        <v>스토리위즈</v>
      </c>
      <c r="I3833" t="str">
        <f t="shared" si="516"/>
        <v>디버프 마스터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/>
      <c r="AQ3833">
        <v>0</v>
      </c>
      <c r="AR3833">
        <v>0</v>
      </c>
      <c r="AT3833">
        <v>0</v>
      </c>
      <c r="AU3833">
        <v>0</v>
      </c>
      <c r="AW3833">
        <v>0</v>
      </c>
      <c r="AX3833">
        <v>0</v>
      </c>
      <c r="AY3833">
        <v>70</v>
      </c>
      <c r="BC3833" t="str">
        <f t="shared" si="517"/>
        <v>9791137602663</v>
      </c>
      <c r="BE3833" t="str">
        <f t="shared" si="518"/>
        <v>판타지 웹소설 &gt; 퓨전 판타지</v>
      </c>
    </row>
    <row r="3834" spans="1:57" x14ac:dyDescent="0.3">
      <c r="A3834">
        <v>2313012849</v>
      </c>
      <c r="B3834">
        <v>2313013939</v>
      </c>
      <c r="C3834" t="str">
        <f>T("디버프 마스터 1091화")</f>
        <v>디버프 마스터 1091화</v>
      </c>
      <c r="D3834" t="str">
        <f>T("1091")</f>
        <v>1091</v>
      </c>
      <c r="E3834" t="str">
        <f t="shared" si="515"/>
        <v>담화공</v>
      </c>
      <c r="H3834" t="str">
        <f t="shared" si="514"/>
        <v>스토리위즈</v>
      </c>
      <c r="I3834" t="str">
        <f t="shared" si="516"/>
        <v>디버프 마스터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/>
      <c r="AQ3834">
        <v>0</v>
      </c>
      <c r="AR3834">
        <v>0</v>
      </c>
      <c r="AT3834">
        <v>0</v>
      </c>
      <c r="AU3834">
        <v>0</v>
      </c>
      <c r="AW3834">
        <v>0</v>
      </c>
      <c r="AX3834">
        <v>0</v>
      </c>
      <c r="AY3834">
        <v>70</v>
      </c>
      <c r="BC3834" t="str">
        <f t="shared" si="517"/>
        <v>9791137602663</v>
      </c>
      <c r="BE3834" t="str">
        <f t="shared" si="518"/>
        <v>판타지 웹소설 &gt; 퓨전 판타지</v>
      </c>
    </row>
    <row r="3835" spans="1:57" x14ac:dyDescent="0.3">
      <c r="A3835">
        <v>2313012849</v>
      </c>
      <c r="B3835">
        <v>2313013940</v>
      </c>
      <c r="C3835" t="str">
        <f>T("디버프 마스터 1092화")</f>
        <v>디버프 마스터 1092화</v>
      </c>
      <c r="D3835" t="str">
        <f>T("1092")</f>
        <v>1092</v>
      </c>
      <c r="E3835" t="str">
        <f t="shared" si="515"/>
        <v>담화공</v>
      </c>
      <c r="H3835" t="str">
        <f t="shared" si="514"/>
        <v>스토리위즈</v>
      </c>
      <c r="I3835" t="str">
        <f t="shared" si="516"/>
        <v>디버프 마스터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/>
      <c r="AQ3835">
        <v>0</v>
      </c>
      <c r="AR3835">
        <v>0</v>
      </c>
      <c r="AT3835">
        <v>0</v>
      </c>
      <c r="AU3835">
        <v>0</v>
      </c>
      <c r="AW3835">
        <v>0</v>
      </c>
      <c r="AX3835">
        <v>0</v>
      </c>
      <c r="AY3835">
        <v>70</v>
      </c>
      <c r="BC3835" t="str">
        <f t="shared" si="517"/>
        <v>9791137602663</v>
      </c>
      <c r="BE3835" t="str">
        <f t="shared" si="518"/>
        <v>판타지 웹소설 &gt; 퓨전 판타지</v>
      </c>
    </row>
    <row r="3836" spans="1:57" x14ac:dyDescent="0.3">
      <c r="A3836">
        <v>2313012849</v>
      </c>
      <c r="B3836">
        <v>2313013941</v>
      </c>
      <c r="C3836" t="str">
        <f>T("디버프 마스터 1093화")</f>
        <v>디버프 마스터 1093화</v>
      </c>
      <c r="D3836" t="str">
        <f>T("1093")</f>
        <v>1093</v>
      </c>
      <c r="E3836" t="str">
        <f t="shared" si="515"/>
        <v>담화공</v>
      </c>
      <c r="H3836" t="str">
        <f t="shared" si="514"/>
        <v>스토리위즈</v>
      </c>
      <c r="I3836" t="str">
        <f t="shared" si="516"/>
        <v>디버프 마스터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/>
      <c r="AQ3836">
        <v>0</v>
      </c>
      <c r="AR3836">
        <v>0</v>
      </c>
      <c r="AT3836">
        <v>0</v>
      </c>
      <c r="AU3836">
        <v>0</v>
      </c>
      <c r="AW3836">
        <v>0</v>
      </c>
      <c r="AX3836">
        <v>0</v>
      </c>
      <c r="AY3836">
        <v>70</v>
      </c>
      <c r="BC3836" t="str">
        <f t="shared" si="517"/>
        <v>9791137602663</v>
      </c>
      <c r="BE3836" t="str">
        <f t="shared" si="518"/>
        <v>판타지 웹소설 &gt; 퓨전 판타지</v>
      </c>
    </row>
    <row r="3837" spans="1:57" x14ac:dyDescent="0.3">
      <c r="A3837">
        <v>2313012849</v>
      </c>
      <c r="B3837">
        <v>2313013942</v>
      </c>
      <c r="C3837" t="str">
        <f>T("디버프 마스터 1094화")</f>
        <v>디버프 마스터 1094화</v>
      </c>
      <c r="D3837" t="str">
        <f>T("1094")</f>
        <v>1094</v>
      </c>
      <c r="E3837" t="str">
        <f t="shared" si="515"/>
        <v>담화공</v>
      </c>
      <c r="H3837" t="str">
        <f t="shared" si="514"/>
        <v>스토리위즈</v>
      </c>
      <c r="I3837" t="str">
        <f t="shared" si="516"/>
        <v>디버프 마스터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/>
      <c r="AQ3837">
        <v>0</v>
      </c>
      <c r="AR3837">
        <v>0</v>
      </c>
      <c r="AT3837">
        <v>0</v>
      </c>
      <c r="AU3837">
        <v>0</v>
      </c>
      <c r="AW3837">
        <v>0</v>
      </c>
      <c r="AX3837">
        <v>0</v>
      </c>
      <c r="AY3837">
        <v>70</v>
      </c>
      <c r="BC3837" t="str">
        <f t="shared" si="517"/>
        <v>9791137602663</v>
      </c>
      <c r="BE3837" t="str">
        <f t="shared" si="518"/>
        <v>판타지 웹소설 &gt; 퓨전 판타지</v>
      </c>
    </row>
    <row r="3838" spans="1:57" x14ac:dyDescent="0.3">
      <c r="A3838">
        <v>2313012849</v>
      </c>
      <c r="B3838">
        <v>2313013943</v>
      </c>
      <c r="C3838" t="str">
        <f>T("디버프 마스터 1095화")</f>
        <v>디버프 마스터 1095화</v>
      </c>
      <c r="D3838" t="str">
        <f>T("1095")</f>
        <v>1095</v>
      </c>
      <c r="E3838" t="str">
        <f t="shared" si="515"/>
        <v>담화공</v>
      </c>
      <c r="H3838" t="str">
        <f t="shared" si="514"/>
        <v>스토리위즈</v>
      </c>
      <c r="I3838" t="str">
        <f t="shared" si="516"/>
        <v>디버프 마스터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/>
      <c r="AQ3838">
        <v>0</v>
      </c>
      <c r="AR3838">
        <v>0</v>
      </c>
      <c r="AT3838">
        <v>0</v>
      </c>
      <c r="AU3838">
        <v>0</v>
      </c>
      <c r="AW3838">
        <v>0</v>
      </c>
      <c r="AX3838">
        <v>0</v>
      </c>
      <c r="AY3838">
        <v>70</v>
      </c>
      <c r="BC3838" t="str">
        <f t="shared" si="517"/>
        <v>9791137602663</v>
      </c>
      <c r="BE3838" t="str">
        <f t="shared" si="518"/>
        <v>판타지 웹소설 &gt; 퓨전 판타지</v>
      </c>
    </row>
    <row r="3839" spans="1:57" x14ac:dyDescent="0.3">
      <c r="A3839">
        <v>2313012849</v>
      </c>
      <c r="B3839">
        <v>2313013944</v>
      </c>
      <c r="C3839" t="str">
        <f>T("디버프 마스터 1096화")</f>
        <v>디버프 마스터 1096화</v>
      </c>
      <c r="D3839" t="str">
        <f>T("1096")</f>
        <v>1096</v>
      </c>
      <c r="E3839" t="str">
        <f t="shared" si="515"/>
        <v>담화공</v>
      </c>
      <c r="H3839" t="str">
        <f t="shared" si="514"/>
        <v>스토리위즈</v>
      </c>
      <c r="I3839" t="str">
        <f t="shared" si="516"/>
        <v>디버프 마스터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/>
      <c r="AQ3839">
        <v>0</v>
      </c>
      <c r="AR3839">
        <v>0</v>
      </c>
      <c r="AT3839">
        <v>0</v>
      </c>
      <c r="AU3839">
        <v>0</v>
      </c>
      <c r="AW3839">
        <v>0</v>
      </c>
      <c r="AX3839">
        <v>0</v>
      </c>
      <c r="AY3839">
        <v>70</v>
      </c>
      <c r="BC3839" t="str">
        <f t="shared" si="517"/>
        <v>9791137602663</v>
      </c>
      <c r="BE3839" t="str">
        <f t="shared" si="518"/>
        <v>판타지 웹소설 &gt; 퓨전 판타지</v>
      </c>
    </row>
    <row r="3840" spans="1:57" x14ac:dyDescent="0.3">
      <c r="A3840">
        <v>2313012849</v>
      </c>
      <c r="B3840">
        <v>2313013945</v>
      </c>
      <c r="C3840" t="str">
        <f>T("디버프 마스터 1097화")</f>
        <v>디버프 마스터 1097화</v>
      </c>
      <c r="D3840" t="str">
        <f>T("1097")</f>
        <v>1097</v>
      </c>
      <c r="E3840" t="str">
        <f t="shared" si="515"/>
        <v>담화공</v>
      </c>
      <c r="H3840" t="str">
        <f t="shared" si="514"/>
        <v>스토리위즈</v>
      </c>
      <c r="I3840" t="str">
        <f t="shared" si="516"/>
        <v>디버프 마스터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/>
      <c r="AQ3840">
        <v>0</v>
      </c>
      <c r="AR3840">
        <v>0</v>
      </c>
      <c r="AT3840">
        <v>0</v>
      </c>
      <c r="AU3840">
        <v>0</v>
      </c>
      <c r="AW3840">
        <v>0</v>
      </c>
      <c r="AX3840">
        <v>0</v>
      </c>
      <c r="AY3840">
        <v>70</v>
      </c>
      <c r="BC3840" t="str">
        <f t="shared" si="517"/>
        <v>9791137602663</v>
      </c>
      <c r="BE3840" t="str">
        <f t="shared" si="518"/>
        <v>판타지 웹소설 &gt; 퓨전 판타지</v>
      </c>
    </row>
    <row r="3841" spans="1:57" x14ac:dyDescent="0.3">
      <c r="A3841">
        <v>2313012849</v>
      </c>
      <c r="B3841">
        <v>2313013946</v>
      </c>
      <c r="C3841" t="str">
        <f>T("디버프 마스터 1098화")</f>
        <v>디버프 마스터 1098화</v>
      </c>
      <c r="D3841" t="str">
        <f>T("1098")</f>
        <v>1098</v>
      </c>
      <c r="E3841" t="str">
        <f t="shared" si="515"/>
        <v>담화공</v>
      </c>
      <c r="H3841" t="str">
        <f t="shared" si="514"/>
        <v>스토리위즈</v>
      </c>
      <c r="I3841" t="str">
        <f t="shared" si="516"/>
        <v>디버프 마스터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/>
      <c r="AQ3841">
        <v>0</v>
      </c>
      <c r="AR3841">
        <v>0</v>
      </c>
      <c r="AT3841">
        <v>0</v>
      </c>
      <c r="AU3841">
        <v>0</v>
      </c>
      <c r="AW3841">
        <v>0</v>
      </c>
      <c r="AX3841">
        <v>0</v>
      </c>
      <c r="AY3841">
        <v>70</v>
      </c>
      <c r="BC3841" t="str">
        <f t="shared" si="517"/>
        <v>9791137602663</v>
      </c>
      <c r="BE3841" t="str">
        <f t="shared" si="518"/>
        <v>판타지 웹소설 &gt; 퓨전 판타지</v>
      </c>
    </row>
    <row r="3842" spans="1:57" x14ac:dyDescent="0.3">
      <c r="A3842">
        <v>2313012849</v>
      </c>
      <c r="B3842">
        <v>2313013947</v>
      </c>
      <c r="C3842" t="str">
        <f>T("디버프 마스터 1099화")</f>
        <v>디버프 마스터 1099화</v>
      </c>
      <c r="D3842" t="str">
        <f>T("1099")</f>
        <v>1099</v>
      </c>
      <c r="E3842" t="str">
        <f t="shared" si="515"/>
        <v>담화공</v>
      </c>
      <c r="H3842" t="str">
        <f t="shared" si="514"/>
        <v>스토리위즈</v>
      </c>
      <c r="I3842" t="str">
        <f t="shared" si="516"/>
        <v>디버프 마스터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/>
      <c r="AQ3842">
        <v>0</v>
      </c>
      <c r="AR3842">
        <v>0</v>
      </c>
      <c r="AT3842">
        <v>0</v>
      </c>
      <c r="AU3842">
        <v>0</v>
      </c>
      <c r="AW3842">
        <v>0</v>
      </c>
      <c r="AX3842">
        <v>0</v>
      </c>
      <c r="AY3842">
        <v>70</v>
      </c>
      <c r="BC3842" t="str">
        <f t="shared" si="517"/>
        <v>9791137602663</v>
      </c>
      <c r="BE3842" t="str">
        <f t="shared" si="518"/>
        <v>판타지 웹소설 &gt; 퓨전 판타지</v>
      </c>
    </row>
    <row r="3843" spans="1:57" x14ac:dyDescent="0.3">
      <c r="A3843">
        <v>2313012849</v>
      </c>
      <c r="B3843">
        <v>2313013948</v>
      </c>
      <c r="C3843" t="str">
        <f>T("디버프 마스터 1100화")</f>
        <v>디버프 마스터 1100화</v>
      </c>
      <c r="D3843" t="str">
        <f>T("1100")</f>
        <v>1100</v>
      </c>
      <c r="E3843" t="str">
        <f t="shared" si="515"/>
        <v>담화공</v>
      </c>
      <c r="H3843" t="str">
        <f t="shared" si="514"/>
        <v>스토리위즈</v>
      </c>
      <c r="I3843" t="str">
        <f t="shared" si="516"/>
        <v>디버프 마스터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/>
      <c r="AQ3843">
        <v>0</v>
      </c>
      <c r="AR3843">
        <v>0</v>
      </c>
      <c r="AT3843">
        <v>0</v>
      </c>
      <c r="AU3843">
        <v>0</v>
      </c>
      <c r="AW3843">
        <v>0</v>
      </c>
      <c r="AX3843">
        <v>0</v>
      </c>
      <c r="AY3843">
        <v>70</v>
      </c>
      <c r="BC3843" t="str">
        <f t="shared" si="517"/>
        <v>9791137602663</v>
      </c>
      <c r="BE3843" t="str">
        <f t="shared" si="518"/>
        <v>판타지 웹소설 &gt; 퓨전 판타지</v>
      </c>
    </row>
    <row r="3844" spans="1:57" x14ac:dyDescent="0.3">
      <c r="A3844">
        <v>2313012849</v>
      </c>
      <c r="B3844">
        <v>2313013949</v>
      </c>
      <c r="C3844" t="str">
        <f>T("디버프 마스터 1101화")</f>
        <v>디버프 마스터 1101화</v>
      </c>
      <c r="D3844" t="str">
        <f>T("1101")</f>
        <v>1101</v>
      </c>
      <c r="E3844" t="str">
        <f t="shared" si="515"/>
        <v>담화공</v>
      </c>
      <c r="H3844" t="str">
        <f t="shared" si="514"/>
        <v>스토리위즈</v>
      </c>
      <c r="I3844" t="str">
        <f t="shared" si="516"/>
        <v>디버프 마스터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/>
      <c r="AQ3844">
        <v>0</v>
      </c>
      <c r="AR3844">
        <v>0</v>
      </c>
      <c r="AT3844">
        <v>0</v>
      </c>
      <c r="AU3844">
        <v>0</v>
      </c>
      <c r="AW3844">
        <v>0</v>
      </c>
      <c r="AX3844">
        <v>0</v>
      </c>
      <c r="AY3844">
        <v>70</v>
      </c>
      <c r="BC3844" t="str">
        <f t="shared" si="517"/>
        <v>9791137602663</v>
      </c>
      <c r="BE3844" t="str">
        <f t="shared" si="518"/>
        <v>판타지 웹소설 &gt; 퓨전 판타지</v>
      </c>
    </row>
    <row r="3845" spans="1:57" x14ac:dyDescent="0.3">
      <c r="A3845">
        <v>2313012849</v>
      </c>
      <c r="B3845">
        <v>2313013950</v>
      </c>
      <c r="C3845" t="str">
        <f>T("디버프 마스터 1102화")</f>
        <v>디버프 마스터 1102화</v>
      </c>
      <c r="D3845" t="str">
        <f>T("1102")</f>
        <v>1102</v>
      </c>
      <c r="E3845" t="str">
        <f t="shared" si="515"/>
        <v>담화공</v>
      </c>
      <c r="H3845" t="str">
        <f t="shared" si="514"/>
        <v>스토리위즈</v>
      </c>
      <c r="I3845" t="str">
        <f t="shared" si="516"/>
        <v>디버프 마스터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/>
      <c r="AQ3845">
        <v>0</v>
      </c>
      <c r="AR3845">
        <v>0</v>
      </c>
      <c r="AT3845">
        <v>0</v>
      </c>
      <c r="AU3845">
        <v>0</v>
      </c>
      <c r="AW3845">
        <v>0</v>
      </c>
      <c r="AX3845">
        <v>0</v>
      </c>
      <c r="AY3845">
        <v>70</v>
      </c>
      <c r="BC3845" t="str">
        <f t="shared" si="517"/>
        <v>9791137602663</v>
      </c>
      <c r="BE3845" t="str">
        <f t="shared" si="518"/>
        <v>판타지 웹소설 &gt; 퓨전 판타지</v>
      </c>
    </row>
    <row r="3846" spans="1:57" x14ac:dyDescent="0.3">
      <c r="A3846">
        <v>2313012849</v>
      </c>
      <c r="B3846">
        <v>2313013951</v>
      </c>
      <c r="C3846" t="str">
        <f>T("디버프 마스터 1103화")</f>
        <v>디버프 마스터 1103화</v>
      </c>
      <c r="D3846" t="str">
        <f>T("1103")</f>
        <v>1103</v>
      </c>
      <c r="E3846" t="str">
        <f t="shared" si="515"/>
        <v>담화공</v>
      </c>
      <c r="H3846" t="str">
        <f t="shared" si="514"/>
        <v>스토리위즈</v>
      </c>
      <c r="I3846" t="str">
        <f t="shared" si="516"/>
        <v>디버프 마스터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/>
      <c r="AQ3846">
        <v>0</v>
      </c>
      <c r="AR3846">
        <v>0</v>
      </c>
      <c r="AT3846">
        <v>0</v>
      </c>
      <c r="AU3846">
        <v>0</v>
      </c>
      <c r="AW3846">
        <v>0</v>
      </c>
      <c r="AX3846">
        <v>0</v>
      </c>
      <c r="AY3846">
        <v>70</v>
      </c>
      <c r="BC3846" t="str">
        <f t="shared" si="517"/>
        <v>9791137602663</v>
      </c>
      <c r="BE3846" t="str">
        <f t="shared" si="518"/>
        <v>판타지 웹소설 &gt; 퓨전 판타지</v>
      </c>
    </row>
    <row r="3847" spans="1:57" x14ac:dyDescent="0.3">
      <c r="A3847">
        <v>2313012849</v>
      </c>
      <c r="B3847">
        <v>2313013952</v>
      </c>
      <c r="C3847" t="str">
        <f>T("디버프 마스터 1104화")</f>
        <v>디버프 마스터 1104화</v>
      </c>
      <c r="D3847" t="str">
        <f>T("1104")</f>
        <v>1104</v>
      </c>
      <c r="E3847" t="str">
        <f t="shared" si="515"/>
        <v>담화공</v>
      </c>
      <c r="H3847" t="str">
        <f t="shared" si="514"/>
        <v>스토리위즈</v>
      </c>
      <c r="I3847" t="str">
        <f t="shared" si="516"/>
        <v>디버프 마스터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/>
      <c r="AQ3847">
        <v>0</v>
      </c>
      <c r="AR3847">
        <v>0</v>
      </c>
      <c r="AT3847">
        <v>0</v>
      </c>
      <c r="AU3847">
        <v>0</v>
      </c>
      <c r="AW3847">
        <v>0</v>
      </c>
      <c r="AX3847">
        <v>0</v>
      </c>
      <c r="AY3847">
        <v>70</v>
      </c>
      <c r="BC3847" t="str">
        <f t="shared" si="517"/>
        <v>9791137602663</v>
      </c>
      <c r="BE3847" t="str">
        <f t="shared" si="518"/>
        <v>판타지 웹소설 &gt; 퓨전 판타지</v>
      </c>
    </row>
    <row r="3848" spans="1:57" x14ac:dyDescent="0.3">
      <c r="A3848">
        <v>2313012849</v>
      </c>
      <c r="B3848">
        <v>2313013953</v>
      </c>
      <c r="C3848" t="str">
        <f>T("디버프 마스터 1105화")</f>
        <v>디버프 마스터 1105화</v>
      </c>
      <c r="D3848" t="str">
        <f>T("1105")</f>
        <v>1105</v>
      </c>
      <c r="E3848" t="str">
        <f t="shared" si="515"/>
        <v>담화공</v>
      </c>
      <c r="H3848" t="str">
        <f t="shared" si="514"/>
        <v>스토리위즈</v>
      </c>
      <c r="I3848" t="str">
        <f t="shared" si="516"/>
        <v>디버프 마스터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/>
      <c r="AQ3848">
        <v>0</v>
      </c>
      <c r="AR3848">
        <v>0</v>
      </c>
      <c r="AT3848">
        <v>0</v>
      </c>
      <c r="AU3848">
        <v>0</v>
      </c>
      <c r="AW3848">
        <v>0</v>
      </c>
      <c r="AX3848">
        <v>0</v>
      </c>
      <c r="AY3848">
        <v>70</v>
      </c>
      <c r="BC3848" t="str">
        <f t="shared" si="517"/>
        <v>9791137602663</v>
      </c>
      <c r="BE3848" t="str">
        <f t="shared" si="518"/>
        <v>판타지 웹소설 &gt; 퓨전 판타지</v>
      </c>
    </row>
    <row r="3849" spans="1:57" x14ac:dyDescent="0.3">
      <c r="A3849">
        <v>2313012849</v>
      </c>
      <c r="B3849">
        <v>2313013954</v>
      </c>
      <c r="C3849" t="str">
        <f>T("디버프 마스터 1106화")</f>
        <v>디버프 마스터 1106화</v>
      </c>
      <c r="D3849" t="str">
        <f>T("1106")</f>
        <v>1106</v>
      </c>
      <c r="E3849" t="str">
        <f t="shared" si="515"/>
        <v>담화공</v>
      </c>
      <c r="H3849" t="str">
        <f t="shared" si="514"/>
        <v>스토리위즈</v>
      </c>
      <c r="I3849" t="str">
        <f t="shared" si="516"/>
        <v>디버프 마스터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/>
      <c r="AQ3849">
        <v>0</v>
      </c>
      <c r="AR3849">
        <v>0</v>
      </c>
      <c r="AT3849">
        <v>0</v>
      </c>
      <c r="AU3849">
        <v>0</v>
      </c>
      <c r="AW3849">
        <v>0</v>
      </c>
      <c r="AX3849">
        <v>0</v>
      </c>
      <c r="AY3849">
        <v>70</v>
      </c>
      <c r="BC3849" t="str">
        <f t="shared" si="517"/>
        <v>9791137602663</v>
      </c>
      <c r="BE3849" t="str">
        <f t="shared" si="518"/>
        <v>판타지 웹소설 &gt; 퓨전 판타지</v>
      </c>
    </row>
    <row r="3850" spans="1:57" x14ac:dyDescent="0.3">
      <c r="A3850">
        <v>2313012849</v>
      </c>
      <c r="B3850">
        <v>2313013955</v>
      </c>
      <c r="C3850" t="str">
        <f>T("디버프 마스터 1107화")</f>
        <v>디버프 마스터 1107화</v>
      </c>
      <c r="D3850" t="str">
        <f>T("1107")</f>
        <v>1107</v>
      </c>
      <c r="E3850" t="str">
        <f t="shared" si="515"/>
        <v>담화공</v>
      </c>
      <c r="H3850" t="str">
        <f t="shared" si="514"/>
        <v>스토리위즈</v>
      </c>
      <c r="I3850" t="str">
        <f t="shared" si="516"/>
        <v>디버프 마스터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/>
      <c r="AQ3850">
        <v>0</v>
      </c>
      <c r="AR3850">
        <v>0</v>
      </c>
      <c r="AT3850">
        <v>0</v>
      </c>
      <c r="AU3850">
        <v>0</v>
      </c>
      <c r="AW3850">
        <v>0</v>
      </c>
      <c r="AX3850">
        <v>0</v>
      </c>
      <c r="AY3850">
        <v>70</v>
      </c>
      <c r="BC3850" t="str">
        <f t="shared" si="517"/>
        <v>9791137602663</v>
      </c>
      <c r="BE3850" t="str">
        <f t="shared" si="518"/>
        <v>판타지 웹소설 &gt; 퓨전 판타지</v>
      </c>
    </row>
    <row r="3851" spans="1:57" x14ac:dyDescent="0.3">
      <c r="A3851">
        <v>2313012849</v>
      </c>
      <c r="B3851">
        <v>2313013956</v>
      </c>
      <c r="C3851" t="str">
        <f>T("디버프 마스터 1108화")</f>
        <v>디버프 마스터 1108화</v>
      </c>
      <c r="D3851" t="str">
        <f>T("1108")</f>
        <v>1108</v>
      </c>
      <c r="E3851" t="str">
        <f t="shared" si="515"/>
        <v>담화공</v>
      </c>
      <c r="H3851" t="str">
        <f t="shared" si="514"/>
        <v>스토리위즈</v>
      </c>
      <c r="I3851" t="str">
        <f t="shared" si="516"/>
        <v>디버프 마스터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/>
      <c r="AQ3851">
        <v>0</v>
      </c>
      <c r="AR3851">
        <v>0</v>
      </c>
      <c r="AT3851">
        <v>0</v>
      </c>
      <c r="AU3851">
        <v>0</v>
      </c>
      <c r="AW3851">
        <v>0</v>
      </c>
      <c r="AX3851">
        <v>0</v>
      </c>
      <c r="AY3851">
        <v>70</v>
      </c>
      <c r="BC3851" t="str">
        <f t="shared" si="517"/>
        <v>9791137602663</v>
      </c>
      <c r="BE3851" t="str">
        <f t="shared" si="518"/>
        <v>판타지 웹소설 &gt; 퓨전 판타지</v>
      </c>
    </row>
    <row r="3852" spans="1:57" x14ac:dyDescent="0.3">
      <c r="A3852">
        <v>2313012849</v>
      </c>
      <c r="B3852">
        <v>2313013957</v>
      </c>
      <c r="C3852" t="str">
        <f>T("디버프 마스터 1109화")</f>
        <v>디버프 마스터 1109화</v>
      </c>
      <c r="D3852" t="str">
        <f>T("1109")</f>
        <v>1109</v>
      </c>
      <c r="E3852" t="str">
        <f t="shared" si="515"/>
        <v>담화공</v>
      </c>
      <c r="H3852" t="str">
        <f t="shared" si="514"/>
        <v>스토리위즈</v>
      </c>
      <c r="I3852" t="str">
        <f t="shared" si="516"/>
        <v>디버프 마스터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/>
      <c r="AQ3852">
        <v>0</v>
      </c>
      <c r="AR3852">
        <v>0</v>
      </c>
      <c r="AT3852">
        <v>0</v>
      </c>
      <c r="AU3852">
        <v>0</v>
      </c>
      <c r="AW3852">
        <v>0</v>
      </c>
      <c r="AX3852">
        <v>0</v>
      </c>
      <c r="AY3852">
        <v>70</v>
      </c>
      <c r="BC3852" t="str">
        <f t="shared" si="517"/>
        <v>9791137602663</v>
      </c>
      <c r="BE3852" t="str">
        <f t="shared" si="518"/>
        <v>판타지 웹소설 &gt; 퓨전 판타지</v>
      </c>
    </row>
    <row r="3853" spans="1:57" x14ac:dyDescent="0.3">
      <c r="A3853">
        <v>2313012849</v>
      </c>
      <c r="B3853">
        <v>2313013958</v>
      </c>
      <c r="C3853" t="str">
        <f>T("디버프 마스터 1110화")</f>
        <v>디버프 마스터 1110화</v>
      </c>
      <c r="D3853" t="str">
        <f>T("1110")</f>
        <v>1110</v>
      </c>
      <c r="E3853" t="str">
        <f t="shared" si="515"/>
        <v>담화공</v>
      </c>
      <c r="H3853" t="str">
        <f t="shared" si="514"/>
        <v>스토리위즈</v>
      </c>
      <c r="I3853" t="str">
        <f t="shared" si="516"/>
        <v>디버프 마스터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/>
      <c r="AQ3853">
        <v>0</v>
      </c>
      <c r="AR3853">
        <v>0</v>
      </c>
      <c r="AT3853">
        <v>0</v>
      </c>
      <c r="AU3853">
        <v>0</v>
      </c>
      <c r="AW3853">
        <v>0</v>
      </c>
      <c r="AX3853">
        <v>0</v>
      </c>
      <c r="AY3853">
        <v>70</v>
      </c>
      <c r="BC3853" t="str">
        <f t="shared" si="517"/>
        <v>9791137602663</v>
      </c>
      <c r="BE3853" t="str">
        <f t="shared" si="518"/>
        <v>판타지 웹소설 &gt; 퓨전 판타지</v>
      </c>
    </row>
    <row r="3854" spans="1:57" x14ac:dyDescent="0.3">
      <c r="A3854">
        <v>2313012849</v>
      </c>
      <c r="B3854">
        <v>2313013959</v>
      </c>
      <c r="C3854" t="str">
        <f>T("디버프 마스터 1111화")</f>
        <v>디버프 마스터 1111화</v>
      </c>
      <c r="D3854" t="str">
        <f>T("1111")</f>
        <v>1111</v>
      </c>
      <c r="E3854" t="str">
        <f t="shared" si="515"/>
        <v>담화공</v>
      </c>
      <c r="H3854" t="str">
        <f t="shared" si="514"/>
        <v>스토리위즈</v>
      </c>
      <c r="I3854" t="str">
        <f t="shared" si="516"/>
        <v>디버프 마스터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/>
      <c r="AQ3854">
        <v>0</v>
      </c>
      <c r="AR3854">
        <v>0</v>
      </c>
      <c r="AT3854">
        <v>0</v>
      </c>
      <c r="AU3854">
        <v>0</v>
      </c>
      <c r="AW3854">
        <v>0</v>
      </c>
      <c r="AX3854">
        <v>0</v>
      </c>
      <c r="AY3854">
        <v>70</v>
      </c>
      <c r="BC3854" t="str">
        <f t="shared" si="517"/>
        <v>9791137602663</v>
      </c>
      <c r="BE3854" t="str">
        <f t="shared" si="518"/>
        <v>판타지 웹소설 &gt; 퓨전 판타지</v>
      </c>
    </row>
    <row r="3855" spans="1:57" x14ac:dyDescent="0.3">
      <c r="A3855">
        <v>2313012849</v>
      </c>
      <c r="B3855">
        <v>2313013960</v>
      </c>
      <c r="C3855" t="str">
        <f>T("디버프 마스터 1112화")</f>
        <v>디버프 마스터 1112화</v>
      </c>
      <c r="D3855" t="str">
        <f>T("1112")</f>
        <v>1112</v>
      </c>
      <c r="E3855" t="str">
        <f t="shared" si="515"/>
        <v>담화공</v>
      </c>
      <c r="H3855" t="str">
        <f t="shared" si="514"/>
        <v>스토리위즈</v>
      </c>
      <c r="I3855" t="str">
        <f t="shared" si="516"/>
        <v>디버프 마스터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/>
      <c r="AQ3855">
        <v>0</v>
      </c>
      <c r="AR3855">
        <v>0</v>
      </c>
      <c r="AT3855">
        <v>0</v>
      </c>
      <c r="AU3855">
        <v>0</v>
      </c>
      <c r="AW3855">
        <v>0</v>
      </c>
      <c r="AX3855">
        <v>0</v>
      </c>
      <c r="AY3855">
        <v>70</v>
      </c>
      <c r="BC3855" t="str">
        <f t="shared" si="517"/>
        <v>9791137602663</v>
      </c>
      <c r="BE3855" t="str">
        <f t="shared" si="518"/>
        <v>판타지 웹소설 &gt; 퓨전 판타지</v>
      </c>
    </row>
    <row r="3856" spans="1:57" x14ac:dyDescent="0.3">
      <c r="A3856">
        <v>2313012849</v>
      </c>
      <c r="B3856">
        <v>2313013961</v>
      </c>
      <c r="C3856" t="str">
        <f>T("디버프 마스터 1113화")</f>
        <v>디버프 마스터 1113화</v>
      </c>
      <c r="D3856" t="str">
        <f>T("1113")</f>
        <v>1113</v>
      </c>
      <c r="E3856" t="str">
        <f t="shared" si="515"/>
        <v>담화공</v>
      </c>
      <c r="H3856" t="str">
        <f t="shared" si="514"/>
        <v>스토리위즈</v>
      </c>
      <c r="I3856" t="str">
        <f t="shared" si="516"/>
        <v>디버프 마스터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/>
      <c r="AQ3856">
        <v>0</v>
      </c>
      <c r="AR3856">
        <v>0</v>
      </c>
      <c r="AT3856">
        <v>0</v>
      </c>
      <c r="AU3856">
        <v>0</v>
      </c>
      <c r="AW3856">
        <v>0</v>
      </c>
      <c r="AX3856">
        <v>0</v>
      </c>
      <c r="AY3856">
        <v>70</v>
      </c>
      <c r="BC3856" t="str">
        <f t="shared" si="517"/>
        <v>9791137602663</v>
      </c>
      <c r="BE3856" t="str">
        <f t="shared" si="518"/>
        <v>판타지 웹소설 &gt; 퓨전 판타지</v>
      </c>
    </row>
    <row r="3857" spans="1:57" x14ac:dyDescent="0.3">
      <c r="A3857">
        <v>2313012849</v>
      </c>
      <c r="B3857">
        <v>2313013962</v>
      </c>
      <c r="C3857" t="str">
        <f>T("디버프 마스터 1114화")</f>
        <v>디버프 마스터 1114화</v>
      </c>
      <c r="D3857" t="str">
        <f>T("1114")</f>
        <v>1114</v>
      </c>
      <c r="E3857" t="str">
        <f t="shared" si="515"/>
        <v>담화공</v>
      </c>
      <c r="H3857" t="str">
        <f t="shared" si="514"/>
        <v>스토리위즈</v>
      </c>
      <c r="I3857" t="str">
        <f t="shared" si="516"/>
        <v>디버프 마스터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/>
      <c r="AQ3857">
        <v>0</v>
      </c>
      <c r="AR3857">
        <v>0</v>
      </c>
      <c r="AT3857">
        <v>0</v>
      </c>
      <c r="AU3857">
        <v>0</v>
      </c>
      <c r="AW3857">
        <v>0</v>
      </c>
      <c r="AX3857">
        <v>0</v>
      </c>
      <c r="AY3857">
        <v>70</v>
      </c>
      <c r="BC3857" t="str">
        <f t="shared" si="517"/>
        <v>9791137602663</v>
      </c>
      <c r="BE3857" t="str">
        <f t="shared" si="518"/>
        <v>판타지 웹소설 &gt; 퓨전 판타지</v>
      </c>
    </row>
    <row r="3858" spans="1:57" x14ac:dyDescent="0.3">
      <c r="A3858">
        <v>2313012849</v>
      </c>
      <c r="B3858">
        <v>2313013963</v>
      </c>
      <c r="C3858" t="str">
        <f>T("디버프 마스터 1115화")</f>
        <v>디버프 마스터 1115화</v>
      </c>
      <c r="D3858" t="str">
        <f>T("1115")</f>
        <v>1115</v>
      </c>
      <c r="E3858" t="str">
        <f t="shared" si="515"/>
        <v>담화공</v>
      </c>
      <c r="H3858" t="str">
        <f t="shared" si="514"/>
        <v>스토리위즈</v>
      </c>
      <c r="I3858" t="str">
        <f t="shared" si="516"/>
        <v>디버프 마스터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/>
      <c r="AQ3858">
        <v>0</v>
      </c>
      <c r="AR3858">
        <v>0</v>
      </c>
      <c r="AT3858">
        <v>0</v>
      </c>
      <c r="AU3858">
        <v>0</v>
      </c>
      <c r="AW3858">
        <v>0</v>
      </c>
      <c r="AX3858">
        <v>0</v>
      </c>
      <c r="AY3858">
        <v>70</v>
      </c>
      <c r="BC3858" t="str">
        <f t="shared" si="517"/>
        <v>9791137602663</v>
      </c>
      <c r="BE3858" t="str">
        <f t="shared" si="518"/>
        <v>판타지 웹소설 &gt; 퓨전 판타지</v>
      </c>
    </row>
    <row r="3859" spans="1:57" x14ac:dyDescent="0.3">
      <c r="A3859">
        <v>2313012849</v>
      </c>
      <c r="B3859">
        <v>2313013964</v>
      </c>
      <c r="C3859" t="str">
        <f>T("디버프 마스터 1116화")</f>
        <v>디버프 마스터 1116화</v>
      </c>
      <c r="D3859" t="str">
        <f>T("1116")</f>
        <v>1116</v>
      </c>
      <c r="E3859" t="str">
        <f t="shared" si="515"/>
        <v>담화공</v>
      </c>
      <c r="H3859" t="str">
        <f t="shared" si="514"/>
        <v>스토리위즈</v>
      </c>
      <c r="I3859" t="str">
        <f t="shared" si="516"/>
        <v>디버프 마스터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/>
      <c r="AQ3859">
        <v>0</v>
      </c>
      <c r="AR3859">
        <v>0</v>
      </c>
      <c r="AT3859">
        <v>0</v>
      </c>
      <c r="AU3859">
        <v>0</v>
      </c>
      <c r="AW3859">
        <v>0</v>
      </c>
      <c r="AX3859">
        <v>0</v>
      </c>
      <c r="AY3859">
        <v>70</v>
      </c>
      <c r="BC3859" t="str">
        <f t="shared" si="517"/>
        <v>9791137602663</v>
      </c>
      <c r="BE3859" t="str">
        <f t="shared" si="518"/>
        <v>판타지 웹소설 &gt; 퓨전 판타지</v>
      </c>
    </row>
    <row r="3860" spans="1:57" x14ac:dyDescent="0.3">
      <c r="A3860">
        <v>2313012849</v>
      </c>
      <c r="B3860">
        <v>2313013965</v>
      </c>
      <c r="C3860" t="str">
        <f>T("디버프 마스터 1117화")</f>
        <v>디버프 마스터 1117화</v>
      </c>
      <c r="D3860" t="str">
        <f>T("1117")</f>
        <v>1117</v>
      </c>
      <c r="E3860" t="str">
        <f t="shared" si="515"/>
        <v>담화공</v>
      </c>
      <c r="H3860" t="str">
        <f t="shared" si="514"/>
        <v>스토리위즈</v>
      </c>
      <c r="I3860" t="str">
        <f t="shared" si="516"/>
        <v>디버프 마스터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/>
      <c r="AQ3860">
        <v>0</v>
      </c>
      <c r="AR3860">
        <v>0</v>
      </c>
      <c r="AT3860">
        <v>0</v>
      </c>
      <c r="AU3860">
        <v>0</v>
      </c>
      <c r="AW3860">
        <v>0</v>
      </c>
      <c r="AX3860">
        <v>0</v>
      </c>
      <c r="AY3860">
        <v>70</v>
      </c>
      <c r="BC3860" t="str">
        <f t="shared" si="517"/>
        <v>9791137602663</v>
      </c>
      <c r="BE3860" t="str">
        <f t="shared" si="518"/>
        <v>판타지 웹소설 &gt; 퓨전 판타지</v>
      </c>
    </row>
    <row r="3861" spans="1:57" x14ac:dyDescent="0.3">
      <c r="A3861">
        <v>2313012849</v>
      </c>
      <c r="B3861">
        <v>2313013966</v>
      </c>
      <c r="C3861" t="str">
        <f>T("디버프 마스터 1118화")</f>
        <v>디버프 마스터 1118화</v>
      </c>
      <c r="D3861" t="str">
        <f>T("1118")</f>
        <v>1118</v>
      </c>
      <c r="E3861" t="str">
        <f t="shared" si="515"/>
        <v>담화공</v>
      </c>
      <c r="H3861" t="str">
        <f t="shared" si="514"/>
        <v>스토리위즈</v>
      </c>
      <c r="I3861" t="str">
        <f t="shared" si="516"/>
        <v>디버프 마스터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/>
      <c r="AQ3861">
        <v>0</v>
      </c>
      <c r="AR3861">
        <v>0</v>
      </c>
      <c r="AT3861">
        <v>0</v>
      </c>
      <c r="AU3861">
        <v>0</v>
      </c>
      <c r="AW3861">
        <v>0</v>
      </c>
      <c r="AX3861">
        <v>0</v>
      </c>
      <c r="AY3861">
        <v>70</v>
      </c>
      <c r="BC3861" t="str">
        <f t="shared" si="517"/>
        <v>9791137602663</v>
      </c>
      <c r="BE3861" t="str">
        <f t="shared" si="518"/>
        <v>판타지 웹소설 &gt; 퓨전 판타지</v>
      </c>
    </row>
    <row r="3862" spans="1:57" x14ac:dyDescent="0.3">
      <c r="A3862">
        <v>2313012849</v>
      </c>
      <c r="B3862">
        <v>2313013967</v>
      </c>
      <c r="C3862" t="str">
        <f>T("디버프 마스터 1119화")</f>
        <v>디버프 마스터 1119화</v>
      </c>
      <c r="D3862" t="str">
        <f>T("1119")</f>
        <v>1119</v>
      </c>
      <c r="E3862" t="str">
        <f t="shared" si="515"/>
        <v>담화공</v>
      </c>
      <c r="H3862" t="str">
        <f t="shared" si="514"/>
        <v>스토리위즈</v>
      </c>
      <c r="I3862" t="str">
        <f t="shared" si="516"/>
        <v>디버프 마스터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/>
      <c r="AQ3862">
        <v>0</v>
      </c>
      <c r="AR3862">
        <v>0</v>
      </c>
      <c r="AT3862">
        <v>0</v>
      </c>
      <c r="AU3862">
        <v>0</v>
      </c>
      <c r="AW3862">
        <v>0</v>
      </c>
      <c r="AX3862">
        <v>0</v>
      </c>
      <c r="AY3862">
        <v>70</v>
      </c>
      <c r="BC3862" t="str">
        <f t="shared" si="517"/>
        <v>9791137602663</v>
      </c>
      <c r="BE3862" t="str">
        <f t="shared" si="518"/>
        <v>판타지 웹소설 &gt; 퓨전 판타지</v>
      </c>
    </row>
    <row r="3863" spans="1:57" x14ac:dyDescent="0.3">
      <c r="A3863">
        <v>2313012849</v>
      </c>
      <c r="B3863">
        <v>2313013968</v>
      </c>
      <c r="C3863" t="str">
        <f>T("디버프 마스터 1120화")</f>
        <v>디버프 마스터 1120화</v>
      </c>
      <c r="D3863" t="str">
        <f>T("1120")</f>
        <v>1120</v>
      </c>
      <c r="E3863" t="str">
        <f t="shared" si="515"/>
        <v>담화공</v>
      </c>
      <c r="H3863" t="str">
        <f t="shared" ref="H3863:H3915" si="519">T("스토리위즈")</f>
        <v>스토리위즈</v>
      </c>
      <c r="I3863" t="str">
        <f t="shared" si="516"/>
        <v>디버프 마스터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/>
      <c r="AQ3863">
        <v>0</v>
      </c>
      <c r="AR3863">
        <v>0</v>
      </c>
      <c r="AT3863">
        <v>0</v>
      </c>
      <c r="AU3863">
        <v>0</v>
      </c>
      <c r="AW3863">
        <v>0</v>
      </c>
      <c r="AX3863">
        <v>0</v>
      </c>
      <c r="AY3863">
        <v>70</v>
      </c>
      <c r="BC3863" t="str">
        <f t="shared" si="517"/>
        <v>9791137602663</v>
      </c>
      <c r="BE3863" t="str">
        <f t="shared" si="518"/>
        <v>판타지 웹소설 &gt; 퓨전 판타지</v>
      </c>
    </row>
    <row r="3864" spans="1:57" x14ac:dyDescent="0.3">
      <c r="A3864">
        <v>2313012849</v>
      </c>
      <c r="B3864">
        <v>2313013969</v>
      </c>
      <c r="C3864" t="str">
        <f>T("디버프 마스터 1121화")</f>
        <v>디버프 마스터 1121화</v>
      </c>
      <c r="D3864" t="str">
        <f>T("1121")</f>
        <v>1121</v>
      </c>
      <c r="E3864" t="str">
        <f t="shared" si="515"/>
        <v>담화공</v>
      </c>
      <c r="H3864" t="str">
        <f t="shared" si="519"/>
        <v>스토리위즈</v>
      </c>
      <c r="I3864" t="str">
        <f t="shared" si="516"/>
        <v>디버프 마스터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/>
      <c r="AQ3864">
        <v>0</v>
      </c>
      <c r="AR3864">
        <v>0</v>
      </c>
      <c r="AT3864">
        <v>0</v>
      </c>
      <c r="AU3864">
        <v>0</v>
      </c>
      <c r="AW3864">
        <v>0</v>
      </c>
      <c r="AX3864">
        <v>0</v>
      </c>
      <c r="AY3864">
        <v>70</v>
      </c>
      <c r="BC3864" t="str">
        <f t="shared" si="517"/>
        <v>9791137602663</v>
      </c>
      <c r="BE3864" t="str">
        <f t="shared" si="518"/>
        <v>판타지 웹소설 &gt; 퓨전 판타지</v>
      </c>
    </row>
    <row r="3865" spans="1:57" x14ac:dyDescent="0.3">
      <c r="A3865">
        <v>2313012849</v>
      </c>
      <c r="B3865">
        <v>2313013970</v>
      </c>
      <c r="C3865" t="str">
        <f>T("디버프 마스터 1122화")</f>
        <v>디버프 마스터 1122화</v>
      </c>
      <c r="D3865" t="str">
        <f>T("1122")</f>
        <v>1122</v>
      </c>
      <c r="E3865" t="str">
        <f t="shared" si="515"/>
        <v>담화공</v>
      </c>
      <c r="H3865" t="str">
        <f t="shared" si="519"/>
        <v>스토리위즈</v>
      </c>
      <c r="I3865" t="str">
        <f t="shared" si="516"/>
        <v>디버프 마스터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/>
      <c r="AQ3865">
        <v>0</v>
      </c>
      <c r="AR3865">
        <v>0</v>
      </c>
      <c r="AT3865">
        <v>0</v>
      </c>
      <c r="AU3865">
        <v>0</v>
      </c>
      <c r="AW3865">
        <v>0</v>
      </c>
      <c r="AX3865">
        <v>0</v>
      </c>
      <c r="AY3865">
        <v>70</v>
      </c>
      <c r="BC3865" t="str">
        <f t="shared" si="517"/>
        <v>9791137602663</v>
      </c>
      <c r="BE3865" t="str">
        <f t="shared" si="518"/>
        <v>판타지 웹소설 &gt; 퓨전 판타지</v>
      </c>
    </row>
    <row r="3866" spans="1:57" x14ac:dyDescent="0.3">
      <c r="A3866">
        <v>2313012849</v>
      </c>
      <c r="B3866">
        <v>2313013971</v>
      </c>
      <c r="C3866" t="str">
        <f>T("디버프 마스터 1123화")</f>
        <v>디버프 마스터 1123화</v>
      </c>
      <c r="D3866" t="str">
        <f>T("1123")</f>
        <v>1123</v>
      </c>
      <c r="E3866" t="str">
        <f t="shared" si="515"/>
        <v>담화공</v>
      </c>
      <c r="H3866" t="str">
        <f t="shared" si="519"/>
        <v>스토리위즈</v>
      </c>
      <c r="I3866" t="str">
        <f t="shared" si="516"/>
        <v>디버프 마스터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/>
      <c r="AQ3866">
        <v>0</v>
      </c>
      <c r="AR3866">
        <v>0</v>
      </c>
      <c r="AT3866">
        <v>0</v>
      </c>
      <c r="AU3866">
        <v>0</v>
      </c>
      <c r="AW3866">
        <v>0</v>
      </c>
      <c r="AX3866">
        <v>0</v>
      </c>
      <c r="AY3866">
        <v>70</v>
      </c>
      <c r="BC3866" t="str">
        <f t="shared" si="517"/>
        <v>9791137602663</v>
      </c>
      <c r="BE3866" t="str">
        <f t="shared" si="518"/>
        <v>판타지 웹소설 &gt; 퓨전 판타지</v>
      </c>
    </row>
    <row r="3867" spans="1:57" x14ac:dyDescent="0.3">
      <c r="A3867">
        <v>2313012849</v>
      </c>
      <c r="B3867">
        <v>2313013972</v>
      </c>
      <c r="C3867" t="str">
        <f>T("디버프 마스터 1124화")</f>
        <v>디버프 마스터 1124화</v>
      </c>
      <c r="D3867" t="str">
        <f>T("1124")</f>
        <v>1124</v>
      </c>
      <c r="E3867" t="str">
        <f t="shared" si="515"/>
        <v>담화공</v>
      </c>
      <c r="H3867" t="str">
        <f t="shared" si="519"/>
        <v>스토리위즈</v>
      </c>
      <c r="I3867" t="str">
        <f t="shared" si="516"/>
        <v>디버프 마스터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/>
      <c r="AQ3867">
        <v>0</v>
      </c>
      <c r="AR3867">
        <v>0</v>
      </c>
      <c r="AT3867">
        <v>0</v>
      </c>
      <c r="AU3867">
        <v>0</v>
      </c>
      <c r="AW3867">
        <v>0</v>
      </c>
      <c r="AX3867">
        <v>0</v>
      </c>
      <c r="AY3867">
        <v>70</v>
      </c>
      <c r="BC3867" t="str">
        <f t="shared" si="517"/>
        <v>9791137602663</v>
      </c>
      <c r="BE3867" t="str">
        <f t="shared" si="518"/>
        <v>판타지 웹소설 &gt; 퓨전 판타지</v>
      </c>
    </row>
    <row r="3868" spans="1:57" x14ac:dyDescent="0.3">
      <c r="A3868">
        <v>2313012849</v>
      </c>
      <c r="B3868">
        <v>2313013973</v>
      </c>
      <c r="C3868" t="str">
        <f>T("디버프 마스터 1125화")</f>
        <v>디버프 마스터 1125화</v>
      </c>
      <c r="D3868" t="str">
        <f>T("1125")</f>
        <v>1125</v>
      </c>
      <c r="E3868" t="str">
        <f t="shared" si="515"/>
        <v>담화공</v>
      </c>
      <c r="H3868" t="str">
        <f t="shared" si="519"/>
        <v>스토리위즈</v>
      </c>
      <c r="I3868" t="str">
        <f t="shared" si="516"/>
        <v>디버프 마스터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/>
      <c r="AQ3868">
        <v>0</v>
      </c>
      <c r="AR3868">
        <v>0</v>
      </c>
      <c r="AT3868">
        <v>0</v>
      </c>
      <c r="AU3868">
        <v>0</v>
      </c>
      <c r="AW3868">
        <v>0</v>
      </c>
      <c r="AX3868">
        <v>0</v>
      </c>
      <c r="AY3868">
        <v>70</v>
      </c>
      <c r="BC3868" t="str">
        <f t="shared" si="517"/>
        <v>9791137602663</v>
      </c>
      <c r="BE3868" t="str">
        <f t="shared" si="518"/>
        <v>판타지 웹소설 &gt; 퓨전 판타지</v>
      </c>
    </row>
    <row r="3869" spans="1:57" x14ac:dyDescent="0.3">
      <c r="A3869">
        <v>2313012849</v>
      </c>
      <c r="B3869">
        <v>2313013974</v>
      </c>
      <c r="C3869" t="str">
        <f>T("디버프 마스터 1126화")</f>
        <v>디버프 마스터 1126화</v>
      </c>
      <c r="D3869" t="str">
        <f>T("1126")</f>
        <v>1126</v>
      </c>
      <c r="E3869" t="str">
        <f t="shared" ref="E3869:E3910" si="520">T("담화공")</f>
        <v>담화공</v>
      </c>
      <c r="H3869" t="str">
        <f t="shared" si="519"/>
        <v>스토리위즈</v>
      </c>
      <c r="I3869" t="str">
        <f t="shared" ref="I3869:I3910" si="521">T("디버프 마스터")</f>
        <v>디버프 마스터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/>
      <c r="AQ3869">
        <v>0</v>
      </c>
      <c r="AR3869">
        <v>0</v>
      </c>
      <c r="AT3869">
        <v>0</v>
      </c>
      <c r="AU3869">
        <v>0</v>
      </c>
      <c r="AW3869">
        <v>0</v>
      </c>
      <c r="AX3869">
        <v>0</v>
      </c>
      <c r="AY3869">
        <v>70</v>
      </c>
      <c r="BC3869" t="str">
        <f t="shared" ref="BC3869:BC3910" si="522">T("9791137602663")</f>
        <v>9791137602663</v>
      </c>
      <c r="BE3869" t="str">
        <f t="shared" ref="BE3869:BE3910" si="523">T("판타지 웹소설 &gt; 퓨전 판타지")</f>
        <v>판타지 웹소설 &gt; 퓨전 판타지</v>
      </c>
    </row>
    <row r="3870" spans="1:57" x14ac:dyDescent="0.3">
      <c r="A3870">
        <v>2313012849</v>
      </c>
      <c r="B3870">
        <v>2313013975</v>
      </c>
      <c r="C3870" t="str">
        <f>T("디버프 마스터 1127화")</f>
        <v>디버프 마스터 1127화</v>
      </c>
      <c r="D3870" t="str">
        <f>T("1127")</f>
        <v>1127</v>
      </c>
      <c r="E3870" t="str">
        <f t="shared" si="520"/>
        <v>담화공</v>
      </c>
      <c r="H3870" t="str">
        <f t="shared" si="519"/>
        <v>스토리위즈</v>
      </c>
      <c r="I3870" t="str">
        <f t="shared" si="521"/>
        <v>디버프 마스터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/>
      <c r="AQ3870">
        <v>0</v>
      </c>
      <c r="AR3870">
        <v>0</v>
      </c>
      <c r="AT3870">
        <v>0</v>
      </c>
      <c r="AU3870">
        <v>0</v>
      </c>
      <c r="AW3870">
        <v>0</v>
      </c>
      <c r="AX3870">
        <v>0</v>
      </c>
      <c r="AY3870">
        <v>70</v>
      </c>
      <c r="BC3870" t="str">
        <f t="shared" si="522"/>
        <v>9791137602663</v>
      </c>
      <c r="BE3870" t="str">
        <f t="shared" si="523"/>
        <v>판타지 웹소설 &gt; 퓨전 판타지</v>
      </c>
    </row>
    <row r="3871" spans="1:57" x14ac:dyDescent="0.3">
      <c r="A3871">
        <v>2313012849</v>
      </c>
      <c r="B3871">
        <v>2313013976</v>
      </c>
      <c r="C3871" t="str">
        <f>T("디버프 마스터 1128화")</f>
        <v>디버프 마스터 1128화</v>
      </c>
      <c r="D3871" t="str">
        <f>T("1128")</f>
        <v>1128</v>
      </c>
      <c r="E3871" t="str">
        <f t="shared" si="520"/>
        <v>담화공</v>
      </c>
      <c r="H3871" t="str">
        <f t="shared" si="519"/>
        <v>스토리위즈</v>
      </c>
      <c r="I3871" t="str">
        <f t="shared" si="521"/>
        <v>디버프 마스터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/>
      <c r="AQ3871">
        <v>0</v>
      </c>
      <c r="AR3871">
        <v>0</v>
      </c>
      <c r="AT3871">
        <v>0</v>
      </c>
      <c r="AU3871">
        <v>0</v>
      </c>
      <c r="AW3871">
        <v>0</v>
      </c>
      <c r="AX3871">
        <v>0</v>
      </c>
      <c r="AY3871">
        <v>70</v>
      </c>
      <c r="BC3871" t="str">
        <f t="shared" si="522"/>
        <v>9791137602663</v>
      </c>
      <c r="BE3871" t="str">
        <f t="shared" si="523"/>
        <v>판타지 웹소설 &gt; 퓨전 판타지</v>
      </c>
    </row>
    <row r="3872" spans="1:57" x14ac:dyDescent="0.3">
      <c r="A3872">
        <v>2313012849</v>
      </c>
      <c r="B3872">
        <v>2313013977</v>
      </c>
      <c r="C3872" t="str">
        <f>T("디버프 마스터 1129화")</f>
        <v>디버프 마스터 1129화</v>
      </c>
      <c r="D3872" t="str">
        <f>T("1129")</f>
        <v>1129</v>
      </c>
      <c r="E3872" t="str">
        <f t="shared" si="520"/>
        <v>담화공</v>
      </c>
      <c r="H3872" t="str">
        <f t="shared" si="519"/>
        <v>스토리위즈</v>
      </c>
      <c r="I3872" t="str">
        <f t="shared" si="521"/>
        <v>디버프 마스터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/>
      <c r="AQ3872">
        <v>0</v>
      </c>
      <c r="AR3872">
        <v>0</v>
      </c>
      <c r="AT3872">
        <v>0</v>
      </c>
      <c r="AU3872">
        <v>0</v>
      </c>
      <c r="AW3872">
        <v>0</v>
      </c>
      <c r="AX3872">
        <v>0</v>
      </c>
      <c r="AY3872">
        <v>70</v>
      </c>
      <c r="BC3872" t="str">
        <f t="shared" si="522"/>
        <v>9791137602663</v>
      </c>
      <c r="BE3872" t="str">
        <f t="shared" si="523"/>
        <v>판타지 웹소설 &gt; 퓨전 판타지</v>
      </c>
    </row>
    <row r="3873" spans="1:57" x14ac:dyDescent="0.3">
      <c r="A3873">
        <v>2313012849</v>
      </c>
      <c r="B3873">
        <v>2313013978</v>
      </c>
      <c r="C3873" t="str">
        <f>T("디버프 마스터 1130화")</f>
        <v>디버프 마스터 1130화</v>
      </c>
      <c r="D3873" t="str">
        <f>T("1130")</f>
        <v>1130</v>
      </c>
      <c r="E3873" t="str">
        <f t="shared" si="520"/>
        <v>담화공</v>
      </c>
      <c r="H3873" t="str">
        <f t="shared" si="519"/>
        <v>스토리위즈</v>
      </c>
      <c r="I3873" t="str">
        <f t="shared" si="521"/>
        <v>디버프 마스터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/>
      <c r="AQ3873">
        <v>0</v>
      </c>
      <c r="AR3873">
        <v>0</v>
      </c>
      <c r="AT3873">
        <v>0</v>
      </c>
      <c r="AU3873">
        <v>0</v>
      </c>
      <c r="AW3873">
        <v>0</v>
      </c>
      <c r="AX3873">
        <v>0</v>
      </c>
      <c r="AY3873">
        <v>70</v>
      </c>
      <c r="BC3873" t="str">
        <f t="shared" si="522"/>
        <v>9791137602663</v>
      </c>
      <c r="BE3873" t="str">
        <f t="shared" si="523"/>
        <v>판타지 웹소설 &gt; 퓨전 판타지</v>
      </c>
    </row>
    <row r="3874" spans="1:57" x14ac:dyDescent="0.3">
      <c r="A3874">
        <v>2313012849</v>
      </c>
      <c r="B3874">
        <v>2313013979</v>
      </c>
      <c r="C3874" t="str">
        <f>T("디버프 마스터 1131화")</f>
        <v>디버프 마스터 1131화</v>
      </c>
      <c r="D3874" t="str">
        <f>T("1131")</f>
        <v>1131</v>
      </c>
      <c r="E3874" t="str">
        <f t="shared" si="520"/>
        <v>담화공</v>
      </c>
      <c r="H3874" t="str">
        <f t="shared" si="519"/>
        <v>스토리위즈</v>
      </c>
      <c r="I3874" t="str">
        <f t="shared" si="521"/>
        <v>디버프 마스터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/>
      <c r="AQ3874">
        <v>0</v>
      </c>
      <c r="AR3874">
        <v>0</v>
      </c>
      <c r="AT3874">
        <v>0</v>
      </c>
      <c r="AU3874">
        <v>0</v>
      </c>
      <c r="AW3874">
        <v>0</v>
      </c>
      <c r="AX3874">
        <v>0</v>
      </c>
      <c r="AY3874">
        <v>70</v>
      </c>
      <c r="BC3874" t="str">
        <f t="shared" si="522"/>
        <v>9791137602663</v>
      </c>
      <c r="BE3874" t="str">
        <f t="shared" si="523"/>
        <v>판타지 웹소설 &gt; 퓨전 판타지</v>
      </c>
    </row>
    <row r="3875" spans="1:57" x14ac:dyDescent="0.3">
      <c r="A3875">
        <v>2313012849</v>
      </c>
      <c r="B3875">
        <v>2313013980</v>
      </c>
      <c r="C3875" t="str">
        <f>T("디버프 마스터 1132화")</f>
        <v>디버프 마스터 1132화</v>
      </c>
      <c r="D3875" t="str">
        <f>T("1132")</f>
        <v>1132</v>
      </c>
      <c r="E3875" t="str">
        <f t="shared" si="520"/>
        <v>담화공</v>
      </c>
      <c r="H3875" t="str">
        <f t="shared" si="519"/>
        <v>스토리위즈</v>
      </c>
      <c r="I3875" t="str">
        <f t="shared" si="521"/>
        <v>디버프 마스터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/>
      <c r="AQ3875">
        <v>0</v>
      </c>
      <c r="AR3875">
        <v>0</v>
      </c>
      <c r="AT3875">
        <v>0</v>
      </c>
      <c r="AU3875">
        <v>0</v>
      </c>
      <c r="AW3875">
        <v>0</v>
      </c>
      <c r="AX3875">
        <v>0</v>
      </c>
      <c r="AY3875">
        <v>70</v>
      </c>
      <c r="BC3875" t="str">
        <f t="shared" si="522"/>
        <v>9791137602663</v>
      </c>
      <c r="BE3875" t="str">
        <f t="shared" si="523"/>
        <v>판타지 웹소설 &gt; 퓨전 판타지</v>
      </c>
    </row>
    <row r="3876" spans="1:57" x14ac:dyDescent="0.3">
      <c r="A3876">
        <v>2313012849</v>
      </c>
      <c r="B3876">
        <v>2313013981</v>
      </c>
      <c r="C3876" t="str">
        <f>T("디버프 마스터 1133화")</f>
        <v>디버프 마스터 1133화</v>
      </c>
      <c r="D3876" t="str">
        <f>T("1133")</f>
        <v>1133</v>
      </c>
      <c r="E3876" t="str">
        <f t="shared" si="520"/>
        <v>담화공</v>
      </c>
      <c r="H3876" t="str">
        <f t="shared" si="519"/>
        <v>스토리위즈</v>
      </c>
      <c r="I3876" t="str">
        <f t="shared" si="521"/>
        <v>디버프 마스터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/>
      <c r="AQ3876">
        <v>0</v>
      </c>
      <c r="AR3876">
        <v>0</v>
      </c>
      <c r="AT3876">
        <v>0</v>
      </c>
      <c r="AU3876">
        <v>0</v>
      </c>
      <c r="AW3876">
        <v>0</v>
      </c>
      <c r="AX3876">
        <v>0</v>
      </c>
      <c r="AY3876">
        <v>70</v>
      </c>
      <c r="BC3876" t="str">
        <f t="shared" si="522"/>
        <v>9791137602663</v>
      </c>
      <c r="BE3876" t="str">
        <f t="shared" si="523"/>
        <v>판타지 웹소설 &gt; 퓨전 판타지</v>
      </c>
    </row>
    <row r="3877" spans="1:57" x14ac:dyDescent="0.3">
      <c r="A3877">
        <v>2313012849</v>
      </c>
      <c r="B3877">
        <v>2313013982</v>
      </c>
      <c r="C3877" t="str">
        <f>T("디버프 마스터 1134화")</f>
        <v>디버프 마스터 1134화</v>
      </c>
      <c r="D3877" t="str">
        <f>T("1134")</f>
        <v>1134</v>
      </c>
      <c r="E3877" t="str">
        <f t="shared" si="520"/>
        <v>담화공</v>
      </c>
      <c r="H3877" t="str">
        <f t="shared" si="519"/>
        <v>스토리위즈</v>
      </c>
      <c r="I3877" t="str">
        <f t="shared" si="521"/>
        <v>디버프 마스터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/>
      <c r="AQ3877">
        <v>0</v>
      </c>
      <c r="AR3877">
        <v>0</v>
      </c>
      <c r="AT3877">
        <v>0</v>
      </c>
      <c r="AU3877">
        <v>0</v>
      </c>
      <c r="AW3877">
        <v>0</v>
      </c>
      <c r="AX3877">
        <v>0</v>
      </c>
      <c r="AY3877">
        <v>70</v>
      </c>
      <c r="BC3877" t="str">
        <f t="shared" si="522"/>
        <v>9791137602663</v>
      </c>
      <c r="BE3877" t="str">
        <f t="shared" si="523"/>
        <v>판타지 웹소설 &gt; 퓨전 판타지</v>
      </c>
    </row>
    <row r="3878" spans="1:57" x14ac:dyDescent="0.3">
      <c r="A3878">
        <v>2313012849</v>
      </c>
      <c r="B3878">
        <v>2313013983</v>
      </c>
      <c r="C3878" t="str">
        <f>T("디버프 마스터 1135화")</f>
        <v>디버프 마스터 1135화</v>
      </c>
      <c r="D3878" t="str">
        <f>T("1135")</f>
        <v>1135</v>
      </c>
      <c r="E3878" t="str">
        <f t="shared" si="520"/>
        <v>담화공</v>
      </c>
      <c r="H3878" t="str">
        <f t="shared" si="519"/>
        <v>스토리위즈</v>
      </c>
      <c r="I3878" t="str">
        <f t="shared" si="521"/>
        <v>디버프 마스터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/>
      <c r="AQ3878">
        <v>0</v>
      </c>
      <c r="AR3878">
        <v>0</v>
      </c>
      <c r="AT3878">
        <v>0</v>
      </c>
      <c r="AU3878">
        <v>0</v>
      </c>
      <c r="AW3878">
        <v>0</v>
      </c>
      <c r="AX3878">
        <v>0</v>
      </c>
      <c r="AY3878">
        <v>70</v>
      </c>
      <c r="BC3878" t="str">
        <f t="shared" si="522"/>
        <v>9791137602663</v>
      </c>
      <c r="BE3878" t="str">
        <f t="shared" si="523"/>
        <v>판타지 웹소설 &gt; 퓨전 판타지</v>
      </c>
    </row>
    <row r="3879" spans="1:57" x14ac:dyDescent="0.3">
      <c r="A3879">
        <v>2313012849</v>
      </c>
      <c r="B3879">
        <v>2313013984</v>
      </c>
      <c r="C3879" t="str">
        <f>T("디버프 마스터 1136화")</f>
        <v>디버프 마스터 1136화</v>
      </c>
      <c r="D3879" t="str">
        <f>T("1136")</f>
        <v>1136</v>
      </c>
      <c r="E3879" t="str">
        <f t="shared" si="520"/>
        <v>담화공</v>
      </c>
      <c r="H3879" t="str">
        <f t="shared" si="519"/>
        <v>스토리위즈</v>
      </c>
      <c r="I3879" t="str">
        <f t="shared" si="521"/>
        <v>디버프 마스터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/>
      <c r="AQ3879">
        <v>0</v>
      </c>
      <c r="AR3879">
        <v>0</v>
      </c>
      <c r="AT3879">
        <v>0</v>
      </c>
      <c r="AU3879">
        <v>0</v>
      </c>
      <c r="AW3879">
        <v>0</v>
      </c>
      <c r="AX3879">
        <v>0</v>
      </c>
      <c r="AY3879">
        <v>70</v>
      </c>
      <c r="BC3879" t="str">
        <f t="shared" si="522"/>
        <v>9791137602663</v>
      </c>
      <c r="BE3879" t="str">
        <f t="shared" si="523"/>
        <v>판타지 웹소설 &gt; 퓨전 판타지</v>
      </c>
    </row>
    <row r="3880" spans="1:57" x14ac:dyDescent="0.3">
      <c r="A3880">
        <v>2313012849</v>
      </c>
      <c r="B3880">
        <v>2313013985</v>
      </c>
      <c r="C3880" t="str">
        <f>T("디버프 마스터 1137화")</f>
        <v>디버프 마스터 1137화</v>
      </c>
      <c r="D3880" t="str">
        <f>T("1137")</f>
        <v>1137</v>
      </c>
      <c r="E3880" t="str">
        <f t="shared" si="520"/>
        <v>담화공</v>
      </c>
      <c r="H3880" t="str">
        <f t="shared" si="519"/>
        <v>스토리위즈</v>
      </c>
      <c r="I3880" t="str">
        <f t="shared" si="521"/>
        <v>디버프 마스터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/>
      <c r="AQ3880">
        <v>0</v>
      </c>
      <c r="AR3880">
        <v>0</v>
      </c>
      <c r="AT3880">
        <v>0</v>
      </c>
      <c r="AU3880">
        <v>0</v>
      </c>
      <c r="AW3880">
        <v>0</v>
      </c>
      <c r="AX3880">
        <v>0</v>
      </c>
      <c r="AY3880">
        <v>70</v>
      </c>
      <c r="BC3880" t="str">
        <f t="shared" si="522"/>
        <v>9791137602663</v>
      </c>
      <c r="BE3880" t="str">
        <f t="shared" si="523"/>
        <v>판타지 웹소설 &gt; 퓨전 판타지</v>
      </c>
    </row>
    <row r="3881" spans="1:57" x14ac:dyDescent="0.3">
      <c r="A3881">
        <v>2313012849</v>
      </c>
      <c r="B3881">
        <v>2313013986</v>
      </c>
      <c r="C3881" t="str">
        <f>T("디버프 마스터 1138화")</f>
        <v>디버프 마스터 1138화</v>
      </c>
      <c r="D3881" t="str">
        <f>T("1138")</f>
        <v>1138</v>
      </c>
      <c r="E3881" t="str">
        <f t="shared" si="520"/>
        <v>담화공</v>
      </c>
      <c r="H3881" t="str">
        <f t="shared" si="519"/>
        <v>스토리위즈</v>
      </c>
      <c r="I3881" t="str">
        <f t="shared" si="521"/>
        <v>디버프 마스터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/>
      <c r="AQ3881">
        <v>0</v>
      </c>
      <c r="AR3881">
        <v>0</v>
      </c>
      <c r="AT3881">
        <v>0</v>
      </c>
      <c r="AU3881">
        <v>0</v>
      </c>
      <c r="AW3881">
        <v>0</v>
      </c>
      <c r="AX3881">
        <v>0</v>
      </c>
      <c r="AY3881">
        <v>70</v>
      </c>
      <c r="BC3881" t="str">
        <f t="shared" si="522"/>
        <v>9791137602663</v>
      </c>
      <c r="BE3881" t="str">
        <f t="shared" si="523"/>
        <v>판타지 웹소설 &gt; 퓨전 판타지</v>
      </c>
    </row>
    <row r="3882" spans="1:57" x14ac:dyDescent="0.3">
      <c r="A3882">
        <v>2313012849</v>
      </c>
      <c r="B3882">
        <v>2313013987</v>
      </c>
      <c r="C3882" t="str">
        <f>T("디버프 마스터 1139화")</f>
        <v>디버프 마스터 1139화</v>
      </c>
      <c r="D3882" t="str">
        <f>T("1139")</f>
        <v>1139</v>
      </c>
      <c r="E3882" t="str">
        <f t="shared" si="520"/>
        <v>담화공</v>
      </c>
      <c r="H3882" t="str">
        <f t="shared" si="519"/>
        <v>스토리위즈</v>
      </c>
      <c r="I3882" t="str">
        <f t="shared" si="521"/>
        <v>디버프 마스터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/>
      <c r="AQ3882">
        <v>0</v>
      </c>
      <c r="AR3882">
        <v>0</v>
      </c>
      <c r="AT3882">
        <v>0</v>
      </c>
      <c r="AU3882">
        <v>0</v>
      </c>
      <c r="AW3882">
        <v>0</v>
      </c>
      <c r="AX3882">
        <v>0</v>
      </c>
      <c r="AY3882">
        <v>70</v>
      </c>
      <c r="BC3882" t="str">
        <f t="shared" si="522"/>
        <v>9791137602663</v>
      </c>
      <c r="BE3882" t="str">
        <f t="shared" si="523"/>
        <v>판타지 웹소설 &gt; 퓨전 판타지</v>
      </c>
    </row>
    <row r="3883" spans="1:57" x14ac:dyDescent="0.3">
      <c r="A3883">
        <v>2313012849</v>
      </c>
      <c r="B3883">
        <v>2313013988</v>
      </c>
      <c r="C3883" t="str">
        <f>T("디버프 마스터 1140화")</f>
        <v>디버프 마스터 1140화</v>
      </c>
      <c r="D3883" t="str">
        <f>T("1140")</f>
        <v>1140</v>
      </c>
      <c r="E3883" t="str">
        <f t="shared" si="520"/>
        <v>담화공</v>
      </c>
      <c r="H3883" t="str">
        <f t="shared" si="519"/>
        <v>스토리위즈</v>
      </c>
      <c r="I3883" t="str">
        <f t="shared" si="521"/>
        <v>디버프 마스터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/>
      <c r="AQ3883">
        <v>0</v>
      </c>
      <c r="AR3883">
        <v>0</v>
      </c>
      <c r="AT3883">
        <v>0</v>
      </c>
      <c r="AU3883">
        <v>0</v>
      </c>
      <c r="AW3883">
        <v>0</v>
      </c>
      <c r="AX3883">
        <v>0</v>
      </c>
      <c r="AY3883">
        <v>70</v>
      </c>
      <c r="BC3883" t="str">
        <f t="shared" si="522"/>
        <v>9791137602663</v>
      </c>
      <c r="BE3883" t="str">
        <f t="shared" si="523"/>
        <v>판타지 웹소설 &gt; 퓨전 판타지</v>
      </c>
    </row>
    <row r="3884" spans="1:57" x14ac:dyDescent="0.3">
      <c r="A3884">
        <v>2313012849</v>
      </c>
      <c r="B3884">
        <v>2313013989</v>
      </c>
      <c r="C3884" t="str">
        <f>T("디버프 마스터 1141화")</f>
        <v>디버프 마스터 1141화</v>
      </c>
      <c r="D3884" t="str">
        <f>T("1141")</f>
        <v>1141</v>
      </c>
      <c r="E3884" t="str">
        <f t="shared" si="520"/>
        <v>담화공</v>
      </c>
      <c r="H3884" t="str">
        <f t="shared" si="519"/>
        <v>스토리위즈</v>
      </c>
      <c r="I3884" t="str">
        <f t="shared" si="521"/>
        <v>디버프 마스터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/>
      <c r="AQ3884">
        <v>0</v>
      </c>
      <c r="AR3884">
        <v>0</v>
      </c>
      <c r="AT3884">
        <v>0</v>
      </c>
      <c r="AU3884">
        <v>0</v>
      </c>
      <c r="AW3884">
        <v>0</v>
      </c>
      <c r="AX3884">
        <v>0</v>
      </c>
      <c r="AY3884">
        <v>70</v>
      </c>
      <c r="BC3884" t="str">
        <f t="shared" si="522"/>
        <v>9791137602663</v>
      </c>
      <c r="BE3884" t="str">
        <f t="shared" si="523"/>
        <v>판타지 웹소설 &gt; 퓨전 판타지</v>
      </c>
    </row>
    <row r="3885" spans="1:57" x14ac:dyDescent="0.3">
      <c r="A3885">
        <v>2313012849</v>
      </c>
      <c r="B3885">
        <v>2313013990</v>
      </c>
      <c r="C3885" t="str">
        <f>T("디버프 마스터 1142화")</f>
        <v>디버프 마스터 1142화</v>
      </c>
      <c r="D3885" t="str">
        <f>T("1142")</f>
        <v>1142</v>
      </c>
      <c r="E3885" t="str">
        <f t="shared" si="520"/>
        <v>담화공</v>
      </c>
      <c r="H3885" t="str">
        <f t="shared" si="519"/>
        <v>스토리위즈</v>
      </c>
      <c r="I3885" t="str">
        <f t="shared" si="521"/>
        <v>디버프 마스터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/>
      <c r="AQ3885">
        <v>0</v>
      </c>
      <c r="AR3885">
        <v>0</v>
      </c>
      <c r="AT3885">
        <v>0</v>
      </c>
      <c r="AU3885">
        <v>0</v>
      </c>
      <c r="AW3885">
        <v>0</v>
      </c>
      <c r="AX3885">
        <v>0</v>
      </c>
      <c r="AY3885">
        <v>70</v>
      </c>
      <c r="BC3885" t="str">
        <f t="shared" si="522"/>
        <v>9791137602663</v>
      </c>
      <c r="BE3885" t="str">
        <f t="shared" si="523"/>
        <v>판타지 웹소설 &gt; 퓨전 판타지</v>
      </c>
    </row>
    <row r="3886" spans="1:57" x14ac:dyDescent="0.3">
      <c r="A3886">
        <v>2313012849</v>
      </c>
      <c r="B3886">
        <v>2313013991</v>
      </c>
      <c r="C3886" t="str">
        <f>T("디버프 마스터 1143화")</f>
        <v>디버프 마스터 1143화</v>
      </c>
      <c r="D3886" t="str">
        <f>T("1143")</f>
        <v>1143</v>
      </c>
      <c r="E3886" t="str">
        <f t="shared" si="520"/>
        <v>담화공</v>
      </c>
      <c r="H3886" t="str">
        <f t="shared" si="519"/>
        <v>스토리위즈</v>
      </c>
      <c r="I3886" t="str">
        <f t="shared" si="521"/>
        <v>디버프 마스터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/>
      <c r="AQ3886">
        <v>0</v>
      </c>
      <c r="AR3886">
        <v>0</v>
      </c>
      <c r="AT3886">
        <v>0</v>
      </c>
      <c r="AU3886">
        <v>0</v>
      </c>
      <c r="AW3886">
        <v>0</v>
      </c>
      <c r="AX3886">
        <v>0</v>
      </c>
      <c r="AY3886">
        <v>70</v>
      </c>
      <c r="BC3886" t="str">
        <f t="shared" si="522"/>
        <v>9791137602663</v>
      </c>
      <c r="BE3886" t="str">
        <f t="shared" si="523"/>
        <v>판타지 웹소설 &gt; 퓨전 판타지</v>
      </c>
    </row>
    <row r="3887" spans="1:57" x14ac:dyDescent="0.3">
      <c r="A3887">
        <v>2313012849</v>
      </c>
      <c r="B3887">
        <v>2313013992</v>
      </c>
      <c r="C3887" t="str">
        <f>T("디버프 마스터 1144화")</f>
        <v>디버프 마스터 1144화</v>
      </c>
      <c r="D3887" t="str">
        <f>T("1144")</f>
        <v>1144</v>
      </c>
      <c r="E3887" t="str">
        <f t="shared" si="520"/>
        <v>담화공</v>
      </c>
      <c r="H3887" t="str">
        <f t="shared" si="519"/>
        <v>스토리위즈</v>
      </c>
      <c r="I3887" t="str">
        <f t="shared" si="521"/>
        <v>디버프 마스터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/>
      <c r="AQ3887">
        <v>0</v>
      </c>
      <c r="AR3887">
        <v>0</v>
      </c>
      <c r="AT3887">
        <v>0</v>
      </c>
      <c r="AU3887">
        <v>0</v>
      </c>
      <c r="AW3887">
        <v>0</v>
      </c>
      <c r="AX3887">
        <v>0</v>
      </c>
      <c r="AY3887">
        <v>70</v>
      </c>
      <c r="BC3887" t="str">
        <f t="shared" si="522"/>
        <v>9791137602663</v>
      </c>
      <c r="BE3887" t="str">
        <f t="shared" si="523"/>
        <v>판타지 웹소설 &gt; 퓨전 판타지</v>
      </c>
    </row>
    <row r="3888" spans="1:57" x14ac:dyDescent="0.3">
      <c r="A3888">
        <v>2313012849</v>
      </c>
      <c r="B3888">
        <v>2313013993</v>
      </c>
      <c r="C3888" t="str">
        <f>T("디버프 마스터 1145화")</f>
        <v>디버프 마스터 1145화</v>
      </c>
      <c r="D3888" t="str">
        <f>T("1145")</f>
        <v>1145</v>
      </c>
      <c r="E3888" t="str">
        <f t="shared" si="520"/>
        <v>담화공</v>
      </c>
      <c r="H3888" t="str">
        <f t="shared" si="519"/>
        <v>스토리위즈</v>
      </c>
      <c r="I3888" t="str">
        <f t="shared" si="521"/>
        <v>디버프 마스터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/>
      <c r="AQ3888">
        <v>0</v>
      </c>
      <c r="AR3888">
        <v>0</v>
      </c>
      <c r="AT3888">
        <v>0</v>
      </c>
      <c r="AU3888">
        <v>0</v>
      </c>
      <c r="AW3888">
        <v>0</v>
      </c>
      <c r="AX3888">
        <v>0</v>
      </c>
      <c r="AY3888">
        <v>70</v>
      </c>
      <c r="BC3888" t="str">
        <f t="shared" si="522"/>
        <v>9791137602663</v>
      </c>
      <c r="BE3888" t="str">
        <f t="shared" si="523"/>
        <v>판타지 웹소설 &gt; 퓨전 판타지</v>
      </c>
    </row>
    <row r="3889" spans="1:57" x14ac:dyDescent="0.3">
      <c r="A3889">
        <v>2313012849</v>
      </c>
      <c r="B3889">
        <v>2313013994</v>
      </c>
      <c r="C3889" t="str">
        <f>T("디버프 마스터 1146화")</f>
        <v>디버프 마스터 1146화</v>
      </c>
      <c r="D3889" t="str">
        <f>T("1146")</f>
        <v>1146</v>
      </c>
      <c r="E3889" t="str">
        <f t="shared" si="520"/>
        <v>담화공</v>
      </c>
      <c r="H3889" t="str">
        <f t="shared" si="519"/>
        <v>스토리위즈</v>
      </c>
      <c r="I3889" t="str">
        <f t="shared" si="521"/>
        <v>디버프 마스터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/>
      <c r="AQ3889">
        <v>0</v>
      </c>
      <c r="AR3889">
        <v>0</v>
      </c>
      <c r="AT3889">
        <v>0</v>
      </c>
      <c r="AU3889">
        <v>0</v>
      </c>
      <c r="AW3889">
        <v>0</v>
      </c>
      <c r="AX3889">
        <v>0</v>
      </c>
      <c r="AY3889">
        <v>70</v>
      </c>
      <c r="BC3889" t="str">
        <f t="shared" si="522"/>
        <v>9791137602663</v>
      </c>
      <c r="BE3889" t="str">
        <f t="shared" si="523"/>
        <v>판타지 웹소설 &gt; 퓨전 판타지</v>
      </c>
    </row>
    <row r="3890" spans="1:57" x14ac:dyDescent="0.3">
      <c r="A3890">
        <v>2313012849</v>
      </c>
      <c r="B3890">
        <v>2313013995</v>
      </c>
      <c r="C3890" t="str">
        <f>T("디버프 마스터 1147화")</f>
        <v>디버프 마스터 1147화</v>
      </c>
      <c r="D3890" t="str">
        <f>T("1147")</f>
        <v>1147</v>
      </c>
      <c r="E3890" t="str">
        <f t="shared" si="520"/>
        <v>담화공</v>
      </c>
      <c r="H3890" t="str">
        <f t="shared" si="519"/>
        <v>스토리위즈</v>
      </c>
      <c r="I3890" t="str">
        <f t="shared" si="521"/>
        <v>디버프 마스터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/>
      <c r="AQ3890">
        <v>0</v>
      </c>
      <c r="AR3890">
        <v>0</v>
      </c>
      <c r="AT3890">
        <v>0</v>
      </c>
      <c r="AU3890">
        <v>0</v>
      </c>
      <c r="AW3890">
        <v>0</v>
      </c>
      <c r="AX3890">
        <v>0</v>
      </c>
      <c r="AY3890">
        <v>70</v>
      </c>
      <c r="BC3890" t="str">
        <f t="shared" si="522"/>
        <v>9791137602663</v>
      </c>
      <c r="BE3890" t="str">
        <f t="shared" si="523"/>
        <v>판타지 웹소설 &gt; 퓨전 판타지</v>
      </c>
    </row>
    <row r="3891" spans="1:57" x14ac:dyDescent="0.3">
      <c r="A3891">
        <v>2313012849</v>
      </c>
      <c r="B3891">
        <v>2313013996</v>
      </c>
      <c r="C3891" t="str">
        <f>T("디버프 마스터 1148화")</f>
        <v>디버프 마스터 1148화</v>
      </c>
      <c r="D3891" t="str">
        <f>T("1148")</f>
        <v>1148</v>
      </c>
      <c r="E3891" t="str">
        <f t="shared" si="520"/>
        <v>담화공</v>
      </c>
      <c r="H3891" t="str">
        <f t="shared" si="519"/>
        <v>스토리위즈</v>
      </c>
      <c r="I3891" t="str">
        <f t="shared" si="521"/>
        <v>디버프 마스터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/>
      <c r="AQ3891">
        <v>0</v>
      </c>
      <c r="AR3891">
        <v>0</v>
      </c>
      <c r="AT3891">
        <v>0</v>
      </c>
      <c r="AU3891">
        <v>0</v>
      </c>
      <c r="AW3891">
        <v>0</v>
      </c>
      <c r="AX3891">
        <v>0</v>
      </c>
      <c r="AY3891">
        <v>70</v>
      </c>
      <c r="BC3891" t="str">
        <f t="shared" si="522"/>
        <v>9791137602663</v>
      </c>
      <c r="BE3891" t="str">
        <f t="shared" si="523"/>
        <v>판타지 웹소설 &gt; 퓨전 판타지</v>
      </c>
    </row>
    <row r="3892" spans="1:57" x14ac:dyDescent="0.3">
      <c r="A3892">
        <v>2313012849</v>
      </c>
      <c r="B3892">
        <v>2313013997</v>
      </c>
      <c r="C3892" t="str">
        <f>T("디버프 마스터 1149화")</f>
        <v>디버프 마스터 1149화</v>
      </c>
      <c r="D3892" t="str">
        <f>T("1149")</f>
        <v>1149</v>
      </c>
      <c r="E3892" t="str">
        <f t="shared" si="520"/>
        <v>담화공</v>
      </c>
      <c r="H3892" t="str">
        <f t="shared" si="519"/>
        <v>스토리위즈</v>
      </c>
      <c r="I3892" t="str">
        <f t="shared" si="521"/>
        <v>디버프 마스터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/>
      <c r="AQ3892">
        <v>0</v>
      </c>
      <c r="AR3892">
        <v>0</v>
      </c>
      <c r="AT3892">
        <v>0</v>
      </c>
      <c r="AU3892">
        <v>0</v>
      </c>
      <c r="AW3892">
        <v>0</v>
      </c>
      <c r="AX3892">
        <v>0</v>
      </c>
      <c r="AY3892">
        <v>70</v>
      </c>
      <c r="BC3892" t="str">
        <f t="shared" si="522"/>
        <v>9791137602663</v>
      </c>
      <c r="BE3892" t="str">
        <f t="shared" si="523"/>
        <v>판타지 웹소설 &gt; 퓨전 판타지</v>
      </c>
    </row>
    <row r="3893" spans="1:57" x14ac:dyDescent="0.3">
      <c r="A3893">
        <v>2313012849</v>
      </c>
      <c r="B3893">
        <v>2313013998</v>
      </c>
      <c r="C3893" t="str">
        <f>T("디버프 마스터 1150화")</f>
        <v>디버프 마스터 1150화</v>
      </c>
      <c r="D3893" t="str">
        <f>T("1150")</f>
        <v>1150</v>
      </c>
      <c r="E3893" t="str">
        <f t="shared" si="520"/>
        <v>담화공</v>
      </c>
      <c r="H3893" t="str">
        <f t="shared" si="519"/>
        <v>스토리위즈</v>
      </c>
      <c r="I3893" t="str">
        <f t="shared" si="521"/>
        <v>디버프 마스터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/>
      <c r="AQ3893">
        <v>0</v>
      </c>
      <c r="AR3893">
        <v>0</v>
      </c>
      <c r="AT3893">
        <v>0</v>
      </c>
      <c r="AU3893">
        <v>0</v>
      </c>
      <c r="AW3893">
        <v>0</v>
      </c>
      <c r="AX3893">
        <v>0</v>
      </c>
      <c r="AY3893">
        <v>70</v>
      </c>
      <c r="BC3893" t="str">
        <f t="shared" si="522"/>
        <v>9791137602663</v>
      </c>
      <c r="BE3893" t="str">
        <f t="shared" si="523"/>
        <v>판타지 웹소설 &gt; 퓨전 판타지</v>
      </c>
    </row>
    <row r="3894" spans="1:57" x14ac:dyDescent="0.3">
      <c r="A3894">
        <v>2313012849</v>
      </c>
      <c r="B3894">
        <v>2313013999</v>
      </c>
      <c r="C3894" t="str">
        <f>T("디버프 마스터 1151화")</f>
        <v>디버프 마스터 1151화</v>
      </c>
      <c r="D3894" t="str">
        <f>T("1151")</f>
        <v>1151</v>
      </c>
      <c r="E3894" t="str">
        <f t="shared" si="520"/>
        <v>담화공</v>
      </c>
      <c r="H3894" t="str">
        <f t="shared" si="519"/>
        <v>스토리위즈</v>
      </c>
      <c r="I3894" t="str">
        <f t="shared" si="521"/>
        <v>디버프 마스터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/>
      <c r="AQ3894">
        <v>0</v>
      </c>
      <c r="AR3894">
        <v>0</v>
      </c>
      <c r="AT3894">
        <v>0</v>
      </c>
      <c r="AU3894">
        <v>0</v>
      </c>
      <c r="AW3894">
        <v>0</v>
      </c>
      <c r="AX3894">
        <v>0</v>
      </c>
      <c r="AY3894">
        <v>70</v>
      </c>
      <c r="BC3894" t="str">
        <f t="shared" si="522"/>
        <v>9791137602663</v>
      </c>
      <c r="BE3894" t="str">
        <f t="shared" si="523"/>
        <v>판타지 웹소설 &gt; 퓨전 판타지</v>
      </c>
    </row>
    <row r="3895" spans="1:57" x14ac:dyDescent="0.3">
      <c r="A3895">
        <v>2313012849</v>
      </c>
      <c r="B3895">
        <v>2313014000</v>
      </c>
      <c r="C3895" t="str">
        <f>T("디버프 마스터 1152화")</f>
        <v>디버프 마스터 1152화</v>
      </c>
      <c r="D3895" t="str">
        <f>T("1152")</f>
        <v>1152</v>
      </c>
      <c r="E3895" t="str">
        <f t="shared" si="520"/>
        <v>담화공</v>
      </c>
      <c r="H3895" t="str">
        <f t="shared" si="519"/>
        <v>스토리위즈</v>
      </c>
      <c r="I3895" t="str">
        <f t="shared" si="521"/>
        <v>디버프 마스터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/>
      <c r="AQ3895">
        <v>0</v>
      </c>
      <c r="AR3895">
        <v>0</v>
      </c>
      <c r="AT3895">
        <v>0</v>
      </c>
      <c r="AU3895">
        <v>0</v>
      </c>
      <c r="AW3895">
        <v>0</v>
      </c>
      <c r="AX3895">
        <v>0</v>
      </c>
      <c r="AY3895">
        <v>70</v>
      </c>
      <c r="BC3895" t="str">
        <f t="shared" si="522"/>
        <v>9791137602663</v>
      </c>
      <c r="BE3895" t="str">
        <f t="shared" si="523"/>
        <v>판타지 웹소설 &gt; 퓨전 판타지</v>
      </c>
    </row>
    <row r="3896" spans="1:57" x14ac:dyDescent="0.3">
      <c r="A3896">
        <v>2313012849</v>
      </c>
      <c r="B3896">
        <v>2313014001</v>
      </c>
      <c r="C3896" t="str">
        <f>T("디버프 마스터 1153화")</f>
        <v>디버프 마스터 1153화</v>
      </c>
      <c r="D3896" t="str">
        <f>T("1153")</f>
        <v>1153</v>
      </c>
      <c r="E3896" t="str">
        <f t="shared" si="520"/>
        <v>담화공</v>
      </c>
      <c r="H3896" t="str">
        <f t="shared" si="519"/>
        <v>스토리위즈</v>
      </c>
      <c r="I3896" t="str">
        <f t="shared" si="521"/>
        <v>디버프 마스터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/>
      <c r="AQ3896">
        <v>0</v>
      </c>
      <c r="AR3896">
        <v>0</v>
      </c>
      <c r="AT3896">
        <v>0</v>
      </c>
      <c r="AU3896">
        <v>0</v>
      </c>
      <c r="AW3896">
        <v>0</v>
      </c>
      <c r="AX3896">
        <v>0</v>
      </c>
      <c r="AY3896">
        <v>70</v>
      </c>
      <c r="BC3896" t="str">
        <f t="shared" si="522"/>
        <v>9791137602663</v>
      </c>
      <c r="BE3896" t="str">
        <f t="shared" si="523"/>
        <v>판타지 웹소설 &gt; 퓨전 판타지</v>
      </c>
    </row>
    <row r="3897" spans="1:57" x14ac:dyDescent="0.3">
      <c r="A3897">
        <v>2313012849</v>
      </c>
      <c r="B3897">
        <v>2313014002</v>
      </c>
      <c r="C3897" t="str">
        <f>T("디버프 마스터 1154화")</f>
        <v>디버프 마스터 1154화</v>
      </c>
      <c r="D3897" t="str">
        <f>T("1154")</f>
        <v>1154</v>
      </c>
      <c r="E3897" t="str">
        <f t="shared" si="520"/>
        <v>담화공</v>
      </c>
      <c r="H3897" t="str">
        <f t="shared" si="519"/>
        <v>스토리위즈</v>
      </c>
      <c r="I3897" t="str">
        <f t="shared" si="521"/>
        <v>디버프 마스터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/>
      <c r="AQ3897">
        <v>0</v>
      </c>
      <c r="AR3897">
        <v>0</v>
      </c>
      <c r="AT3897">
        <v>0</v>
      </c>
      <c r="AU3897">
        <v>0</v>
      </c>
      <c r="AW3897">
        <v>0</v>
      </c>
      <c r="AX3897">
        <v>0</v>
      </c>
      <c r="AY3897">
        <v>70</v>
      </c>
      <c r="BC3897" t="str">
        <f t="shared" si="522"/>
        <v>9791137602663</v>
      </c>
      <c r="BE3897" t="str">
        <f t="shared" si="523"/>
        <v>판타지 웹소설 &gt; 퓨전 판타지</v>
      </c>
    </row>
    <row r="3898" spans="1:57" x14ac:dyDescent="0.3">
      <c r="A3898">
        <v>2313012849</v>
      </c>
      <c r="B3898">
        <v>2313014003</v>
      </c>
      <c r="C3898" t="str">
        <f>T("디버프 마스터 1155화")</f>
        <v>디버프 마스터 1155화</v>
      </c>
      <c r="D3898" t="str">
        <f>T("1155")</f>
        <v>1155</v>
      </c>
      <c r="E3898" t="str">
        <f t="shared" si="520"/>
        <v>담화공</v>
      </c>
      <c r="H3898" t="str">
        <f t="shared" si="519"/>
        <v>스토리위즈</v>
      </c>
      <c r="I3898" t="str">
        <f t="shared" si="521"/>
        <v>디버프 마스터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/>
      <c r="AQ3898">
        <v>0</v>
      </c>
      <c r="AR3898">
        <v>0</v>
      </c>
      <c r="AT3898">
        <v>0</v>
      </c>
      <c r="AU3898">
        <v>0</v>
      </c>
      <c r="AW3898">
        <v>0</v>
      </c>
      <c r="AX3898">
        <v>0</v>
      </c>
      <c r="AY3898">
        <v>70</v>
      </c>
      <c r="BC3898" t="str">
        <f t="shared" si="522"/>
        <v>9791137602663</v>
      </c>
      <c r="BE3898" t="str">
        <f t="shared" si="523"/>
        <v>판타지 웹소설 &gt; 퓨전 판타지</v>
      </c>
    </row>
    <row r="3899" spans="1:57" x14ac:dyDescent="0.3">
      <c r="A3899">
        <v>2313012849</v>
      </c>
      <c r="B3899">
        <v>2313014004</v>
      </c>
      <c r="C3899" t="str">
        <f>T("디버프 마스터 1156화")</f>
        <v>디버프 마스터 1156화</v>
      </c>
      <c r="D3899" t="str">
        <f>T("1156")</f>
        <v>1156</v>
      </c>
      <c r="E3899" t="str">
        <f t="shared" si="520"/>
        <v>담화공</v>
      </c>
      <c r="H3899" t="str">
        <f t="shared" si="519"/>
        <v>스토리위즈</v>
      </c>
      <c r="I3899" t="str">
        <f t="shared" si="521"/>
        <v>디버프 마스터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/>
      <c r="AQ3899">
        <v>0</v>
      </c>
      <c r="AR3899">
        <v>0</v>
      </c>
      <c r="AT3899">
        <v>0</v>
      </c>
      <c r="AU3899">
        <v>0</v>
      </c>
      <c r="AW3899">
        <v>0</v>
      </c>
      <c r="AX3899">
        <v>0</v>
      </c>
      <c r="AY3899">
        <v>70</v>
      </c>
      <c r="BC3899" t="str">
        <f t="shared" si="522"/>
        <v>9791137602663</v>
      </c>
      <c r="BE3899" t="str">
        <f t="shared" si="523"/>
        <v>판타지 웹소설 &gt; 퓨전 판타지</v>
      </c>
    </row>
    <row r="3900" spans="1:57" x14ac:dyDescent="0.3">
      <c r="A3900">
        <v>2313012849</v>
      </c>
      <c r="B3900">
        <v>2313014005</v>
      </c>
      <c r="C3900" t="str">
        <f>T("디버프 마스터 1157화")</f>
        <v>디버프 마스터 1157화</v>
      </c>
      <c r="D3900" t="str">
        <f>T("1157")</f>
        <v>1157</v>
      </c>
      <c r="E3900" t="str">
        <f t="shared" si="520"/>
        <v>담화공</v>
      </c>
      <c r="H3900" t="str">
        <f t="shared" si="519"/>
        <v>스토리위즈</v>
      </c>
      <c r="I3900" t="str">
        <f t="shared" si="521"/>
        <v>디버프 마스터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/>
      <c r="AQ3900">
        <v>0</v>
      </c>
      <c r="AR3900">
        <v>0</v>
      </c>
      <c r="AT3900">
        <v>0</v>
      </c>
      <c r="AU3900">
        <v>0</v>
      </c>
      <c r="AW3900">
        <v>0</v>
      </c>
      <c r="AX3900">
        <v>0</v>
      </c>
      <c r="AY3900">
        <v>70</v>
      </c>
      <c r="BC3900" t="str">
        <f t="shared" si="522"/>
        <v>9791137602663</v>
      </c>
      <c r="BE3900" t="str">
        <f t="shared" si="523"/>
        <v>판타지 웹소설 &gt; 퓨전 판타지</v>
      </c>
    </row>
    <row r="3901" spans="1:57" x14ac:dyDescent="0.3">
      <c r="A3901">
        <v>2313012849</v>
      </c>
      <c r="B3901">
        <v>2313014006</v>
      </c>
      <c r="C3901" t="str">
        <f>T("디버프 마스터 1158화")</f>
        <v>디버프 마스터 1158화</v>
      </c>
      <c r="D3901" t="str">
        <f>T("1158")</f>
        <v>1158</v>
      </c>
      <c r="E3901" t="str">
        <f t="shared" si="520"/>
        <v>담화공</v>
      </c>
      <c r="H3901" t="str">
        <f t="shared" si="519"/>
        <v>스토리위즈</v>
      </c>
      <c r="I3901" t="str">
        <f t="shared" si="521"/>
        <v>디버프 마스터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/>
      <c r="AQ3901">
        <v>0</v>
      </c>
      <c r="AR3901">
        <v>0</v>
      </c>
      <c r="AT3901">
        <v>0</v>
      </c>
      <c r="AU3901">
        <v>0</v>
      </c>
      <c r="AW3901">
        <v>0</v>
      </c>
      <c r="AX3901">
        <v>0</v>
      </c>
      <c r="AY3901">
        <v>70</v>
      </c>
      <c r="BC3901" t="str">
        <f t="shared" si="522"/>
        <v>9791137602663</v>
      </c>
      <c r="BE3901" t="str">
        <f t="shared" si="523"/>
        <v>판타지 웹소설 &gt; 퓨전 판타지</v>
      </c>
    </row>
    <row r="3902" spans="1:57" x14ac:dyDescent="0.3">
      <c r="A3902">
        <v>2313012849</v>
      </c>
      <c r="B3902">
        <v>2313014007</v>
      </c>
      <c r="C3902" t="str">
        <f>T("디버프 마스터 1159화")</f>
        <v>디버프 마스터 1159화</v>
      </c>
      <c r="D3902" t="str">
        <f>T("1159")</f>
        <v>1159</v>
      </c>
      <c r="E3902" t="str">
        <f t="shared" si="520"/>
        <v>담화공</v>
      </c>
      <c r="H3902" t="str">
        <f t="shared" si="519"/>
        <v>스토리위즈</v>
      </c>
      <c r="I3902" t="str">
        <f t="shared" si="521"/>
        <v>디버프 마스터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/>
      <c r="AQ3902">
        <v>0</v>
      </c>
      <c r="AR3902">
        <v>0</v>
      </c>
      <c r="AT3902">
        <v>0</v>
      </c>
      <c r="AU3902">
        <v>0</v>
      </c>
      <c r="AW3902">
        <v>0</v>
      </c>
      <c r="AX3902">
        <v>0</v>
      </c>
      <c r="AY3902">
        <v>70</v>
      </c>
      <c r="BC3902" t="str">
        <f t="shared" si="522"/>
        <v>9791137602663</v>
      </c>
      <c r="BE3902" t="str">
        <f t="shared" si="523"/>
        <v>판타지 웹소설 &gt; 퓨전 판타지</v>
      </c>
    </row>
    <row r="3903" spans="1:57" x14ac:dyDescent="0.3">
      <c r="A3903">
        <v>2313012849</v>
      </c>
      <c r="B3903">
        <v>2313014008</v>
      </c>
      <c r="C3903" t="str">
        <f>T("디버프 마스터 1160화")</f>
        <v>디버프 마스터 1160화</v>
      </c>
      <c r="D3903" t="str">
        <f>T("1160")</f>
        <v>1160</v>
      </c>
      <c r="E3903" t="str">
        <f t="shared" si="520"/>
        <v>담화공</v>
      </c>
      <c r="H3903" t="str">
        <f t="shared" si="519"/>
        <v>스토리위즈</v>
      </c>
      <c r="I3903" t="str">
        <f t="shared" si="521"/>
        <v>디버프 마스터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/>
      <c r="AQ3903">
        <v>0</v>
      </c>
      <c r="AR3903">
        <v>0</v>
      </c>
      <c r="AT3903">
        <v>0</v>
      </c>
      <c r="AU3903">
        <v>0</v>
      </c>
      <c r="AW3903">
        <v>0</v>
      </c>
      <c r="AX3903">
        <v>0</v>
      </c>
      <c r="AY3903">
        <v>70</v>
      </c>
      <c r="BC3903" t="str">
        <f t="shared" si="522"/>
        <v>9791137602663</v>
      </c>
      <c r="BE3903" t="str">
        <f t="shared" si="523"/>
        <v>판타지 웹소설 &gt; 퓨전 판타지</v>
      </c>
    </row>
    <row r="3904" spans="1:57" x14ac:dyDescent="0.3">
      <c r="A3904">
        <v>2313012849</v>
      </c>
      <c r="B3904">
        <v>2313014009</v>
      </c>
      <c r="C3904" t="str">
        <f>T("디버프 마스터 1161화")</f>
        <v>디버프 마스터 1161화</v>
      </c>
      <c r="D3904" t="str">
        <f>T("1161")</f>
        <v>1161</v>
      </c>
      <c r="E3904" t="str">
        <f t="shared" si="520"/>
        <v>담화공</v>
      </c>
      <c r="H3904" t="str">
        <f t="shared" si="519"/>
        <v>스토리위즈</v>
      </c>
      <c r="I3904" t="str">
        <f t="shared" si="521"/>
        <v>디버프 마스터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/>
      <c r="AQ3904">
        <v>0</v>
      </c>
      <c r="AR3904">
        <v>0</v>
      </c>
      <c r="AT3904">
        <v>0</v>
      </c>
      <c r="AU3904">
        <v>0</v>
      </c>
      <c r="AW3904">
        <v>0</v>
      </c>
      <c r="AX3904">
        <v>0</v>
      </c>
      <c r="AY3904">
        <v>70</v>
      </c>
      <c r="BC3904" t="str">
        <f t="shared" si="522"/>
        <v>9791137602663</v>
      </c>
      <c r="BE3904" t="str">
        <f t="shared" si="523"/>
        <v>판타지 웹소설 &gt; 퓨전 판타지</v>
      </c>
    </row>
    <row r="3905" spans="1:57" x14ac:dyDescent="0.3">
      <c r="A3905">
        <v>2313012849</v>
      </c>
      <c r="B3905">
        <v>2313014010</v>
      </c>
      <c r="C3905" t="str">
        <f>T("디버프 마스터 1162화")</f>
        <v>디버프 마스터 1162화</v>
      </c>
      <c r="D3905" t="str">
        <f>T("1162")</f>
        <v>1162</v>
      </c>
      <c r="E3905" t="str">
        <f t="shared" si="520"/>
        <v>담화공</v>
      </c>
      <c r="H3905" t="str">
        <f t="shared" si="519"/>
        <v>스토리위즈</v>
      </c>
      <c r="I3905" t="str">
        <f t="shared" si="521"/>
        <v>디버프 마스터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/>
      <c r="AQ3905">
        <v>0</v>
      </c>
      <c r="AR3905">
        <v>0</v>
      </c>
      <c r="AT3905">
        <v>0</v>
      </c>
      <c r="AU3905">
        <v>0</v>
      </c>
      <c r="AW3905">
        <v>0</v>
      </c>
      <c r="AX3905">
        <v>0</v>
      </c>
      <c r="AY3905">
        <v>70</v>
      </c>
      <c r="BC3905" t="str">
        <f t="shared" si="522"/>
        <v>9791137602663</v>
      </c>
      <c r="BE3905" t="str">
        <f t="shared" si="523"/>
        <v>판타지 웹소설 &gt; 퓨전 판타지</v>
      </c>
    </row>
    <row r="3906" spans="1:57" x14ac:dyDescent="0.3">
      <c r="A3906">
        <v>2313012849</v>
      </c>
      <c r="B3906">
        <v>2313014011</v>
      </c>
      <c r="C3906" t="str">
        <f>T("디버프 마스터 1163화")</f>
        <v>디버프 마스터 1163화</v>
      </c>
      <c r="D3906" t="str">
        <f>T("1163")</f>
        <v>1163</v>
      </c>
      <c r="E3906" t="str">
        <f t="shared" si="520"/>
        <v>담화공</v>
      </c>
      <c r="H3906" t="str">
        <f t="shared" si="519"/>
        <v>스토리위즈</v>
      </c>
      <c r="I3906" t="str">
        <f t="shared" si="521"/>
        <v>디버프 마스터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/>
      <c r="AQ3906">
        <v>0</v>
      </c>
      <c r="AR3906">
        <v>0</v>
      </c>
      <c r="AT3906">
        <v>0</v>
      </c>
      <c r="AU3906">
        <v>0</v>
      </c>
      <c r="AW3906">
        <v>0</v>
      </c>
      <c r="AX3906">
        <v>0</v>
      </c>
      <c r="AY3906">
        <v>70</v>
      </c>
      <c r="BC3906" t="str">
        <f t="shared" si="522"/>
        <v>9791137602663</v>
      </c>
      <c r="BE3906" t="str">
        <f t="shared" si="523"/>
        <v>판타지 웹소설 &gt; 퓨전 판타지</v>
      </c>
    </row>
    <row r="3907" spans="1:57" x14ac:dyDescent="0.3">
      <c r="A3907">
        <v>2313012849</v>
      </c>
      <c r="B3907">
        <v>2313014012</v>
      </c>
      <c r="C3907" t="str">
        <f>T("디버프 마스터 1164화")</f>
        <v>디버프 마스터 1164화</v>
      </c>
      <c r="D3907" t="str">
        <f>T("1164")</f>
        <v>1164</v>
      </c>
      <c r="E3907" t="str">
        <f t="shared" si="520"/>
        <v>담화공</v>
      </c>
      <c r="H3907" t="str">
        <f t="shared" si="519"/>
        <v>스토리위즈</v>
      </c>
      <c r="I3907" t="str">
        <f t="shared" si="521"/>
        <v>디버프 마스터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/>
      <c r="AQ3907">
        <v>0</v>
      </c>
      <c r="AR3907">
        <v>0</v>
      </c>
      <c r="AT3907">
        <v>0</v>
      </c>
      <c r="AU3907">
        <v>0</v>
      </c>
      <c r="AW3907">
        <v>0</v>
      </c>
      <c r="AX3907">
        <v>0</v>
      </c>
      <c r="AY3907">
        <v>70</v>
      </c>
      <c r="BC3907" t="str">
        <f t="shared" si="522"/>
        <v>9791137602663</v>
      </c>
      <c r="BE3907" t="str">
        <f t="shared" si="523"/>
        <v>판타지 웹소설 &gt; 퓨전 판타지</v>
      </c>
    </row>
    <row r="3908" spans="1:57" x14ac:dyDescent="0.3">
      <c r="A3908">
        <v>2313012849</v>
      </c>
      <c r="B3908">
        <v>2313014013</v>
      </c>
      <c r="C3908" t="str">
        <f>T("디버프 마스터 1165화")</f>
        <v>디버프 마스터 1165화</v>
      </c>
      <c r="D3908" t="str">
        <f>T("1165")</f>
        <v>1165</v>
      </c>
      <c r="E3908" t="str">
        <f t="shared" si="520"/>
        <v>담화공</v>
      </c>
      <c r="H3908" t="str">
        <f t="shared" si="519"/>
        <v>스토리위즈</v>
      </c>
      <c r="I3908" t="str">
        <f t="shared" si="521"/>
        <v>디버프 마스터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/>
      <c r="AQ3908">
        <v>0</v>
      </c>
      <c r="AR3908">
        <v>0</v>
      </c>
      <c r="AT3908">
        <v>0</v>
      </c>
      <c r="AU3908">
        <v>0</v>
      </c>
      <c r="AW3908">
        <v>0</v>
      </c>
      <c r="AX3908">
        <v>0</v>
      </c>
      <c r="AY3908">
        <v>70</v>
      </c>
      <c r="BC3908" t="str">
        <f t="shared" si="522"/>
        <v>9791137602663</v>
      </c>
      <c r="BE3908" t="str">
        <f t="shared" si="523"/>
        <v>판타지 웹소설 &gt; 퓨전 판타지</v>
      </c>
    </row>
    <row r="3909" spans="1:57" x14ac:dyDescent="0.3">
      <c r="A3909">
        <v>2313012849</v>
      </c>
      <c r="B3909">
        <v>2313014014</v>
      </c>
      <c r="C3909" t="str">
        <f>T("디버프 마스터 1166화")</f>
        <v>디버프 마스터 1166화</v>
      </c>
      <c r="D3909" t="str">
        <f>T("1166")</f>
        <v>1166</v>
      </c>
      <c r="E3909" t="str">
        <f t="shared" si="520"/>
        <v>담화공</v>
      </c>
      <c r="H3909" t="str">
        <f t="shared" si="519"/>
        <v>스토리위즈</v>
      </c>
      <c r="I3909" t="str">
        <f t="shared" si="521"/>
        <v>디버프 마스터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/>
      <c r="AQ3909">
        <v>0</v>
      </c>
      <c r="AR3909">
        <v>0</v>
      </c>
      <c r="AT3909">
        <v>0</v>
      </c>
      <c r="AU3909">
        <v>0</v>
      </c>
      <c r="AW3909">
        <v>0</v>
      </c>
      <c r="AX3909">
        <v>0</v>
      </c>
      <c r="AY3909">
        <v>70</v>
      </c>
      <c r="BC3909" t="str">
        <f t="shared" si="522"/>
        <v>9791137602663</v>
      </c>
      <c r="BE3909" t="str">
        <f t="shared" si="523"/>
        <v>판타지 웹소설 &gt; 퓨전 판타지</v>
      </c>
    </row>
    <row r="3910" spans="1:57" x14ac:dyDescent="0.3">
      <c r="A3910">
        <v>2313012849</v>
      </c>
      <c r="B3910">
        <v>2313014015</v>
      </c>
      <c r="C3910" t="str">
        <f>T("디버프 마스터 1167화")</f>
        <v>디버프 마스터 1167화</v>
      </c>
      <c r="D3910" t="str">
        <f>T("1167")</f>
        <v>1167</v>
      </c>
      <c r="E3910" t="str">
        <f t="shared" si="520"/>
        <v>담화공</v>
      </c>
      <c r="H3910" t="str">
        <f t="shared" si="519"/>
        <v>스토리위즈</v>
      </c>
      <c r="I3910" t="str">
        <f t="shared" si="521"/>
        <v>디버프 마스터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/>
      <c r="AQ3910">
        <v>0</v>
      </c>
      <c r="AR3910">
        <v>0</v>
      </c>
      <c r="AT3910">
        <v>0</v>
      </c>
      <c r="AU3910">
        <v>0</v>
      </c>
      <c r="AW3910">
        <v>0</v>
      </c>
      <c r="AX3910">
        <v>0</v>
      </c>
      <c r="AY3910">
        <v>70</v>
      </c>
      <c r="BC3910" t="str">
        <f t="shared" si="522"/>
        <v>9791137602663</v>
      </c>
      <c r="BE3910" t="str">
        <f t="shared" si="523"/>
        <v>판타지 웹소설 &gt; 퓨전 판타지</v>
      </c>
    </row>
    <row r="3911" spans="1:57" x14ac:dyDescent="0.3">
      <c r="A3911">
        <v>2313016001</v>
      </c>
      <c r="B3911">
        <v>2313016026</v>
      </c>
      <c r="C3911" t="str">
        <f>T("칵테일로 레벨업 26화")</f>
        <v>칵테일로 레벨업 26화</v>
      </c>
      <c r="D3911" t="str">
        <f>T("26")</f>
        <v>26</v>
      </c>
      <c r="E3911" t="str">
        <f>T("서강후")</f>
        <v>서강후</v>
      </c>
      <c r="H3911" t="str">
        <f t="shared" si="519"/>
        <v>스토리위즈</v>
      </c>
      <c r="I3911" t="str">
        <f>T("칵테일로 레벨업")</f>
        <v>칵테일로 레벨업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/>
      <c r="AQ3911">
        <v>0</v>
      </c>
      <c r="AR3911">
        <v>0</v>
      </c>
      <c r="AT3911">
        <v>0</v>
      </c>
      <c r="AU3911">
        <v>0</v>
      </c>
      <c r="AW3911">
        <v>0</v>
      </c>
      <c r="AX3911">
        <v>0</v>
      </c>
      <c r="AY3911">
        <v>70</v>
      </c>
      <c r="BA3911" t="str">
        <f t="shared" ref="BA3911:BA3916" si="524">T("0000000000000")</f>
        <v>0000000000000</v>
      </c>
      <c r="BC3911" t="str">
        <f>T("9791137601284")</f>
        <v>9791137601284</v>
      </c>
      <c r="BE3911" t="str">
        <f>T("판타지 웹소설 &gt; 현대 판타지")</f>
        <v>판타지 웹소설 &gt; 현대 판타지</v>
      </c>
    </row>
    <row r="3912" spans="1:57" x14ac:dyDescent="0.3">
      <c r="A3912">
        <v>2313016001</v>
      </c>
      <c r="B3912">
        <v>2313016027</v>
      </c>
      <c r="C3912" t="str">
        <f>T("칵테일로 레벨업 27화")</f>
        <v>칵테일로 레벨업 27화</v>
      </c>
      <c r="D3912" t="str">
        <f>T("27")</f>
        <v>27</v>
      </c>
      <c r="E3912" t="str">
        <f>T("서강후")</f>
        <v>서강후</v>
      </c>
      <c r="H3912" t="str">
        <f t="shared" si="519"/>
        <v>스토리위즈</v>
      </c>
      <c r="I3912" t="str">
        <f>T("칵테일로 레벨업")</f>
        <v>칵테일로 레벨업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/>
      <c r="AQ3912">
        <v>0</v>
      </c>
      <c r="AR3912">
        <v>0</v>
      </c>
      <c r="AT3912">
        <v>0</v>
      </c>
      <c r="AU3912">
        <v>0</v>
      </c>
      <c r="AW3912">
        <v>0</v>
      </c>
      <c r="AX3912">
        <v>0</v>
      </c>
      <c r="AY3912">
        <v>70</v>
      </c>
      <c r="BA3912" t="str">
        <f t="shared" si="524"/>
        <v>0000000000000</v>
      </c>
      <c r="BC3912" t="str">
        <f>T("9791137601284")</f>
        <v>9791137601284</v>
      </c>
      <c r="BE3912" t="str">
        <f>T("판타지 웹소설 &gt; 현대 판타지")</f>
        <v>판타지 웹소설 &gt; 현대 판타지</v>
      </c>
    </row>
    <row r="3913" spans="1:57" x14ac:dyDescent="0.3">
      <c r="A3913">
        <v>2313016001</v>
      </c>
      <c r="B3913">
        <v>2313016028</v>
      </c>
      <c r="C3913" t="str">
        <f>T("칵테일로 레벨업 28화")</f>
        <v>칵테일로 레벨업 28화</v>
      </c>
      <c r="D3913" t="str">
        <f>T("28")</f>
        <v>28</v>
      </c>
      <c r="E3913" t="str">
        <f>T("서강후")</f>
        <v>서강후</v>
      </c>
      <c r="H3913" t="str">
        <f t="shared" si="519"/>
        <v>스토리위즈</v>
      </c>
      <c r="I3913" t="str">
        <f>T("칵테일로 레벨업")</f>
        <v>칵테일로 레벨업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/>
      <c r="AQ3913">
        <v>0</v>
      </c>
      <c r="AR3913">
        <v>0</v>
      </c>
      <c r="AT3913">
        <v>0</v>
      </c>
      <c r="AU3913">
        <v>0</v>
      </c>
      <c r="AW3913">
        <v>0</v>
      </c>
      <c r="AX3913">
        <v>0</v>
      </c>
      <c r="AY3913">
        <v>70</v>
      </c>
      <c r="BA3913" t="str">
        <f t="shared" si="524"/>
        <v>0000000000000</v>
      </c>
      <c r="BC3913" t="str">
        <f>T("9791137601284")</f>
        <v>9791137601284</v>
      </c>
      <c r="BE3913" t="str">
        <f>T("판타지 웹소설 &gt; 현대 판타지")</f>
        <v>판타지 웹소설 &gt; 현대 판타지</v>
      </c>
    </row>
    <row r="3914" spans="1:57" x14ac:dyDescent="0.3">
      <c r="A3914">
        <v>2313016001</v>
      </c>
      <c r="B3914">
        <v>2313016029</v>
      </c>
      <c r="C3914" t="str">
        <f>T("칵테일로 레벨업 29화")</f>
        <v>칵테일로 레벨업 29화</v>
      </c>
      <c r="D3914" t="str">
        <f>T("29")</f>
        <v>29</v>
      </c>
      <c r="E3914" t="str">
        <f>T("서강후")</f>
        <v>서강후</v>
      </c>
      <c r="H3914" t="str">
        <f t="shared" si="519"/>
        <v>스토리위즈</v>
      </c>
      <c r="I3914" t="str">
        <f>T("칵테일로 레벨업")</f>
        <v>칵테일로 레벨업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/>
      <c r="AQ3914">
        <v>0</v>
      </c>
      <c r="AR3914">
        <v>0</v>
      </c>
      <c r="AT3914">
        <v>0</v>
      </c>
      <c r="AU3914">
        <v>0</v>
      </c>
      <c r="AW3914">
        <v>0</v>
      </c>
      <c r="AX3914">
        <v>0</v>
      </c>
      <c r="AY3914">
        <v>70</v>
      </c>
      <c r="BA3914" t="str">
        <f t="shared" si="524"/>
        <v>0000000000000</v>
      </c>
      <c r="BC3914" t="str">
        <f>T("9791137601284")</f>
        <v>9791137601284</v>
      </c>
      <c r="BE3914" t="str">
        <f>T("판타지 웹소설 &gt; 현대 판타지")</f>
        <v>판타지 웹소설 &gt; 현대 판타지</v>
      </c>
    </row>
    <row r="3915" spans="1:57" x14ac:dyDescent="0.3">
      <c r="A3915">
        <v>2313016001</v>
      </c>
      <c r="B3915">
        <v>2313016030</v>
      </c>
      <c r="C3915" t="str">
        <f>T("칵테일로 레벨업 30화")</f>
        <v>칵테일로 레벨업 30화</v>
      </c>
      <c r="D3915" t="str">
        <f>T("30")</f>
        <v>30</v>
      </c>
      <c r="E3915" t="str">
        <f>T("서강후")</f>
        <v>서강후</v>
      </c>
      <c r="H3915" t="str">
        <f t="shared" si="519"/>
        <v>스토리위즈</v>
      </c>
      <c r="I3915" t="str">
        <f>T("칵테일로 레벨업")</f>
        <v>칵테일로 레벨업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/>
      <c r="AQ3915">
        <v>0</v>
      </c>
      <c r="AR3915">
        <v>0</v>
      </c>
      <c r="AT3915">
        <v>0</v>
      </c>
      <c r="AU3915">
        <v>0</v>
      </c>
      <c r="AW3915">
        <v>0</v>
      </c>
      <c r="AX3915">
        <v>0</v>
      </c>
      <c r="AY3915">
        <v>70</v>
      </c>
      <c r="BA3915" t="str">
        <f t="shared" si="524"/>
        <v>0000000000000</v>
      </c>
      <c r="BC3915" t="str">
        <f>T("9791137601284")</f>
        <v>9791137601284</v>
      </c>
      <c r="BE3915" t="str">
        <f>T("판타지 웹소설 &gt; 현대 판타지")</f>
        <v>판타지 웹소설 &gt; 현대 판타지</v>
      </c>
    </row>
    <row r="3916" spans="1:57" x14ac:dyDescent="0.3">
      <c r="A3916">
        <v>2313017163</v>
      </c>
      <c r="B3916">
        <v>2313017166</v>
      </c>
      <c r="C3916" t="str">
        <f>T("친절하기는 얼어 죽을 3화")</f>
        <v>친절하기는 얼어 죽을 3화</v>
      </c>
      <c r="D3916" t="str">
        <f>T("4")</f>
        <v>4</v>
      </c>
      <c r="E3916" t="str">
        <f>T("솜목화")</f>
        <v>솜목화</v>
      </c>
      <c r="H3916" t="str">
        <f>T("블레슈(Blesshuu)")</f>
        <v>블레슈(Blesshuu)</v>
      </c>
      <c r="I3916" t="str">
        <f>T("친절하기는 얼어 죽을")</f>
        <v>친절하기는 얼어 죽을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2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/>
      <c r="AQ3916">
        <v>0</v>
      </c>
      <c r="AR3916">
        <v>0</v>
      </c>
      <c r="AT3916">
        <v>0</v>
      </c>
      <c r="AU3916">
        <v>0</v>
      </c>
      <c r="AW3916">
        <v>0</v>
      </c>
      <c r="AX3916">
        <v>0</v>
      </c>
      <c r="AY3916">
        <v>60</v>
      </c>
      <c r="BA3916" t="str">
        <f t="shared" si="524"/>
        <v>0000000000000</v>
      </c>
      <c r="BC3916" t="str">
        <f>T("9791137604131")</f>
        <v>9791137604131</v>
      </c>
      <c r="BE3916" t="str">
        <f>T("로맨스 웹소설 &gt; 현대물")</f>
        <v>로맨스 웹소설 &gt; 현대물</v>
      </c>
    </row>
    <row r="3917" spans="1:57" x14ac:dyDescent="0.3">
      <c r="A3917">
        <v>2313017657</v>
      </c>
      <c r="B3917">
        <v>2313017700</v>
      </c>
      <c r="C3917" t="str">
        <f>T("회귀자의 슬기로운 복수생활 44화")</f>
        <v>회귀자의 슬기로운 복수생활 44화</v>
      </c>
      <c r="D3917" t="str">
        <f>T("44")</f>
        <v>44</v>
      </c>
      <c r="E3917" t="str">
        <f t="shared" ref="E3917:E3970" si="525">T("구공")</f>
        <v>구공</v>
      </c>
      <c r="H3917" t="str">
        <f t="shared" ref="H3917:H3980" si="526">T("스토리위즈")</f>
        <v>스토리위즈</v>
      </c>
      <c r="I3917" t="str">
        <f t="shared" ref="I3917:I3970" si="527">T("회귀자의 슬기로운 복수생활")</f>
        <v>회귀자의 슬기로운 복수생활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120</v>
      </c>
      <c r="AN3917">
        <v>-12</v>
      </c>
      <c r="AO3917">
        <v>0</v>
      </c>
      <c r="AP3917"/>
      <c r="AQ3917">
        <v>0</v>
      </c>
      <c r="AR3917">
        <v>0</v>
      </c>
      <c r="AS3917">
        <v>120</v>
      </c>
      <c r="AT3917">
        <v>-12</v>
      </c>
      <c r="AU3917">
        <v>0</v>
      </c>
      <c r="AW3917">
        <v>0</v>
      </c>
      <c r="AX3917">
        <v>0</v>
      </c>
      <c r="AY3917">
        <v>75.599999999999994</v>
      </c>
      <c r="BC3917" t="str">
        <f t="shared" ref="BC3917:BC3970" si="528">T("9791137601710")</f>
        <v>9791137601710</v>
      </c>
      <c r="BE3917" t="str">
        <f t="shared" ref="BE3917:BE3980" si="529">T("판타지 웹소설 &gt; 퓨전 판타지")</f>
        <v>판타지 웹소설 &gt; 퓨전 판타지</v>
      </c>
    </row>
    <row r="3918" spans="1:57" x14ac:dyDescent="0.3">
      <c r="A3918">
        <v>2313017657</v>
      </c>
      <c r="B3918">
        <v>2313017701</v>
      </c>
      <c r="C3918" t="str">
        <f>T("회귀자의 슬기로운 복수생활 45화")</f>
        <v>회귀자의 슬기로운 복수생활 45화</v>
      </c>
      <c r="D3918" t="str">
        <f>T("45")</f>
        <v>45</v>
      </c>
      <c r="E3918" t="str">
        <f t="shared" si="525"/>
        <v>구공</v>
      </c>
      <c r="H3918" t="str">
        <f t="shared" si="526"/>
        <v>스토리위즈</v>
      </c>
      <c r="I3918" t="str">
        <f t="shared" si="527"/>
        <v>회귀자의 슬기로운 복수생활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0</v>
      </c>
      <c r="AL3918">
        <v>0</v>
      </c>
      <c r="AM3918">
        <v>120</v>
      </c>
      <c r="AN3918">
        <v>-12</v>
      </c>
      <c r="AO3918">
        <v>0</v>
      </c>
      <c r="AP3918"/>
      <c r="AQ3918">
        <v>0</v>
      </c>
      <c r="AR3918">
        <v>0</v>
      </c>
      <c r="AS3918">
        <v>120</v>
      </c>
      <c r="AT3918">
        <v>-12</v>
      </c>
      <c r="AU3918">
        <v>0</v>
      </c>
      <c r="AW3918">
        <v>0</v>
      </c>
      <c r="AX3918">
        <v>0</v>
      </c>
      <c r="AY3918">
        <v>75.599999999999994</v>
      </c>
      <c r="BC3918" t="str">
        <f t="shared" si="528"/>
        <v>9791137601710</v>
      </c>
      <c r="BE3918" t="str">
        <f t="shared" si="529"/>
        <v>판타지 웹소설 &gt; 퓨전 판타지</v>
      </c>
    </row>
    <row r="3919" spans="1:57" x14ac:dyDescent="0.3">
      <c r="A3919">
        <v>2313017657</v>
      </c>
      <c r="B3919">
        <v>2313017702</v>
      </c>
      <c r="C3919" t="str">
        <f>T("회귀자의 슬기로운 복수생활 46화")</f>
        <v>회귀자의 슬기로운 복수생활 46화</v>
      </c>
      <c r="D3919" t="str">
        <f>T("46")</f>
        <v>46</v>
      </c>
      <c r="E3919" t="str">
        <f t="shared" si="525"/>
        <v>구공</v>
      </c>
      <c r="H3919" t="str">
        <f t="shared" si="526"/>
        <v>스토리위즈</v>
      </c>
      <c r="I3919" t="str">
        <f t="shared" si="527"/>
        <v>회귀자의 슬기로운 복수생활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0</v>
      </c>
      <c r="AL3919">
        <v>0</v>
      </c>
      <c r="AM3919">
        <v>120</v>
      </c>
      <c r="AN3919">
        <v>-12</v>
      </c>
      <c r="AO3919">
        <v>0</v>
      </c>
      <c r="AP3919"/>
      <c r="AQ3919">
        <v>0</v>
      </c>
      <c r="AR3919">
        <v>0</v>
      </c>
      <c r="AS3919">
        <v>120</v>
      </c>
      <c r="AT3919">
        <v>-12</v>
      </c>
      <c r="AU3919">
        <v>0</v>
      </c>
      <c r="AW3919">
        <v>0</v>
      </c>
      <c r="AX3919">
        <v>0</v>
      </c>
      <c r="AY3919">
        <v>75.599999999999994</v>
      </c>
      <c r="BC3919" t="str">
        <f t="shared" si="528"/>
        <v>9791137601710</v>
      </c>
      <c r="BE3919" t="str">
        <f t="shared" si="529"/>
        <v>판타지 웹소설 &gt; 퓨전 판타지</v>
      </c>
    </row>
    <row r="3920" spans="1:57" x14ac:dyDescent="0.3">
      <c r="A3920">
        <v>2313017657</v>
      </c>
      <c r="B3920">
        <v>2313017703</v>
      </c>
      <c r="C3920" t="str">
        <f>T("회귀자의 슬기로운 복수생활 47화")</f>
        <v>회귀자의 슬기로운 복수생활 47화</v>
      </c>
      <c r="D3920" t="str">
        <f>T("47")</f>
        <v>47</v>
      </c>
      <c r="E3920" t="str">
        <f t="shared" si="525"/>
        <v>구공</v>
      </c>
      <c r="H3920" t="str">
        <f t="shared" si="526"/>
        <v>스토리위즈</v>
      </c>
      <c r="I3920" t="str">
        <f t="shared" si="527"/>
        <v>회귀자의 슬기로운 복수생활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120</v>
      </c>
      <c r="AN3920">
        <v>-12</v>
      </c>
      <c r="AO3920">
        <v>0</v>
      </c>
      <c r="AP3920"/>
      <c r="AQ3920">
        <v>0</v>
      </c>
      <c r="AR3920">
        <v>0</v>
      </c>
      <c r="AS3920">
        <v>120</v>
      </c>
      <c r="AT3920">
        <v>-12</v>
      </c>
      <c r="AU3920">
        <v>0</v>
      </c>
      <c r="AW3920">
        <v>0</v>
      </c>
      <c r="AX3920">
        <v>0</v>
      </c>
      <c r="AY3920">
        <v>75.599999999999994</v>
      </c>
      <c r="BC3920" t="str">
        <f t="shared" si="528"/>
        <v>9791137601710</v>
      </c>
      <c r="BE3920" t="str">
        <f t="shared" si="529"/>
        <v>판타지 웹소설 &gt; 퓨전 판타지</v>
      </c>
    </row>
    <row r="3921" spans="1:57" x14ac:dyDescent="0.3">
      <c r="A3921">
        <v>2313017657</v>
      </c>
      <c r="B3921">
        <v>2313017704</v>
      </c>
      <c r="C3921" t="str">
        <f>T("회귀자의 슬기로운 복수생활 48화")</f>
        <v>회귀자의 슬기로운 복수생활 48화</v>
      </c>
      <c r="D3921" t="str">
        <f>T("48")</f>
        <v>48</v>
      </c>
      <c r="E3921" t="str">
        <f t="shared" si="525"/>
        <v>구공</v>
      </c>
      <c r="H3921" t="str">
        <f t="shared" si="526"/>
        <v>스토리위즈</v>
      </c>
      <c r="I3921" t="str">
        <f t="shared" si="527"/>
        <v>회귀자의 슬기로운 복수생활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0</v>
      </c>
      <c r="AL3921">
        <v>0</v>
      </c>
      <c r="AM3921">
        <v>120</v>
      </c>
      <c r="AN3921">
        <v>-12</v>
      </c>
      <c r="AO3921">
        <v>0</v>
      </c>
      <c r="AP3921"/>
      <c r="AQ3921">
        <v>0</v>
      </c>
      <c r="AR3921">
        <v>0</v>
      </c>
      <c r="AS3921">
        <v>120</v>
      </c>
      <c r="AT3921">
        <v>-12</v>
      </c>
      <c r="AU3921">
        <v>0</v>
      </c>
      <c r="AW3921">
        <v>0</v>
      </c>
      <c r="AX3921">
        <v>0</v>
      </c>
      <c r="AY3921">
        <v>75.599999999999994</v>
      </c>
      <c r="BC3921" t="str">
        <f t="shared" si="528"/>
        <v>9791137601710</v>
      </c>
      <c r="BE3921" t="str">
        <f t="shared" si="529"/>
        <v>판타지 웹소설 &gt; 퓨전 판타지</v>
      </c>
    </row>
    <row r="3922" spans="1:57" x14ac:dyDescent="0.3">
      <c r="A3922">
        <v>2313017657</v>
      </c>
      <c r="B3922">
        <v>2313017705</v>
      </c>
      <c r="C3922" t="str">
        <f>T("회귀자의 슬기로운 복수생활 49화")</f>
        <v>회귀자의 슬기로운 복수생활 49화</v>
      </c>
      <c r="D3922" t="str">
        <f>T("49")</f>
        <v>49</v>
      </c>
      <c r="E3922" t="str">
        <f t="shared" si="525"/>
        <v>구공</v>
      </c>
      <c r="H3922" t="str">
        <f t="shared" si="526"/>
        <v>스토리위즈</v>
      </c>
      <c r="I3922" t="str">
        <f t="shared" si="527"/>
        <v>회귀자의 슬기로운 복수생활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0</v>
      </c>
      <c r="AL3922">
        <v>0</v>
      </c>
      <c r="AM3922">
        <v>120</v>
      </c>
      <c r="AN3922">
        <v>-12</v>
      </c>
      <c r="AO3922">
        <v>0</v>
      </c>
      <c r="AP3922"/>
      <c r="AQ3922">
        <v>0</v>
      </c>
      <c r="AR3922">
        <v>0</v>
      </c>
      <c r="AS3922">
        <v>120</v>
      </c>
      <c r="AT3922">
        <v>-12</v>
      </c>
      <c r="AU3922">
        <v>0</v>
      </c>
      <c r="AW3922">
        <v>0</v>
      </c>
      <c r="AX3922">
        <v>0</v>
      </c>
      <c r="AY3922">
        <v>75.599999999999994</v>
      </c>
      <c r="BC3922" t="str">
        <f t="shared" si="528"/>
        <v>9791137601710</v>
      </c>
      <c r="BE3922" t="str">
        <f t="shared" si="529"/>
        <v>판타지 웹소설 &gt; 퓨전 판타지</v>
      </c>
    </row>
    <row r="3923" spans="1:57" x14ac:dyDescent="0.3">
      <c r="A3923">
        <v>2313017657</v>
      </c>
      <c r="B3923">
        <v>2313017706</v>
      </c>
      <c r="C3923" t="str">
        <f>T("회귀자의 슬기로운 복수생활 50화")</f>
        <v>회귀자의 슬기로운 복수생활 50화</v>
      </c>
      <c r="D3923" t="str">
        <f>T("50")</f>
        <v>50</v>
      </c>
      <c r="E3923" t="str">
        <f t="shared" si="525"/>
        <v>구공</v>
      </c>
      <c r="H3923" t="str">
        <f t="shared" si="526"/>
        <v>스토리위즈</v>
      </c>
      <c r="I3923" t="str">
        <f t="shared" si="527"/>
        <v>회귀자의 슬기로운 복수생활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120</v>
      </c>
      <c r="AN3923">
        <v>-12</v>
      </c>
      <c r="AO3923">
        <v>0</v>
      </c>
      <c r="AP3923"/>
      <c r="AQ3923">
        <v>0</v>
      </c>
      <c r="AR3923">
        <v>0</v>
      </c>
      <c r="AS3923">
        <v>120</v>
      </c>
      <c r="AT3923">
        <v>-12</v>
      </c>
      <c r="AU3923">
        <v>0</v>
      </c>
      <c r="AW3923">
        <v>0</v>
      </c>
      <c r="AX3923">
        <v>0</v>
      </c>
      <c r="AY3923">
        <v>75.599999999999994</v>
      </c>
      <c r="BC3923" t="str">
        <f t="shared" si="528"/>
        <v>9791137601710</v>
      </c>
      <c r="BE3923" t="str">
        <f t="shared" si="529"/>
        <v>판타지 웹소설 &gt; 퓨전 판타지</v>
      </c>
    </row>
    <row r="3924" spans="1:57" x14ac:dyDescent="0.3">
      <c r="A3924">
        <v>2313017657</v>
      </c>
      <c r="B3924">
        <v>2313017707</v>
      </c>
      <c r="C3924" t="str">
        <f>T("회귀자의 슬기로운 복수생활 51화")</f>
        <v>회귀자의 슬기로운 복수생활 51화</v>
      </c>
      <c r="D3924" t="str">
        <f>T("51")</f>
        <v>51</v>
      </c>
      <c r="E3924" t="str">
        <f t="shared" si="525"/>
        <v>구공</v>
      </c>
      <c r="H3924" t="str">
        <f t="shared" si="526"/>
        <v>스토리위즈</v>
      </c>
      <c r="I3924" t="str">
        <f t="shared" si="527"/>
        <v>회귀자의 슬기로운 복수생활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0</v>
      </c>
      <c r="AL3924">
        <v>0</v>
      </c>
      <c r="AM3924">
        <v>120</v>
      </c>
      <c r="AN3924">
        <v>-12</v>
      </c>
      <c r="AO3924">
        <v>0</v>
      </c>
      <c r="AP3924"/>
      <c r="AQ3924">
        <v>0</v>
      </c>
      <c r="AR3924">
        <v>0</v>
      </c>
      <c r="AS3924">
        <v>120</v>
      </c>
      <c r="AT3924">
        <v>-12</v>
      </c>
      <c r="AU3924">
        <v>0</v>
      </c>
      <c r="AW3924">
        <v>0</v>
      </c>
      <c r="AX3924">
        <v>0</v>
      </c>
      <c r="AY3924">
        <v>75.599999999999994</v>
      </c>
      <c r="BC3924" t="str">
        <f t="shared" si="528"/>
        <v>9791137601710</v>
      </c>
      <c r="BE3924" t="str">
        <f t="shared" si="529"/>
        <v>판타지 웹소설 &gt; 퓨전 판타지</v>
      </c>
    </row>
    <row r="3925" spans="1:57" x14ac:dyDescent="0.3">
      <c r="A3925">
        <v>2313017657</v>
      </c>
      <c r="B3925">
        <v>2313017708</v>
      </c>
      <c r="C3925" t="str">
        <f>T("회귀자의 슬기로운 복수생활 52화")</f>
        <v>회귀자의 슬기로운 복수생활 52화</v>
      </c>
      <c r="D3925" t="str">
        <f>T("52")</f>
        <v>52</v>
      </c>
      <c r="E3925" t="str">
        <f t="shared" si="525"/>
        <v>구공</v>
      </c>
      <c r="H3925" t="str">
        <f t="shared" si="526"/>
        <v>스토리위즈</v>
      </c>
      <c r="I3925" t="str">
        <f t="shared" si="527"/>
        <v>회귀자의 슬기로운 복수생활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0</v>
      </c>
      <c r="AL3925">
        <v>0</v>
      </c>
      <c r="AM3925">
        <v>120</v>
      </c>
      <c r="AN3925">
        <v>-12</v>
      </c>
      <c r="AO3925">
        <v>0</v>
      </c>
      <c r="AP3925"/>
      <c r="AQ3925">
        <v>0</v>
      </c>
      <c r="AR3925">
        <v>0</v>
      </c>
      <c r="AS3925">
        <v>120</v>
      </c>
      <c r="AT3925">
        <v>-12</v>
      </c>
      <c r="AU3925">
        <v>0</v>
      </c>
      <c r="AW3925">
        <v>0</v>
      </c>
      <c r="AX3925">
        <v>0</v>
      </c>
      <c r="AY3925">
        <v>75.599999999999994</v>
      </c>
      <c r="BC3925" t="str">
        <f t="shared" si="528"/>
        <v>9791137601710</v>
      </c>
      <c r="BE3925" t="str">
        <f t="shared" si="529"/>
        <v>판타지 웹소설 &gt; 퓨전 판타지</v>
      </c>
    </row>
    <row r="3926" spans="1:57" x14ac:dyDescent="0.3">
      <c r="A3926">
        <v>2313017657</v>
      </c>
      <c r="B3926">
        <v>2313017709</v>
      </c>
      <c r="C3926" t="str">
        <f>T("회귀자의 슬기로운 복수생활 53화")</f>
        <v>회귀자의 슬기로운 복수생활 53화</v>
      </c>
      <c r="D3926" t="str">
        <f>T("53")</f>
        <v>53</v>
      </c>
      <c r="E3926" t="str">
        <f t="shared" si="525"/>
        <v>구공</v>
      </c>
      <c r="H3926" t="str">
        <f t="shared" si="526"/>
        <v>스토리위즈</v>
      </c>
      <c r="I3926" t="str">
        <f t="shared" si="527"/>
        <v>회귀자의 슬기로운 복수생활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9</v>
      </c>
      <c r="AL3926">
        <v>0</v>
      </c>
      <c r="AM3926">
        <v>109.2</v>
      </c>
      <c r="AN3926">
        <v>-10.92</v>
      </c>
      <c r="AO3926">
        <v>0</v>
      </c>
      <c r="AP3926"/>
      <c r="AQ3926">
        <v>0</v>
      </c>
      <c r="AR3926">
        <v>0</v>
      </c>
      <c r="AS3926">
        <v>109.2</v>
      </c>
      <c r="AT3926">
        <v>-10.92</v>
      </c>
      <c r="AU3926">
        <v>0</v>
      </c>
      <c r="AW3926">
        <v>0</v>
      </c>
      <c r="AX3926">
        <v>0</v>
      </c>
      <c r="AY3926">
        <v>75.099999999999994</v>
      </c>
      <c r="BC3926" t="str">
        <f t="shared" si="528"/>
        <v>9791137601710</v>
      </c>
      <c r="BE3926" t="str">
        <f t="shared" si="529"/>
        <v>판타지 웹소설 &gt; 퓨전 판타지</v>
      </c>
    </row>
    <row r="3927" spans="1:57" x14ac:dyDescent="0.3">
      <c r="A3927">
        <v>2313017657</v>
      </c>
      <c r="B3927">
        <v>2313017710</v>
      </c>
      <c r="C3927" t="str">
        <f>T("회귀자의 슬기로운 복수생활 54화")</f>
        <v>회귀자의 슬기로운 복수생활 54화</v>
      </c>
      <c r="D3927" t="str">
        <f>T("54")</f>
        <v>54</v>
      </c>
      <c r="E3927" t="str">
        <f t="shared" si="525"/>
        <v>구공</v>
      </c>
      <c r="H3927" t="str">
        <f t="shared" si="526"/>
        <v>스토리위즈</v>
      </c>
      <c r="I3927" t="str">
        <f t="shared" si="527"/>
        <v>회귀자의 슬기로운 복수생활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9</v>
      </c>
      <c r="AL3927">
        <v>0</v>
      </c>
      <c r="AM3927">
        <v>109.2</v>
      </c>
      <c r="AN3927">
        <v>-10.92</v>
      </c>
      <c r="AO3927">
        <v>0</v>
      </c>
      <c r="AP3927"/>
      <c r="AQ3927">
        <v>0</v>
      </c>
      <c r="AR3927">
        <v>0</v>
      </c>
      <c r="AS3927">
        <v>109.2</v>
      </c>
      <c r="AT3927">
        <v>-10.92</v>
      </c>
      <c r="AU3927">
        <v>0</v>
      </c>
      <c r="AW3927">
        <v>0</v>
      </c>
      <c r="AX3927">
        <v>0</v>
      </c>
      <c r="AY3927">
        <v>75.099999999999994</v>
      </c>
      <c r="BC3927" t="str">
        <f t="shared" si="528"/>
        <v>9791137601710</v>
      </c>
      <c r="BE3927" t="str">
        <f t="shared" si="529"/>
        <v>판타지 웹소설 &gt; 퓨전 판타지</v>
      </c>
    </row>
    <row r="3928" spans="1:57" x14ac:dyDescent="0.3">
      <c r="A3928">
        <v>2313017657</v>
      </c>
      <c r="B3928">
        <v>2313017711</v>
      </c>
      <c r="C3928" t="str">
        <f>T("회귀자의 슬기로운 복수생활 55화")</f>
        <v>회귀자의 슬기로운 복수생활 55화</v>
      </c>
      <c r="D3928" t="str">
        <f>T("55")</f>
        <v>55</v>
      </c>
      <c r="E3928" t="str">
        <f t="shared" si="525"/>
        <v>구공</v>
      </c>
      <c r="H3928" t="str">
        <f t="shared" si="526"/>
        <v>스토리위즈</v>
      </c>
      <c r="I3928" t="str">
        <f t="shared" si="527"/>
        <v>회귀자의 슬기로운 복수생활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9</v>
      </c>
      <c r="AL3928">
        <v>0</v>
      </c>
      <c r="AM3928">
        <v>109.2</v>
      </c>
      <c r="AN3928">
        <v>-10.92</v>
      </c>
      <c r="AO3928">
        <v>0</v>
      </c>
      <c r="AP3928"/>
      <c r="AQ3928">
        <v>0</v>
      </c>
      <c r="AR3928">
        <v>0</v>
      </c>
      <c r="AS3928">
        <v>109.2</v>
      </c>
      <c r="AT3928">
        <v>-10.92</v>
      </c>
      <c r="AU3928">
        <v>0</v>
      </c>
      <c r="AW3928">
        <v>0</v>
      </c>
      <c r="AX3928">
        <v>0</v>
      </c>
      <c r="AY3928">
        <v>75.099999999999994</v>
      </c>
      <c r="BC3928" t="str">
        <f t="shared" si="528"/>
        <v>9791137601710</v>
      </c>
      <c r="BE3928" t="str">
        <f t="shared" si="529"/>
        <v>판타지 웹소설 &gt; 퓨전 판타지</v>
      </c>
    </row>
    <row r="3929" spans="1:57" x14ac:dyDescent="0.3">
      <c r="A3929">
        <v>2313017657</v>
      </c>
      <c r="B3929">
        <v>2313017712</v>
      </c>
      <c r="C3929" t="str">
        <f>T("회귀자의 슬기로운 복수생활 56화")</f>
        <v>회귀자의 슬기로운 복수생활 56화</v>
      </c>
      <c r="D3929" t="str">
        <f>T("56")</f>
        <v>56</v>
      </c>
      <c r="E3929" t="str">
        <f t="shared" si="525"/>
        <v>구공</v>
      </c>
      <c r="H3929" t="str">
        <f t="shared" si="526"/>
        <v>스토리위즈</v>
      </c>
      <c r="I3929" t="str">
        <f t="shared" si="527"/>
        <v>회귀자의 슬기로운 복수생활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9</v>
      </c>
      <c r="AL3929">
        <v>0</v>
      </c>
      <c r="AM3929">
        <v>109.2</v>
      </c>
      <c r="AN3929">
        <v>-10.92</v>
      </c>
      <c r="AO3929">
        <v>0</v>
      </c>
      <c r="AP3929"/>
      <c r="AQ3929">
        <v>0</v>
      </c>
      <c r="AR3929">
        <v>0</v>
      </c>
      <c r="AS3929">
        <v>109.2</v>
      </c>
      <c r="AT3929">
        <v>-10.92</v>
      </c>
      <c r="AU3929">
        <v>0</v>
      </c>
      <c r="AW3929">
        <v>0</v>
      </c>
      <c r="AX3929">
        <v>0</v>
      </c>
      <c r="AY3929">
        <v>75.099999999999994</v>
      </c>
      <c r="BC3929" t="str">
        <f t="shared" si="528"/>
        <v>9791137601710</v>
      </c>
      <c r="BE3929" t="str">
        <f t="shared" si="529"/>
        <v>판타지 웹소설 &gt; 퓨전 판타지</v>
      </c>
    </row>
    <row r="3930" spans="1:57" x14ac:dyDescent="0.3">
      <c r="A3930">
        <v>2313017657</v>
      </c>
      <c r="B3930">
        <v>2313017713</v>
      </c>
      <c r="C3930" t="str">
        <f>T("회귀자의 슬기로운 복수생활 57화")</f>
        <v>회귀자의 슬기로운 복수생활 57화</v>
      </c>
      <c r="D3930" t="str">
        <f>T("57")</f>
        <v>57</v>
      </c>
      <c r="E3930" t="str">
        <f t="shared" si="525"/>
        <v>구공</v>
      </c>
      <c r="H3930" t="str">
        <f t="shared" si="526"/>
        <v>스토리위즈</v>
      </c>
      <c r="I3930" t="str">
        <f t="shared" si="527"/>
        <v>회귀자의 슬기로운 복수생활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9</v>
      </c>
      <c r="AL3930">
        <v>0</v>
      </c>
      <c r="AM3930">
        <v>109.2</v>
      </c>
      <c r="AN3930">
        <v>-10.92</v>
      </c>
      <c r="AO3930">
        <v>0</v>
      </c>
      <c r="AP3930"/>
      <c r="AQ3930">
        <v>0</v>
      </c>
      <c r="AR3930">
        <v>0</v>
      </c>
      <c r="AS3930">
        <v>109.2</v>
      </c>
      <c r="AT3930">
        <v>-10.92</v>
      </c>
      <c r="AU3930">
        <v>0</v>
      </c>
      <c r="AW3930">
        <v>0</v>
      </c>
      <c r="AX3930">
        <v>0</v>
      </c>
      <c r="AY3930">
        <v>75.099999999999994</v>
      </c>
      <c r="BC3930" t="str">
        <f t="shared" si="528"/>
        <v>9791137601710</v>
      </c>
      <c r="BE3930" t="str">
        <f t="shared" si="529"/>
        <v>판타지 웹소설 &gt; 퓨전 판타지</v>
      </c>
    </row>
    <row r="3931" spans="1:57" x14ac:dyDescent="0.3">
      <c r="A3931">
        <v>2313017657</v>
      </c>
      <c r="B3931">
        <v>2313017714</v>
      </c>
      <c r="C3931" t="str">
        <f>T("회귀자의 슬기로운 복수생활 58화")</f>
        <v>회귀자의 슬기로운 복수생활 58화</v>
      </c>
      <c r="D3931" t="str">
        <f>T("58")</f>
        <v>58</v>
      </c>
      <c r="E3931" t="str">
        <f t="shared" si="525"/>
        <v>구공</v>
      </c>
      <c r="H3931" t="str">
        <f t="shared" si="526"/>
        <v>스토리위즈</v>
      </c>
      <c r="I3931" t="str">
        <f t="shared" si="527"/>
        <v>회귀자의 슬기로운 복수생활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9</v>
      </c>
      <c r="AL3931">
        <v>0</v>
      </c>
      <c r="AM3931">
        <v>109.2</v>
      </c>
      <c r="AN3931">
        <v>-10.92</v>
      </c>
      <c r="AO3931">
        <v>0</v>
      </c>
      <c r="AP3931"/>
      <c r="AQ3931">
        <v>0</v>
      </c>
      <c r="AR3931">
        <v>0</v>
      </c>
      <c r="AS3931">
        <v>109.2</v>
      </c>
      <c r="AT3931">
        <v>-10.92</v>
      </c>
      <c r="AU3931">
        <v>0</v>
      </c>
      <c r="AW3931">
        <v>0</v>
      </c>
      <c r="AX3931">
        <v>0</v>
      </c>
      <c r="AY3931">
        <v>75.099999999999994</v>
      </c>
      <c r="BC3931" t="str">
        <f t="shared" si="528"/>
        <v>9791137601710</v>
      </c>
      <c r="BE3931" t="str">
        <f t="shared" si="529"/>
        <v>판타지 웹소설 &gt; 퓨전 판타지</v>
      </c>
    </row>
    <row r="3932" spans="1:57" x14ac:dyDescent="0.3">
      <c r="A3932">
        <v>2313017657</v>
      </c>
      <c r="B3932">
        <v>2313017715</v>
      </c>
      <c r="C3932" t="str">
        <f>T("회귀자의 슬기로운 복수생활 59화")</f>
        <v>회귀자의 슬기로운 복수생활 59화</v>
      </c>
      <c r="D3932" t="str">
        <f>T("59")</f>
        <v>59</v>
      </c>
      <c r="E3932" t="str">
        <f t="shared" si="525"/>
        <v>구공</v>
      </c>
      <c r="H3932" t="str">
        <f t="shared" si="526"/>
        <v>스토리위즈</v>
      </c>
      <c r="I3932" t="str">
        <f t="shared" si="527"/>
        <v>회귀자의 슬기로운 복수생활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9</v>
      </c>
      <c r="AL3932">
        <v>0</v>
      </c>
      <c r="AM3932">
        <v>109.2</v>
      </c>
      <c r="AN3932">
        <v>-10.92</v>
      </c>
      <c r="AO3932">
        <v>0</v>
      </c>
      <c r="AP3932"/>
      <c r="AQ3932">
        <v>0</v>
      </c>
      <c r="AR3932">
        <v>0</v>
      </c>
      <c r="AS3932">
        <v>109.2</v>
      </c>
      <c r="AT3932">
        <v>-10.92</v>
      </c>
      <c r="AU3932">
        <v>0</v>
      </c>
      <c r="AW3932">
        <v>0</v>
      </c>
      <c r="AX3932">
        <v>0</v>
      </c>
      <c r="AY3932">
        <v>75.099999999999994</v>
      </c>
      <c r="BC3932" t="str">
        <f t="shared" si="528"/>
        <v>9791137601710</v>
      </c>
      <c r="BE3932" t="str">
        <f t="shared" si="529"/>
        <v>판타지 웹소설 &gt; 퓨전 판타지</v>
      </c>
    </row>
    <row r="3933" spans="1:57" x14ac:dyDescent="0.3">
      <c r="A3933">
        <v>2313017657</v>
      </c>
      <c r="B3933">
        <v>2313017716</v>
      </c>
      <c r="C3933" t="str">
        <f>T("회귀자의 슬기로운 복수생활 60화")</f>
        <v>회귀자의 슬기로운 복수생활 60화</v>
      </c>
      <c r="D3933" t="str">
        <f>T("60")</f>
        <v>60</v>
      </c>
      <c r="E3933" t="str">
        <f t="shared" si="525"/>
        <v>구공</v>
      </c>
      <c r="H3933" t="str">
        <f t="shared" si="526"/>
        <v>스토리위즈</v>
      </c>
      <c r="I3933" t="str">
        <f t="shared" si="527"/>
        <v>회귀자의 슬기로운 복수생활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9</v>
      </c>
      <c r="AL3933">
        <v>0</v>
      </c>
      <c r="AM3933">
        <v>109.2</v>
      </c>
      <c r="AN3933">
        <v>-10.92</v>
      </c>
      <c r="AO3933">
        <v>0</v>
      </c>
      <c r="AP3933"/>
      <c r="AQ3933">
        <v>0</v>
      </c>
      <c r="AR3933">
        <v>0</v>
      </c>
      <c r="AS3933">
        <v>109.2</v>
      </c>
      <c r="AT3933">
        <v>-10.92</v>
      </c>
      <c r="AU3933">
        <v>0</v>
      </c>
      <c r="AW3933">
        <v>0</v>
      </c>
      <c r="AX3933">
        <v>0</v>
      </c>
      <c r="AY3933">
        <v>75.099999999999994</v>
      </c>
      <c r="BC3933" t="str">
        <f t="shared" si="528"/>
        <v>9791137601710</v>
      </c>
      <c r="BE3933" t="str">
        <f t="shared" si="529"/>
        <v>판타지 웹소설 &gt; 퓨전 판타지</v>
      </c>
    </row>
    <row r="3934" spans="1:57" x14ac:dyDescent="0.3">
      <c r="A3934">
        <v>2313017657</v>
      </c>
      <c r="B3934">
        <v>2313017717</v>
      </c>
      <c r="C3934" t="str">
        <f>T("회귀자의 슬기로운 복수생활 61화")</f>
        <v>회귀자의 슬기로운 복수생활 61화</v>
      </c>
      <c r="D3934" t="str">
        <f>T("61")</f>
        <v>61</v>
      </c>
      <c r="E3934" t="str">
        <f t="shared" si="525"/>
        <v>구공</v>
      </c>
      <c r="H3934" t="str">
        <f t="shared" si="526"/>
        <v>스토리위즈</v>
      </c>
      <c r="I3934" t="str">
        <f t="shared" si="527"/>
        <v>회귀자의 슬기로운 복수생활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9</v>
      </c>
      <c r="AL3934">
        <v>0</v>
      </c>
      <c r="AM3934">
        <v>109.2</v>
      </c>
      <c r="AN3934">
        <v>-10.92</v>
      </c>
      <c r="AO3934">
        <v>0</v>
      </c>
      <c r="AP3934"/>
      <c r="AQ3934">
        <v>0</v>
      </c>
      <c r="AR3934">
        <v>0</v>
      </c>
      <c r="AS3934">
        <v>109.2</v>
      </c>
      <c r="AT3934">
        <v>-10.92</v>
      </c>
      <c r="AU3934">
        <v>0</v>
      </c>
      <c r="AW3934">
        <v>0</v>
      </c>
      <c r="AX3934">
        <v>0</v>
      </c>
      <c r="AY3934">
        <v>75.099999999999994</v>
      </c>
      <c r="BC3934" t="str">
        <f t="shared" si="528"/>
        <v>9791137601710</v>
      </c>
      <c r="BE3934" t="str">
        <f t="shared" si="529"/>
        <v>판타지 웹소설 &gt; 퓨전 판타지</v>
      </c>
    </row>
    <row r="3935" spans="1:57" x14ac:dyDescent="0.3">
      <c r="A3935">
        <v>2313017657</v>
      </c>
      <c r="B3935">
        <v>2313017718</v>
      </c>
      <c r="C3935" t="str">
        <f>T("회귀자의 슬기로운 복수생활 62화")</f>
        <v>회귀자의 슬기로운 복수생활 62화</v>
      </c>
      <c r="D3935" t="str">
        <f>T("62")</f>
        <v>62</v>
      </c>
      <c r="E3935" t="str">
        <f t="shared" si="525"/>
        <v>구공</v>
      </c>
      <c r="H3935" t="str">
        <f t="shared" si="526"/>
        <v>스토리위즈</v>
      </c>
      <c r="I3935" t="str">
        <f t="shared" si="527"/>
        <v>회귀자의 슬기로운 복수생활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9</v>
      </c>
      <c r="AL3935">
        <v>0</v>
      </c>
      <c r="AM3935">
        <v>109.2</v>
      </c>
      <c r="AN3935">
        <v>-10.92</v>
      </c>
      <c r="AO3935">
        <v>0</v>
      </c>
      <c r="AP3935"/>
      <c r="AQ3935">
        <v>0</v>
      </c>
      <c r="AR3935">
        <v>0</v>
      </c>
      <c r="AS3935">
        <v>109.2</v>
      </c>
      <c r="AT3935">
        <v>-10.92</v>
      </c>
      <c r="AU3935">
        <v>0</v>
      </c>
      <c r="AW3935">
        <v>0</v>
      </c>
      <c r="AX3935">
        <v>0</v>
      </c>
      <c r="AY3935">
        <v>75.099999999999994</v>
      </c>
      <c r="BC3935" t="str">
        <f t="shared" si="528"/>
        <v>9791137601710</v>
      </c>
      <c r="BE3935" t="str">
        <f t="shared" si="529"/>
        <v>판타지 웹소설 &gt; 퓨전 판타지</v>
      </c>
    </row>
    <row r="3936" spans="1:57" x14ac:dyDescent="0.3">
      <c r="A3936">
        <v>2313017657</v>
      </c>
      <c r="B3936">
        <v>2313017719</v>
      </c>
      <c r="C3936" t="str">
        <f>T("회귀자의 슬기로운 복수생활 63화")</f>
        <v>회귀자의 슬기로운 복수생활 63화</v>
      </c>
      <c r="D3936" t="str">
        <f>T("63")</f>
        <v>63</v>
      </c>
      <c r="E3936" t="str">
        <f t="shared" si="525"/>
        <v>구공</v>
      </c>
      <c r="H3936" t="str">
        <f t="shared" si="526"/>
        <v>스토리위즈</v>
      </c>
      <c r="I3936" t="str">
        <f t="shared" si="527"/>
        <v>회귀자의 슬기로운 복수생활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9</v>
      </c>
      <c r="AL3936">
        <v>0</v>
      </c>
      <c r="AM3936">
        <v>109.2</v>
      </c>
      <c r="AN3936">
        <v>-10.92</v>
      </c>
      <c r="AO3936">
        <v>0</v>
      </c>
      <c r="AP3936"/>
      <c r="AQ3936">
        <v>0</v>
      </c>
      <c r="AR3936">
        <v>0</v>
      </c>
      <c r="AS3936">
        <v>109.2</v>
      </c>
      <c r="AT3936">
        <v>-10.92</v>
      </c>
      <c r="AU3936">
        <v>0</v>
      </c>
      <c r="AW3936">
        <v>0</v>
      </c>
      <c r="AX3936">
        <v>0</v>
      </c>
      <c r="AY3936">
        <v>75.099999999999994</v>
      </c>
      <c r="BC3936" t="str">
        <f t="shared" si="528"/>
        <v>9791137601710</v>
      </c>
      <c r="BE3936" t="str">
        <f t="shared" si="529"/>
        <v>판타지 웹소설 &gt; 퓨전 판타지</v>
      </c>
    </row>
    <row r="3937" spans="1:57" x14ac:dyDescent="0.3">
      <c r="A3937">
        <v>2313017657</v>
      </c>
      <c r="B3937">
        <v>2313017720</v>
      </c>
      <c r="C3937" t="str">
        <f>T("회귀자의 슬기로운 복수생활 64화")</f>
        <v>회귀자의 슬기로운 복수생활 64화</v>
      </c>
      <c r="D3937" t="str">
        <f>T("64")</f>
        <v>64</v>
      </c>
      <c r="E3937" t="str">
        <f t="shared" si="525"/>
        <v>구공</v>
      </c>
      <c r="H3937" t="str">
        <f t="shared" si="526"/>
        <v>스토리위즈</v>
      </c>
      <c r="I3937" t="str">
        <f t="shared" si="527"/>
        <v>회귀자의 슬기로운 복수생활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9</v>
      </c>
      <c r="AL3937">
        <v>0</v>
      </c>
      <c r="AM3937">
        <v>109.2</v>
      </c>
      <c r="AN3937">
        <v>-10.92</v>
      </c>
      <c r="AO3937">
        <v>0</v>
      </c>
      <c r="AP3937"/>
      <c r="AQ3937">
        <v>0</v>
      </c>
      <c r="AR3937">
        <v>0</v>
      </c>
      <c r="AS3937">
        <v>109.2</v>
      </c>
      <c r="AT3937">
        <v>-10.92</v>
      </c>
      <c r="AU3937">
        <v>0</v>
      </c>
      <c r="AW3937">
        <v>0</v>
      </c>
      <c r="AX3937">
        <v>0</v>
      </c>
      <c r="AY3937">
        <v>75.099999999999994</v>
      </c>
      <c r="BC3937" t="str">
        <f t="shared" si="528"/>
        <v>9791137601710</v>
      </c>
      <c r="BE3937" t="str">
        <f t="shared" si="529"/>
        <v>판타지 웹소설 &gt; 퓨전 판타지</v>
      </c>
    </row>
    <row r="3938" spans="1:57" x14ac:dyDescent="0.3">
      <c r="A3938">
        <v>2313017657</v>
      </c>
      <c r="B3938">
        <v>2313017721</v>
      </c>
      <c r="C3938" t="str">
        <f>T("회귀자의 슬기로운 복수생활 65화")</f>
        <v>회귀자의 슬기로운 복수생활 65화</v>
      </c>
      <c r="D3938" t="str">
        <f>T("65")</f>
        <v>65</v>
      </c>
      <c r="E3938" t="str">
        <f t="shared" si="525"/>
        <v>구공</v>
      </c>
      <c r="H3938" t="str">
        <f t="shared" si="526"/>
        <v>스토리위즈</v>
      </c>
      <c r="I3938" t="str">
        <f t="shared" si="527"/>
        <v>회귀자의 슬기로운 복수생활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9</v>
      </c>
      <c r="AL3938">
        <v>0</v>
      </c>
      <c r="AM3938">
        <v>109.2</v>
      </c>
      <c r="AN3938">
        <v>-10.92</v>
      </c>
      <c r="AO3938">
        <v>0</v>
      </c>
      <c r="AP3938"/>
      <c r="AQ3938">
        <v>0</v>
      </c>
      <c r="AR3938">
        <v>0</v>
      </c>
      <c r="AS3938">
        <v>109.2</v>
      </c>
      <c r="AT3938">
        <v>-10.92</v>
      </c>
      <c r="AU3938">
        <v>0</v>
      </c>
      <c r="AW3938">
        <v>0</v>
      </c>
      <c r="AX3938">
        <v>0</v>
      </c>
      <c r="AY3938">
        <v>75.099999999999994</v>
      </c>
      <c r="BC3938" t="str">
        <f t="shared" si="528"/>
        <v>9791137601710</v>
      </c>
      <c r="BE3938" t="str">
        <f t="shared" si="529"/>
        <v>판타지 웹소설 &gt; 퓨전 판타지</v>
      </c>
    </row>
    <row r="3939" spans="1:57" x14ac:dyDescent="0.3">
      <c r="A3939">
        <v>2313017657</v>
      </c>
      <c r="B3939">
        <v>2313017722</v>
      </c>
      <c r="C3939" t="str">
        <f>T("회귀자의 슬기로운 복수생활 66화")</f>
        <v>회귀자의 슬기로운 복수생활 66화</v>
      </c>
      <c r="D3939" t="str">
        <f>T("66")</f>
        <v>66</v>
      </c>
      <c r="E3939" t="str">
        <f t="shared" si="525"/>
        <v>구공</v>
      </c>
      <c r="H3939" t="str">
        <f t="shared" si="526"/>
        <v>스토리위즈</v>
      </c>
      <c r="I3939" t="str">
        <f t="shared" si="527"/>
        <v>회귀자의 슬기로운 복수생활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9</v>
      </c>
      <c r="AL3939">
        <v>0</v>
      </c>
      <c r="AM3939">
        <v>109.2</v>
      </c>
      <c r="AN3939">
        <v>-10.92</v>
      </c>
      <c r="AO3939">
        <v>0</v>
      </c>
      <c r="AP3939"/>
      <c r="AQ3939">
        <v>0</v>
      </c>
      <c r="AR3939">
        <v>0</v>
      </c>
      <c r="AS3939">
        <v>109.2</v>
      </c>
      <c r="AT3939">
        <v>-10.92</v>
      </c>
      <c r="AU3939">
        <v>0</v>
      </c>
      <c r="AW3939">
        <v>0</v>
      </c>
      <c r="AX3939">
        <v>0</v>
      </c>
      <c r="AY3939">
        <v>75.099999999999994</v>
      </c>
      <c r="BC3939" t="str">
        <f t="shared" si="528"/>
        <v>9791137601710</v>
      </c>
      <c r="BE3939" t="str">
        <f t="shared" si="529"/>
        <v>판타지 웹소설 &gt; 퓨전 판타지</v>
      </c>
    </row>
    <row r="3940" spans="1:57" x14ac:dyDescent="0.3">
      <c r="A3940">
        <v>2313017657</v>
      </c>
      <c r="B3940">
        <v>2313017723</v>
      </c>
      <c r="C3940" t="str">
        <f>T("회귀자의 슬기로운 복수생활 67화")</f>
        <v>회귀자의 슬기로운 복수생활 67화</v>
      </c>
      <c r="D3940" t="str">
        <f>T("67")</f>
        <v>67</v>
      </c>
      <c r="E3940" t="str">
        <f t="shared" si="525"/>
        <v>구공</v>
      </c>
      <c r="H3940" t="str">
        <f t="shared" si="526"/>
        <v>스토리위즈</v>
      </c>
      <c r="I3940" t="str">
        <f t="shared" si="527"/>
        <v>회귀자의 슬기로운 복수생활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9</v>
      </c>
      <c r="AL3940">
        <v>0</v>
      </c>
      <c r="AM3940">
        <v>109.2</v>
      </c>
      <c r="AN3940">
        <v>-10.92</v>
      </c>
      <c r="AO3940">
        <v>0</v>
      </c>
      <c r="AP3940"/>
      <c r="AQ3940">
        <v>0</v>
      </c>
      <c r="AR3940">
        <v>0</v>
      </c>
      <c r="AS3940">
        <v>109.2</v>
      </c>
      <c r="AT3940">
        <v>-10.92</v>
      </c>
      <c r="AU3940">
        <v>0</v>
      </c>
      <c r="AW3940">
        <v>0</v>
      </c>
      <c r="AX3940">
        <v>0</v>
      </c>
      <c r="AY3940">
        <v>75.099999999999994</v>
      </c>
      <c r="BC3940" t="str">
        <f t="shared" si="528"/>
        <v>9791137601710</v>
      </c>
      <c r="BE3940" t="str">
        <f t="shared" si="529"/>
        <v>판타지 웹소설 &gt; 퓨전 판타지</v>
      </c>
    </row>
    <row r="3941" spans="1:57" x14ac:dyDescent="0.3">
      <c r="A3941">
        <v>2313017657</v>
      </c>
      <c r="B3941">
        <v>2313017724</v>
      </c>
      <c r="C3941" t="str">
        <f>T("회귀자의 슬기로운 복수생활 68화")</f>
        <v>회귀자의 슬기로운 복수생활 68화</v>
      </c>
      <c r="D3941" t="str">
        <f>T("68")</f>
        <v>68</v>
      </c>
      <c r="E3941" t="str">
        <f t="shared" si="525"/>
        <v>구공</v>
      </c>
      <c r="H3941" t="str">
        <f t="shared" si="526"/>
        <v>스토리위즈</v>
      </c>
      <c r="I3941" t="str">
        <f t="shared" si="527"/>
        <v>회귀자의 슬기로운 복수생활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9</v>
      </c>
      <c r="AL3941">
        <v>0</v>
      </c>
      <c r="AM3941">
        <v>109.2</v>
      </c>
      <c r="AN3941">
        <v>-10.92</v>
      </c>
      <c r="AO3941">
        <v>0</v>
      </c>
      <c r="AP3941"/>
      <c r="AQ3941">
        <v>0</v>
      </c>
      <c r="AR3941">
        <v>0</v>
      </c>
      <c r="AS3941">
        <v>109.2</v>
      </c>
      <c r="AT3941">
        <v>-10.92</v>
      </c>
      <c r="AU3941">
        <v>0</v>
      </c>
      <c r="AW3941">
        <v>0</v>
      </c>
      <c r="AX3941">
        <v>0</v>
      </c>
      <c r="AY3941">
        <v>75.099999999999994</v>
      </c>
      <c r="BC3941" t="str">
        <f t="shared" si="528"/>
        <v>9791137601710</v>
      </c>
      <c r="BE3941" t="str">
        <f t="shared" si="529"/>
        <v>판타지 웹소설 &gt; 퓨전 판타지</v>
      </c>
    </row>
    <row r="3942" spans="1:57" x14ac:dyDescent="0.3">
      <c r="A3942">
        <v>2313017657</v>
      </c>
      <c r="B3942">
        <v>2313017725</v>
      </c>
      <c r="C3942" t="str">
        <f>T("회귀자의 슬기로운 복수생활 69화")</f>
        <v>회귀자의 슬기로운 복수생활 69화</v>
      </c>
      <c r="D3942" t="str">
        <f>T("69")</f>
        <v>69</v>
      </c>
      <c r="E3942" t="str">
        <f t="shared" si="525"/>
        <v>구공</v>
      </c>
      <c r="H3942" t="str">
        <f t="shared" si="526"/>
        <v>스토리위즈</v>
      </c>
      <c r="I3942" t="str">
        <f t="shared" si="527"/>
        <v>회귀자의 슬기로운 복수생활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9</v>
      </c>
      <c r="AL3942">
        <v>0</v>
      </c>
      <c r="AM3942">
        <v>109.2</v>
      </c>
      <c r="AN3942">
        <v>-10.92</v>
      </c>
      <c r="AO3942">
        <v>0</v>
      </c>
      <c r="AP3942"/>
      <c r="AQ3942">
        <v>0</v>
      </c>
      <c r="AR3942">
        <v>0</v>
      </c>
      <c r="AS3942">
        <v>109.2</v>
      </c>
      <c r="AT3942">
        <v>-10.92</v>
      </c>
      <c r="AU3942">
        <v>0</v>
      </c>
      <c r="AW3942">
        <v>0</v>
      </c>
      <c r="AX3942">
        <v>0</v>
      </c>
      <c r="AY3942">
        <v>75.099999999999994</v>
      </c>
      <c r="BC3942" t="str">
        <f t="shared" si="528"/>
        <v>9791137601710</v>
      </c>
      <c r="BE3942" t="str">
        <f t="shared" si="529"/>
        <v>판타지 웹소설 &gt; 퓨전 판타지</v>
      </c>
    </row>
    <row r="3943" spans="1:57" x14ac:dyDescent="0.3">
      <c r="A3943">
        <v>2313017657</v>
      </c>
      <c r="B3943">
        <v>2313017726</v>
      </c>
      <c r="C3943" t="str">
        <f>T("회귀자의 슬기로운 복수생활 70화")</f>
        <v>회귀자의 슬기로운 복수생활 70화</v>
      </c>
      <c r="D3943" t="str">
        <f>T("70")</f>
        <v>70</v>
      </c>
      <c r="E3943" t="str">
        <f t="shared" si="525"/>
        <v>구공</v>
      </c>
      <c r="H3943" t="str">
        <f t="shared" si="526"/>
        <v>스토리위즈</v>
      </c>
      <c r="I3943" t="str">
        <f t="shared" si="527"/>
        <v>회귀자의 슬기로운 복수생활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9</v>
      </c>
      <c r="AL3943">
        <v>0</v>
      </c>
      <c r="AM3943">
        <v>109.2</v>
      </c>
      <c r="AN3943">
        <v>-10.92</v>
      </c>
      <c r="AO3943">
        <v>0</v>
      </c>
      <c r="AP3943"/>
      <c r="AQ3943">
        <v>0</v>
      </c>
      <c r="AR3943">
        <v>0</v>
      </c>
      <c r="AS3943">
        <v>109.2</v>
      </c>
      <c r="AT3943">
        <v>-10.92</v>
      </c>
      <c r="AU3943">
        <v>0</v>
      </c>
      <c r="AW3943">
        <v>0</v>
      </c>
      <c r="AX3943">
        <v>0</v>
      </c>
      <c r="AY3943">
        <v>75.099999999999994</v>
      </c>
      <c r="BC3943" t="str">
        <f t="shared" si="528"/>
        <v>9791137601710</v>
      </c>
      <c r="BE3943" t="str">
        <f t="shared" si="529"/>
        <v>판타지 웹소설 &gt; 퓨전 판타지</v>
      </c>
    </row>
    <row r="3944" spans="1:57" x14ac:dyDescent="0.3">
      <c r="A3944">
        <v>2313017657</v>
      </c>
      <c r="B3944">
        <v>2313017727</v>
      </c>
      <c r="C3944" t="str">
        <f>T("회귀자의 슬기로운 복수생활 71화")</f>
        <v>회귀자의 슬기로운 복수생활 71화</v>
      </c>
      <c r="D3944" t="str">
        <f>T("71")</f>
        <v>71</v>
      </c>
      <c r="E3944" t="str">
        <f t="shared" si="525"/>
        <v>구공</v>
      </c>
      <c r="H3944" t="str">
        <f t="shared" si="526"/>
        <v>스토리위즈</v>
      </c>
      <c r="I3944" t="str">
        <f t="shared" si="527"/>
        <v>회귀자의 슬기로운 복수생활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9</v>
      </c>
      <c r="AL3944">
        <v>0</v>
      </c>
      <c r="AM3944">
        <v>109.2</v>
      </c>
      <c r="AN3944">
        <v>-10.92</v>
      </c>
      <c r="AO3944">
        <v>0</v>
      </c>
      <c r="AP3944"/>
      <c r="AQ3944">
        <v>0</v>
      </c>
      <c r="AR3944">
        <v>0</v>
      </c>
      <c r="AS3944">
        <v>109.2</v>
      </c>
      <c r="AT3944">
        <v>-10.92</v>
      </c>
      <c r="AU3944">
        <v>0</v>
      </c>
      <c r="AW3944">
        <v>0</v>
      </c>
      <c r="AX3944">
        <v>0</v>
      </c>
      <c r="AY3944">
        <v>75.099999999999994</v>
      </c>
      <c r="BC3944" t="str">
        <f t="shared" si="528"/>
        <v>9791137601710</v>
      </c>
      <c r="BE3944" t="str">
        <f t="shared" si="529"/>
        <v>판타지 웹소설 &gt; 퓨전 판타지</v>
      </c>
    </row>
    <row r="3945" spans="1:57" x14ac:dyDescent="0.3">
      <c r="A3945">
        <v>2313017657</v>
      </c>
      <c r="B3945">
        <v>2313017728</v>
      </c>
      <c r="C3945" t="str">
        <f>T("회귀자의 슬기로운 복수생활 72화")</f>
        <v>회귀자의 슬기로운 복수생활 72화</v>
      </c>
      <c r="D3945" t="str">
        <f>T("72")</f>
        <v>72</v>
      </c>
      <c r="E3945" t="str">
        <f t="shared" si="525"/>
        <v>구공</v>
      </c>
      <c r="H3945" t="str">
        <f t="shared" si="526"/>
        <v>스토리위즈</v>
      </c>
      <c r="I3945" t="str">
        <f t="shared" si="527"/>
        <v>회귀자의 슬기로운 복수생활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9</v>
      </c>
      <c r="AL3945">
        <v>0</v>
      </c>
      <c r="AM3945">
        <v>109.2</v>
      </c>
      <c r="AN3945">
        <v>-10.92</v>
      </c>
      <c r="AO3945">
        <v>0</v>
      </c>
      <c r="AP3945"/>
      <c r="AQ3945">
        <v>0</v>
      </c>
      <c r="AR3945">
        <v>0</v>
      </c>
      <c r="AS3945">
        <v>109.2</v>
      </c>
      <c r="AT3945">
        <v>-10.92</v>
      </c>
      <c r="AU3945">
        <v>0</v>
      </c>
      <c r="AW3945">
        <v>0</v>
      </c>
      <c r="AX3945">
        <v>0</v>
      </c>
      <c r="AY3945">
        <v>75.099999999999994</v>
      </c>
      <c r="BC3945" t="str">
        <f t="shared" si="528"/>
        <v>9791137601710</v>
      </c>
      <c r="BE3945" t="str">
        <f t="shared" si="529"/>
        <v>판타지 웹소설 &gt; 퓨전 판타지</v>
      </c>
    </row>
    <row r="3946" spans="1:57" x14ac:dyDescent="0.3">
      <c r="A3946">
        <v>2313017657</v>
      </c>
      <c r="B3946">
        <v>2313017729</v>
      </c>
      <c r="C3946" t="str">
        <f>T("회귀자의 슬기로운 복수생활 73화")</f>
        <v>회귀자의 슬기로운 복수생활 73화</v>
      </c>
      <c r="D3946" t="str">
        <f>T("73")</f>
        <v>73</v>
      </c>
      <c r="E3946" t="str">
        <f t="shared" si="525"/>
        <v>구공</v>
      </c>
      <c r="H3946" t="str">
        <f t="shared" si="526"/>
        <v>스토리위즈</v>
      </c>
      <c r="I3946" t="str">
        <f t="shared" si="527"/>
        <v>회귀자의 슬기로운 복수생활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</v>
      </c>
      <c r="AL3946">
        <v>0</v>
      </c>
      <c r="AM3946">
        <v>108</v>
      </c>
      <c r="AN3946">
        <v>-10.8</v>
      </c>
      <c r="AO3946">
        <v>0</v>
      </c>
      <c r="AP3946"/>
      <c r="AQ3946">
        <v>0</v>
      </c>
      <c r="AR3946">
        <v>0</v>
      </c>
      <c r="AS3946">
        <v>108</v>
      </c>
      <c r="AT3946">
        <v>-10.8</v>
      </c>
      <c r="AU3946">
        <v>0</v>
      </c>
      <c r="AW3946">
        <v>0</v>
      </c>
      <c r="AX3946">
        <v>0</v>
      </c>
      <c r="AY3946">
        <v>75.040000000000006</v>
      </c>
      <c r="BC3946" t="str">
        <f t="shared" si="528"/>
        <v>9791137601710</v>
      </c>
      <c r="BE3946" t="str">
        <f t="shared" si="529"/>
        <v>판타지 웹소설 &gt; 퓨전 판타지</v>
      </c>
    </row>
    <row r="3947" spans="1:57" x14ac:dyDescent="0.3">
      <c r="A3947">
        <v>2313017657</v>
      </c>
      <c r="B3947">
        <v>2313017730</v>
      </c>
      <c r="C3947" t="str">
        <f>T("회귀자의 슬기로운 복수생활 74화")</f>
        <v>회귀자의 슬기로운 복수생활 74화</v>
      </c>
      <c r="D3947" t="str">
        <f>T("74")</f>
        <v>74</v>
      </c>
      <c r="E3947" t="str">
        <f t="shared" si="525"/>
        <v>구공</v>
      </c>
      <c r="H3947" t="str">
        <f t="shared" si="526"/>
        <v>스토리위즈</v>
      </c>
      <c r="I3947" t="str">
        <f t="shared" si="527"/>
        <v>회귀자의 슬기로운 복수생활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</v>
      </c>
      <c r="AL3947">
        <v>0</v>
      </c>
      <c r="AM3947">
        <v>108</v>
      </c>
      <c r="AN3947">
        <v>-10.8</v>
      </c>
      <c r="AO3947">
        <v>0</v>
      </c>
      <c r="AP3947"/>
      <c r="AQ3947">
        <v>0</v>
      </c>
      <c r="AR3947">
        <v>0</v>
      </c>
      <c r="AS3947">
        <v>108</v>
      </c>
      <c r="AT3947">
        <v>-10.8</v>
      </c>
      <c r="AU3947">
        <v>0</v>
      </c>
      <c r="AW3947">
        <v>0</v>
      </c>
      <c r="AX3947">
        <v>0</v>
      </c>
      <c r="AY3947">
        <v>75.040000000000006</v>
      </c>
      <c r="BC3947" t="str">
        <f t="shared" si="528"/>
        <v>9791137601710</v>
      </c>
      <c r="BE3947" t="str">
        <f t="shared" si="529"/>
        <v>판타지 웹소설 &gt; 퓨전 판타지</v>
      </c>
    </row>
    <row r="3948" spans="1:57" x14ac:dyDescent="0.3">
      <c r="A3948">
        <v>2313017657</v>
      </c>
      <c r="B3948">
        <v>2313017731</v>
      </c>
      <c r="C3948" t="str">
        <f>T("회귀자의 슬기로운 복수생활 75화")</f>
        <v>회귀자의 슬기로운 복수생활 75화</v>
      </c>
      <c r="D3948" t="str">
        <f>T("75")</f>
        <v>75</v>
      </c>
      <c r="E3948" t="str">
        <f t="shared" si="525"/>
        <v>구공</v>
      </c>
      <c r="H3948" t="str">
        <f t="shared" si="526"/>
        <v>스토리위즈</v>
      </c>
      <c r="I3948" t="str">
        <f t="shared" si="527"/>
        <v>회귀자의 슬기로운 복수생활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</v>
      </c>
      <c r="AL3948">
        <v>0</v>
      </c>
      <c r="AM3948">
        <v>108</v>
      </c>
      <c r="AN3948">
        <v>-10.8</v>
      </c>
      <c r="AO3948">
        <v>0</v>
      </c>
      <c r="AP3948"/>
      <c r="AQ3948">
        <v>0</v>
      </c>
      <c r="AR3948">
        <v>0</v>
      </c>
      <c r="AS3948">
        <v>108</v>
      </c>
      <c r="AT3948">
        <v>-10.8</v>
      </c>
      <c r="AU3948">
        <v>0</v>
      </c>
      <c r="AW3948">
        <v>0</v>
      </c>
      <c r="AX3948">
        <v>0</v>
      </c>
      <c r="AY3948">
        <v>75.040000000000006</v>
      </c>
      <c r="BC3948" t="str">
        <f t="shared" si="528"/>
        <v>9791137601710</v>
      </c>
      <c r="BE3948" t="str">
        <f t="shared" si="529"/>
        <v>판타지 웹소설 &gt; 퓨전 판타지</v>
      </c>
    </row>
    <row r="3949" spans="1:57" x14ac:dyDescent="0.3">
      <c r="A3949">
        <v>2313017657</v>
      </c>
      <c r="B3949">
        <v>2313017732</v>
      </c>
      <c r="C3949" t="str">
        <f>T("회귀자의 슬기로운 복수생활 76화")</f>
        <v>회귀자의 슬기로운 복수생활 76화</v>
      </c>
      <c r="D3949" t="str">
        <f>T("76")</f>
        <v>76</v>
      </c>
      <c r="E3949" t="str">
        <f t="shared" si="525"/>
        <v>구공</v>
      </c>
      <c r="H3949" t="str">
        <f t="shared" si="526"/>
        <v>스토리위즈</v>
      </c>
      <c r="I3949" t="str">
        <f t="shared" si="527"/>
        <v>회귀자의 슬기로운 복수생활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</v>
      </c>
      <c r="AL3949">
        <v>0</v>
      </c>
      <c r="AM3949">
        <v>108</v>
      </c>
      <c r="AN3949">
        <v>-10.8</v>
      </c>
      <c r="AO3949">
        <v>0</v>
      </c>
      <c r="AP3949"/>
      <c r="AQ3949">
        <v>0</v>
      </c>
      <c r="AR3949">
        <v>0</v>
      </c>
      <c r="AS3949">
        <v>108</v>
      </c>
      <c r="AT3949">
        <v>-10.8</v>
      </c>
      <c r="AU3949">
        <v>0</v>
      </c>
      <c r="AW3949">
        <v>0</v>
      </c>
      <c r="AX3949">
        <v>0</v>
      </c>
      <c r="AY3949">
        <v>75.040000000000006</v>
      </c>
      <c r="BC3949" t="str">
        <f t="shared" si="528"/>
        <v>9791137601710</v>
      </c>
      <c r="BE3949" t="str">
        <f t="shared" si="529"/>
        <v>판타지 웹소설 &gt; 퓨전 판타지</v>
      </c>
    </row>
    <row r="3950" spans="1:57" x14ac:dyDescent="0.3">
      <c r="A3950">
        <v>2313017657</v>
      </c>
      <c r="B3950">
        <v>2313017836</v>
      </c>
      <c r="C3950" t="str">
        <f>T("회귀자의 슬기로운 복수생활 180화")</f>
        <v>회귀자의 슬기로운 복수생활 180화</v>
      </c>
      <c r="D3950" t="str">
        <f>T("180")</f>
        <v>180</v>
      </c>
      <c r="E3950" t="str">
        <f t="shared" si="525"/>
        <v>구공</v>
      </c>
      <c r="H3950" t="str">
        <f t="shared" si="526"/>
        <v>스토리위즈</v>
      </c>
      <c r="I3950" t="str">
        <f t="shared" si="527"/>
        <v>회귀자의 슬기로운 복수생활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0</v>
      </c>
      <c r="AL3950">
        <v>0</v>
      </c>
      <c r="AM3950">
        <v>120</v>
      </c>
      <c r="AN3950">
        <v>-12</v>
      </c>
      <c r="AO3950">
        <v>0</v>
      </c>
      <c r="AP3950"/>
      <c r="AQ3950">
        <v>0</v>
      </c>
      <c r="AR3950">
        <v>0</v>
      </c>
      <c r="AS3950">
        <v>120</v>
      </c>
      <c r="AT3950">
        <v>-12</v>
      </c>
      <c r="AU3950">
        <v>0</v>
      </c>
      <c r="AW3950">
        <v>0</v>
      </c>
      <c r="AX3950">
        <v>0</v>
      </c>
      <c r="AY3950">
        <v>75.599999999999994</v>
      </c>
      <c r="BC3950" t="str">
        <f t="shared" si="528"/>
        <v>9791137601710</v>
      </c>
      <c r="BE3950" t="str">
        <f t="shared" si="529"/>
        <v>판타지 웹소설 &gt; 퓨전 판타지</v>
      </c>
    </row>
    <row r="3951" spans="1:57" x14ac:dyDescent="0.3">
      <c r="A3951">
        <v>2313017657</v>
      </c>
      <c r="B3951">
        <v>2313017837</v>
      </c>
      <c r="C3951" t="str">
        <f>T("회귀자의 슬기로운 복수생활 181화")</f>
        <v>회귀자의 슬기로운 복수생활 181화</v>
      </c>
      <c r="D3951" t="str">
        <f>T("181")</f>
        <v>181</v>
      </c>
      <c r="E3951" t="str">
        <f t="shared" si="525"/>
        <v>구공</v>
      </c>
      <c r="H3951" t="str">
        <f t="shared" si="526"/>
        <v>스토리위즈</v>
      </c>
      <c r="I3951" t="str">
        <f t="shared" si="527"/>
        <v>회귀자의 슬기로운 복수생활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120</v>
      </c>
      <c r="AN3951">
        <v>-12</v>
      </c>
      <c r="AO3951">
        <v>0</v>
      </c>
      <c r="AP3951"/>
      <c r="AQ3951">
        <v>0</v>
      </c>
      <c r="AR3951">
        <v>0</v>
      </c>
      <c r="AS3951">
        <v>120</v>
      </c>
      <c r="AT3951">
        <v>-12</v>
      </c>
      <c r="AU3951">
        <v>0</v>
      </c>
      <c r="AW3951">
        <v>0</v>
      </c>
      <c r="AX3951">
        <v>0</v>
      </c>
      <c r="AY3951">
        <v>75.599999999999994</v>
      </c>
      <c r="BC3951" t="str">
        <f t="shared" si="528"/>
        <v>9791137601710</v>
      </c>
      <c r="BE3951" t="str">
        <f t="shared" si="529"/>
        <v>판타지 웹소설 &gt; 퓨전 판타지</v>
      </c>
    </row>
    <row r="3952" spans="1:57" x14ac:dyDescent="0.3">
      <c r="A3952">
        <v>2313017657</v>
      </c>
      <c r="B3952">
        <v>2313017838</v>
      </c>
      <c r="C3952" t="str">
        <f>T("회귀자의 슬기로운 복수생활 182화")</f>
        <v>회귀자의 슬기로운 복수생활 182화</v>
      </c>
      <c r="D3952" t="str">
        <f>T("182")</f>
        <v>182</v>
      </c>
      <c r="E3952" t="str">
        <f t="shared" si="525"/>
        <v>구공</v>
      </c>
      <c r="H3952" t="str">
        <f t="shared" si="526"/>
        <v>스토리위즈</v>
      </c>
      <c r="I3952" t="str">
        <f t="shared" si="527"/>
        <v>회귀자의 슬기로운 복수생활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120</v>
      </c>
      <c r="AN3952">
        <v>-12</v>
      </c>
      <c r="AO3952">
        <v>0</v>
      </c>
      <c r="AP3952"/>
      <c r="AQ3952">
        <v>0</v>
      </c>
      <c r="AR3952">
        <v>0</v>
      </c>
      <c r="AS3952">
        <v>120</v>
      </c>
      <c r="AT3952">
        <v>-12</v>
      </c>
      <c r="AU3952">
        <v>0</v>
      </c>
      <c r="AW3952">
        <v>0</v>
      </c>
      <c r="AX3952">
        <v>0</v>
      </c>
      <c r="AY3952">
        <v>75.599999999999994</v>
      </c>
      <c r="BC3952" t="str">
        <f t="shared" si="528"/>
        <v>9791137601710</v>
      </c>
      <c r="BE3952" t="str">
        <f t="shared" si="529"/>
        <v>판타지 웹소설 &gt; 퓨전 판타지</v>
      </c>
    </row>
    <row r="3953" spans="1:57" x14ac:dyDescent="0.3">
      <c r="A3953">
        <v>2313017657</v>
      </c>
      <c r="B3953">
        <v>2313017839</v>
      </c>
      <c r="C3953" t="str">
        <f>T("회귀자의 슬기로운 복수생활 183화")</f>
        <v>회귀자의 슬기로운 복수생활 183화</v>
      </c>
      <c r="D3953" t="str">
        <f>T("183")</f>
        <v>183</v>
      </c>
      <c r="E3953" t="str">
        <f t="shared" si="525"/>
        <v>구공</v>
      </c>
      <c r="H3953" t="str">
        <f t="shared" si="526"/>
        <v>스토리위즈</v>
      </c>
      <c r="I3953" t="str">
        <f t="shared" si="527"/>
        <v>회귀자의 슬기로운 복수생활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120</v>
      </c>
      <c r="AN3953">
        <v>-12</v>
      </c>
      <c r="AO3953">
        <v>0</v>
      </c>
      <c r="AP3953"/>
      <c r="AQ3953">
        <v>0</v>
      </c>
      <c r="AR3953">
        <v>0</v>
      </c>
      <c r="AS3953">
        <v>120</v>
      </c>
      <c r="AT3953">
        <v>-12</v>
      </c>
      <c r="AU3953">
        <v>0</v>
      </c>
      <c r="AW3953">
        <v>0</v>
      </c>
      <c r="AX3953">
        <v>0</v>
      </c>
      <c r="AY3953">
        <v>75.599999999999994</v>
      </c>
      <c r="BC3953" t="str">
        <f t="shared" si="528"/>
        <v>9791137601710</v>
      </c>
      <c r="BE3953" t="str">
        <f t="shared" si="529"/>
        <v>판타지 웹소설 &gt; 퓨전 판타지</v>
      </c>
    </row>
    <row r="3954" spans="1:57" x14ac:dyDescent="0.3">
      <c r="A3954">
        <v>2313017657</v>
      </c>
      <c r="B3954">
        <v>2313017840</v>
      </c>
      <c r="C3954" t="str">
        <f>T("회귀자의 슬기로운 복수생활 184화")</f>
        <v>회귀자의 슬기로운 복수생활 184화</v>
      </c>
      <c r="D3954" t="str">
        <f>T("184")</f>
        <v>184</v>
      </c>
      <c r="E3954" t="str">
        <f t="shared" si="525"/>
        <v>구공</v>
      </c>
      <c r="H3954" t="str">
        <f t="shared" si="526"/>
        <v>스토리위즈</v>
      </c>
      <c r="I3954" t="str">
        <f t="shared" si="527"/>
        <v>회귀자의 슬기로운 복수생활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0</v>
      </c>
      <c r="AL3954">
        <v>0</v>
      </c>
      <c r="AM3954">
        <v>120</v>
      </c>
      <c r="AN3954">
        <v>-12</v>
      </c>
      <c r="AO3954">
        <v>0</v>
      </c>
      <c r="AP3954"/>
      <c r="AQ3954">
        <v>0</v>
      </c>
      <c r="AR3954">
        <v>0</v>
      </c>
      <c r="AS3954">
        <v>120</v>
      </c>
      <c r="AT3954">
        <v>-12</v>
      </c>
      <c r="AU3954">
        <v>0</v>
      </c>
      <c r="AW3954">
        <v>0</v>
      </c>
      <c r="AX3954">
        <v>0</v>
      </c>
      <c r="AY3954">
        <v>75.599999999999994</v>
      </c>
      <c r="BC3954" t="str">
        <f t="shared" si="528"/>
        <v>9791137601710</v>
      </c>
      <c r="BE3954" t="str">
        <f t="shared" si="529"/>
        <v>판타지 웹소설 &gt; 퓨전 판타지</v>
      </c>
    </row>
    <row r="3955" spans="1:57" x14ac:dyDescent="0.3">
      <c r="A3955">
        <v>2313017657</v>
      </c>
      <c r="B3955">
        <v>2313017841</v>
      </c>
      <c r="C3955" t="str">
        <f>T("회귀자의 슬기로운 복수생활 185화")</f>
        <v>회귀자의 슬기로운 복수생활 185화</v>
      </c>
      <c r="D3955" t="str">
        <f>T("185")</f>
        <v>185</v>
      </c>
      <c r="E3955" t="str">
        <f t="shared" si="525"/>
        <v>구공</v>
      </c>
      <c r="H3955" t="str">
        <f t="shared" si="526"/>
        <v>스토리위즈</v>
      </c>
      <c r="I3955" t="str">
        <f t="shared" si="527"/>
        <v>회귀자의 슬기로운 복수생활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0</v>
      </c>
      <c r="AL3955">
        <v>0</v>
      </c>
      <c r="AM3955">
        <v>120</v>
      </c>
      <c r="AN3955">
        <v>-12</v>
      </c>
      <c r="AO3955">
        <v>0</v>
      </c>
      <c r="AP3955"/>
      <c r="AQ3955">
        <v>0</v>
      </c>
      <c r="AR3955">
        <v>0</v>
      </c>
      <c r="AS3955">
        <v>120</v>
      </c>
      <c r="AT3955">
        <v>-12</v>
      </c>
      <c r="AU3955">
        <v>0</v>
      </c>
      <c r="AW3955">
        <v>0</v>
      </c>
      <c r="AX3955">
        <v>0</v>
      </c>
      <c r="AY3955">
        <v>75.599999999999994</v>
      </c>
      <c r="BC3955" t="str">
        <f t="shared" si="528"/>
        <v>9791137601710</v>
      </c>
      <c r="BE3955" t="str">
        <f t="shared" si="529"/>
        <v>판타지 웹소설 &gt; 퓨전 판타지</v>
      </c>
    </row>
    <row r="3956" spans="1:57" x14ac:dyDescent="0.3">
      <c r="A3956">
        <v>2313017657</v>
      </c>
      <c r="B3956">
        <v>2313017842</v>
      </c>
      <c r="C3956" t="str">
        <f>T("회귀자의 슬기로운 복수생활 186화")</f>
        <v>회귀자의 슬기로운 복수생활 186화</v>
      </c>
      <c r="D3956" t="str">
        <f>T("186")</f>
        <v>186</v>
      </c>
      <c r="E3956" t="str">
        <f t="shared" si="525"/>
        <v>구공</v>
      </c>
      <c r="H3956" t="str">
        <f t="shared" si="526"/>
        <v>스토리위즈</v>
      </c>
      <c r="I3956" t="str">
        <f t="shared" si="527"/>
        <v>회귀자의 슬기로운 복수생활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0</v>
      </c>
      <c r="AL3956">
        <v>0</v>
      </c>
      <c r="AM3956">
        <v>120</v>
      </c>
      <c r="AN3956">
        <v>-12</v>
      </c>
      <c r="AO3956">
        <v>0</v>
      </c>
      <c r="AP3956"/>
      <c r="AQ3956">
        <v>0</v>
      </c>
      <c r="AR3956">
        <v>0</v>
      </c>
      <c r="AS3956">
        <v>120</v>
      </c>
      <c r="AT3956">
        <v>-12</v>
      </c>
      <c r="AU3956">
        <v>0</v>
      </c>
      <c r="AW3956">
        <v>0</v>
      </c>
      <c r="AX3956">
        <v>0</v>
      </c>
      <c r="AY3956">
        <v>75.599999999999994</v>
      </c>
      <c r="BC3956" t="str">
        <f t="shared" si="528"/>
        <v>9791137601710</v>
      </c>
      <c r="BE3956" t="str">
        <f t="shared" si="529"/>
        <v>판타지 웹소설 &gt; 퓨전 판타지</v>
      </c>
    </row>
    <row r="3957" spans="1:57" x14ac:dyDescent="0.3">
      <c r="A3957">
        <v>2313017657</v>
      </c>
      <c r="B3957">
        <v>2313017843</v>
      </c>
      <c r="C3957" t="str">
        <f>T("회귀자의 슬기로운 복수생활 187화")</f>
        <v>회귀자의 슬기로운 복수생활 187화</v>
      </c>
      <c r="D3957" t="str">
        <f>T("187")</f>
        <v>187</v>
      </c>
      <c r="E3957" t="str">
        <f t="shared" si="525"/>
        <v>구공</v>
      </c>
      <c r="H3957" t="str">
        <f t="shared" si="526"/>
        <v>스토리위즈</v>
      </c>
      <c r="I3957" t="str">
        <f t="shared" si="527"/>
        <v>회귀자의 슬기로운 복수생활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0</v>
      </c>
      <c r="AL3957">
        <v>0</v>
      </c>
      <c r="AM3957">
        <v>120</v>
      </c>
      <c r="AN3957">
        <v>-12</v>
      </c>
      <c r="AO3957">
        <v>0</v>
      </c>
      <c r="AP3957"/>
      <c r="AQ3957">
        <v>0</v>
      </c>
      <c r="AR3957">
        <v>0</v>
      </c>
      <c r="AS3957">
        <v>120</v>
      </c>
      <c r="AT3957">
        <v>-12</v>
      </c>
      <c r="AU3957">
        <v>0</v>
      </c>
      <c r="AW3957">
        <v>0</v>
      </c>
      <c r="AX3957">
        <v>0</v>
      </c>
      <c r="AY3957">
        <v>75.599999999999994</v>
      </c>
      <c r="BC3957" t="str">
        <f t="shared" si="528"/>
        <v>9791137601710</v>
      </c>
      <c r="BE3957" t="str">
        <f t="shared" si="529"/>
        <v>판타지 웹소설 &gt; 퓨전 판타지</v>
      </c>
    </row>
    <row r="3958" spans="1:57" x14ac:dyDescent="0.3">
      <c r="A3958">
        <v>2313017657</v>
      </c>
      <c r="B3958">
        <v>2313017844</v>
      </c>
      <c r="C3958" t="str">
        <f>T("회귀자의 슬기로운 복수생활 188화")</f>
        <v>회귀자의 슬기로운 복수생활 188화</v>
      </c>
      <c r="D3958" t="str">
        <f>T("188")</f>
        <v>188</v>
      </c>
      <c r="E3958" t="str">
        <f t="shared" si="525"/>
        <v>구공</v>
      </c>
      <c r="H3958" t="str">
        <f t="shared" si="526"/>
        <v>스토리위즈</v>
      </c>
      <c r="I3958" t="str">
        <f t="shared" si="527"/>
        <v>회귀자의 슬기로운 복수생활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0</v>
      </c>
      <c r="AL3958">
        <v>0</v>
      </c>
      <c r="AM3958">
        <v>120</v>
      </c>
      <c r="AN3958">
        <v>-12</v>
      </c>
      <c r="AO3958">
        <v>0</v>
      </c>
      <c r="AP3958"/>
      <c r="AQ3958">
        <v>0</v>
      </c>
      <c r="AR3958">
        <v>0</v>
      </c>
      <c r="AS3958">
        <v>120</v>
      </c>
      <c r="AT3958">
        <v>-12</v>
      </c>
      <c r="AU3958">
        <v>0</v>
      </c>
      <c r="AW3958">
        <v>0</v>
      </c>
      <c r="AX3958">
        <v>0</v>
      </c>
      <c r="AY3958">
        <v>75.599999999999994</v>
      </c>
      <c r="BC3958" t="str">
        <f t="shared" si="528"/>
        <v>9791137601710</v>
      </c>
      <c r="BE3958" t="str">
        <f t="shared" si="529"/>
        <v>판타지 웹소설 &gt; 퓨전 판타지</v>
      </c>
    </row>
    <row r="3959" spans="1:57" x14ac:dyDescent="0.3">
      <c r="A3959">
        <v>2313017657</v>
      </c>
      <c r="B3959">
        <v>2313017845</v>
      </c>
      <c r="C3959" t="str">
        <f>T("회귀자의 슬기로운 복수생활 189화")</f>
        <v>회귀자의 슬기로운 복수생활 189화</v>
      </c>
      <c r="D3959" t="str">
        <f>T("189")</f>
        <v>189</v>
      </c>
      <c r="E3959" t="str">
        <f t="shared" si="525"/>
        <v>구공</v>
      </c>
      <c r="H3959" t="str">
        <f t="shared" si="526"/>
        <v>스토리위즈</v>
      </c>
      <c r="I3959" t="str">
        <f t="shared" si="527"/>
        <v>회귀자의 슬기로운 복수생활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120</v>
      </c>
      <c r="AN3959">
        <v>-12</v>
      </c>
      <c r="AO3959">
        <v>0</v>
      </c>
      <c r="AP3959"/>
      <c r="AQ3959">
        <v>0</v>
      </c>
      <c r="AR3959">
        <v>0</v>
      </c>
      <c r="AS3959">
        <v>120</v>
      </c>
      <c r="AT3959">
        <v>-12</v>
      </c>
      <c r="AU3959">
        <v>0</v>
      </c>
      <c r="AW3959">
        <v>0</v>
      </c>
      <c r="AX3959">
        <v>0</v>
      </c>
      <c r="AY3959">
        <v>75.599999999999994</v>
      </c>
      <c r="BC3959" t="str">
        <f t="shared" si="528"/>
        <v>9791137601710</v>
      </c>
      <c r="BE3959" t="str">
        <f t="shared" si="529"/>
        <v>판타지 웹소설 &gt; 퓨전 판타지</v>
      </c>
    </row>
    <row r="3960" spans="1:57" x14ac:dyDescent="0.3">
      <c r="A3960">
        <v>2313017657</v>
      </c>
      <c r="B3960">
        <v>2313017846</v>
      </c>
      <c r="C3960" t="str">
        <f>T("회귀자의 슬기로운 복수생활 190화")</f>
        <v>회귀자의 슬기로운 복수생활 190화</v>
      </c>
      <c r="D3960" t="str">
        <f>T("190")</f>
        <v>190</v>
      </c>
      <c r="E3960" t="str">
        <f t="shared" si="525"/>
        <v>구공</v>
      </c>
      <c r="H3960" t="str">
        <f t="shared" si="526"/>
        <v>스토리위즈</v>
      </c>
      <c r="I3960" t="str">
        <f t="shared" si="527"/>
        <v>회귀자의 슬기로운 복수생활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120</v>
      </c>
      <c r="AN3960">
        <v>-12</v>
      </c>
      <c r="AO3960">
        <v>0</v>
      </c>
      <c r="AP3960"/>
      <c r="AQ3960">
        <v>0</v>
      </c>
      <c r="AR3960">
        <v>0</v>
      </c>
      <c r="AS3960">
        <v>120</v>
      </c>
      <c r="AT3960">
        <v>-12</v>
      </c>
      <c r="AU3960">
        <v>0</v>
      </c>
      <c r="AW3960">
        <v>0</v>
      </c>
      <c r="AX3960">
        <v>0</v>
      </c>
      <c r="AY3960">
        <v>75.599999999999994</v>
      </c>
      <c r="BC3960" t="str">
        <f t="shared" si="528"/>
        <v>9791137601710</v>
      </c>
      <c r="BE3960" t="str">
        <f t="shared" si="529"/>
        <v>판타지 웹소설 &gt; 퓨전 판타지</v>
      </c>
    </row>
    <row r="3961" spans="1:57" x14ac:dyDescent="0.3">
      <c r="A3961">
        <v>2313017657</v>
      </c>
      <c r="B3961">
        <v>2313017847</v>
      </c>
      <c r="C3961" t="str">
        <f>T("회귀자의 슬기로운 복수생활 191화")</f>
        <v>회귀자의 슬기로운 복수생활 191화</v>
      </c>
      <c r="D3961" t="str">
        <f>T("191")</f>
        <v>191</v>
      </c>
      <c r="E3961" t="str">
        <f t="shared" si="525"/>
        <v>구공</v>
      </c>
      <c r="H3961" t="str">
        <f t="shared" si="526"/>
        <v>스토리위즈</v>
      </c>
      <c r="I3961" t="str">
        <f t="shared" si="527"/>
        <v>회귀자의 슬기로운 복수생활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0</v>
      </c>
      <c r="AL3961">
        <v>0</v>
      </c>
      <c r="AM3961">
        <v>120</v>
      </c>
      <c r="AN3961">
        <v>-12</v>
      </c>
      <c r="AO3961">
        <v>0</v>
      </c>
      <c r="AP3961"/>
      <c r="AQ3961">
        <v>0</v>
      </c>
      <c r="AR3961">
        <v>0</v>
      </c>
      <c r="AS3961">
        <v>120</v>
      </c>
      <c r="AT3961">
        <v>-12</v>
      </c>
      <c r="AU3961">
        <v>0</v>
      </c>
      <c r="AW3961">
        <v>0</v>
      </c>
      <c r="AX3961">
        <v>0</v>
      </c>
      <c r="AY3961">
        <v>75.599999999999994</v>
      </c>
      <c r="BC3961" t="str">
        <f t="shared" si="528"/>
        <v>9791137601710</v>
      </c>
      <c r="BE3961" t="str">
        <f t="shared" si="529"/>
        <v>판타지 웹소설 &gt; 퓨전 판타지</v>
      </c>
    </row>
    <row r="3962" spans="1:57" x14ac:dyDescent="0.3">
      <c r="A3962">
        <v>2313017657</v>
      </c>
      <c r="B3962">
        <v>2313017848</v>
      </c>
      <c r="C3962" t="str">
        <f>T("회귀자의 슬기로운 복수생활 192화")</f>
        <v>회귀자의 슬기로운 복수생활 192화</v>
      </c>
      <c r="D3962" t="str">
        <f>T("192")</f>
        <v>192</v>
      </c>
      <c r="E3962" t="str">
        <f t="shared" si="525"/>
        <v>구공</v>
      </c>
      <c r="H3962" t="str">
        <f t="shared" si="526"/>
        <v>스토리위즈</v>
      </c>
      <c r="I3962" t="str">
        <f t="shared" si="527"/>
        <v>회귀자의 슬기로운 복수생활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120</v>
      </c>
      <c r="AN3962">
        <v>-12</v>
      </c>
      <c r="AO3962">
        <v>0</v>
      </c>
      <c r="AP3962"/>
      <c r="AQ3962">
        <v>0</v>
      </c>
      <c r="AR3962">
        <v>0</v>
      </c>
      <c r="AS3962">
        <v>120</v>
      </c>
      <c r="AT3962">
        <v>-12</v>
      </c>
      <c r="AU3962">
        <v>0</v>
      </c>
      <c r="AW3962">
        <v>0</v>
      </c>
      <c r="AX3962">
        <v>0</v>
      </c>
      <c r="AY3962">
        <v>75.599999999999994</v>
      </c>
      <c r="BC3962" t="str">
        <f t="shared" si="528"/>
        <v>9791137601710</v>
      </c>
      <c r="BE3962" t="str">
        <f t="shared" si="529"/>
        <v>판타지 웹소설 &gt; 퓨전 판타지</v>
      </c>
    </row>
    <row r="3963" spans="1:57" x14ac:dyDescent="0.3">
      <c r="A3963">
        <v>2313017657</v>
      </c>
      <c r="B3963">
        <v>2313017849</v>
      </c>
      <c r="C3963" t="str">
        <f>T("회귀자의 슬기로운 복수생활 193화")</f>
        <v>회귀자의 슬기로운 복수생활 193화</v>
      </c>
      <c r="D3963" t="str">
        <f>T("193")</f>
        <v>193</v>
      </c>
      <c r="E3963" t="str">
        <f t="shared" si="525"/>
        <v>구공</v>
      </c>
      <c r="H3963" t="str">
        <f t="shared" si="526"/>
        <v>스토리위즈</v>
      </c>
      <c r="I3963" t="str">
        <f t="shared" si="527"/>
        <v>회귀자의 슬기로운 복수생활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120</v>
      </c>
      <c r="AN3963">
        <v>-12</v>
      </c>
      <c r="AO3963">
        <v>0</v>
      </c>
      <c r="AP3963"/>
      <c r="AQ3963">
        <v>0</v>
      </c>
      <c r="AR3963">
        <v>0</v>
      </c>
      <c r="AS3963">
        <v>120</v>
      </c>
      <c r="AT3963">
        <v>-12</v>
      </c>
      <c r="AU3963">
        <v>0</v>
      </c>
      <c r="AW3963">
        <v>0</v>
      </c>
      <c r="AX3963">
        <v>0</v>
      </c>
      <c r="AY3963">
        <v>75.599999999999994</v>
      </c>
      <c r="BC3963" t="str">
        <f t="shared" si="528"/>
        <v>9791137601710</v>
      </c>
      <c r="BE3963" t="str">
        <f t="shared" si="529"/>
        <v>판타지 웹소설 &gt; 퓨전 판타지</v>
      </c>
    </row>
    <row r="3964" spans="1:57" x14ac:dyDescent="0.3">
      <c r="A3964">
        <v>2313017657</v>
      </c>
      <c r="B3964">
        <v>2313017850</v>
      </c>
      <c r="C3964" t="str">
        <f>T("회귀자의 슬기로운 복수생활 194화")</f>
        <v>회귀자의 슬기로운 복수생활 194화</v>
      </c>
      <c r="D3964" t="str">
        <f>T("194")</f>
        <v>194</v>
      </c>
      <c r="E3964" t="str">
        <f t="shared" si="525"/>
        <v>구공</v>
      </c>
      <c r="H3964" t="str">
        <f t="shared" si="526"/>
        <v>스토리위즈</v>
      </c>
      <c r="I3964" t="str">
        <f t="shared" si="527"/>
        <v>회귀자의 슬기로운 복수생활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120</v>
      </c>
      <c r="AN3964">
        <v>-12</v>
      </c>
      <c r="AO3964">
        <v>0</v>
      </c>
      <c r="AP3964"/>
      <c r="AQ3964">
        <v>0</v>
      </c>
      <c r="AR3964">
        <v>0</v>
      </c>
      <c r="AS3964">
        <v>120</v>
      </c>
      <c r="AT3964">
        <v>-12</v>
      </c>
      <c r="AU3964">
        <v>0</v>
      </c>
      <c r="AW3964">
        <v>0</v>
      </c>
      <c r="AX3964">
        <v>0</v>
      </c>
      <c r="AY3964">
        <v>75.599999999999994</v>
      </c>
      <c r="BC3964" t="str">
        <f t="shared" si="528"/>
        <v>9791137601710</v>
      </c>
      <c r="BE3964" t="str">
        <f t="shared" si="529"/>
        <v>판타지 웹소설 &gt; 퓨전 판타지</v>
      </c>
    </row>
    <row r="3965" spans="1:57" x14ac:dyDescent="0.3">
      <c r="A3965">
        <v>2313017657</v>
      </c>
      <c r="B3965">
        <v>2313017851</v>
      </c>
      <c r="C3965" t="str">
        <f>T("회귀자의 슬기로운 복수생활 195화")</f>
        <v>회귀자의 슬기로운 복수생활 195화</v>
      </c>
      <c r="D3965" t="str">
        <f>T("195")</f>
        <v>195</v>
      </c>
      <c r="E3965" t="str">
        <f t="shared" si="525"/>
        <v>구공</v>
      </c>
      <c r="H3965" t="str">
        <f t="shared" si="526"/>
        <v>스토리위즈</v>
      </c>
      <c r="I3965" t="str">
        <f t="shared" si="527"/>
        <v>회귀자의 슬기로운 복수생활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0</v>
      </c>
      <c r="AL3965">
        <v>0</v>
      </c>
      <c r="AM3965">
        <v>120</v>
      </c>
      <c r="AN3965">
        <v>-12</v>
      </c>
      <c r="AO3965">
        <v>0</v>
      </c>
      <c r="AP3965"/>
      <c r="AQ3965">
        <v>0</v>
      </c>
      <c r="AR3965">
        <v>0</v>
      </c>
      <c r="AS3965">
        <v>120</v>
      </c>
      <c r="AT3965">
        <v>-12</v>
      </c>
      <c r="AU3965">
        <v>0</v>
      </c>
      <c r="AW3965">
        <v>0</v>
      </c>
      <c r="AX3965">
        <v>0</v>
      </c>
      <c r="AY3965">
        <v>75.599999999999994</v>
      </c>
      <c r="BC3965" t="str">
        <f t="shared" si="528"/>
        <v>9791137601710</v>
      </c>
      <c r="BE3965" t="str">
        <f t="shared" si="529"/>
        <v>판타지 웹소설 &gt; 퓨전 판타지</v>
      </c>
    </row>
    <row r="3966" spans="1:57" x14ac:dyDescent="0.3">
      <c r="A3966">
        <v>2313017657</v>
      </c>
      <c r="B3966">
        <v>2313017852</v>
      </c>
      <c r="C3966" t="str">
        <f>T("회귀자의 슬기로운 복수생활 196화")</f>
        <v>회귀자의 슬기로운 복수생활 196화</v>
      </c>
      <c r="D3966" t="str">
        <f>T("196")</f>
        <v>196</v>
      </c>
      <c r="E3966" t="str">
        <f t="shared" si="525"/>
        <v>구공</v>
      </c>
      <c r="H3966" t="str">
        <f t="shared" si="526"/>
        <v>스토리위즈</v>
      </c>
      <c r="I3966" t="str">
        <f t="shared" si="527"/>
        <v>회귀자의 슬기로운 복수생활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120</v>
      </c>
      <c r="AN3966">
        <v>-12</v>
      </c>
      <c r="AO3966">
        <v>0</v>
      </c>
      <c r="AP3966"/>
      <c r="AQ3966">
        <v>0</v>
      </c>
      <c r="AR3966">
        <v>0</v>
      </c>
      <c r="AS3966">
        <v>120</v>
      </c>
      <c r="AT3966">
        <v>-12</v>
      </c>
      <c r="AU3966">
        <v>0</v>
      </c>
      <c r="AW3966">
        <v>0</v>
      </c>
      <c r="AX3966">
        <v>0</v>
      </c>
      <c r="AY3966">
        <v>75.599999999999994</v>
      </c>
      <c r="BC3966" t="str">
        <f t="shared" si="528"/>
        <v>9791137601710</v>
      </c>
      <c r="BE3966" t="str">
        <f t="shared" si="529"/>
        <v>판타지 웹소설 &gt; 퓨전 판타지</v>
      </c>
    </row>
    <row r="3967" spans="1:57" x14ac:dyDescent="0.3">
      <c r="A3967">
        <v>2313017657</v>
      </c>
      <c r="B3967">
        <v>2313017853</v>
      </c>
      <c r="C3967" t="str">
        <f>T("회귀자의 슬기로운 복수생활 197화")</f>
        <v>회귀자의 슬기로운 복수생활 197화</v>
      </c>
      <c r="D3967" t="str">
        <f>T("197")</f>
        <v>197</v>
      </c>
      <c r="E3967" t="str">
        <f t="shared" si="525"/>
        <v>구공</v>
      </c>
      <c r="H3967" t="str">
        <f t="shared" si="526"/>
        <v>스토리위즈</v>
      </c>
      <c r="I3967" t="str">
        <f t="shared" si="527"/>
        <v>회귀자의 슬기로운 복수생활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120</v>
      </c>
      <c r="AN3967">
        <v>-12</v>
      </c>
      <c r="AO3967">
        <v>0</v>
      </c>
      <c r="AP3967"/>
      <c r="AQ3967">
        <v>0</v>
      </c>
      <c r="AR3967">
        <v>0</v>
      </c>
      <c r="AS3967">
        <v>120</v>
      </c>
      <c r="AT3967">
        <v>-12</v>
      </c>
      <c r="AU3967">
        <v>0</v>
      </c>
      <c r="AW3967">
        <v>0</v>
      </c>
      <c r="AX3967">
        <v>0</v>
      </c>
      <c r="AY3967">
        <v>75.599999999999994</v>
      </c>
      <c r="BC3967" t="str">
        <f t="shared" si="528"/>
        <v>9791137601710</v>
      </c>
      <c r="BE3967" t="str">
        <f t="shared" si="529"/>
        <v>판타지 웹소설 &gt; 퓨전 판타지</v>
      </c>
    </row>
    <row r="3968" spans="1:57" x14ac:dyDescent="0.3">
      <c r="A3968">
        <v>2313017657</v>
      </c>
      <c r="B3968">
        <v>2313017854</v>
      </c>
      <c r="C3968" t="str">
        <f>T("회귀자의 슬기로운 복수생활 198화")</f>
        <v>회귀자의 슬기로운 복수생활 198화</v>
      </c>
      <c r="D3968" t="str">
        <f>T("198")</f>
        <v>198</v>
      </c>
      <c r="E3968" t="str">
        <f t="shared" si="525"/>
        <v>구공</v>
      </c>
      <c r="H3968" t="str">
        <f t="shared" si="526"/>
        <v>스토리위즈</v>
      </c>
      <c r="I3968" t="str">
        <f t="shared" si="527"/>
        <v>회귀자의 슬기로운 복수생활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0</v>
      </c>
      <c r="AL3968">
        <v>0</v>
      </c>
      <c r="AM3968">
        <v>120</v>
      </c>
      <c r="AN3968">
        <v>-12</v>
      </c>
      <c r="AO3968">
        <v>0</v>
      </c>
      <c r="AP3968"/>
      <c r="AQ3968">
        <v>0</v>
      </c>
      <c r="AR3968">
        <v>0</v>
      </c>
      <c r="AS3968">
        <v>120</v>
      </c>
      <c r="AT3968">
        <v>-12</v>
      </c>
      <c r="AU3968">
        <v>0</v>
      </c>
      <c r="AW3968">
        <v>0</v>
      </c>
      <c r="AX3968">
        <v>0</v>
      </c>
      <c r="AY3968">
        <v>75.599999999999994</v>
      </c>
      <c r="BC3968" t="str">
        <f t="shared" si="528"/>
        <v>9791137601710</v>
      </c>
      <c r="BE3968" t="str">
        <f t="shared" si="529"/>
        <v>판타지 웹소설 &gt; 퓨전 판타지</v>
      </c>
    </row>
    <row r="3969" spans="1:57" x14ac:dyDescent="0.3">
      <c r="A3969">
        <v>2313017657</v>
      </c>
      <c r="B3969">
        <v>2313017855</v>
      </c>
      <c r="C3969" t="str">
        <f>T("회귀자의 슬기로운 복수생활 199화")</f>
        <v>회귀자의 슬기로운 복수생활 199화</v>
      </c>
      <c r="D3969" t="str">
        <f>T("199")</f>
        <v>199</v>
      </c>
      <c r="E3969" t="str">
        <f t="shared" si="525"/>
        <v>구공</v>
      </c>
      <c r="H3969" t="str">
        <f t="shared" si="526"/>
        <v>스토리위즈</v>
      </c>
      <c r="I3969" t="str">
        <f t="shared" si="527"/>
        <v>회귀자의 슬기로운 복수생활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120</v>
      </c>
      <c r="AN3969">
        <v>-12</v>
      </c>
      <c r="AO3969">
        <v>0</v>
      </c>
      <c r="AP3969"/>
      <c r="AQ3969">
        <v>0</v>
      </c>
      <c r="AR3969">
        <v>0</v>
      </c>
      <c r="AS3969">
        <v>120</v>
      </c>
      <c r="AT3969">
        <v>-12</v>
      </c>
      <c r="AU3969">
        <v>0</v>
      </c>
      <c r="AW3969">
        <v>0</v>
      </c>
      <c r="AX3969">
        <v>0</v>
      </c>
      <c r="AY3969">
        <v>75.599999999999994</v>
      </c>
      <c r="BC3969" t="str">
        <f t="shared" si="528"/>
        <v>9791137601710</v>
      </c>
      <c r="BE3969" t="str">
        <f t="shared" si="529"/>
        <v>판타지 웹소설 &gt; 퓨전 판타지</v>
      </c>
    </row>
    <row r="3970" spans="1:57" x14ac:dyDescent="0.3">
      <c r="A3970">
        <v>2313017657</v>
      </c>
      <c r="B3970">
        <v>2313017856</v>
      </c>
      <c r="C3970" t="str">
        <f>T("회귀자의 슬기로운 복수생활 200화 (완결)")</f>
        <v>회귀자의 슬기로운 복수생활 200화 (완결)</v>
      </c>
      <c r="D3970" t="str">
        <f>T("200")</f>
        <v>200</v>
      </c>
      <c r="E3970" t="str">
        <f t="shared" si="525"/>
        <v>구공</v>
      </c>
      <c r="H3970" t="str">
        <f t="shared" si="526"/>
        <v>스토리위즈</v>
      </c>
      <c r="I3970" t="str">
        <f t="shared" si="527"/>
        <v>회귀자의 슬기로운 복수생활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0</v>
      </c>
      <c r="AL3970">
        <v>0</v>
      </c>
      <c r="AM3970">
        <v>120</v>
      </c>
      <c r="AN3970">
        <v>-12</v>
      </c>
      <c r="AO3970">
        <v>0</v>
      </c>
      <c r="AP3970"/>
      <c r="AQ3970">
        <v>0</v>
      </c>
      <c r="AR3970">
        <v>0</v>
      </c>
      <c r="AS3970">
        <v>120</v>
      </c>
      <c r="AT3970">
        <v>-12</v>
      </c>
      <c r="AU3970">
        <v>0</v>
      </c>
      <c r="AW3970">
        <v>0</v>
      </c>
      <c r="AX3970">
        <v>0</v>
      </c>
      <c r="AY3970">
        <v>75.599999999999994</v>
      </c>
      <c r="BC3970" t="str">
        <f t="shared" si="528"/>
        <v>9791137601710</v>
      </c>
      <c r="BE3970" t="str">
        <f t="shared" si="529"/>
        <v>판타지 웹소설 &gt; 퓨전 판타지</v>
      </c>
    </row>
    <row r="3971" spans="1:57" x14ac:dyDescent="0.3">
      <c r="A3971">
        <v>2313018100</v>
      </c>
      <c r="B3971">
        <v>2313018159</v>
      </c>
      <c r="C3971" t="str">
        <f>T("위대한 가문의 망나니가 되다 60화")</f>
        <v>위대한 가문의 망나니가 되다 60화</v>
      </c>
      <c r="D3971" t="str">
        <f>T("60")</f>
        <v>60</v>
      </c>
      <c r="E3971" t="str">
        <f t="shared" ref="E3971:E3991" si="530">T("바나바다")</f>
        <v>바나바다</v>
      </c>
      <c r="H3971" t="str">
        <f t="shared" si="526"/>
        <v>스토리위즈</v>
      </c>
      <c r="I3971" t="str">
        <f t="shared" ref="I3971:I3991" si="531">T("위대한 가문의 망나니가 되다")</f>
        <v>위대한 가문의 망나니가 되다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/>
      <c r="AQ3971">
        <v>0</v>
      </c>
      <c r="AR3971">
        <v>0</v>
      </c>
      <c r="AT3971">
        <v>0</v>
      </c>
      <c r="AU3971">
        <v>0</v>
      </c>
      <c r="AW3971">
        <v>0</v>
      </c>
      <c r="AX3971">
        <v>0</v>
      </c>
      <c r="AY3971">
        <v>70</v>
      </c>
      <c r="BC3971" t="str">
        <f t="shared" ref="BC3971:BC3991" si="532">T("9791137601901")</f>
        <v>9791137601901</v>
      </c>
      <c r="BE3971" t="str">
        <f t="shared" si="529"/>
        <v>판타지 웹소설 &gt; 퓨전 판타지</v>
      </c>
    </row>
    <row r="3972" spans="1:57" x14ac:dyDescent="0.3">
      <c r="A3972">
        <v>2313018100</v>
      </c>
      <c r="B3972">
        <v>2313018160</v>
      </c>
      <c r="C3972" t="str">
        <f>T("위대한 가문의 망나니가 되다 61화")</f>
        <v>위대한 가문의 망나니가 되다 61화</v>
      </c>
      <c r="D3972" t="str">
        <f>T("61")</f>
        <v>61</v>
      </c>
      <c r="E3972" t="str">
        <f t="shared" si="530"/>
        <v>바나바다</v>
      </c>
      <c r="H3972" t="str">
        <f t="shared" si="526"/>
        <v>스토리위즈</v>
      </c>
      <c r="I3972" t="str">
        <f t="shared" si="531"/>
        <v>위대한 가문의 망나니가 되다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/>
      <c r="AQ3972">
        <v>0</v>
      </c>
      <c r="AR3972">
        <v>0</v>
      </c>
      <c r="AT3972">
        <v>0</v>
      </c>
      <c r="AU3972">
        <v>0</v>
      </c>
      <c r="AW3972">
        <v>0</v>
      </c>
      <c r="AX3972">
        <v>0</v>
      </c>
      <c r="AY3972">
        <v>70</v>
      </c>
      <c r="BC3972" t="str">
        <f t="shared" si="532"/>
        <v>9791137601901</v>
      </c>
      <c r="BE3972" t="str">
        <f t="shared" si="529"/>
        <v>판타지 웹소설 &gt; 퓨전 판타지</v>
      </c>
    </row>
    <row r="3973" spans="1:57" x14ac:dyDescent="0.3">
      <c r="A3973">
        <v>2313018100</v>
      </c>
      <c r="B3973">
        <v>2313018161</v>
      </c>
      <c r="C3973" t="str">
        <f>T("위대한 가문의 망나니가 되다 62화")</f>
        <v>위대한 가문의 망나니가 되다 62화</v>
      </c>
      <c r="D3973" t="str">
        <f>T("62")</f>
        <v>62</v>
      </c>
      <c r="E3973" t="str">
        <f t="shared" si="530"/>
        <v>바나바다</v>
      </c>
      <c r="H3973" t="str">
        <f t="shared" si="526"/>
        <v>스토리위즈</v>
      </c>
      <c r="I3973" t="str">
        <f t="shared" si="531"/>
        <v>위대한 가문의 망나니가 되다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/>
      <c r="AQ3973">
        <v>0</v>
      </c>
      <c r="AR3973">
        <v>0</v>
      </c>
      <c r="AT3973">
        <v>0</v>
      </c>
      <c r="AU3973">
        <v>0</v>
      </c>
      <c r="AW3973">
        <v>0</v>
      </c>
      <c r="AX3973">
        <v>0</v>
      </c>
      <c r="AY3973">
        <v>70</v>
      </c>
      <c r="BC3973" t="str">
        <f t="shared" si="532"/>
        <v>9791137601901</v>
      </c>
      <c r="BE3973" t="str">
        <f t="shared" si="529"/>
        <v>판타지 웹소설 &gt; 퓨전 판타지</v>
      </c>
    </row>
    <row r="3974" spans="1:57" x14ac:dyDescent="0.3">
      <c r="A3974">
        <v>2313018100</v>
      </c>
      <c r="B3974">
        <v>2313018162</v>
      </c>
      <c r="C3974" t="str">
        <f>T("위대한 가문의 망나니가 되다 63화")</f>
        <v>위대한 가문의 망나니가 되다 63화</v>
      </c>
      <c r="D3974" t="str">
        <f>T("63")</f>
        <v>63</v>
      </c>
      <c r="E3974" t="str">
        <f t="shared" si="530"/>
        <v>바나바다</v>
      </c>
      <c r="H3974" t="str">
        <f t="shared" si="526"/>
        <v>스토리위즈</v>
      </c>
      <c r="I3974" t="str">
        <f t="shared" si="531"/>
        <v>위대한 가문의 망나니가 되다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/>
      <c r="AQ3974">
        <v>0</v>
      </c>
      <c r="AR3974">
        <v>0</v>
      </c>
      <c r="AT3974">
        <v>0</v>
      </c>
      <c r="AU3974">
        <v>0</v>
      </c>
      <c r="AW3974">
        <v>0</v>
      </c>
      <c r="AX3974">
        <v>0</v>
      </c>
      <c r="AY3974">
        <v>70</v>
      </c>
      <c r="BC3974" t="str">
        <f t="shared" si="532"/>
        <v>9791137601901</v>
      </c>
      <c r="BE3974" t="str">
        <f t="shared" si="529"/>
        <v>판타지 웹소설 &gt; 퓨전 판타지</v>
      </c>
    </row>
    <row r="3975" spans="1:57" x14ac:dyDescent="0.3">
      <c r="A3975">
        <v>2313018100</v>
      </c>
      <c r="B3975">
        <v>2313018163</v>
      </c>
      <c r="C3975" t="str">
        <f>T("위대한 가문의 망나니가 되다 64화")</f>
        <v>위대한 가문의 망나니가 되다 64화</v>
      </c>
      <c r="D3975" t="str">
        <f>T("64")</f>
        <v>64</v>
      </c>
      <c r="E3975" t="str">
        <f t="shared" si="530"/>
        <v>바나바다</v>
      </c>
      <c r="H3975" t="str">
        <f t="shared" si="526"/>
        <v>스토리위즈</v>
      </c>
      <c r="I3975" t="str">
        <f t="shared" si="531"/>
        <v>위대한 가문의 망나니가 되다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/>
      <c r="AQ3975">
        <v>0</v>
      </c>
      <c r="AR3975">
        <v>0</v>
      </c>
      <c r="AT3975">
        <v>0</v>
      </c>
      <c r="AU3975">
        <v>0</v>
      </c>
      <c r="AW3975">
        <v>0</v>
      </c>
      <c r="AX3975">
        <v>0</v>
      </c>
      <c r="AY3975">
        <v>70</v>
      </c>
      <c r="BC3975" t="str">
        <f t="shared" si="532"/>
        <v>9791137601901</v>
      </c>
      <c r="BE3975" t="str">
        <f t="shared" si="529"/>
        <v>판타지 웹소설 &gt; 퓨전 판타지</v>
      </c>
    </row>
    <row r="3976" spans="1:57" x14ac:dyDescent="0.3">
      <c r="A3976">
        <v>2313018100</v>
      </c>
      <c r="B3976">
        <v>2313018164</v>
      </c>
      <c r="C3976" t="str">
        <f>T("위대한 가문의 망나니가 되다 65화")</f>
        <v>위대한 가문의 망나니가 되다 65화</v>
      </c>
      <c r="D3976" t="str">
        <f>T("65")</f>
        <v>65</v>
      </c>
      <c r="E3976" t="str">
        <f t="shared" si="530"/>
        <v>바나바다</v>
      </c>
      <c r="H3976" t="str">
        <f t="shared" si="526"/>
        <v>스토리위즈</v>
      </c>
      <c r="I3976" t="str">
        <f t="shared" si="531"/>
        <v>위대한 가문의 망나니가 되다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/>
      <c r="AQ3976">
        <v>0</v>
      </c>
      <c r="AR3976">
        <v>0</v>
      </c>
      <c r="AT3976">
        <v>0</v>
      </c>
      <c r="AU3976">
        <v>0</v>
      </c>
      <c r="AW3976">
        <v>0</v>
      </c>
      <c r="AX3976">
        <v>0</v>
      </c>
      <c r="AY3976">
        <v>70</v>
      </c>
      <c r="BC3976" t="str">
        <f t="shared" si="532"/>
        <v>9791137601901</v>
      </c>
      <c r="BE3976" t="str">
        <f t="shared" si="529"/>
        <v>판타지 웹소설 &gt; 퓨전 판타지</v>
      </c>
    </row>
    <row r="3977" spans="1:57" x14ac:dyDescent="0.3">
      <c r="A3977">
        <v>2313018100</v>
      </c>
      <c r="B3977">
        <v>2313018165</v>
      </c>
      <c r="C3977" t="str">
        <f>T("위대한 가문의 망나니가 되다 66화")</f>
        <v>위대한 가문의 망나니가 되다 66화</v>
      </c>
      <c r="D3977" t="str">
        <f>T("66")</f>
        <v>66</v>
      </c>
      <c r="E3977" t="str">
        <f t="shared" si="530"/>
        <v>바나바다</v>
      </c>
      <c r="H3977" t="str">
        <f t="shared" si="526"/>
        <v>스토리위즈</v>
      </c>
      <c r="I3977" t="str">
        <f t="shared" si="531"/>
        <v>위대한 가문의 망나니가 되다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/>
      <c r="AQ3977">
        <v>0</v>
      </c>
      <c r="AR3977">
        <v>0</v>
      </c>
      <c r="AT3977">
        <v>0</v>
      </c>
      <c r="AU3977">
        <v>0</v>
      </c>
      <c r="AW3977">
        <v>0</v>
      </c>
      <c r="AX3977">
        <v>0</v>
      </c>
      <c r="AY3977">
        <v>70</v>
      </c>
      <c r="BC3977" t="str">
        <f t="shared" si="532"/>
        <v>9791137601901</v>
      </c>
      <c r="BE3977" t="str">
        <f t="shared" si="529"/>
        <v>판타지 웹소설 &gt; 퓨전 판타지</v>
      </c>
    </row>
    <row r="3978" spans="1:57" x14ac:dyDescent="0.3">
      <c r="A3978">
        <v>2313018100</v>
      </c>
      <c r="B3978">
        <v>2313018166</v>
      </c>
      <c r="C3978" t="str">
        <f>T("위대한 가문의 망나니가 되다 67화")</f>
        <v>위대한 가문의 망나니가 되다 67화</v>
      </c>
      <c r="D3978" t="str">
        <f>T("67")</f>
        <v>67</v>
      </c>
      <c r="E3978" t="str">
        <f t="shared" si="530"/>
        <v>바나바다</v>
      </c>
      <c r="H3978" t="str">
        <f t="shared" si="526"/>
        <v>스토리위즈</v>
      </c>
      <c r="I3978" t="str">
        <f t="shared" si="531"/>
        <v>위대한 가문의 망나니가 되다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/>
      <c r="AQ3978">
        <v>0</v>
      </c>
      <c r="AR3978">
        <v>0</v>
      </c>
      <c r="AT3978">
        <v>0</v>
      </c>
      <c r="AU3978">
        <v>0</v>
      </c>
      <c r="AW3978">
        <v>0</v>
      </c>
      <c r="AX3978">
        <v>0</v>
      </c>
      <c r="AY3978">
        <v>70</v>
      </c>
      <c r="BC3978" t="str">
        <f t="shared" si="532"/>
        <v>9791137601901</v>
      </c>
      <c r="BE3978" t="str">
        <f t="shared" si="529"/>
        <v>판타지 웹소설 &gt; 퓨전 판타지</v>
      </c>
    </row>
    <row r="3979" spans="1:57" x14ac:dyDescent="0.3">
      <c r="A3979">
        <v>2313018100</v>
      </c>
      <c r="B3979">
        <v>2313018167</v>
      </c>
      <c r="C3979" t="str">
        <f>T("위대한 가문의 망나니가 되다 68화")</f>
        <v>위대한 가문의 망나니가 되다 68화</v>
      </c>
      <c r="D3979" t="str">
        <f>T("68")</f>
        <v>68</v>
      </c>
      <c r="E3979" t="str">
        <f t="shared" si="530"/>
        <v>바나바다</v>
      </c>
      <c r="H3979" t="str">
        <f t="shared" si="526"/>
        <v>스토리위즈</v>
      </c>
      <c r="I3979" t="str">
        <f t="shared" si="531"/>
        <v>위대한 가문의 망나니가 되다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/>
      <c r="AQ3979">
        <v>0</v>
      </c>
      <c r="AR3979">
        <v>0</v>
      </c>
      <c r="AT3979">
        <v>0</v>
      </c>
      <c r="AU3979">
        <v>0</v>
      </c>
      <c r="AW3979">
        <v>0</v>
      </c>
      <c r="AX3979">
        <v>0</v>
      </c>
      <c r="AY3979">
        <v>70</v>
      </c>
      <c r="BC3979" t="str">
        <f t="shared" si="532"/>
        <v>9791137601901</v>
      </c>
      <c r="BE3979" t="str">
        <f t="shared" si="529"/>
        <v>판타지 웹소설 &gt; 퓨전 판타지</v>
      </c>
    </row>
    <row r="3980" spans="1:57" x14ac:dyDescent="0.3">
      <c r="A3980">
        <v>2313018100</v>
      </c>
      <c r="B3980">
        <v>2313018168</v>
      </c>
      <c r="C3980" t="str">
        <f>T("위대한 가문의 망나니가 되다 69화")</f>
        <v>위대한 가문의 망나니가 되다 69화</v>
      </c>
      <c r="D3980" t="str">
        <f>T("69")</f>
        <v>69</v>
      </c>
      <c r="E3980" t="str">
        <f t="shared" si="530"/>
        <v>바나바다</v>
      </c>
      <c r="H3980" t="str">
        <f t="shared" si="526"/>
        <v>스토리위즈</v>
      </c>
      <c r="I3980" t="str">
        <f t="shared" si="531"/>
        <v>위대한 가문의 망나니가 되다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/>
      <c r="AQ3980">
        <v>0</v>
      </c>
      <c r="AR3980">
        <v>0</v>
      </c>
      <c r="AT3980">
        <v>0</v>
      </c>
      <c r="AU3980">
        <v>0</v>
      </c>
      <c r="AW3980">
        <v>0</v>
      </c>
      <c r="AX3980">
        <v>0</v>
      </c>
      <c r="AY3980">
        <v>70</v>
      </c>
      <c r="BC3980" t="str">
        <f t="shared" si="532"/>
        <v>9791137601901</v>
      </c>
      <c r="BE3980" t="str">
        <f t="shared" si="529"/>
        <v>판타지 웹소설 &gt; 퓨전 판타지</v>
      </c>
    </row>
    <row r="3981" spans="1:57" x14ac:dyDescent="0.3">
      <c r="A3981">
        <v>2313018100</v>
      </c>
      <c r="B3981">
        <v>2313018169</v>
      </c>
      <c r="C3981" t="str">
        <f>T("위대한 가문의 망나니가 되다 70화")</f>
        <v>위대한 가문의 망나니가 되다 70화</v>
      </c>
      <c r="D3981" t="str">
        <f>T("70")</f>
        <v>70</v>
      </c>
      <c r="E3981" t="str">
        <f t="shared" si="530"/>
        <v>바나바다</v>
      </c>
      <c r="H3981" t="str">
        <f t="shared" ref="H3981:H4044" si="533">T("스토리위즈")</f>
        <v>스토리위즈</v>
      </c>
      <c r="I3981" t="str">
        <f t="shared" si="531"/>
        <v>위대한 가문의 망나니가 되다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/>
      <c r="AQ3981">
        <v>0</v>
      </c>
      <c r="AR3981">
        <v>0</v>
      </c>
      <c r="AT3981">
        <v>0</v>
      </c>
      <c r="AU3981">
        <v>0</v>
      </c>
      <c r="AW3981">
        <v>0</v>
      </c>
      <c r="AX3981">
        <v>0</v>
      </c>
      <c r="AY3981">
        <v>70</v>
      </c>
      <c r="BC3981" t="str">
        <f t="shared" si="532"/>
        <v>9791137601901</v>
      </c>
      <c r="BE3981" t="str">
        <f t="shared" ref="BE3981:BE3991" si="534">T("판타지 웹소설 &gt; 퓨전 판타지")</f>
        <v>판타지 웹소설 &gt; 퓨전 판타지</v>
      </c>
    </row>
    <row r="3982" spans="1:57" x14ac:dyDescent="0.3">
      <c r="A3982">
        <v>2313018100</v>
      </c>
      <c r="B3982">
        <v>2313018170</v>
      </c>
      <c r="C3982" t="str">
        <f>T("위대한 가문의 망나니가 되다 71화")</f>
        <v>위대한 가문의 망나니가 되다 71화</v>
      </c>
      <c r="D3982" t="str">
        <f>T("71")</f>
        <v>71</v>
      </c>
      <c r="E3982" t="str">
        <f t="shared" si="530"/>
        <v>바나바다</v>
      </c>
      <c r="H3982" t="str">
        <f t="shared" si="533"/>
        <v>스토리위즈</v>
      </c>
      <c r="I3982" t="str">
        <f t="shared" si="531"/>
        <v>위대한 가문의 망나니가 되다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/>
      <c r="AQ3982">
        <v>0</v>
      </c>
      <c r="AR3982">
        <v>0</v>
      </c>
      <c r="AT3982">
        <v>0</v>
      </c>
      <c r="AU3982">
        <v>0</v>
      </c>
      <c r="AW3982">
        <v>0</v>
      </c>
      <c r="AX3982">
        <v>0</v>
      </c>
      <c r="AY3982">
        <v>70</v>
      </c>
      <c r="BC3982" t="str">
        <f t="shared" si="532"/>
        <v>9791137601901</v>
      </c>
      <c r="BE3982" t="str">
        <f t="shared" si="534"/>
        <v>판타지 웹소설 &gt; 퓨전 판타지</v>
      </c>
    </row>
    <row r="3983" spans="1:57" x14ac:dyDescent="0.3">
      <c r="A3983">
        <v>2313018100</v>
      </c>
      <c r="B3983">
        <v>2313018171</v>
      </c>
      <c r="C3983" t="str">
        <f>T("위대한 가문의 망나니가 되다 72화")</f>
        <v>위대한 가문의 망나니가 되다 72화</v>
      </c>
      <c r="D3983" t="str">
        <f>T("72")</f>
        <v>72</v>
      </c>
      <c r="E3983" t="str">
        <f t="shared" si="530"/>
        <v>바나바다</v>
      </c>
      <c r="H3983" t="str">
        <f t="shared" si="533"/>
        <v>스토리위즈</v>
      </c>
      <c r="I3983" t="str">
        <f t="shared" si="531"/>
        <v>위대한 가문의 망나니가 되다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/>
      <c r="AQ3983">
        <v>0</v>
      </c>
      <c r="AR3983">
        <v>0</v>
      </c>
      <c r="AT3983">
        <v>0</v>
      </c>
      <c r="AU3983">
        <v>0</v>
      </c>
      <c r="AW3983">
        <v>0</v>
      </c>
      <c r="AX3983">
        <v>0</v>
      </c>
      <c r="AY3983">
        <v>70</v>
      </c>
      <c r="BC3983" t="str">
        <f t="shared" si="532"/>
        <v>9791137601901</v>
      </c>
      <c r="BE3983" t="str">
        <f t="shared" si="534"/>
        <v>판타지 웹소설 &gt; 퓨전 판타지</v>
      </c>
    </row>
    <row r="3984" spans="1:57" x14ac:dyDescent="0.3">
      <c r="A3984">
        <v>2313018100</v>
      </c>
      <c r="B3984">
        <v>2313018172</v>
      </c>
      <c r="C3984" t="str">
        <f>T("위대한 가문의 망나니가 되다 73화")</f>
        <v>위대한 가문의 망나니가 되다 73화</v>
      </c>
      <c r="D3984" t="str">
        <f>T("73")</f>
        <v>73</v>
      </c>
      <c r="E3984" t="str">
        <f t="shared" si="530"/>
        <v>바나바다</v>
      </c>
      <c r="H3984" t="str">
        <f t="shared" si="533"/>
        <v>스토리위즈</v>
      </c>
      <c r="I3984" t="str">
        <f t="shared" si="531"/>
        <v>위대한 가문의 망나니가 되다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/>
      <c r="AQ3984">
        <v>0</v>
      </c>
      <c r="AR3984">
        <v>0</v>
      </c>
      <c r="AT3984">
        <v>0</v>
      </c>
      <c r="AU3984">
        <v>0</v>
      </c>
      <c r="AW3984">
        <v>0</v>
      </c>
      <c r="AX3984">
        <v>0</v>
      </c>
      <c r="AY3984">
        <v>70</v>
      </c>
      <c r="BC3984" t="str">
        <f t="shared" si="532"/>
        <v>9791137601901</v>
      </c>
      <c r="BE3984" t="str">
        <f t="shared" si="534"/>
        <v>판타지 웹소설 &gt; 퓨전 판타지</v>
      </c>
    </row>
    <row r="3985" spans="1:57" x14ac:dyDescent="0.3">
      <c r="A3985">
        <v>2313018100</v>
      </c>
      <c r="B3985">
        <v>2313018173</v>
      </c>
      <c r="C3985" t="str">
        <f>T("위대한 가문의 망나니가 되다 74화")</f>
        <v>위대한 가문의 망나니가 되다 74화</v>
      </c>
      <c r="D3985" t="str">
        <f>T("74")</f>
        <v>74</v>
      </c>
      <c r="E3985" t="str">
        <f t="shared" si="530"/>
        <v>바나바다</v>
      </c>
      <c r="H3985" t="str">
        <f t="shared" si="533"/>
        <v>스토리위즈</v>
      </c>
      <c r="I3985" t="str">
        <f t="shared" si="531"/>
        <v>위대한 가문의 망나니가 되다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/>
      <c r="AQ3985">
        <v>0</v>
      </c>
      <c r="AR3985">
        <v>0</v>
      </c>
      <c r="AT3985">
        <v>0</v>
      </c>
      <c r="AU3985">
        <v>0</v>
      </c>
      <c r="AW3985">
        <v>0</v>
      </c>
      <c r="AX3985">
        <v>0</v>
      </c>
      <c r="AY3985">
        <v>70</v>
      </c>
      <c r="BC3985" t="str">
        <f t="shared" si="532"/>
        <v>9791137601901</v>
      </c>
      <c r="BE3985" t="str">
        <f t="shared" si="534"/>
        <v>판타지 웹소설 &gt; 퓨전 판타지</v>
      </c>
    </row>
    <row r="3986" spans="1:57" x14ac:dyDescent="0.3">
      <c r="A3986">
        <v>2313018100</v>
      </c>
      <c r="B3986">
        <v>2313018174</v>
      </c>
      <c r="C3986" t="str">
        <f>T("위대한 가문의 망나니가 되다 75화")</f>
        <v>위대한 가문의 망나니가 되다 75화</v>
      </c>
      <c r="D3986" t="str">
        <f>T("75")</f>
        <v>75</v>
      </c>
      <c r="E3986" t="str">
        <f t="shared" si="530"/>
        <v>바나바다</v>
      </c>
      <c r="H3986" t="str">
        <f t="shared" si="533"/>
        <v>스토리위즈</v>
      </c>
      <c r="I3986" t="str">
        <f t="shared" si="531"/>
        <v>위대한 가문의 망나니가 되다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/>
      <c r="AQ3986">
        <v>0</v>
      </c>
      <c r="AR3986">
        <v>0</v>
      </c>
      <c r="AT3986">
        <v>0</v>
      </c>
      <c r="AU3986">
        <v>0</v>
      </c>
      <c r="AW3986">
        <v>0</v>
      </c>
      <c r="AX3986">
        <v>0</v>
      </c>
      <c r="AY3986">
        <v>70</v>
      </c>
      <c r="BC3986" t="str">
        <f t="shared" si="532"/>
        <v>9791137601901</v>
      </c>
      <c r="BE3986" t="str">
        <f t="shared" si="534"/>
        <v>판타지 웹소설 &gt; 퓨전 판타지</v>
      </c>
    </row>
    <row r="3987" spans="1:57" x14ac:dyDescent="0.3">
      <c r="A3987">
        <v>2313018100</v>
      </c>
      <c r="B3987">
        <v>2313018175</v>
      </c>
      <c r="C3987" t="str">
        <f>T("위대한 가문의 망나니가 되다 76화")</f>
        <v>위대한 가문의 망나니가 되다 76화</v>
      </c>
      <c r="D3987" t="str">
        <f>T("76")</f>
        <v>76</v>
      </c>
      <c r="E3987" t="str">
        <f t="shared" si="530"/>
        <v>바나바다</v>
      </c>
      <c r="H3987" t="str">
        <f t="shared" si="533"/>
        <v>스토리위즈</v>
      </c>
      <c r="I3987" t="str">
        <f t="shared" si="531"/>
        <v>위대한 가문의 망나니가 되다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/>
      <c r="AQ3987">
        <v>0</v>
      </c>
      <c r="AR3987">
        <v>0</v>
      </c>
      <c r="AT3987">
        <v>0</v>
      </c>
      <c r="AU3987">
        <v>0</v>
      </c>
      <c r="AW3987">
        <v>0</v>
      </c>
      <c r="AX3987">
        <v>0</v>
      </c>
      <c r="AY3987">
        <v>70</v>
      </c>
      <c r="BC3987" t="str">
        <f t="shared" si="532"/>
        <v>9791137601901</v>
      </c>
      <c r="BE3987" t="str">
        <f t="shared" si="534"/>
        <v>판타지 웹소설 &gt; 퓨전 판타지</v>
      </c>
    </row>
    <row r="3988" spans="1:57" x14ac:dyDescent="0.3">
      <c r="A3988">
        <v>2313018100</v>
      </c>
      <c r="B3988">
        <v>2313018176</v>
      </c>
      <c r="C3988" t="str">
        <f>T("위대한 가문의 망나니가 되다 77화")</f>
        <v>위대한 가문의 망나니가 되다 77화</v>
      </c>
      <c r="D3988" t="str">
        <f>T("77")</f>
        <v>77</v>
      </c>
      <c r="E3988" t="str">
        <f t="shared" si="530"/>
        <v>바나바다</v>
      </c>
      <c r="H3988" t="str">
        <f t="shared" si="533"/>
        <v>스토리위즈</v>
      </c>
      <c r="I3988" t="str">
        <f t="shared" si="531"/>
        <v>위대한 가문의 망나니가 되다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/>
      <c r="AQ3988">
        <v>0</v>
      </c>
      <c r="AR3988">
        <v>0</v>
      </c>
      <c r="AT3988">
        <v>0</v>
      </c>
      <c r="AU3988">
        <v>0</v>
      </c>
      <c r="AW3988">
        <v>0</v>
      </c>
      <c r="AX3988">
        <v>0</v>
      </c>
      <c r="AY3988">
        <v>70</v>
      </c>
      <c r="BC3988" t="str">
        <f t="shared" si="532"/>
        <v>9791137601901</v>
      </c>
      <c r="BE3988" t="str">
        <f t="shared" si="534"/>
        <v>판타지 웹소설 &gt; 퓨전 판타지</v>
      </c>
    </row>
    <row r="3989" spans="1:57" x14ac:dyDescent="0.3">
      <c r="A3989">
        <v>2313018100</v>
      </c>
      <c r="B3989">
        <v>2313018177</v>
      </c>
      <c r="C3989" t="str">
        <f>T("위대한 가문의 망나니가 되다 78화")</f>
        <v>위대한 가문의 망나니가 되다 78화</v>
      </c>
      <c r="D3989" t="str">
        <f>T("78")</f>
        <v>78</v>
      </c>
      <c r="E3989" t="str">
        <f t="shared" si="530"/>
        <v>바나바다</v>
      </c>
      <c r="H3989" t="str">
        <f t="shared" si="533"/>
        <v>스토리위즈</v>
      </c>
      <c r="I3989" t="str">
        <f t="shared" si="531"/>
        <v>위대한 가문의 망나니가 되다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/>
      <c r="AQ3989">
        <v>0</v>
      </c>
      <c r="AR3989">
        <v>0</v>
      </c>
      <c r="AT3989">
        <v>0</v>
      </c>
      <c r="AU3989">
        <v>0</v>
      </c>
      <c r="AW3989">
        <v>0</v>
      </c>
      <c r="AX3989">
        <v>0</v>
      </c>
      <c r="AY3989">
        <v>70</v>
      </c>
      <c r="BC3989" t="str">
        <f t="shared" si="532"/>
        <v>9791137601901</v>
      </c>
      <c r="BE3989" t="str">
        <f t="shared" si="534"/>
        <v>판타지 웹소설 &gt; 퓨전 판타지</v>
      </c>
    </row>
    <row r="3990" spans="1:57" x14ac:dyDescent="0.3">
      <c r="A3990">
        <v>2313018100</v>
      </c>
      <c r="B3990">
        <v>2313018178</v>
      </c>
      <c r="C3990" t="str">
        <f>T("위대한 가문의 망나니가 되다 79화")</f>
        <v>위대한 가문의 망나니가 되다 79화</v>
      </c>
      <c r="D3990" t="str">
        <f>T("79")</f>
        <v>79</v>
      </c>
      <c r="E3990" t="str">
        <f t="shared" si="530"/>
        <v>바나바다</v>
      </c>
      <c r="H3990" t="str">
        <f t="shared" si="533"/>
        <v>스토리위즈</v>
      </c>
      <c r="I3990" t="str">
        <f t="shared" si="531"/>
        <v>위대한 가문의 망나니가 되다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/>
      <c r="AQ3990">
        <v>0</v>
      </c>
      <c r="AR3990">
        <v>0</v>
      </c>
      <c r="AT3990">
        <v>0</v>
      </c>
      <c r="AU3990">
        <v>0</v>
      </c>
      <c r="AW3990">
        <v>0</v>
      </c>
      <c r="AX3990">
        <v>0</v>
      </c>
      <c r="AY3990">
        <v>70</v>
      </c>
      <c r="BC3990" t="str">
        <f t="shared" si="532"/>
        <v>9791137601901</v>
      </c>
      <c r="BE3990" t="str">
        <f t="shared" si="534"/>
        <v>판타지 웹소설 &gt; 퓨전 판타지</v>
      </c>
    </row>
    <row r="3991" spans="1:57" x14ac:dyDescent="0.3">
      <c r="A3991">
        <v>2313018100</v>
      </c>
      <c r="B3991">
        <v>2313018179</v>
      </c>
      <c r="C3991" t="str">
        <f>T("위대한 가문의 망나니가 되다 80화")</f>
        <v>위대한 가문의 망나니가 되다 80화</v>
      </c>
      <c r="D3991" t="str">
        <f>T("80")</f>
        <v>80</v>
      </c>
      <c r="E3991" t="str">
        <f t="shared" si="530"/>
        <v>바나바다</v>
      </c>
      <c r="H3991" t="str">
        <f t="shared" si="533"/>
        <v>스토리위즈</v>
      </c>
      <c r="I3991" t="str">
        <f t="shared" si="531"/>
        <v>위대한 가문의 망나니가 되다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/>
      <c r="AQ3991">
        <v>0</v>
      </c>
      <c r="AR3991">
        <v>0</v>
      </c>
      <c r="AT3991">
        <v>0</v>
      </c>
      <c r="AU3991">
        <v>0</v>
      </c>
      <c r="AW3991">
        <v>0</v>
      </c>
      <c r="AX3991">
        <v>0</v>
      </c>
      <c r="AY3991">
        <v>70</v>
      </c>
      <c r="BC3991" t="str">
        <f t="shared" si="532"/>
        <v>9791137601901</v>
      </c>
      <c r="BE3991" t="str">
        <f t="shared" si="534"/>
        <v>판타지 웹소설 &gt; 퓨전 판타지</v>
      </c>
    </row>
    <row r="3992" spans="1:57" x14ac:dyDescent="0.3">
      <c r="A3992">
        <v>2313018365</v>
      </c>
      <c r="B3992">
        <v>2313018408</v>
      </c>
      <c r="C3992" t="str">
        <f>T("나 혼자 스킬융합 44화")</f>
        <v>나 혼자 스킬융합 44화</v>
      </c>
      <c r="D3992" t="str">
        <f>T("44")</f>
        <v>44</v>
      </c>
      <c r="E3992" t="str">
        <f t="shared" ref="E3992:E4055" si="535">T("붕어빵")</f>
        <v>붕어빵</v>
      </c>
      <c r="H3992" t="str">
        <f t="shared" si="533"/>
        <v>스토리위즈</v>
      </c>
      <c r="I3992" t="str">
        <f t="shared" ref="I3992:I4055" si="536">T("나 혼자 스킬융합")</f>
        <v>나 혼자 스킬융합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/>
      <c r="AQ3992">
        <v>0</v>
      </c>
      <c r="AR3992">
        <v>0</v>
      </c>
      <c r="AT3992">
        <v>0</v>
      </c>
      <c r="AU3992">
        <v>0</v>
      </c>
      <c r="AW3992">
        <v>0</v>
      </c>
      <c r="AX3992">
        <v>0</v>
      </c>
      <c r="AY3992">
        <v>70</v>
      </c>
      <c r="BC3992" t="str">
        <f t="shared" ref="BC3992:BC4055" si="537">T("9791137602069")</f>
        <v>9791137602069</v>
      </c>
      <c r="BE3992" t="str">
        <f t="shared" ref="BE3992:BE4055" si="538">T("판타지 웹소설 &gt; 현대 판타지")</f>
        <v>판타지 웹소설 &gt; 현대 판타지</v>
      </c>
    </row>
    <row r="3993" spans="1:57" x14ac:dyDescent="0.3">
      <c r="A3993">
        <v>2313018365</v>
      </c>
      <c r="B3993">
        <v>2313018409</v>
      </c>
      <c r="C3993" t="str">
        <f>T("나 혼자 스킬융합 45화")</f>
        <v>나 혼자 스킬융합 45화</v>
      </c>
      <c r="D3993" t="str">
        <f>T("45")</f>
        <v>45</v>
      </c>
      <c r="E3993" t="str">
        <f t="shared" si="535"/>
        <v>붕어빵</v>
      </c>
      <c r="H3993" t="str">
        <f t="shared" si="533"/>
        <v>스토리위즈</v>
      </c>
      <c r="I3993" t="str">
        <f t="shared" si="536"/>
        <v>나 혼자 스킬융합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/>
      <c r="AQ3993">
        <v>0</v>
      </c>
      <c r="AR3993">
        <v>0</v>
      </c>
      <c r="AT3993">
        <v>0</v>
      </c>
      <c r="AU3993">
        <v>0</v>
      </c>
      <c r="AW3993">
        <v>0</v>
      </c>
      <c r="AX3993">
        <v>0</v>
      </c>
      <c r="AY3993">
        <v>70</v>
      </c>
      <c r="BC3993" t="str">
        <f t="shared" si="537"/>
        <v>9791137602069</v>
      </c>
      <c r="BE3993" t="str">
        <f t="shared" si="538"/>
        <v>판타지 웹소설 &gt; 현대 판타지</v>
      </c>
    </row>
    <row r="3994" spans="1:57" x14ac:dyDescent="0.3">
      <c r="A3994">
        <v>2313018365</v>
      </c>
      <c r="B3994">
        <v>2313018410</v>
      </c>
      <c r="C3994" t="str">
        <f>T("나 혼자 스킬융합 46화")</f>
        <v>나 혼자 스킬융합 46화</v>
      </c>
      <c r="D3994" t="str">
        <f>T("46")</f>
        <v>46</v>
      </c>
      <c r="E3994" t="str">
        <f t="shared" si="535"/>
        <v>붕어빵</v>
      </c>
      <c r="H3994" t="str">
        <f t="shared" si="533"/>
        <v>스토리위즈</v>
      </c>
      <c r="I3994" t="str">
        <f t="shared" si="536"/>
        <v>나 혼자 스킬융합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/>
      <c r="AQ3994">
        <v>0</v>
      </c>
      <c r="AR3994">
        <v>0</v>
      </c>
      <c r="AT3994">
        <v>0</v>
      </c>
      <c r="AU3994">
        <v>0</v>
      </c>
      <c r="AW3994">
        <v>0</v>
      </c>
      <c r="AX3994">
        <v>0</v>
      </c>
      <c r="AY3994">
        <v>70</v>
      </c>
      <c r="BC3994" t="str">
        <f t="shared" si="537"/>
        <v>9791137602069</v>
      </c>
      <c r="BE3994" t="str">
        <f t="shared" si="538"/>
        <v>판타지 웹소설 &gt; 현대 판타지</v>
      </c>
    </row>
    <row r="3995" spans="1:57" x14ac:dyDescent="0.3">
      <c r="A3995">
        <v>2313018365</v>
      </c>
      <c r="B3995">
        <v>2313018411</v>
      </c>
      <c r="C3995" t="str">
        <f>T("나 혼자 스킬융합 47화")</f>
        <v>나 혼자 스킬융합 47화</v>
      </c>
      <c r="D3995" t="str">
        <f>T("47")</f>
        <v>47</v>
      </c>
      <c r="E3995" t="str">
        <f t="shared" si="535"/>
        <v>붕어빵</v>
      </c>
      <c r="H3995" t="str">
        <f t="shared" si="533"/>
        <v>스토리위즈</v>
      </c>
      <c r="I3995" t="str">
        <f t="shared" si="536"/>
        <v>나 혼자 스킬융합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/>
      <c r="AQ3995">
        <v>0</v>
      </c>
      <c r="AR3995">
        <v>0</v>
      </c>
      <c r="AT3995">
        <v>0</v>
      </c>
      <c r="AU3995">
        <v>0</v>
      </c>
      <c r="AW3995">
        <v>0</v>
      </c>
      <c r="AX3995">
        <v>0</v>
      </c>
      <c r="AY3995">
        <v>70</v>
      </c>
      <c r="BC3995" t="str">
        <f t="shared" si="537"/>
        <v>9791137602069</v>
      </c>
      <c r="BE3995" t="str">
        <f t="shared" si="538"/>
        <v>판타지 웹소설 &gt; 현대 판타지</v>
      </c>
    </row>
    <row r="3996" spans="1:57" x14ac:dyDescent="0.3">
      <c r="A3996">
        <v>2313018365</v>
      </c>
      <c r="B3996">
        <v>2313018412</v>
      </c>
      <c r="C3996" t="str">
        <f>T("나 혼자 스킬융합 48화")</f>
        <v>나 혼자 스킬융합 48화</v>
      </c>
      <c r="D3996" t="str">
        <f>T("48")</f>
        <v>48</v>
      </c>
      <c r="E3996" t="str">
        <f t="shared" si="535"/>
        <v>붕어빵</v>
      </c>
      <c r="H3996" t="str">
        <f t="shared" si="533"/>
        <v>스토리위즈</v>
      </c>
      <c r="I3996" t="str">
        <f t="shared" si="536"/>
        <v>나 혼자 스킬융합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/>
      <c r="AQ3996">
        <v>0</v>
      </c>
      <c r="AR3996">
        <v>0</v>
      </c>
      <c r="AT3996">
        <v>0</v>
      </c>
      <c r="AU3996">
        <v>0</v>
      </c>
      <c r="AW3996">
        <v>0</v>
      </c>
      <c r="AX3996">
        <v>0</v>
      </c>
      <c r="AY3996">
        <v>70</v>
      </c>
      <c r="BC3996" t="str">
        <f t="shared" si="537"/>
        <v>9791137602069</v>
      </c>
      <c r="BE3996" t="str">
        <f t="shared" si="538"/>
        <v>판타지 웹소설 &gt; 현대 판타지</v>
      </c>
    </row>
    <row r="3997" spans="1:57" x14ac:dyDescent="0.3">
      <c r="A3997">
        <v>2313018365</v>
      </c>
      <c r="B3997">
        <v>2313018413</v>
      </c>
      <c r="C3997" t="str">
        <f>T("나 혼자 스킬융합 49화")</f>
        <v>나 혼자 스킬융합 49화</v>
      </c>
      <c r="D3997" t="str">
        <f>T("49")</f>
        <v>49</v>
      </c>
      <c r="E3997" t="str">
        <f t="shared" si="535"/>
        <v>붕어빵</v>
      </c>
      <c r="H3997" t="str">
        <f t="shared" si="533"/>
        <v>스토리위즈</v>
      </c>
      <c r="I3997" t="str">
        <f t="shared" si="536"/>
        <v>나 혼자 스킬융합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/>
      <c r="AQ3997">
        <v>0</v>
      </c>
      <c r="AR3997">
        <v>0</v>
      </c>
      <c r="AT3997">
        <v>0</v>
      </c>
      <c r="AU3997">
        <v>0</v>
      </c>
      <c r="AW3997">
        <v>0</v>
      </c>
      <c r="AX3997">
        <v>0</v>
      </c>
      <c r="AY3997">
        <v>70</v>
      </c>
      <c r="BC3997" t="str">
        <f t="shared" si="537"/>
        <v>9791137602069</v>
      </c>
      <c r="BE3997" t="str">
        <f t="shared" si="538"/>
        <v>판타지 웹소설 &gt; 현대 판타지</v>
      </c>
    </row>
    <row r="3998" spans="1:57" x14ac:dyDescent="0.3">
      <c r="A3998">
        <v>2313018365</v>
      </c>
      <c r="B3998">
        <v>2313018414</v>
      </c>
      <c r="C3998" t="str">
        <f>T("나 혼자 스킬융합 50화")</f>
        <v>나 혼자 스킬융합 50화</v>
      </c>
      <c r="D3998" t="str">
        <f>T("50")</f>
        <v>50</v>
      </c>
      <c r="E3998" t="str">
        <f t="shared" si="535"/>
        <v>붕어빵</v>
      </c>
      <c r="H3998" t="str">
        <f t="shared" si="533"/>
        <v>스토리위즈</v>
      </c>
      <c r="I3998" t="str">
        <f t="shared" si="536"/>
        <v>나 혼자 스킬융합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/>
      <c r="AQ3998">
        <v>0</v>
      </c>
      <c r="AR3998">
        <v>0</v>
      </c>
      <c r="AT3998">
        <v>0</v>
      </c>
      <c r="AU3998">
        <v>0</v>
      </c>
      <c r="AW3998">
        <v>0</v>
      </c>
      <c r="AX3998">
        <v>0</v>
      </c>
      <c r="AY3998">
        <v>70</v>
      </c>
      <c r="BC3998" t="str">
        <f t="shared" si="537"/>
        <v>9791137602069</v>
      </c>
      <c r="BE3998" t="str">
        <f t="shared" si="538"/>
        <v>판타지 웹소설 &gt; 현대 판타지</v>
      </c>
    </row>
    <row r="3999" spans="1:57" x14ac:dyDescent="0.3">
      <c r="A3999">
        <v>2313018365</v>
      </c>
      <c r="B3999">
        <v>2313018415</v>
      </c>
      <c r="C3999" t="str">
        <f>T("나 혼자 스킬융합 51화")</f>
        <v>나 혼자 스킬융합 51화</v>
      </c>
      <c r="D3999" t="str">
        <f>T("51")</f>
        <v>51</v>
      </c>
      <c r="E3999" t="str">
        <f t="shared" si="535"/>
        <v>붕어빵</v>
      </c>
      <c r="H3999" t="str">
        <f t="shared" si="533"/>
        <v>스토리위즈</v>
      </c>
      <c r="I3999" t="str">
        <f t="shared" si="536"/>
        <v>나 혼자 스킬융합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/>
      <c r="AQ3999">
        <v>0</v>
      </c>
      <c r="AR3999">
        <v>0</v>
      </c>
      <c r="AT3999">
        <v>0</v>
      </c>
      <c r="AU3999">
        <v>0</v>
      </c>
      <c r="AW3999">
        <v>0</v>
      </c>
      <c r="AX3999">
        <v>0</v>
      </c>
      <c r="AY3999">
        <v>70</v>
      </c>
      <c r="BC3999" t="str">
        <f t="shared" si="537"/>
        <v>9791137602069</v>
      </c>
      <c r="BE3999" t="str">
        <f t="shared" si="538"/>
        <v>판타지 웹소설 &gt; 현대 판타지</v>
      </c>
    </row>
    <row r="4000" spans="1:57" x14ac:dyDescent="0.3">
      <c r="A4000">
        <v>2313018365</v>
      </c>
      <c r="B4000">
        <v>2313018416</v>
      </c>
      <c r="C4000" t="str">
        <f>T("나 혼자 스킬융합 52화")</f>
        <v>나 혼자 스킬융합 52화</v>
      </c>
      <c r="D4000" t="str">
        <f>T("52")</f>
        <v>52</v>
      </c>
      <c r="E4000" t="str">
        <f t="shared" si="535"/>
        <v>붕어빵</v>
      </c>
      <c r="H4000" t="str">
        <f t="shared" si="533"/>
        <v>스토리위즈</v>
      </c>
      <c r="I4000" t="str">
        <f t="shared" si="536"/>
        <v>나 혼자 스킬융합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/>
      <c r="AQ4000">
        <v>0</v>
      </c>
      <c r="AR4000">
        <v>0</v>
      </c>
      <c r="AT4000">
        <v>0</v>
      </c>
      <c r="AU4000">
        <v>0</v>
      </c>
      <c r="AW4000">
        <v>0</v>
      </c>
      <c r="AX4000">
        <v>0</v>
      </c>
      <c r="AY4000">
        <v>70</v>
      </c>
      <c r="BC4000" t="str">
        <f t="shared" si="537"/>
        <v>9791137602069</v>
      </c>
      <c r="BE4000" t="str">
        <f t="shared" si="538"/>
        <v>판타지 웹소설 &gt; 현대 판타지</v>
      </c>
    </row>
    <row r="4001" spans="1:57" x14ac:dyDescent="0.3">
      <c r="A4001">
        <v>2313018365</v>
      </c>
      <c r="B4001">
        <v>2313018417</v>
      </c>
      <c r="C4001" t="str">
        <f>T("나 혼자 스킬융합 53화")</f>
        <v>나 혼자 스킬융합 53화</v>
      </c>
      <c r="D4001" t="str">
        <f>T("53")</f>
        <v>53</v>
      </c>
      <c r="E4001" t="str">
        <f t="shared" si="535"/>
        <v>붕어빵</v>
      </c>
      <c r="H4001" t="str">
        <f t="shared" si="533"/>
        <v>스토리위즈</v>
      </c>
      <c r="I4001" t="str">
        <f t="shared" si="536"/>
        <v>나 혼자 스킬융합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/>
      <c r="AQ4001">
        <v>0</v>
      </c>
      <c r="AR4001">
        <v>0</v>
      </c>
      <c r="AT4001">
        <v>0</v>
      </c>
      <c r="AU4001">
        <v>0</v>
      </c>
      <c r="AW4001">
        <v>0</v>
      </c>
      <c r="AX4001">
        <v>0</v>
      </c>
      <c r="AY4001">
        <v>70</v>
      </c>
      <c r="BC4001" t="str">
        <f t="shared" si="537"/>
        <v>9791137602069</v>
      </c>
      <c r="BE4001" t="str">
        <f t="shared" si="538"/>
        <v>판타지 웹소설 &gt; 현대 판타지</v>
      </c>
    </row>
    <row r="4002" spans="1:57" x14ac:dyDescent="0.3">
      <c r="A4002">
        <v>2313018365</v>
      </c>
      <c r="B4002">
        <v>2313018418</v>
      </c>
      <c r="C4002" t="str">
        <f>T("나 혼자 스킬융합 54화")</f>
        <v>나 혼자 스킬융합 54화</v>
      </c>
      <c r="D4002" t="str">
        <f>T("54")</f>
        <v>54</v>
      </c>
      <c r="E4002" t="str">
        <f t="shared" si="535"/>
        <v>붕어빵</v>
      </c>
      <c r="H4002" t="str">
        <f t="shared" si="533"/>
        <v>스토리위즈</v>
      </c>
      <c r="I4002" t="str">
        <f t="shared" si="536"/>
        <v>나 혼자 스킬융합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/>
      <c r="AQ4002">
        <v>0</v>
      </c>
      <c r="AR4002">
        <v>0</v>
      </c>
      <c r="AT4002">
        <v>0</v>
      </c>
      <c r="AU4002">
        <v>0</v>
      </c>
      <c r="AW4002">
        <v>0</v>
      </c>
      <c r="AX4002">
        <v>0</v>
      </c>
      <c r="AY4002">
        <v>70</v>
      </c>
      <c r="BC4002" t="str">
        <f t="shared" si="537"/>
        <v>9791137602069</v>
      </c>
      <c r="BE4002" t="str">
        <f t="shared" si="538"/>
        <v>판타지 웹소설 &gt; 현대 판타지</v>
      </c>
    </row>
    <row r="4003" spans="1:57" x14ac:dyDescent="0.3">
      <c r="A4003">
        <v>2313018365</v>
      </c>
      <c r="B4003">
        <v>2313018419</v>
      </c>
      <c r="C4003" t="str">
        <f>T("나 혼자 스킬융합 55화")</f>
        <v>나 혼자 스킬융합 55화</v>
      </c>
      <c r="D4003" t="str">
        <f>T("55")</f>
        <v>55</v>
      </c>
      <c r="E4003" t="str">
        <f t="shared" si="535"/>
        <v>붕어빵</v>
      </c>
      <c r="H4003" t="str">
        <f t="shared" si="533"/>
        <v>스토리위즈</v>
      </c>
      <c r="I4003" t="str">
        <f t="shared" si="536"/>
        <v>나 혼자 스킬융합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/>
      <c r="AQ4003">
        <v>0</v>
      </c>
      <c r="AR4003">
        <v>0</v>
      </c>
      <c r="AT4003">
        <v>0</v>
      </c>
      <c r="AU4003">
        <v>0</v>
      </c>
      <c r="AW4003">
        <v>0</v>
      </c>
      <c r="AX4003">
        <v>0</v>
      </c>
      <c r="AY4003">
        <v>70</v>
      </c>
      <c r="BC4003" t="str">
        <f t="shared" si="537"/>
        <v>9791137602069</v>
      </c>
      <c r="BE4003" t="str">
        <f t="shared" si="538"/>
        <v>판타지 웹소설 &gt; 현대 판타지</v>
      </c>
    </row>
    <row r="4004" spans="1:57" x14ac:dyDescent="0.3">
      <c r="A4004">
        <v>2313018365</v>
      </c>
      <c r="B4004">
        <v>2313018420</v>
      </c>
      <c r="C4004" t="str">
        <f>T("나 혼자 스킬융합 56화")</f>
        <v>나 혼자 스킬융합 56화</v>
      </c>
      <c r="D4004" t="str">
        <f>T("56")</f>
        <v>56</v>
      </c>
      <c r="E4004" t="str">
        <f t="shared" si="535"/>
        <v>붕어빵</v>
      </c>
      <c r="H4004" t="str">
        <f t="shared" si="533"/>
        <v>스토리위즈</v>
      </c>
      <c r="I4004" t="str">
        <f t="shared" si="536"/>
        <v>나 혼자 스킬융합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/>
      <c r="AQ4004">
        <v>0</v>
      </c>
      <c r="AR4004">
        <v>0</v>
      </c>
      <c r="AT4004">
        <v>0</v>
      </c>
      <c r="AU4004">
        <v>0</v>
      </c>
      <c r="AW4004">
        <v>0</v>
      </c>
      <c r="AX4004">
        <v>0</v>
      </c>
      <c r="AY4004">
        <v>70</v>
      </c>
      <c r="BC4004" t="str">
        <f t="shared" si="537"/>
        <v>9791137602069</v>
      </c>
      <c r="BE4004" t="str">
        <f t="shared" si="538"/>
        <v>판타지 웹소설 &gt; 현대 판타지</v>
      </c>
    </row>
    <row r="4005" spans="1:57" x14ac:dyDescent="0.3">
      <c r="A4005">
        <v>2313018365</v>
      </c>
      <c r="B4005">
        <v>2313018421</v>
      </c>
      <c r="C4005" t="str">
        <f>T("나 혼자 스킬융합 57화")</f>
        <v>나 혼자 스킬융합 57화</v>
      </c>
      <c r="D4005" t="str">
        <f>T("57")</f>
        <v>57</v>
      </c>
      <c r="E4005" t="str">
        <f t="shared" si="535"/>
        <v>붕어빵</v>
      </c>
      <c r="H4005" t="str">
        <f t="shared" si="533"/>
        <v>스토리위즈</v>
      </c>
      <c r="I4005" t="str">
        <f t="shared" si="536"/>
        <v>나 혼자 스킬융합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/>
      <c r="AQ4005">
        <v>0</v>
      </c>
      <c r="AR4005">
        <v>0</v>
      </c>
      <c r="AT4005">
        <v>0</v>
      </c>
      <c r="AU4005">
        <v>0</v>
      </c>
      <c r="AW4005">
        <v>0</v>
      </c>
      <c r="AX4005">
        <v>0</v>
      </c>
      <c r="AY4005">
        <v>70</v>
      </c>
      <c r="BC4005" t="str">
        <f t="shared" si="537"/>
        <v>9791137602069</v>
      </c>
      <c r="BE4005" t="str">
        <f t="shared" si="538"/>
        <v>판타지 웹소설 &gt; 현대 판타지</v>
      </c>
    </row>
    <row r="4006" spans="1:57" x14ac:dyDescent="0.3">
      <c r="A4006">
        <v>2313018365</v>
      </c>
      <c r="B4006">
        <v>2313018422</v>
      </c>
      <c r="C4006" t="str">
        <f>T("나 혼자 스킬융합 58화")</f>
        <v>나 혼자 스킬융합 58화</v>
      </c>
      <c r="D4006" t="str">
        <f>T("58")</f>
        <v>58</v>
      </c>
      <c r="E4006" t="str">
        <f t="shared" si="535"/>
        <v>붕어빵</v>
      </c>
      <c r="H4006" t="str">
        <f t="shared" si="533"/>
        <v>스토리위즈</v>
      </c>
      <c r="I4006" t="str">
        <f t="shared" si="536"/>
        <v>나 혼자 스킬융합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/>
      <c r="AQ4006">
        <v>0</v>
      </c>
      <c r="AR4006">
        <v>0</v>
      </c>
      <c r="AT4006">
        <v>0</v>
      </c>
      <c r="AU4006">
        <v>0</v>
      </c>
      <c r="AW4006">
        <v>0</v>
      </c>
      <c r="AX4006">
        <v>0</v>
      </c>
      <c r="AY4006">
        <v>70</v>
      </c>
      <c r="BC4006" t="str">
        <f t="shared" si="537"/>
        <v>9791137602069</v>
      </c>
      <c r="BE4006" t="str">
        <f t="shared" si="538"/>
        <v>판타지 웹소설 &gt; 현대 판타지</v>
      </c>
    </row>
    <row r="4007" spans="1:57" x14ac:dyDescent="0.3">
      <c r="A4007">
        <v>2313018365</v>
      </c>
      <c r="B4007">
        <v>2313018423</v>
      </c>
      <c r="C4007" t="str">
        <f>T("나 혼자 스킬융합 59화")</f>
        <v>나 혼자 스킬융합 59화</v>
      </c>
      <c r="D4007" t="str">
        <f>T("59")</f>
        <v>59</v>
      </c>
      <c r="E4007" t="str">
        <f t="shared" si="535"/>
        <v>붕어빵</v>
      </c>
      <c r="H4007" t="str">
        <f t="shared" si="533"/>
        <v>스토리위즈</v>
      </c>
      <c r="I4007" t="str">
        <f t="shared" si="536"/>
        <v>나 혼자 스킬융합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/>
      <c r="AQ4007">
        <v>0</v>
      </c>
      <c r="AR4007">
        <v>0</v>
      </c>
      <c r="AT4007">
        <v>0</v>
      </c>
      <c r="AU4007">
        <v>0</v>
      </c>
      <c r="AW4007">
        <v>0</v>
      </c>
      <c r="AX4007">
        <v>0</v>
      </c>
      <c r="AY4007">
        <v>70</v>
      </c>
      <c r="BC4007" t="str">
        <f t="shared" si="537"/>
        <v>9791137602069</v>
      </c>
      <c r="BE4007" t="str">
        <f t="shared" si="538"/>
        <v>판타지 웹소설 &gt; 현대 판타지</v>
      </c>
    </row>
    <row r="4008" spans="1:57" x14ac:dyDescent="0.3">
      <c r="A4008">
        <v>2313018365</v>
      </c>
      <c r="B4008">
        <v>2313018424</v>
      </c>
      <c r="C4008" t="str">
        <f>T("나 혼자 스킬융합 60화")</f>
        <v>나 혼자 스킬융합 60화</v>
      </c>
      <c r="D4008" t="str">
        <f>T("60")</f>
        <v>60</v>
      </c>
      <c r="E4008" t="str">
        <f t="shared" si="535"/>
        <v>붕어빵</v>
      </c>
      <c r="H4008" t="str">
        <f t="shared" si="533"/>
        <v>스토리위즈</v>
      </c>
      <c r="I4008" t="str">
        <f t="shared" si="536"/>
        <v>나 혼자 스킬융합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/>
      <c r="AQ4008">
        <v>0</v>
      </c>
      <c r="AR4008">
        <v>0</v>
      </c>
      <c r="AT4008">
        <v>0</v>
      </c>
      <c r="AU4008">
        <v>0</v>
      </c>
      <c r="AW4008">
        <v>0</v>
      </c>
      <c r="AX4008">
        <v>0</v>
      </c>
      <c r="AY4008">
        <v>70</v>
      </c>
      <c r="BC4008" t="str">
        <f t="shared" si="537"/>
        <v>9791137602069</v>
      </c>
      <c r="BE4008" t="str">
        <f t="shared" si="538"/>
        <v>판타지 웹소설 &gt; 현대 판타지</v>
      </c>
    </row>
    <row r="4009" spans="1:57" x14ac:dyDescent="0.3">
      <c r="A4009">
        <v>2313018365</v>
      </c>
      <c r="B4009">
        <v>2313018425</v>
      </c>
      <c r="C4009" t="str">
        <f>T("나 혼자 스킬융합 61화")</f>
        <v>나 혼자 스킬융합 61화</v>
      </c>
      <c r="D4009" t="str">
        <f>T("61")</f>
        <v>61</v>
      </c>
      <c r="E4009" t="str">
        <f t="shared" si="535"/>
        <v>붕어빵</v>
      </c>
      <c r="H4009" t="str">
        <f t="shared" si="533"/>
        <v>스토리위즈</v>
      </c>
      <c r="I4009" t="str">
        <f t="shared" si="536"/>
        <v>나 혼자 스킬융합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/>
      <c r="AQ4009">
        <v>0</v>
      </c>
      <c r="AR4009">
        <v>0</v>
      </c>
      <c r="AT4009">
        <v>0</v>
      </c>
      <c r="AU4009">
        <v>0</v>
      </c>
      <c r="AW4009">
        <v>0</v>
      </c>
      <c r="AX4009">
        <v>0</v>
      </c>
      <c r="AY4009">
        <v>70</v>
      </c>
      <c r="BC4009" t="str">
        <f t="shared" si="537"/>
        <v>9791137602069</v>
      </c>
      <c r="BE4009" t="str">
        <f t="shared" si="538"/>
        <v>판타지 웹소설 &gt; 현대 판타지</v>
      </c>
    </row>
    <row r="4010" spans="1:57" x14ac:dyDescent="0.3">
      <c r="A4010">
        <v>2313018365</v>
      </c>
      <c r="B4010">
        <v>2313018426</v>
      </c>
      <c r="C4010" t="str">
        <f>T("나 혼자 스킬융합 62화")</f>
        <v>나 혼자 스킬융합 62화</v>
      </c>
      <c r="D4010" t="str">
        <f>T("62")</f>
        <v>62</v>
      </c>
      <c r="E4010" t="str">
        <f t="shared" si="535"/>
        <v>붕어빵</v>
      </c>
      <c r="H4010" t="str">
        <f t="shared" si="533"/>
        <v>스토리위즈</v>
      </c>
      <c r="I4010" t="str">
        <f t="shared" si="536"/>
        <v>나 혼자 스킬융합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/>
      <c r="AQ4010">
        <v>0</v>
      </c>
      <c r="AR4010">
        <v>0</v>
      </c>
      <c r="AT4010">
        <v>0</v>
      </c>
      <c r="AU4010">
        <v>0</v>
      </c>
      <c r="AW4010">
        <v>0</v>
      </c>
      <c r="AX4010">
        <v>0</v>
      </c>
      <c r="AY4010">
        <v>70</v>
      </c>
      <c r="BC4010" t="str">
        <f t="shared" si="537"/>
        <v>9791137602069</v>
      </c>
      <c r="BE4010" t="str">
        <f t="shared" si="538"/>
        <v>판타지 웹소설 &gt; 현대 판타지</v>
      </c>
    </row>
    <row r="4011" spans="1:57" x14ac:dyDescent="0.3">
      <c r="A4011">
        <v>2313018365</v>
      </c>
      <c r="B4011">
        <v>2313018427</v>
      </c>
      <c r="C4011" t="str">
        <f>T("나 혼자 스킬융합 63화")</f>
        <v>나 혼자 스킬융합 63화</v>
      </c>
      <c r="D4011" t="str">
        <f>T("63")</f>
        <v>63</v>
      </c>
      <c r="E4011" t="str">
        <f t="shared" si="535"/>
        <v>붕어빵</v>
      </c>
      <c r="H4011" t="str">
        <f t="shared" si="533"/>
        <v>스토리위즈</v>
      </c>
      <c r="I4011" t="str">
        <f t="shared" si="536"/>
        <v>나 혼자 스킬융합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/>
      <c r="AQ4011">
        <v>0</v>
      </c>
      <c r="AR4011">
        <v>0</v>
      </c>
      <c r="AT4011">
        <v>0</v>
      </c>
      <c r="AU4011">
        <v>0</v>
      </c>
      <c r="AW4011">
        <v>0</v>
      </c>
      <c r="AX4011">
        <v>0</v>
      </c>
      <c r="AY4011">
        <v>70</v>
      </c>
      <c r="BC4011" t="str">
        <f t="shared" si="537"/>
        <v>9791137602069</v>
      </c>
      <c r="BE4011" t="str">
        <f t="shared" si="538"/>
        <v>판타지 웹소설 &gt; 현대 판타지</v>
      </c>
    </row>
    <row r="4012" spans="1:57" x14ac:dyDescent="0.3">
      <c r="A4012">
        <v>2313018365</v>
      </c>
      <c r="B4012">
        <v>2313018428</v>
      </c>
      <c r="C4012" t="str">
        <f>T("나 혼자 스킬융합 64화")</f>
        <v>나 혼자 스킬융합 64화</v>
      </c>
      <c r="D4012" t="str">
        <f>T("64")</f>
        <v>64</v>
      </c>
      <c r="E4012" t="str">
        <f t="shared" si="535"/>
        <v>붕어빵</v>
      </c>
      <c r="H4012" t="str">
        <f t="shared" si="533"/>
        <v>스토리위즈</v>
      </c>
      <c r="I4012" t="str">
        <f t="shared" si="536"/>
        <v>나 혼자 스킬융합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/>
      <c r="AQ4012">
        <v>0</v>
      </c>
      <c r="AR4012">
        <v>0</v>
      </c>
      <c r="AT4012">
        <v>0</v>
      </c>
      <c r="AU4012">
        <v>0</v>
      </c>
      <c r="AW4012">
        <v>0</v>
      </c>
      <c r="AX4012">
        <v>0</v>
      </c>
      <c r="AY4012">
        <v>70</v>
      </c>
      <c r="BC4012" t="str">
        <f t="shared" si="537"/>
        <v>9791137602069</v>
      </c>
      <c r="BE4012" t="str">
        <f t="shared" si="538"/>
        <v>판타지 웹소설 &gt; 현대 판타지</v>
      </c>
    </row>
    <row r="4013" spans="1:57" x14ac:dyDescent="0.3">
      <c r="A4013">
        <v>2313018365</v>
      </c>
      <c r="B4013">
        <v>2313018429</v>
      </c>
      <c r="C4013" t="str">
        <f>T("나 혼자 스킬융합 65화")</f>
        <v>나 혼자 스킬융합 65화</v>
      </c>
      <c r="D4013" t="str">
        <f>T("65")</f>
        <v>65</v>
      </c>
      <c r="E4013" t="str">
        <f t="shared" si="535"/>
        <v>붕어빵</v>
      </c>
      <c r="H4013" t="str">
        <f t="shared" si="533"/>
        <v>스토리위즈</v>
      </c>
      <c r="I4013" t="str">
        <f t="shared" si="536"/>
        <v>나 혼자 스킬융합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/>
      <c r="AQ4013">
        <v>0</v>
      </c>
      <c r="AR4013">
        <v>0</v>
      </c>
      <c r="AT4013">
        <v>0</v>
      </c>
      <c r="AU4013">
        <v>0</v>
      </c>
      <c r="AW4013">
        <v>0</v>
      </c>
      <c r="AX4013">
        <v>0</v>
      </c>
      <c r="AY4013">
        <v>70</v>
      </c>
      <c r="BC4013" t="str">
        <f t="shared" si="537"/>
        <v>9791137602069</v>
      </c>
      <c r="BE4013" t="str">
        <f t="shared" si="538"/>
        <v>판타지 웹소설 &gt; 현대 판타지</v>
      </c>
    </row>
    <row r="4014" spans="1:57" x14ac:dyDescent="0.3">
      <c r="A4014">
        <v>2313018365</v>
      </c>
      <c r="B4014">
        <v>2313018430</v>
      </c>
      <c r="C4014" t="str">
        <f>T("나 혼자 스킬융합 66화")</f>
        <v>나 혼자 스킬융합 66화</v>
      </c>
      <c r="D4014" t="str">
        <f>T("66")</f>
        <v>66</v>
      </c>
      <c r="E4014" t="str">
        <f t="shared" si="535"/>
        <v>붕어빵</v>
      </c>
      <c r="H4014" t="str">
        <f t="shared" si="533"/>
        <v>스토리위즈</v>
      </c>
      <c r="I4014" t="str">
        <f t="shared" si="536"/>
        <v>나 혼자 스킬융합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/>
      <c r="AQ4014">
        <v>0</v>
      </c>
      <c r="AR4014">
        <v>0</v>
      </c>
      <c r="AT4014">
        <v>0</v>
      </c>
      <c r="AU4014">
        <v>0</v>
      </c>
      <c r="AW4014">
        <v>0</v>
      </c>
      <c r="AX4014">
        <v>0</v>
      </c>
      <c r="AY4014">
        <v>70</v>
      </c>
      <c r="BC4014" t="str">
        <f t="shared" si="537"/>
        <v>9791137602069</v>
      </c>
      <c r="BE4014" t="str">
        <f t="shared" si="538"/>
        <v>판타지 웹소설 &gt; 현대 판타지</v>
      </c>
    </row>
    <row r="4015" spans="1:57" x14ac:dyDescent="0.3">
      <c r="A4015">
        <v>2313018365</v>
      </c>
      <c r="B4015">
        <v>2313018431</v>
      </c>
      <c r="C4015" t="str">
        <f>T("나 혼자 스킬융합 67화")</f>
        <v>나 혼자 스킬융합 67화</v>
      </c>
      <c r="D4015" t="str">
        <f>T("67")</f>
        <v>67</v>
      </c>
      <c r="E4015" t="str">
        <f t="shared" si="535"/>
        <v>붕어빵</v>
      </c>
      <c r="H4015" t="str">
        <f t="shared" si="533"/>
        <v>스토리위즈</v>
      </c>
      <c r="I4015" t="str">
        <f t="shared" si="536"/>
        <v>나 혼자 스킬융합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/>
      <c r="AQ4015">
        <v>0</v>
      </c>
      <c r="AR4015">
        <v>0</v>
      </c>
      <c r="AT4015">
        <v>0</v>
      </c>
      <c r="AU4015">
        <v>0</v>
      </c>
      <c r="AW4015">
        <v>0</v>
      </c>
      <c r="AX4015">
        <v>0</v>
      </c>
      <c r="AY4015">
        <v>70</v>
      </c>
      <c r="BC4015" t="str">
        <f t="shared" si="537"/>
        <v>9791137602069</v>
      </c>
      <c r="BE4015" t="str">
        <f t="shared" si="538"/>
        <v>판타지 웹소설 &gt; 현대 판타지</v>
      </c>
    </row>
    <row r="4016" spans="1:57" x14ac:dyDescent="0.3">
      <c r="A4016">
        <v>2313018365</v>
      </c>
      <c r="B4016">
        <v>2313018432</v>
      </c>
      <c r="C4016" t="str">
        <f>T("나 혼자 스킬융합 68화")</f>
        <v>나 혼자 스킬융합 68화</v>
      </c>
      <c r="D4016" t="str">
        <f>T("68")</f>
        <v>68</v>
      </c>
      <c r="E4016" t="str">
        <f t="shared" si="535"/>
        <v>붕어빵</v>
      </c>
      <c r="H4016" t="str">
        <f t="shared" si="533"/>
        <v>스토리위즈</v>
      </c>
      <c r="I4016" t="str">
        <f t="shared" si="536"/>
        <v>나 혼자 스킬융합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/>
      <c r="AQ4016">
        <v>0</v>
      </c>
      <c r="AR4016">
        <v>0</v>
      </c>
      <c r="AT4016">
        <v>0</v>
      </c>
      <c r="AU4016">
        <v>0</v>
      </c>
      <c r="AW4016">
        <v>0</v>
      </c>
      <c r="AX4016">
        <v>0</v>
      </c>
      <c r="AY4016">
        <v>70</v>
      </c>
      <c r="BC4016" t="str">
        <f t="shared" si="537"/>
        <v>9791137602069</v>
      </c>
      <c r="BE4016" t="str">
        <f t="shared" si="538"/>
        <v>판타지 웹소설 &gt; 현대 판타지</v>
      </c>
    </row>
    <row r="4017" spans="1:57" x14ac:dyDescent="0.3">
      <c r="A4017">
        <v>2313018365</v>
      </c>
      <c r="B4017">
        <v>2313018433</v>
      </c>
      <c r="C4017" t="str">
        <f>T("나 혼자 스킬융합 69화")</f>
        <v>나 혼자 스킬융합 69화</v>
      </c>
      <c r="D4017" t="str">
        <f>T("69")</f>
        <v>69</v>
      </c>
      <c r="E4017" t="str">
        <f t="shared" si="535"/>
        <v>붕어빵</v>
      </c>
      <c r="H4017" t="str">
        <f t="shared" si="533"/>
        <v>스토리위즈</v>
      </c>
      <c r="I4017" t="str">
        <f t="shared" si="536"/>
        <v>나 혼자 스킬융합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/>
      <c r="AQ4017">
        <v>0</v>
      </c>
      <c r="AR4017">
        <v>0</v>
      </c>
      <c r="AT4017">
        <v>0</v>
      </c>
      <c r="AU4017">
        <v>0</v>
      </c>
      <c r="AW4017">
        <v>0</v>
      </c>
      <c r="AX4017">
        <v>0</v>
      </c>
      <c r="AY4017">
        <v>70</v>
      </c>
      <c r="BC4017" t="str">
        <f t="shared" si="537"/>
        <v>9791137602069</v>
      </c>
      <c r="BE4017" t="str">
        <f t="shared" si="538"/>
        <v>판타지 웹소설 &gt; 현대 판타지</v>
      </c>
    </row>
    <row r="4018" spans="1:57" x14ac:dyDescent="0.3">
      <c r="A4018">
        <v>2313018365</v>
      </c>
      <c r="B4018">
        <v>2313018434</v>
      </c>
      <c r="C4018" t="str">
        <f>T("나 혼자 스킬융합 70화")</f>
        <v>나 혼자 스킬융합 70화</v>
      </c>
      <c r="D4018" t="str">
        <f>T("70")</f>
        <v>70</v>
      </c>
      <c r="E4018" t="str">
        <f t="shared" si="535"/>
        <v>붕어빵</v>
      </c>
      <c r="H4018" t="str">
        <f t="shared" si="533"/>
        <v>스토리위즈</v>
      </c>
      <c r="I4018" t="str">
        <f t="shared" si="536"/>
        <v>나 혼자 스킬융합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/>
      <c r="AQ4018">
        <v>0</v>
      </c>
      <c r="AR4018">
        <v>0</v>
      </c>
      <c r="AT4018">
        <v>0</v>
      </c>
      <c r="AU4018">
        <v>0</v>
      </c>
      <c r="AW4018">
        <v>0</v>
      </c>
      <c r="AX4018">
        <v>0</v>
      </c>
      <c r="AY4018">
        <v>70</v>
      </c>
      <c r="BC4018" t="str">
        <f t="shared" si="537"/>
        <v>9791137602069</v>
      </c>
      <c r="BE4018" t="str">
        <f t="shared" si="538"/>
        <v>판타지 웹소설 &gt; 현대 판타지</v>
      </c>
    </row>
    <row r="4019" spans="1:57" x14ac:dyDescent="0.3">
      <c r="A4019">
        <v>2313018365</v>
      </c>
      <c r="B4019">
        <v>2313018435</v>
      </c>
      <c r="C4019" t="str">
        <f>T("나 혼자 스킬융합 71화")</f>
        <v>나 혼자 스킬융합 71화</v>
      </c>
      <c r="D4019" t="str">
        <f>T("71")</f>
        <v>71</v>
      </c>
      <c r="E4019" t="str">
        <f t="shared" si="535"/>
        <v>붕어빵</v>
      </c>
      <c r="H4019" t="str">
        <f t="shared" si="533"/>
        <v>스토리위즈</v>
      </c>
      <c r="I4019" t="str">
        <f t="shared" si="536"/>
        <v>나 혼자 스킬융합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/>
      <c r="AQ4019">
        <v>0</v>
      </c>
      <c r="AR4019">
        <v>0</v>
      </c>
      <c r="AT4019">
        <v>0</v>
      </c>
      <c r="AU4019">
        <v>0</v>
      </c>
      <c r="AW4019">
        <v>0</v>
      </c>
      <c r="AX4019">
        <v>0</v>
      </c>
      <c r="AY4019">
        <v>70</v>
      </c>
      <c r="BC4019" t="str">
        <f t="shared" si="537"/>
        <v>9791137602069</v>
      </c>
      <c r="BE4019" t="str">
        <f t="shared" si="538"/>
        <v>판타지 웹소설 &gt; 현대 판타지</v>
      </c>
    </row>
    <row r="4020" spans="1:57" x14ac:dyDescent="0.3">
      <c r="A4020">
        <v>2313018365</v>
      </c>
      <c r="B4020">
        <v>2313018436</v>
      </c>
      <c r="C4020" t="str">
        <f>T("나 혼자 스킬융합 72화")</f>
        <v>나 혼자 스킬융합 72화</v>
      </c>
      <c r="D4020" t="str">
        <f>T("72")</f>
        <v>72</v>
      </c>
      <c r="E4020" t="str">
        <f t="shared" si="535"/>
        <v>붕어빵</v>
      </c>
      <c r="H4020" t="str">
        <f t="shared" si="533"/>
        <v>스토리위즈</v>
      </c>
      <c r="I4020" t="str">
        <f t="shared" si="536"/>
        <v>나 혼자 스킬융합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/>
      <c r="AQ4020">
        <v>0</v>
      </c>
      <c r="AR4020">
        <v>0</v>
      </c>
      <c r="AT4020">
        <v>0</v>
      </c>
      <c r="AU4020">
        <v>0</v>
      </c>
      <c r="AW4020">
        <v>0</v>
      </c>
      <c r="AX4020">
        <v>0</v>
      </c>
      <c r="AY4020">
        <v>70</v>
      </c>
      <c r="BC4020" t="str">
        <f t="shared" si="537"/>
        <v>9791137602069</v>
      </c>
      <c r="BE4020" t="str">
        <f t="shared" si="538"/>
        <v>판타지 웹소설 &gt; 현대 판타지</v>
      </c>
    </row>
    <row r="4021" spans="1:57" x14ac:dyDescent="0.3">
      <c r="A4021">
        <v>2313018365</v>
      </c>
      <c r="B4021">
        <v>2313018437</v>
      </c>
      <c r="C4021" t="str">
        <f>T("나 혼자 스킬융합 73화")</f>
        <v>나 혼자 스킬융합 73화</v>
      </c>
      <c r="D4021" t="str">
        <f>T("73")</f>
        <v>73</v>
      </c>
      <c r="E4021" t="str">
        <f t="shared" si="535"/>
        <v>붕어빵</v>
      </c>
      <c r="H4021" t="str">
        <f t="shared" si="533"/>
        <v>스토리위즈</v>
      </c>
      <c r="I4021" t="str">
        <f t="shared" si="536"/>
        <v>나 혼자 스킬융합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/>
      <c r="AQ4021">
        <v>0</v>
      </c>
      <c r="AR4021">
        <v>0</v>
      </c>
      <c r="AT4021">
        <v>0</v>
      </c>
      <c r="AU4021">
        <v>0</v>
      </c>
      <c r="AW4021">
        <v>0</v>
      </c>
      <c r="AX4021">
        <v>0</v>
      </c>
      <c r="AY4021">
        <v>70</v>
      </c>
      <c r="BC4021" t="str">
        <f t="shared" si="537"/>
        <v>9791137602069</v>
      </c>
      <c r="BE4021" t="str">
        <f t="shared" si="538"/>
        <v>판타지 웹소설 &gt; 현대 판타지</v>
      </c>
    </row>
    <row r="4022" spans="1:57" x14ac:dyDescent="0.3">
      <c r="A4022">
        <v>2313018365</v>
      </c>
      <c r="B4022">
        <v>2313018438</v>
      </c>
      <c r="C4022" t="str">
        <f>T("나 혼자 스킬융합 74화")</f>
        <v>나 혼자 스킬융합 74화</v>
      </c>
      <c r="D4022" t="str">
        <f>T("74")</f>
        <v>74</v>
      </c>
      <c r="E4022" t="str">
        <f t="shared" si="535"/>
        <v>붕어빵</v>
      </c>
      <c r="H4022" t="str">
        <f t="shared" si="533"/>
        <v>스토리위즈</v>
      </c>
      <c r="I4022" t="str">
        <f t="shared" si="536"/>
        <v>나 혼자 스킬융합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/>
      <c r="AQ4022">
        <v>0</v>
      </c>
      <c r="AR4022">
        <v>0</v>
      </c>
      <c r="AT4022">
        <v>0</v>
      </c>
      <c r="AU4022">
        <v>0</v>
      </c>
      <c r="AW4022">
        <v>0</v>
      </c>
      <c r="AX4022">
        <v>0</v>
      </c>
      <c r="AY4022">
        <v>70</v>
      </c>
      <c r="BC4022" t="str">
        <f t="shared" si="537"/>
        <v>9791137602069</v>
      </c>
      <c r="BE4022" t="str">
        <f t="shared" si="538"/>
        <v>판타지 웹소설 &gt; 현대 판타지</v>
      </c>
    </row>
    <row r="4023" spans="1:57" x14ac:dyDescent="0.3">
      <c r="A4023">
        <v>2313018365</v>
      </c>
      <c r="B4023">
        <v>2313018439</v>
      </c>
      <c r="C4023" t="str">
        <f>T("나 혼자 스킬융합 75화")</f>
        <v>나 혼자 스킬융합 75화</v>
      </c>
      <c r="D4023" t="str">
        <f>T("75")</f>
        <v>75</v>
      </c>
      <c r="E4023" t="str">
        <f t="shared" si="535"/>
        <v>붕어빵</v>
      </c>
      <c r="H4023" t="str">
        <f t="shared" si="533"/>
        <v>스토리위즈</v>
      </c>
      <c r="I4023" t="str">
        <f t="shared" si="536"/>
        <v>나 혼자 스킬융합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/>
      <c r="AQ4023">
        <v>0</v>
      </c>
      <c r="AR4023">
        <v>0</v>
      </c>
      <c r="AT4023">
        <v>0</v>
      </c>
      <c r="AU4023">
        <v>0</v>
      </c>
      <c r="AW4023">
        <v>0</v>
      </c>
      <c r="AX4023">
        <v>0</v>
      </c>
      <c r="AY4023">
        <v>70</v>
      </c>
      <c r="BC4023" t="str">
        <f t="shared" si="537"/>
        <v>9791137602069</v>
      </c>
      <c r="BE4023" t="str">
        <f t="shared" si="538"/>
        <v>판타지 웹소설 &gt; 현대 판타지</v>
      </c>
    </row>
    <row r="4024" spans="1:57" x14ac:dyDescent="0.3">
      <c r="A4024">
        <v>2313018365</v>
      </c>
      <c r="B4024">
        <v>2313018440</v>
      </c>
      <c r="C4024" t="str">
        <f>T("나 혼자 스킬융합 76화")</f>
        <v>나 혼자 스킬융합 76화</v>
      </c>
      <c r="D4024" t="str">
        <f>T("76")</f>
        <v>76</v>
      </c>
      <c r="E4024" t="str">
        <f t="shared" si="535"/>
        <v>붕어빵</v>
      </c>
      <c r="H4024" t="str">
        <f t="shared" si="533"/>
        <v>스토리위즈</v>
      </c>
      <c r="I4024" t="str">
        <f t="shared" si="536"/>
        <v>나 혼자 스킬융합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/>
      <c r="AQ4024">
        <v>0</v>
      </c>
      <c r="AR4024">
        <v>0</v>
      </c>
      <c r="AT4024">
        <v>0</v>
      </c>
      <c r="AU4024">
        <v>0</v>
      </c>
      <c r="AW4024">
        <v>0</v>
      </c>
      <c r="AX4024">
        <v>0</v>
      </c>
      <c r="AY4024">
        <v>70</v>
      </c>
      <c r="BC4024" t="str">
        <f t="shared" si="537"/>
        <v>9791137602069</v>
      </c>
      <c r="BE4024" t="str">
        <f t="shared" si="538"/>
        <v>판타지 웹소설 &gt; 현대 판타지</v>
      </c>
    </row>
    <row r="4025" spans="1:57" x14ac:dyDescent="0.3">
      <c r="A4025">
        <v>2313018365</v>
      </c>
      <c r="B4025">
        <v>2313018464</v>
      </c>
      <c r="C4025" t="str">
        <f>T("나 혼자 스킬융합 100화")</f>
        <v>나 혼자 스킬융합 100화</v>
      </c>
      <c r="D4025" t="str">
        <f>T("100")</f>
        <v>100</v>
      </c>
      <c r="E4025" t="str">
        <f t="shared" si="535"/>
        <v>붕어빵</v>
      </c>
      <c r="H4025" t="str">
        <f t="shared" si="533"/>
        <v>스토리위즈</v>
      </c>
      <c r="I4025" t="str">
        <f t="shared" si="536"/>
        <v>나 혼자 스킬융합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/>
      <c r="AQ4025">
        <v>0</v>
      </c>
      <c r="AR4025">
        <v>0</v>
      </c>
      <c r="AT4025">
        <v>0</v>
      </c>
      <c r="AU4025">
        <v>0</v>
      </c>
      <c r="AW4025">
        <v>0</v>
      </c>
      <c r="AX4025">
        <v>0</v>
      </c>
      <c r="AY4025">
        <v>70</v>
      </c>
      <c r="BC4025" t="str">
        <f t="shared" si="537"/>
        <v>9791137602069</v>
      </c>
      <c r="BE4025" t="str">
        <f t="shared" si="538"/>
        <v>판타지 웹소설 &gt; 현대 판타지</v>
      </c>
    </row>
    <row r="4026" spans="1:57" x14ac:dyDescent="0.3">
      <c r="A4026">
        <v>2313018365</v>
      </c>
      <c r="B4026">
        <v>2313018465</v>
      </c>
      <c r="C4026" t="str">
        <f>T("나 혼자 스킬융합 101화")</f>
        <v>나 혼자 스킬융합 101화</v>
      </c>
      <c r="D4026" t="str">
        <f>T("101")</f>
        <v>101</v>
      </c>
      <c r="E4026" t="str">
        <f t="shared" si="535"/>
        <v>붕어빵</v>
      </c>
      <c r="H4026" t="str">
        <f t="shared" si="533"/>
        <v>스토리위즈</v>
      </c>
      <c r="I4026" t="str">
        <f t="shared" si="536"/>
        <v>나 혼자 스킬융합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/>
      <c r="AQ4026">
        <v>0</v>
      </c>
      <c r="AR4026">
        <v>0</v>
      </c>
      <c r="AT4026">
        <v>0</v>
      </c>
      <c r="AU4026">
        <v>0</v>
      </c>
      <c r="AW4026">
        <v>0</v>
      </c>
      <c r="AX4026">
        <v>0</v>
      </c>
      <c r="AY4026">
        <v>70</v>
      </c>
      <c r="BC4026" t="str">
        <f t="shared" si="537"/>
        <v>9791137602069</v>
      </c>
      <c r="BE4026" t="str">
        <f t="shared" si="538"/>
        <v>판타지 웹소설 &gt; 현대 판타지</v>
      </c>
    </row>
    <row r="4027" spans="1:57" x14ac:dyDescent="0.3">
      <c r="A4027">
        <v>2313018365</v>
      </c>
      <c r="B4027">
        <v>2313018466</v>
      </c>
      <c r="C4027" t="str">
        <f>T("나 혼자 스킬융합 102화")</f>
        <v>나 혼자 스킬융합 102화</v>
      </c>
      <c r="D4027" t="str">
        <f>T("102")</f>
        <v>102</v>
      </c>
      <c r="E4027" t="str">
        <f t="shared" si="535"/>
        <v>붕어빵</v>
      </c>
      <c r="H4027" t="str">
        <f t="shared" si="533"/>
        <v>스토리위즈</v>
      </c>
      <c r="I4027" t="str">
        <f t="shared" si="536"/>
        <v>나 혼자 스킬융합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/>
      <c r="AQ4027">
        <v>0</v>
      </c>
      <c r="AR4027">
        <v>0</v>
      </c>
      <c r="AT4027">
        <v>0</v>
      </c>
      <c r="AU4027">
        <v>0</v>
      </c>
      <c r="AW4027">
        <v>0</v>
      </c>
      <c r="AX4027">
        <v>0</v>
      </c>
      <c r="AY4027">
        <v>70</v>
      </c>
      <c r="BC4027" t="str">
        <f t="shared" si="537"/>
        <v>9791137602069</v>
      </c>
      <c r="BE4027" t="str">
        <f t="shared" si="538"/>
        <v>판타지 웹소설 &gt; 현대 판타지</v>
      </c>
    </row>
    <row r="4028" spans="1:57" x14ac:dyDescent="0.3">
      <c r="A4028">
        <v>2313018365</v>
      </c>
      <c r="B4028">
        <v>2313018467</v>
      </c>
      <c r="C4028" t="str">
        <f>T("나 혼자 스킬융합 103화")</f>
        <v>나 혼자 스킬융합 103화</v>
      </c>
      <c r="D4028" t="str">
        <f>T("103")</f>
        <v>103</v>
      </c>
      <c r="E4028" t="str">
        <f t="shared" si="535"/>
        <v>붕어빵</v>
      </c>
      <c r="H4028" t="str">
        <f t="shared" si="533"/>
        <v>스토리위즈</v>
      </c>
      <c r="I4028" t="str">
        <f t="shared" si="536"/>
        <v>나 혼자 스킬융합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/>
      <c r="AQ4028">
        <v>0</v>
      </c>
      <c r="AR4028">
        <v>0</v>
      </c>
      <c r="AT4028">
        <v>0</v>
      </c>
      <c r="AU4028">
        <v>0</v>
      </c>
      <c r="AW4028">
        <v>0</v>
      </c>
      <c r="AX4028">
        <v>0</v>
      </c>
      <c r="AY4028">
        <v>70</v>
      </c>
      <c r="BC4028" t="str">
        <f t="shared" si="537"/>
        <v>9791137602069</v>
      </c>
      <c r="BE4028" t="str">
        <f t="shared" si="538"/>
        <v>판타지 웹소설 &gt; 현대 판타지</v>
      </c>
    </row>
    <row r="4029" spans="1:57" x14ac:dyDescent="0.3">
      <c r="A4029">
        <v>2313018365</v>
      </c>
      <c r="B4029">
        <v>2313018468</v>
      </c>
      <c r="C4029" t="str">
        <f>T("나 혼자 스킬융합 104화")</f>
        <v>나 혼자 스킬융합 104화</v>
      </c>
      <c r="D4029" t="str">
        <f>T("104")</f>
        <v>104</v>
      </c>
      <c r="E4029" t="str">
        <f t="shared" si="535"/>
        <v>붕어빵</v>
      </c>
      <c r="H4029" t="str">
        <f t="shared" si="533"/>
        <v>스토리위즈</v>
      </c>
      <c r="I4029" t="str">
        <f t="shared" si="536"/>
        <v>나 혼자 스킬융합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/>
      <c r="AQ4029">
        <v>0</v>
      </c>
      <c r="AR4029">
        <v>0</v>
      </c>
      <c r="AT4029">
        <v>0</v>
      </c>
      <c r="AU4029">
        <v>0</v>
      </c>
      <c r="AW4029">
        <v>0</v>
      </c>
      <c r="AX4029">
        <v>0</v>
      </c>
      <c r="AY4029">
        <v>70</v>
      </c>
      <c r="BC4029" t="str">
        <f t="shared" si="537"/>
        <v>9791137602069</v>
      </c>
      <c r="BE4029" t="str">
        <f t="shared" si="538"/>
        <v>판타지 웹소설 &gt; 현대 판타지</v>
      </c>
    </row>
    <row r="4030" spans="1:57" x14ac:dyDescent="0.3">
      <c r="A4030">
        <v>2313018365</v>
      </c>
      <c r="B4030">
        <v>2313018469</v>
      </c>
      <c r="C4030" t="str">
        <f>T("나 혼자 스킬융합 105화")</f>
        <v>나 혼자 스킬융합 105화</v>
      </c>
      <c r="D4030" t="str">
        <f>T("105")</f>
        <v>105</v>
      </c>
      <c r="E4030" t="str">
        <f t="shared" si="535"/>
        <v>붕어빵</v>
      </c>
      <c r="H4030" t="str">
        <f t="shared" si="533"/>
        <v>스토리위즈</v>
      </c>
      <c r="I4030" t="str">
        <f t="shared" si="536"/>
        <v>나 혼자 스킬융합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/>
      <c r="AQ4030">
        <v>0</v>
      </c>
      <c r="AR4030">
        <v>0</v>
      </c>
      <c r="AT4030">
        <v>0</v>
      </c>
      <c r="AU4030">
        <v>0</v>
      </c>
      <c r="AW4030">
        <v>0</v>
      </c>
      <c r="AX4030">
        <v>0</v>
      </c>
      <c r="AY4030">
        <v>70</v>
      </c>
      <c r="BC4030" t="str">
        <f t="shared" si="537"/>
        <v>9791137602069</v>
      </c>
      <c r="BE4030" t="str">
        <f t="shared" si="538"/>
        <v>판타지 웹소설 &gt; 현대 판타지</v>
      </c>
    </row>
    <row r="4031" spans="1:57" x14ac:dyDescent="0.3">
      <c r="A4031">
        <v>2313018365</v>
      </c>
      <c r="B4031">
        <v>2313018470</v>
      </c>
      <c r="C4031" t="str">
        <f>T("나 혼자 스킬융합 106화")</f>
        <v>나 혼자 스킬융합 106화</v>
      </c>
      <c r="D4031" t="str">
        <f>T("106")</f>
        <v>106</v>
      </c>
      <c r="E4031" t="str">
        <f t="shared" si="535"/>
        <v>붕어빵</v>
      </c>
      <c r="H4031" t="str">
        <f t="shared" si="533"/>
        <v>스토리위즈</v>
      </c>
      <c r="I4031" t="str">
        <f t="shared" si="536"/>
        <v>나 혼자 스킬융합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/>
      <c r="AQ4031">
        <v>0</v>
      </c>
      <c r="AR4031">
        <v>0</v>
      </c>
      <c r="AT4031">
        <v>0</v>
      </c>
      <c r="AU4031">
        <v>0</v>
      </c>
      <c r="AW4031">
        <v>0</v>
      </c>
      <c r="AX4031">
        <v>0</v>
      </c>
      <c r="AY4031">
        <v>70</v>
      </c>
      <c r="BC4031" t="str">
        <f t="shared" si="537"/>
        <v>9791137602069</v>
      </c>
      <c r="BE4031" t="str">
        <f t="shared" si="538"/>
        <v>판타지 웹소설 &gt; 현대 판타지</v>
      </c>
    </row>
    <row r="4032" spans="1:57" x14ac:dyDescent="0.3">
      <c r="A4032">
        <v>2313018365</v>
      </c>
      <c r="B4032">
        <v>2313018471</v>
      </c>
      <c r="C4032" t="str">
        <f>T("나 혼자 스킬융합 107화")</f>
        <v>나 혼자 스킬융합 107화</v>
      </c>
      <c r="D4032" t="str">
        <f>T("107")</f>
        <v>107</v>
      </c>
      <c r="E4032" t="str">
        <f t="shared" si="535"/>
        <v>붕어빵</v>
      </c>
      <c r="H4032" t="str">
        <f t="shared" si="533"/>
        <v>스토리위즈</v>
      </c>
      <c r="I4032" t="str">
        <f t="shared" si="536"/>
        <v>나 혼자 스킬융합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/>
      <c r="AQ4032">
        <v>0</v>
      </c>
      <c r="AR4032">
        <v>0</v>
      </c>
      <c r="AT4032">
        <v>0</v>
      </c>
      <c r="AU4032">
        <v>0</v>
      </c>
      <c r="AW4032">
        <v>0</v>
      </c>
      <c r="AX4032">
        <v>0</v>
      </c>
      <c r="AY4032">
        <v>70</v>
      </c>
      <c r="BC4032" t="str">
        <f t="shared" si="537"/>
        <v>9791137602069</v>
      </c>
      <c r="BE4032" t="str">
        <f t="shared" si="538"/>
        <v>판타지 웹소설 &gt; 현대 판타지</v>
      </c>
    </row>
    <row r="4033" spans="1:57" x14ac:dyDescent="0.3">
      <c r="A4033">
        <v>2313018365</v>
      </c>
      <c r="B4033">
        <v>2313018472</v>
      </c>
      <c r="C4033" t="str">
        <f>T("나 혼자 스킬융합 108화")</f>
        <v>나 혼자 스킬융합 108화</v>
      </c>
      <c r="D4033" t="str">
        <f>T("108")</f>
        <v>108</v>
      </c>
      <c r="E4033" t="str">
        <f t="shared" si="535"/>
        <v>붕어빵</v>
      </c>
      <c r="H4033" t="str">
        <f t="shared" si="533"/>
        <v>스토리위즈</v>
      </c>
      <c r="I4033" t="str">
        <f t="shared" si="536"/>
        <v>나 혼자 스킬융합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/>
      <c r="AQ4033">
        <v>0</v>
      </c>
      <c r="AR4033">
        <v>0</v>
      </c>
      <c r="AT4033">
        <v>0</v>
      </c>
      <c r="AU4033">
        <v>0</v>
      </c>
      <c r="AW4033">
        <v>0</v>
      </c>
      <c r="AX4033">
        <v>0</v>
      </c>
      <c r="AY4033">
        <v>70</v>
      </c>
      <c r="BC4033" t="str">
        <f t="shared" si="537"/>
        <v>9791137602069</v>
      </c>
      <c r="BE4033" t="str">
        <f t="shared" si="538"/>
        <v>판타지 웹소설 &gt; 현대 판타지</v>
      </c>
    </row>
    <row r="4034" spans="1:57" x14ac:dyDescent="0.3">
      <c r="A4034">
        <v>2313018365</v>
      </c>
      <c r="B4034">
        <v>2313018473</v>
      </c>
      <c r="C4034" t="str">
        <f>T("나 혼자 스킬융합 109화")</f>
        <v>나 혼자 스킬융합 109화</v>
      </c>
      <c r="D4034" t="str">
        <f>T("109")</f>
        <v>109</v>
      </c>
      <c r="E4034" t="str">
        <f t="shared" si="535"/>
        <v>붕어빵</v>
      </c>
      <c r="H4034" t="str">
        <f t="shared" si="533"/>
        <v>스토리위즈</v>
      </c>
      <c r="I4034" t="str">
        <f t="shared" si="536"/>
        <v>나 혼자 스킬융합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/>
      <c r="AQ4034">
        <v>0</v>
      </c>
      <c r="AR4034">
        <v>0</v>
      </c>
      <c r="AT4034">
        <v>0</v>
      </c>
      <c r="AU4034">
        <v>0</v>
      </c>
      <c r="AW4034">
        <v>0</v>
      </c>
      <c r="AX4034">
        <v>0</v>
      </c>
      <c r="AY4034">
        <v>70</v>
      </c>
      <c r="BC4034" t="str">
        <f t="shared" si="537"/>
        <v>9791137602069</v>
      </c>
      <c r="BE4034" t="str">
        <f t="shared" si="538"/>
        <v>판타지 웹소설 &gt; 현대 판타지</v>
      </c>
    </row>
    <row r="4035" spans="1:57" x14ac:dyDescent="0.3">
      <c r="A4035">
        <v>2313018365</v>
      </c>
      <c r="B4035">
        <v>2313018474</v>
      </c>
      <c r="C4035" t="str">
        <f>T("나 혼자 스킬융합 110화")</f>
        <v>나 혼자 스킬융합 110화</v>
      </c>
      <c r="D4035" t="str">
        <f>T("110")</f>
        <v>110</v>
      </c>
      <c r="E4035" t="str">
        <f t="shared" si="535"/>
        <v>붕어빵</v>
      </c>
      <c r="H4035" t="str">
        <f t="shared" si="533"/>
        <v>스토리위즈</v>
      </c>
      <c r="I4035" t="str">
        <f t="shared" si="536"/>
        <v>나 혼자 스킬융합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/>
      <c r="AQ4035">
        <v>0</v>
      </c>
      <c r="AR4035">
        <v>0</v>
      </c>
      <c r="AT4035">
        <v>0</v>
      </c>
      <c r="AU4035">
        <v>0</v>
      </c>
      <c r="AW4035">
        <v>0</v>
      </c>
      <c r="AX4035">
        <v>0</v>
      </c>
      <c r="AY4035">
        <v>70</v>
      </c>
      <c r="BC4035" t="str">
        <f t="shared" si="537"/>
        <v>9791137602069</v>
      </c>
      <c r="BE4035" t="str">
        <f t="shared" si="538"/>
        <v>판타지 웹소설 &gt; 현대 판타지</v>
      </c>
    </row>
    <row r="4036" spans="1:57" x14ac:dyDescent="0.3">
      <c r="A4036">
        <v>2313018365</v>
      </c>
      <c r="B4036">
        <v>2313018475</v>
      </c>
      <c r="C4036" t="str">
        <f>T("나 혼자 스킬융합 111화")</f>
        <v>나 혼자 스킬융합 111화</v>
      </c>
      <c r="D4036" t="str">
        <f>T("111")</f>
        <v>111</v>
      </c>
      <c r="E4036" t="str">
        <f t="shared" si="535"/>
        <v>붕어빵</v>
      </c>
      <c r="H4036" t="str">
        <f t="shared" si="533"/>
        <v>스토리위즈</v>
      </c>
      <c r="I4036" t="str">
        <f t="shared" si="536"/>
        <v>나 혼자 스킬융합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/>
      <c r="AQ4036">
        <v>0</v>
      </c>
      <c r="AR4036">
        <v>0</v>
      </c>
      <c r="AT4036">
        <v>0</v>
      </c>
      <c r="AU4036">
        <v>0</v>
      </c>
      <c r="AW4036">
        <v>0</v>
      </c>
      <c r="AX4036">
        <v>0</v>
      </c>
      <c r="AY4036">
        <v>70</v>
      </c>
      <c r="BC4036" t="str">
        <f t="shared" si="537"/>
        <v>9791137602069</v>
      </c>
      <c r="BE4036" t="str">
        <f t="shared" si="538"/>
        <v>판타지 웹소설 &gt; 현대 판타지</v>
      </c>
    </row>
    <row r="4037" spans="1:57" x14ac:dyDescent="0.3">
      <c r="A4037">
        <v>2313018365</v>
      </c>
      <c r="B4037">
        <v>2313018476</v>
      </c>
      <c r="C4037" t="str">
        <f>T("나 혼자 스킬융합 112화")</f>
        <v>나 혼자 스킬융합 112화</v>
      </c>
      <c r="D4037" t="str">
        <f>T("112")</f>
        <v>112</v>
      </c>
      <c r="E4037" t="str">
        <f t="shared" si="535"/>
        <v>붕어빵</v>
      </c>
      <c r="H4037" t="str">
        <f t="shared" si="533"/>
        <v>스토리위즈</v>
      </c>
      <c r="I4037" t="str">
        <f t="shared" si="536"/>
        <v>나 혼자 스킬융합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/>
      <c r="AQ4037">
        <v>0</v>
      </c>
      <c r="AR4037">
        <v>0</v>
      </c>
      <c r="AT4037">
        <v>0</v>
      </c>
      <c r="AU4037">
        <v>0</v>
      </c>
      <c r="AW4037">
        <v>0</v>
      </c>
      <c r="AX4037">
        <v>0</v>
      </c>
      <c r="AY4037">
        <v>70</v>
      </c>
      <c r="BC4037" t="str">
        <f t="shared" si="537"/>
        <v>9791137602069</v>
      </c>
      <c r="BE4037" t="str">
        <f t="shared" si="538"/>
        <v>판타지 웹소설 &gt; 현대 판타지</v>
      </c>
    </row>
    <row r="4038" spans="1:57" x14ac:dyDescent="0.3">
      <c r="A4038">
        <v>2313018365</v>
      </c>
      <c r="B4038">
        <v>2313018477</v>
      </c>
      <c r="C4038" t="str">
        <f>T("나 혼자 스킬융합 113화")</f>
        <v>나 혼자 스킬융합 113화</v>
      </c>
      <c r="D4038" t="str">
        <f>T("113")</f>
        <v>113</v>
      </c>
      <c r="E4038" t="str">
        <f t="shared" si="535"/>
        <v>붕어빵</v>
      </c>
      <c r="H4038" t="str">
        <f t="shared" si="533"/>
        <v>스토리위즈</v>
      </c>
      <c r="I4038" t="str">
        <f t="shared" si="536"/>
        <v>나 혼자 스킬융합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/>
      <c r="AQ4038">
        <v>0</v>
      </c>
      <c r="AR4038">
        <v>0</v>
      </c>
      <c r="AT4038">
        <v>0</v>
      </c>
      <c r="AU4038">
        <v>0</v>
      </c>
      <c r="AW4038">
        <v>0</v>
      </c>
      <c r="AX4038">
        <v>0</v>
      </c>
      <c r="AY4038">
        <v>70</v>
      </c>
      <c r="BC4038" t="str">
        <f t="shared" si="537"/>
        <v>9791137602069</v>
      </c>
      <c r="BE4038" t="str">
        <f t="shared" si="538"/>
        <v>판타지 웹소설 &gt; 현대 판타지</v>
      </c>
    </row>
    <row r="4039" spans="1:57" x14ac:dyDescent="0.3">
      <c r="A4039">
        <v>2313018365</v>
      </c>
      <c r="B4039">
        <v>2313018478</v>
      </c>
      <c r="C4039" t="str">
        <f>T("나 혼자 스킬융합 114화")</f>
        <v>나 혼자 스킬융합 114화</v>
      </c>
      <c r="D4039" t="str">
        <f>T("114")</f>
        <v>114</v>
      </c>
      <c r="E4039" t="str">
        <f t="shared" si="535"/>
        <v>붕어빵</v>
      </c>
      <c r="H4039" t="str">
        <f t="shared" si="533"/>
        <v>스토리위즈</v>
      </c>
      <c r="I4039" t="str">
        <f t="shared" si="536"/>
        <v>나 혼자 스킬융합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/>
      <c r="AQ4039">
        <v>0</v>
      </c>
      <c r="AR4039">
        <v>0</v>
      </c>
      <c r="AT4039">
        <v>0</v>
      </c>
      <c r="AU4039">
        <v>0</v>
      </c>
      <c r="AW4039">
        <v>0</v>
      </c>
      <c r="AX4039">
        <v>0</v>
      </c>
      <c r="AY4039">
        <v>70</v>
      </c>
      <c r="BC4039" t="str">
        <f t="shared" si="537"/>
        <v>9791137602069</v>
      </c>
      <c r="BE4039" t="str">
        <f t="shared" si="538"/>
        <v>판타지 웹소설 &gt; 현대 판타지</v>
      </c>
    </row>
    <row r="4040" spans="1:57" x14ac:dyDescent="0.3">
      <c r="A4040">
        <v>2313018365</v>
      </c>
      <c r="B4040">
        <v>2313018479</v>
      </c>
      <c r="C4040" t="str">
        <f>T("나 혼자 스킬융합 115화")</f>
        <v>나 혼자 스킬융합 115화</v>
      </c>
      <c r="D4040" t="str">
        <f>T("115")</f>
        <v>115</v>
      </c>
      <c r="E4040" t="str">
        <f t="shared" si="535"/>
        <v>붕어빵</v>
      </c>
      <c r="H4040" t="str">
        <f t="shared" si="533"/>
        <v>스토리위즈</v>
      </c>
      <c r="I4040" t="str">
        <f t="shared" si="536"/>
        <v>나 혼자 스킬융합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/>
      <c r="AQ4040">
        <v>0</v>
      </c>
      <c r="AR4040">
        <v>0</v>
      </c>
      <c r="AT4040">
        <v>0</v>
      </c>
      <c r="AU4040">
        <v>0</v>
      </c>
      <c r="AW4040">
        <v>0</v>
      </c>
      <c r="AX4040">
        <v>0</v>
      </c>
      <c r="AY4040">
        <v>70</v>
      </c>
      <c r="BC4040" t="str">
        <f t="shared" si="537"/>
        <v>9791137602069</v>
      </c>
      <c r="BE4040" t="str">
        <f t="shared" si="538"/>
        <v>판타지 웹소설 &gt; 현대 판타지</v>
      </c>
    </row>
    <row r="4041" spans="1:57" x14ac:dyDescent="0.3">
      <c r="A4041">
        <v>2313018365</v>
      </c>
      <c r="B4041">
        <v>2313018480</v>
      </c>
      <c r="C4041" t="str">
        <f>T("나 혼자 스킬융합 116화")</f>
        <v>나 혼자 스킬융합 116화</v>
      </c>
      <c r="D4041" t="str">
        <f>T("116")</f>
        <v>116</v>
      </c>
      <c r="E4041" t="str">
        <f t="shared" si="535"/>
        <v>붕어빵</v>
      </c>
      <c r="H4041" t="str">
        <f t="shared" si="533"/>
        <v>스토리위즈</v>
      </c>
      <c r="I4041" t="str">
        <f t="shared" si="536"/>
        <v>나 혼자 스킬융합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/>
      <c r="AQ4041">
        <v>0</v>
      </c>
      <c r="AR4041">
        <v>0</v>
      </c>
      <c r="AT4041">
        <v>0</v>
      </c>
      <c r="AU4041">
        <v>0</v>
      </c>
      <c r="AW4041">
        <v>0</v>
      </c>
      <c r="AX4041">
        <v>0</v>
      </c>
      <c r="AY4041">
        <v>70</v>
      </c>
      <c r="BC4041" t="str">
        <f t="shared" si="537"/>
        <v>9791137602069</v>
      </c>
      <c r="BE4041" t="str">
        <f t="shared" si="538"/>
        <v>판타지 웹소설 &gt; 현대 판타지</v>
      </c>
    </row>
    <row r="4042" spans="1:57" x14ac:dyDescent="0.3">
      <c r="A4042">
        <v>2313018365</v>
      </c>
      <c r="B4042">
        <v>2313018481</v>
      </c>
      <c r="C4042" t="str">
        <f>T("나 혼자 스킬융합 117화")</f>
        <v>나 혼자 스킬융합 117화</v>
      </c>
      <c r="D4042" t="str">
        <f>T("117")</f>
        <v>117</v>
      </c>
      <c r="E4042" t="str">
        <f t="shared" si="535"/>
        <v>붕어빵</v>
      </c>
      <c r="H4042" t="str">
        <f t="shared" si="533"/>
        <v>스토리위즈</v>
      </c>
      <c r="I4042" t="str">
        <f t="shared" si="536"/>
        <v>나 혼자 스킬융합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/>
      <c r="AQ4042">
        <v>0</v>
      </c>
      <c r="AR4042">
        <v>0</v>
      </c>
      <c r="AT4042">
        <v>0</v>
      </c>
      <c r="AU4042">
        <v>0</v>
      </c>
      <c r="AW4042">
        <v>0</v>
      </c>
      <c r="AX4042">
        <v>0</v>
      </c>
      <c r="AY4042">
        <v>70</v>
      </c>
      <c r="BC4042" t="str">
        <f t="shared" si="537"/>
        <v>9791137602069</v>
      </c>
      <c r="BE4042" t="str">
        <f t="shared" si="538"/>
        <v>판타지 웹소설 &gt; 현대 판타지</v>
      </c>
    </row>
    <row r="4043" spans="1:57" x14ac:dyDescent="0.3">
      <c r="A4043">
        <v>2313018365</v>
      </c>
      <c r="B4043">
        <v>2313018482</v>
      </c>
      <c r="C4043" t="str">
        <f>T("나 혼자 스킬융합 118화")</f>
        <v>나 혼자 스킬융합 118화</v>
      </c>
      <c r="D4043" t="str">
        <f>T("118")</f>
        <v>118</v>
      </c>
      <c r="E4043" t="str">
        <f t="shared" si="535"/>
        <v>붕어빵</v>
      </c>
      <c r="H4043" t="str">
        <f t="shared" si="533"/>
        <v>스토리위즈</v>
      </c>
      <c r="I4043" t="str">
        <f t="shared" si="536"/>
        <v>나 혼자 스킬융합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/>
      <c r="AQ4043">
        <v>0</v>
      </c>
      <c r="AR4043">
        <v>0</v>
      </c>
      <c r="AT4043">
        <v>0</v>
      </c>
      <c r="AU4043">
        <v>0</v>
      </c>
      <c r="AW4043">
        <v>0</v>
      </c>
      <c r="AX4043">
        <v>0</v>
      </c>
      <c r="AY4043">
        <v>70</v>
      </c>
      <c r="BC4043" t="str">
        <f t="shared" si="537"/>
        <v>9791137602069</v>
      </c>
      <c r="BE4043" t="str">
        <f t="shared" si="538"/>
        <v>판타지 웹소설 &gt; 현대 판타지</v>
      </c>
    </row>
    <row r="4044" spans="1:57" x14ac:dyDescent="0.3">
      <c r="A4044">
        <v>2313018365</v>
      </c>
      <c r="B4044">
        <v>2313018483</v>
      </c>
      <c r="C4044" t="str">
        <f>T("나 혼자 스킬융합 119화")</f>
        <v>나 혼자 스킬융합 119화</v>
      </c>
      <c r="D4044" t="str">
        <f>T("119")</f>
        <v>119</v>
      </c>
      <c r="E4044" t="str">
        <f t="shared" si="535"/>
        <v>붕어빵</v>
      </c>
      <c r="H4044" t="str">
        <f t="shared" si="533"/>
        <v>스토리위즈</v>
      </c>
      <c r="I4044" t="str">
        <f t="shared" si="536"/>
        <v>나 혼자 스킬융합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/>
      <c r="AQ4044">
        <v>0</v>
      </c>
      <c r="AR4044">
        <v>0</v>
      </c>
      <c r="AT4044">
        <v>0</v>
      </c>
      <c r="AU4044">
        <v>0</v>
      </c>
      <c r="AW4044">
        <v>0</v>
      </c>
      <c r="AX4044">
        <v>0</v>
      </c>
      <c r="AY4044">
        <v>70</v>
      </c>
      <c r="BC4044" t="str">
        <f t="shared" si="537"/>
        <v>9791137602069</v>
      </c>
      <c r="BE4044" t="str">
        <f t="shared" si="538"/>
        <v>판타지 웹소설 &gt; 현대 판타지</v>
      </c>
    </row>
    <row r="4045" spans="1:57" x14ac:dyDescent="0.3">
      <c r="A4045">
        <v>2313018365</v>
      </c>
      <c r="B4045">
        <v>2313018484</v>
      </c>
      <c r="C4045" t="str">
        <f>T("나 혼자 스킬융합 120화")</f>
        <v>나 혼자 스킬융합 120화</v>
      </c>
      <c r="D4045" t="str">
        <f>T("120")</f>
        <v>120</v>
      </c>
      <c r="E4045" t="str">
        <f t="shared" si="535"/>
        <v>붕어빵</v>
      </c>
      <c r="H4045" t="str">
        <f t="shared" ref="H4045:H4108" si="539">T("스토리위즈")</f>
        <v>스토리위즈</v>
      </c>
      <c r="I4045" t="str">
        <f t="shared" si="536"/>
        <v>나 혼자 스킬융합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/>
      <c r="AQ4045">
        <v>0</v>
      </c>
      <c r="AR4045">
        <v>0</v>
      </c>
      <c r="AT4045">
        <v>0</v>
      </c>
      <c r="AU4045">
        <v>0</v>
      </c>
      <c r="AW4045">
        <v>0</v>
      </c>
      <c r="AX4045">
        <v>0</v>
      </c>
      <c r="AY4045">
        <v>70</v>
      </c>
      <c r="BC4045" t="str">
        <f t="shared" si="537"/>
        <v>9791137602069</v>
      </c>
      <c r="BE4045" t="str">
        <f t="shared" si="538"/>
        <v>판타지 웹소설 &gt; 현대 판타지</v>
      </c>
    </row>
    <row r="4046" spans="1:57" x14ac:dyDescent="0.3">
      <c r="A4046">
        <v>2313018365</v>
      </c>
      <c r="B4046">
        <v>2313018485</v>
      </c>
      <c r="C4046" t="str">
        <f>T("나 혼자 스킬융합 121화")</f>
        <v>나 혼자 스킬융합 121화</v>
      </c>
      <c r="D4046" t="str">
        <f>T("121")</f>
        <v>121</v>
      </c>
      <c r="E4046" t="str">
        <f t="shared" si="535"/>
        <v>붕어빵</v>
      </c>
      <c r="H4046" t="str">
        <f t="shared" si="539"/>
        <v>스토리위즈</v>
      </c>
      <c r="I4046" t="str">
        <f t="shared" si="536"/>
        <v>나 혼자 스킬융합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/>
      <c r="AQ4046">
        <v>0</v>
      </c>
      <c r="AR4046">
        <v>0</v>
      </c>
      <c r="AT4046">
        <v>0</v>
      </c>
      <c r="AU4046">
        <v>0</v>
      </c>
      <c r="AW4046">
        <v>0</v>
      </c>
      <c r="AX4046">
        <v>0</v>
      </c>
      <c r="AY4046">
        <v>70</v>
      </c>
      <c r="BC4046" t="str">
        <f t="shared" si="537"/>
        <v>9791137602069</v>
      </c>
      <c r="BE4046" t="str">
        <f t="shared" si="538"/>
        <v>판타지 웹소설 &gt; 현대 판타지</v>
      </c>
    </row>
    <row r="4047" spans="1:57" x14ac:dyDescent="0.3">
      <c r="A4047">
        <v>2313018365</v>
      </c>
      <c r="B4047">
        <v>2313018486</v>
      </c>
      <c r="C4047" t="str">
        <f>T("나 혼자 스킬융합 122화")</f>
        <v>나 혼자 스킬융합 122화</v>
      </c>
      <c r="D4047" t="str">
        <f>T("122")</f>
        <v>122</v>
      </c>
      <c r="E4047" t="str">
        <f t="shared" si="535"/>
        <v>붕어빵</v>
      </c>
      <c r="H4047" t="str">
        <f t="shared" si="539"/>
        <v>스토리위즈</v>
      </c>
      <c r="I4047" t="str">
        <f t="shared" si="536"/>
        <v>나 혼자 스킬융합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/>
      <c r="AQ4047">
        <v>0</v>
      </c>
      <c r="AR4047">
        <v>0</v>
      </c>
      <c r="AT4047">
        <v>0</v>
      </c>
      <c r="AU4047">
        <v>0</v>
      </c>
      <c r="AW4047">
        <v>0</v>
      </c>
      <c r="AX4047">
        <v>0</v>
      </c>
      <c r="AY4047">
        <v>70</v>
      </c>
      <c r="BC4047" t="str">
        <f t="shared" si="537"/>
        <v>9791137602069</v>
      </c>
      <c r="BE4047" t="str">
        <f t="shared" si="538"/>
        <v>판타지 웹소설 &gt; 현대 판타지</v>
      </c>
    </row>
    <row r="4048" spans="1:57" x14ac:dyDescent="0.3">
      <c r="A4048">
        <v>2313018365</v>
      </c>
      <c r="B4048">
        <v>2313018487</v>
      </c>
      <c r="C4048" t="str">
        <f>T("나 혼자 스킬융합 123화")</f>
        <v>나 혼자 스킬융합 123화</v>
      </c>
      <c r="D4048" t="str">
        <f>T("123")</f>
        <v>123</v>
      </c>
      <c r="E4048" t="str">
        <f t="shared" si="535"/>
        <v>붕어빵</v>
      </c>
      <c r="H4048" t="str">
        <f t="shared" si="539"/>
        <v>스토리위즈</v>
      </c>
      <c r="I4048" t="str">
        <f t="shared" si="536"/>
        <v>나 혼자 스킬융합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/>
      <c r="AQ4048">
        <v>0</v>
      </c>
      <c r="AR4048">
        <v>0</v>
      </c>
      <c r="AT4048">
        <v>0</v>
      </c>
      <c r="AU4048">
        <v>0</v>
      </c>
      <c r="AW4048">
        <v>0</v>
      </c>
      <c r="AX4048">
        <v>0</v>
      </c>
      <c r="AY4048">
        <v>70</v>
      </c>
      <c r="BC4048" t="str">
        <f t="shared" si="537"/>
        <v>9791137602069</v>
      </c>
      <c r="BE4048" t="str">
        <f t="shared" si="538"/>
        <v>판타지 웹소설 &gt; 현대 판타지</v>
      </c>
    </row>
    <row r="4049" spans="1:57" x14ac:dyDescent="0.3">
      <c r="A4049">
        <v>2313018365</v>
      </c>
      <c r="B4049">
        <v>2313018488</v>
      </c>
      <c r="C4049" t="str">
        <f>T("나 혼자 스킬융합 124화")</f>
        <v>나 혼자 스킬융합 124화</v>
      </c>
      <c r="D4049" t="str">
        <f>T("124")</f>
        <v>124</v>
      </c>
      <c r="E4049" t="str">
        <f t="shared" si="535"/>
        <v>붕어빵</v>
      </c>
      <c r="H4049" t="str">
        <f t="shared" si="539"/>
        <v>스토리위즈</v>
      </c>
      <c r="I4049" t="str">
        <f t="shared" si="536"/>
        <v>나 혼자 스킬융합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/>
      <c r="AQ4049">
        <v>0</v>
      </c>
      <c r="AR4049">
        <v>0</v>
      </c>
      <c r="AT4049">
        <v>0</v>
      </c>
      <c r="AU4049">
        <v>0</v>
      </c>
      <c r="AW4049">
        <v>0</v>
      </c>
      <c r="AX4049">
        <v>0</v>
      </c>
      <c r="AY4049">
        <v>70</v>
      </c>
      <c r="BC4049" t="str">
        <f t="shared" si="537"/>
        <v>9791137602069</v>
      </c>
      <c r="BE4049" t="str">
        <f t="shared" si="538"/>
        <v>판타지 웹소설 &gt; 현대 판타지</v>
      </c>
    </row>
    <row r="4050" spans="1:57" x14ac:dyDescent="0.3">
      <c r="A4050">
        <v>2313018365</v>
      </c>
      <c r="B4050">
        <v>2313018489</v>
      </c>
      <c r="C4050" t="str">
        <f>T("나 혼자 스킬융합 125화")</f>
        <v>나 혼자 스킬융합 125화</v>
      </c>
      <c r="D4050" t="str">
        <f>T("125")</f>
        <v>125</v>
      </c>
      <c r="E4050" t="str">
        <f t="shared" si="535"/>
        <v>붕어빵</v>
      </c>
      <c r="H4050" t="str">
        <f t="shared" si="539"/>
        <v>스토리위즈</v>
      </c>
      <c r="I4050" t="str">
        <f t="shared" si="536"/>
        <v>나 혼자 스킬융합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/>
      <c r="AQ4050">
        <v>0</v>
      </c>
      <c r="AR4050">
        <v>0</v>
      </c>
      <c r="AT4050">
        <v>0</v>
      </c>
      <c r="AU4050">
        <v>0</v>
      </c>
      <c r="AW4050">
        <v>0</v>
      </c>
      <c r="AX4050">
        <v>0</v>
      </c>
      <c r="AY4050">
        <v>70</v>
      </c>
      <c r="BC4050" t="str">
        <f t="shared" si="537"/>
        <v>9791137602069</v>
      </c>
      <c r="BE4050" t="str">
        <f t="shared" si="538"/>
        <v>판타지 웹소설 &gt; 현대 판타지</v>
      </c>
    </row>
    <row r="4051" spans="1:57" x14ac:dyDescent="0.3">
      <c r="A4051">
        <v>2313018365</v>
      </c>
      <c r="B4051">
        <v>2313018490</v>
      </c>
      <c r="C4051" t="str">
        <f>T("나 혼자 스킬융합 126화")</f>
        <v>나 혼자 스킬융합 126화</v>
      </c>
      <c r="D4051" t="str">
        <f>T("126")</f>
        <v>126</v>
      </c>
      <c r="E4051" t="str">
        <f t="shared" si="535"/>
        <v>붕어빵</v>
      </c>
      <c r="H4051" t="str">
        <f t="shared" si="539"/>
        <v>스토리위즈</v>
      </c>
      <c r="I4051" t="str">
        <f t="shared" si="536"/>
        <v>나 혼자 스킬융합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/>
      <c r="AQ4051">
        <v>0</v>
      </c>
      <c r="AR4051">
        <v>0</v>
      </c>
      <c r="AT4051">
        <v>0</v>
      </c>
      <c r="AU4051">
        <v>0</v>
      </c>
      <c r="AW4051">
        <v>0</v>
      </c>
      <c r="AX4051">
        <v>0</v>
      </c>
      <c r="AY4051">
        <v>70</v>
      </c>
      <c r="BC4051" t="str">
        <f t="shared" si="537"/>
        <v>9791137602069</v>
      </c>
      <c r="BE4051" t="str">
        <f t="shared" si="538"/>
        <v>판타지 웹소설 &gt; 현대 판타지</v>
      </c>
    </row>
    <row r="4052" spans="1:57" x14ac:dyDescent="0.3">
      <c r="A4052">
        <v>2313018365</v>
      </c>
      <c r="B4052">
        <v>2313018491</v>
      </c>
      <c r="C4052" t="str">
        <f>T("나 혼자 스킬융합 127화")</f>
        <v>나 혼자 스킬융합 127화</v>
      </c>
      <c r="D4052" t="str">
        <f>T("127")</f>
        <v>127</v>
      </c>
      <c r="E4052" t="str">
        <f t="shared" si="535"/>
        <v>붕어빵</v>
      </c>
      <c r="H4052" t="str">
        <f t="shared" si="539"/>
        <v>스토리위즈</v>
      </c>
      <c r="I4052" t="str">
        <f t="shared" si="536"/>
        <v>나 혼자 스킬융합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/>
      <c r="AQ4052">
        <v>0</v>
      </c>
      <c r="AR4052">
        <v>0</v>
      </c>
      <c r="AT4052">
        <v>0</v>
      </c>
      <c r="AU4052">
        <v>0</v>
      </c>
      <c r="AW4052">
        <v>0</v>
      </c>
      <c r="AX4052">
        <v>0</v>
      </c>
      <c r="AY4052">
        <v>70</v>
      </c>
      <c r="BC4052" t="str">
        <f t="shared" si="537"/>
        <v>9791137602069</v>
      </c>
      <c r="BE4052" t="str">
        <f t="shared" si="538"/>
        <v>판타지 웹소설 &gt; 현대 판타지</v>
      </c>
    </row>
    <row r="4053" spans="1:57" x14ac:dyDescent="0.3">
      <c r="A4053">
        <v>2313018365</v>
      </c>
      <c r="B4053">
        <v>2313018492</v>
      </c>
      <c r="C4053" t="str">
        <f>T("나 혼자 스킬융합 128화")</f>
        <v>나 혼자 스킬융합 128화</v>
      </c>
      <c r="D4053" t="str">
        <f>T("128")</f>
        <v>128</v>
      </c>
      <c r="E4053" t="str">
        <f t="shared" si="535"/>
        <v>붕어빵</v>
      </c>
      <c r="H4053" t="str">
        <f t="shared" si="539"/>
        <v>스토리위즈</v>
      </c>
      <c r="I4053" t="str">
        <f t="shared" si="536"/>
        <v>나 혼자 스킬융합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/>
      <c r="AQ4053">
        <v>0</v>
      </c>
      <c r="AR4053">
        <v>0</v>
      </c>
      <c r="AT4053">
        <v>0</v>
      </c>
      <c r="AU4053">
        <v>0</v>
      </c>
      <c r="AW4053">
        <v>0</v>
      </c>
      <c r="AX4053">
        <v>0</v>
      </c>
      <c r="AY4053">
        <v>70</v>
      </c>
      <c r="BC4053" t="str">
        <f t="shared" si="537"/>
        <v>9791137602069</v>
      </c>
      <c r="BE4053" t="str">
        <f t="shared" si="538"/>
        <v>판타지 웹소설 &gt; 현대 판타지</v>
      </c>
    </row>
    <row r="4054" spans="1:57" x14ac:dyDescent="0.3">
      <c r="A4054">
        <v>2313018365</v>
      </c>
      <c r="B4054">
        <v>2313018493</v>
      </c>
      <c r="C4054" t="str">
        <f>T("나 혼자 스킬융합 129화")</f>
        <v>나 혼자 스킬융합 129화</v>
      </c>
      <c r="D4054" t="str">
        <f>T("129")</f>
        <v>129</v>
      </c>
      <c r="E4054" t="str">
        <f t="shared" si="535"/>
        <v>붕어빵</v>
      </c>
      <c r="H4054" t="str">
        <f t="shared" si="539"/>
        <v>스토리위즈</v>
      </c>
      <c r="I4054" t="str">
        <f t="shared" si="536"/>
        <v>나 혼자 스킬융합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/>
      <c r="AQ4054">
        <v>0</v>
      </c>
      <c r="AR4054">
        <v>0</v>
      </c>
      <c r="AT4054">
        <v>0</v>
      </c>
      <c r="AU4054">
        <v>0</v>
      </c>
      <c r="AW4054">
        <v>0</v>
      </c>
      <c r="AX4054">
        <v>0</v>
      </c>
      <c r="AY4054">
        <v>70</v>
      </c>
      <c r="BC4054" t="str">
        <f t="shared" si="537"/>
        <v>9791137602069</v>
      </c>
      <c r="BE4054" t="str">
        <f t="shared" si="538"/>
        <v>판타지 웹소설 &gt; 현대 판타지</v>
      </c>
    </row>
    <row r="4055" spans="1:57" x14ac:dyDescent="0.3">
      <c r="A4055">
        <v>2313018365</v>
      </c>
      <c r="B4055">
        <v>2313018494</v>
      </c>
      <c r="C4055" t="str">
        <f>T("나 혼자 스킬융합 130화")</f>
        <v>나 혼자 스킬융합 130화</v>
      </c>
      <c r="D4055" t="str">
        <f>T("130")</f>
        <v>130</v>
      </c>
      <c r="E4055" t="str">
        <f t="shared" si="535"/>
        <v>붕어빵</v>
      </c>
      <c r="H4055" t="str">
        <f t="shared" si="539"/>
        <v>스토리위즈</v>
      </c>
      <c r="I4055" t="str">
        <f t="shared" si="536"/>
        <v>나 혼자 스킬융합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/>
      <c r="AQ4055">
        <v>0</v>
      </c>
      <c r="AR4055">
        <v>0</v>
      </c>
      <c r="AT4055">
        <v>0</v>
      </c>
      <c r="AU4055">
        <v>0</v>
      </c>
      <c r="AW4055">
        <v>0</v>
      </c>
      <c r="AX4055">
        <v>0</v>
      </c>
      <c r="AY4055">
        <v>70</v>
      </c>
      <c r="BC4055" t="str">
        <f t="shared" si="537"/>
        <v>9791137602069</v>
      </c>
      <c r="BE4055" t="str">
        <f t="shared" si="538"/>
        <v>판타지 웹소설 &gt; 현대 판타지</v>
      </c>
    </row>
    <row r="4056" spans="1:57" x14ac:dyDescent="0.3">
      <c r="A4056">
        <v>2313018365</v>
      </c>
      <c r="B4056">
        <v>2313018495</v>
      </c>
      <c r="C4056" t="str">
        <f>T("나 혼자 스킬융합 131화")</f>
        <v>나 혼자 스킬융합 131화</v>
      </c>
      <c r="D4056" t="str">
        <f>T("131")</f>
        <v>131</v>
      </c>
      <c r="E4056" t="str">
        <f t="shared" ref="E4056:E4119" si="540">T("붕어빵")</f>
        <v>붕어빵</v>
      </c>
      <c r="H4056" t="str">
        <f t="shared" si="539"/>
        <v>스토리위즈</v>
      </c>
      <c r="I4056" t="str">
        <f t="shared" ref="I4056:I4119" si="541">T("나 혼자 스킬융합")</f>
        <v>나 혼자 스킬융합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/>
      <c r="AQ4056">
        <v>0</v>
      </c>
      <c r="AR4056">
        <v>0</v>
      </c>
      <c r="AT4056">
        <v>0</v>
      </c>
      <c r="AU4056">
        <v>0</v>
      </c>
      <c r="AW4056">
        <v>0</v>
      </c>
      <c r="AX4056">
        <v>0</v>
      </c>
      <c r="AY4056">
        <v>70</v>
      </c>
      <c r="BC4056" t="str">
        <f t="shared" ref="BC4056:BC4119" si="542">T("9791137602069")</f>
        <v>9791137602069</v>
      </c>
      <c r="BE4056" t="str">
        <f t="shared" ref="BE4056:BE4119" si="543">T("판타지 웹소설 &gt; 현대 판타지")</f>
        <v>판타지 웹소설 &gt; 현대 판타지</v>
      </c>
    </row>
    <row r="4057" spans="1:57" x14ac:dyDescent="0.3">
      <c r="A4057">
        <v>2313018365</v>
      </c>
      <c r="B4057">
        <v>2313018496</v>
      </c>
      <c r="C4057" t="str">
        <f>T("나 혼자 스킬융합 132화")</f>
        <v>나 혼자 스킬융합 132화</v>
      </c>
      <c r="D4057" t="str">
        <f>T("132")</f>
        <v>132</v>
      </c>
      <c r="E4057" t="str">
        <f t="shared" si="540"/>
        <v>붕어빵</v>
      </c>
      <c r="H4057" t="str">
        <f t="shared" si="539"/>
        <v>스토리위즈</v>
      </c>
      <c r="I4057" t="str">
        <f t="shared" si="541"/>
        <v>나 혼자 스킬융합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/>
      <c r="AQ4057">
        <v>0</v>
      </c>
      <c r="AR4057">
        <v>0</v>
      </c>
      <c r="AT4057">
        <v>0</v>
      </c>
      <c r="AU4057">
        <v>0</v>
      </c>
      <c r="AW4057">
        <v>0</v>
      </c>
      <c r="AX4057">
        <v>0</v>
      </c>
      <c r="AY4057">
        <v>70</v>
      </c>
      <c r="BC4057" t="str">
        <f t="shared" si="542"/>
        <v>9791137602069</v>
      </c>
      <c r="BE4057" t="str">
        <f t="shared" si="543"/>
        <v>판타지 웹소설 &gt; 현대 판타지</v>
      </c>
    </row>
    <row r="4058" spans="1:57" x14ac:dyDescent="0.3">
      <c r="A4058">
        <v>2313018365</v>
      </c>
      <c r="B4058">
        <v>2313018497</v>
      </c>
      <c r="C4058" t="str">
        <f>T("나 혼자 스킬융합 133화")</f>
        <v>나 혼자 스킬융합 133화</v>
      </c>
      <c r="D4058" t="str">
        <f>T("133")</f>
        <v>133</v>
      </c>
      <c r="E4058" t="str">
        <f t="shared" si="540"/>
        <v>붕어빵</v>
      </c>
      <c r="H4058" t="str">
        <f t="shared" si="539"/>
        <v>스토리위즈</v>
      </c>
      <c r="I4058" t="str">
        <f t="shared" si="541"/>
        <v>나 혼자 스킬융합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/>
      <c r="AQ4058">
        <v>0</v>
      </c>
      <c r="AR4058">
        <v>0</v>
      </c>
      <c r="AT4058">
        <v>0</v>
      </c>
      <c r="AU4058">
        <v>0</v>
      </c>
      <c r="AW4058">
        <v>0</v>
      </c>
      <c r="AX4058">
        <v>0</v>
      </c>
      <c r="AY4058">
        <v>70</v>
      </c>
      <c r="BC4058" t="str">
        <f t="shared" si="542"/>
        <v>9791137602069</v>
      </c>
      <c r="BE4058" t="str">
        <f t="shared" si="543"/>
        <v>판타지 웹소설 &gt; 현대 판타지</v>
      </c>
    </row>
    <row r="4059" spans="1:57" x14ac:dyDescent="0.3">
      <c r="A4059">
        <v>2313018365</v>
      </c>
      <c r="B4059">
        <v>2313018498</v>
      </c>
      <c r="C4059" t="str">
        <f>T("나 혼자 스킬융합 134화")</f>
        <v>나 혼자 스킬융합 134화</v>
      </c>
      <c r="D4059" t="str">
        <f>T("134")</f>
        <v>134</v>
      </c>
      <c r="E4059" t="str">
        <f t="shared" si="540"/>
        <v>붕어빵</v>
      </c>
      <c r="H4059" t="str">
        <f t="shared" si="539"/>
        <v>스토리위즈</v>
      </c>
      <c r="I4059" t="str">
        <f t="shared" si="541"/>
        <v>나 혼자 스킬융합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/>
      <c r="AQ4059">
        <v>0</v>
      </c>
      <c r="AR4059">
        <v>0</v>
      </c>
      <c r="AT4059">
        <v>0</v>
      </c>
      <c r="AU4059">
        <v>0</v>
      </c>
      <c r="AW4059">
        <v>0</v>
      </c>
      <c r="AX4059">
        <v>0</v>
      </c>
      <c r="AY4059">
        <v>70</v>
      </c>
      <c r="BC4059" t="str">
        <f t="shared" si="542"/>
        <v>9791137602069</v>
      </c>
      <c r="BE4059" t="str">
        <f t="shared" si="543"/>
        <v>판타지 웹소설 &gt; 현대 판타지</v>
      </c>
    </row>
    <row r="4060" spans="1:57" x14ac:dyDescent="0.3">
      <c r="A4060">
        <v>2313018365</v>
      </c>
      <c r="B4060">
        <v>2313018499</v>
      </c>
      <c r="C4060" t="str">
        <f>T("나 혼자 스킬융합 135화")</f>
        <v>나 혼자 스킬융합 135화</v>
      </c>
      <c r="D4060" t="str">
        <f>T("135")</f>
        <v>135</v>
      </c>
      <c r="E4060" t="str">
        <f t="shared" si="540"/>
        <v>붕어빵</v>
      </c>
      <c r="H4060" t="str">
        <f t="shared" si="539"/>
        <v>스토리위즈</v>
      </c>
      <c r="I4060" t="str">
        <f t="shared" si="541"/>
        <v>나 혼자 스킬융합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/>
      <c r="AQ4060">
        <v>0</v>
      </c>
      <c r="AR4060">
        <v>0</v>
      </c>
      <c r="AT4060">
        <v>0</v>
      </c>
      <c r="AU4060">
        <v>0</v>
      </c>
      <c r="AW4060">
        <v>0</v>
      </c>
      <c r="AX4060">
        <v>0</v>
      </c>
      <c r="AY4060">
        <v>70</v>
      </c>
      <c r="BC4060" t="str">
        <f t="shared" si="542"/>
        <v>9791137602069</v>
      </c>
      <c r="BE4060" t="str">
        <f t="shared" si="543"/>
        <v>판타지 웹소설 &gt; 현대 판타지</v>
      </c>
    </row>
    <row r="4061" spans="1:57" x14ac:dyDescent="0.3">
      <c r="A4061">
        <v>2313018365</v>
      </c>
      <c r="B4061">
        <v>2313018500</v>
      </c>
      <c r="C4061" t="str">
        <f>T("나 혼자 스킬융합 136화")</f>
        <v>나 혼자 스킬융합 136화</v>
      </c>
      <c r="D4061" t="str">
        <f>T("136")</f>
        <v>136</v>
      </c>
      <c r="E4061" t="str">
        <f t="shared" si="540"/>
        <v>붕어빵</v>
      </c>
      <c r="H4061" t="str">
        <f t="shared" si="539"/>
        <v>스토리위즈</v>
      </c>
      <c r="I4061" t="str">
        <f t="shared" si="541"/>
        <v>나 혼자 스킬융합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/>
      <c r="AQ4061">
        <v>0</v>
      </c>
      <c r="AR4061">
        <v>0</v>
      </c>
      <c r="AT4061">
        <v>0</v>
      </c>
      <c r="AU4061">
        <v>0</v>
      </c>
      <c r="AW4061">
        <v>0</v>
      </c>
      <c r="AX4061">
        <v>0</v>
      </c>
      <c r="AY4061">
        <v>70</v>
      </c>
      <c r="BC4061" t="str">
        <f t="shared" si="542"/>
        <v>9791137602069</v>
      </c>
      <c r="BE4061" t="str">
        <f t="shared" si="543"/>
        <v>판타지 웹소설 &gt; 현대 판타지</v>
      </c>
    </row>
    <row r="4062" spans="1:57" x14ac:dyDescent="0.3">
      <c r="A4062">
        <v>2313018365</v>
      </c>
      <c r="B4062">
        <v>2313018501</v>
      </c>
      <c r="C4062" t="str">
        <f>T("나 혼자 스킬융합 137화")</f>
        <v>나 혼자 스킬융합 137화</v>
      </c>
      <c r="D4062" t="str">
        <f>T("137")</f>
        <v>137</v>
      </c>
      <c r="E4062" t="str">
        <f t="shared" si="540"/>
        <v>붕어빵</v>
      </c>
      <c r="H4062" t="str">
        <f t="shared" si="539"/>
        <v>스토리위즈</v>
      </c>
      <c r="I4062" t="str">
        <f t="shared" si="541"/>
        <v>나 혼자 스킬융합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/>
      <c r="AQ4062">
        <v>0</v>
      </c>
      <c r="AR4062">
        <v>0</v>
      </c>
      <c r="AT4062">
        <v>0</v>
      </c>
      <c r="AU4062">
        <v>0</v>
      </c>
      <c r="AW4062">
        <v>0</v>
      </c>
      <c r="AX4062">
        <v>0</v>
      </c>
      <c r="AY4062">
        <v>70</v>
      </c>
      <c r="BC4062" t="str">
        <f t="shared" si="542"/>
        <v>9791137602069</v>
      </c>
      <c r="BE4062" t="str">
        <f t="shared" si="543"/>
        <v>판타지 웹소설 &gt; 현대 판타지</v>
      </c>
    </row>
    <row r="4063" spans="1:57" x14ac:dyDescent="0.3">
      <c r="A4063">
        <v>2313018365</v>
      </c>
      <c r="B4063">
        <v>2313018502</v>
      </c>
      <c r="C4063" t="str">
        <f>T("나 혼자 스킬융합 138화")</f>
        <v>나 혼자 스킬융합 138화</v>
      </c>
      <c r="D4063" t="str">
        <f>T("138")</f>
        <v>138</v>
      </c>
      <c r="E4063" t="str">
        <f t="shared" si="540"/>
        <v>붕어빵</v>
      </c>
      <c r="H4063" t="str">
        <f t="shared" si="539"/>
        <v>스토리위즈</v>
      </c>
      <c r="I4063" t="str">
        <f t="shared" si="541"/>
        <v>나 혼자 스킬융합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/>
      <c r="AQ4063">
        <v>0</v>
      </c>
      <c r="AR4063">
        <v>0</v>
      </c>
      <c r="AT4063">
        <v>0</v>
      </c>
      <c r="AU4063">
        <v>0</v>
      </c>
      <c r="AW4063">
        <v>0</v>
      </c>
      <c r="AX4063">
        <v>0</v>
      </c>
      <c r="AY4063">
        <v>70</v>
      </c>
      <c r="BC4063" t="str">
        <f t="shared" si="542"/>
        <v>9791137602069</v>
      </c>
      <c r="BE4063" t="str">
        <f t="shared" si="543"/>
        <v>판타지 웹소설 &gt; 현대 판타지</v>
      </c>
    </row>
    <row r="4064" spans="1:57" x14ac:dyDescent="0.3">
      <c r="A4064">
        <v>2313018365</v>
      </c>
      <c r="B4064">
        <v>2313018503</v>
      </c>
      <c r="C4064" t="str">
        <f>T("나 혼자 스킬융합 139화")</f>
        <v>나 혼자 스킬융합 139화</v>
      </c>
      <c r="D4064" t="str">
        <f>T("139")</f>
        <v>139</v>
      </c>
      <c r="E4064" t="str">
        <f t="shared" si="540"/>
        <v>붕어빵</v>
      </c>
      <c r="H4064" t="str">
        <f t="shared" si="539"/>
        <v>스토리위즈</v>
      </c>
      <c r="I4064" t="str">
        <f t="shared" si="541"/>
        <v>나 혼자 스킬융합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/>
      <c r="AQ4064">
        <v>0</v>
      </c>
      <c r="AR4064">
        <v>0</v>
      </c>
      <c r="AT4064">
        <v>0</v>
      </c>
      <c r="AU4064">
        <v>0</v>
      </c>
      <c r="AW4064">
        <v>0</v>
      </c>
      <c r="AX4064">
        <v>0</v>
      </c>
      <c r="AY4064">
        <v>70</v>
      </c>
      <c r="BC4064" t="str">
        <f t="shared" si="542"/>
        <v>9791137602069</v>
      </c>
      <c r="BE4064" t="str">
        <f t="shared" si="543"/>
        <v>판타지 웹소설 &gt; 현대 판타지</v>
      </c>
    </row>
    <row r="4065" spans="1:57" x14ac:dyDescent="0.3">
      <c r="A4065">
        <v>2313018365</v>
      </c>
      <c r="B4065">
        <v>2313018504</v>
      </c>
      <c r="C4065" t="str">
        <f>T("나 혼자 스킬융합 140화")</f>
        <v>나 혼자 스킬융합 140화</v>
      </c>
      <c r="D4065" t="str">
        <f>T("140")</f>
        <v>140</v>
      </c>
      <c r="E4065" t="str">
        <f t="shared" si="540"/>
        <v>붕어빵</v>
      </c>
      <c r="H4065" t="str">
        <f t="shared" si="539"/>
        <v>스토리위즈</v>
      </c>
      <c r="I4065" t="str">
        <f t="shared" si="541"/>
        <v>나 혼자 스킬융합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/>
      <c r="AQ4065">
        <v>0</v>
      </c>
      <c r="AR4065">
        <v>0</v>
      </c>
      <c r="AT4065">
        <v>0</v>
      </c>
      <c r="AU4065">
        <v>0</v>
      </c>
      <c r="AW4065">
        <v>0</v>
      </c>
      <c r="AX4065">
        <v>0</v>
      </c>
      <c r="AY4065">
        <v>70</v>
      </c>
      <c r="BC4065" t="str">
        <f t="shared" si="542"/>
        <v>9791137602069</v>
      </c>
      <c r="BE4065" t="str">
        <f t="shared" si="543"/>
        <v>판타지 웹소설 &gt; 현대 판타지</v>
      </c>
    </row>
    <row r="4066" spans="1:57" x14ac:dyDescent="0.3">
      <c r="A4066">
        <v>2313018365</v>
      </c>
      <c r="B4066">
        <v>2313018505</v>
      </c>
      <c r="C4066" t="str">
        <f>T("나 혼자 스킬융합 141화")</f>
        <v>나 혼자 스킬융합 141화</v>
      </c>
      <c r="D4066" t="str">
        <f>T("141")</f>
        <v>141</v>
      </c>
      <c r="E4066" t="str">
        <f t="shared" si="540"/>
        <v>붕어빵</v>
      </c>
      <c r="H4066" t="str">
        <f t="shared" si="539"/>
        <v>스토리위즈</v>
      </c>
      <c r="I4066" t="str">
        <f t="shared" si="541"/>
        <v>나 혼자 스킬융합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/>
      <c r="AQ4066">
        <v>0</v>
      </c>
      <c r="AR4066">
        <v>0</v>
      </c>
      <c r="AT4066">
        <v>0</v>
      </c>
      <c r="AU4066">
        <v>0</v>
      </c>
      <c r="AW4066">
        <v>0</v>
      </c>
      <c r="AX4066">
        <v>0</v>
      </c>
      <c r="AY4066">
        <v>70</v>
      </c>
      <c r="BC4066" t="str">
        <f t="shared" si="542"/>
        <v>9791137602069</v>
      </c>
      <c r="BE4066" t="str">
        <f t="shared" si="543"/>
        <v>판타지 웹소설 &gt; 현대 판타지</v>
      </c>
    </row>
    <row r="4067" spans="1:57" x14ac:dyDescent="0.3">
      <c r="A4067">
        <v>2313018365</v>
      </c>
      <c r="B4067">
        <v>2313018506</v>
      </c>
      <c r="C4067" t="str">
        <f>T("나 혼자 스킬융합 142화")</f>
        <v>나 혼자 스킬융합 142화</v>
      </c>
      <c r="D4067" t="str">
        <f>T("142")</f>
        <v>142</v>
      </c>
      <c r="E4067" t="str">
        <f t="shared" si="540"/>
        <v>붕어빵</v>
      </c>
      <c r="H4067" t="str">
        <f t="shared" si="539"/>
        <v>스토리위즈</v>
      </c>
      <c r="I4067" t="str">
        <f t="shared" si="541"/>
        <v>나 혼자 스킬융합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/>
      <c r="AQ4067">
        <v>0</v>
      </c>
      <c r="AR4067">
        <v>0</v>
      </c>
      <c r="AT4067">
        <v>0</v>
      </c>
      <c r="AU4067">
        <v>0</v>
      </c>
      <c r="AW4067">
        <v>0</v>
      </c>
      <c r="AX4067">
        <v>0</v>
      </c>
      <c r="AY4067">
        <v>70</v>
      </c>
      <c r="BC4067" t="str">
        <f t="shared" si="542"/>
        <v>9791137602069</v>
      </c>
      <c r="BE4067" t="str">
        <f t="shared" si="543"/>
        <v>판타지 웹소설 &gt; 현대 판타지</v>
      </c>
    </row>
    <row r="4068" spans="1:57" x14ac:dyDescent="0.3">
      <c r="A4068">
        <v>2313018365</v>
      </c>
      <c r="B4068">
        <v>2313018507</v>
      </c>
      <c r="C4068" t="str">
        <f>T("나 혼자 스킬융합 143화")</f>
        <v>나 혼자 스킬융합 143화</v>
      </c>
      <c r="D4068" t="str">
        <f>T("143")</f>
        <v>143</v>
      </c>
      <c r="E4068" t="str">
        <f t="shared" si="540"/>
        <v>붕어빵</v>
      </c>
      <c r="H4068" t="str">
        <f t="shared" si="539"/>
        <v>스토리위즈</v>
      </c>
      <c r="I4068" t="str">
        <f t="shared" si="541"/>
        <v>나 혼자 스킬융합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/>
      <c r="AQ4068">
        <v>0</v>
      </c>
      <c r="AR4068">
        <v>0</v>
      </c>
      <c r="AT4068">
        <v>0</v>
      </c>
      <c r="AU4068">
        <v>0</v>
      </c>
      <c r="AW4068">
        <v>0</v>
      </c>
      <c r="AX4068">
        <v>0</v>
      </c>
      <c r="AY4068">
        <v>70</v>
      </c>
      <c r="BC4068" t="str">
        <f t="shared" si="542"/>
        <v>9791137602069</v>
      </c>
      <c r="BE4068" t="str">
        <f t="shared" si="543"/>
        <v>판타지 웹소설 &gt; 현대 판타지</v>
      </c>
    </row>
    <row r="4069" spans="1:57" x14ac:dyDescent="0.3">
      <c r="A4069">
        <v>2313018365</v>
      </c>
      <c r="B4069">
        <v>2313018508</v>
      </c>
      <c r="C4069" t="str">
        <f>T("나 혼자 스킬융합 144화")</f>
        <v>나 혼자 스킬융합 144화</v>
      </c>
      <c r="D4069" t="str">
        <f>T("144")</f>
        <v>144</v>
      </c>
      <c r="E4069" t="str">
        <f t="shared" si="540"/>
        <v>붕어빵</v>
      </c>
      <c r="H4069" t="str">
        <f t="shared" si="539"/>
        <v>스토리위즈</v>
      </c>
      <c r="I4069" t="str">
        <f t="shared" si="541"/>
        <v>나 혼자 스킬융합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/>
      <c r="AQ4069">
        <v>0</v>
      </c>
      <c r="AR4069">
        <v>0</v>
      </c>
      <c r="AT4069">
        <v>0</v>
      </c>
      <c r="AU4069">
        <v>0</v>
      </c>
      <c r="AW4069">
        <v>0</v>
      </c>
      <c r="AX4069">
        <v>0</v>
      </c>
      <c r="AY4069">
        <v>70</v>
      </c>
      <c r="BC4069" t="str">
        <f t="shared" si="542"/>
        <v>9791137602069</v>
      </c>
      <c r="BE4069" t="str">
        <f t="shared" si="543"/>
        <v>판타지 웹소설 &gt; 현대 판타지</v>
      </c>
    </row>
    <row r="4070" spans="1:57" x14ac:dyDescent="0.3">
      <c r="A4070">
        <v>2313018365</v>
      </c>
      <c r="B4070">
        <v>2313018509</v>
      </c>
      <c r="C4070" t="str">
        <f>T("나 혼자 스킬융합 145화")</f>
        <v>나 혼자 스킬융합 145화</v>
      </c>
      <c r="D4070" t="str">
        <f>T("145")</f>
        <v>145</v>
      </c>
      <c r="E4070" t="str">
        <f t="shared" si="540"/>
        <v>붕어빵</v>
      </c>
      <c r="H4070" t="str">
        <f t="shared" si="539"/>
        <v>스토리위즈</v>
      </c>
      <c r="I4070" t="str">
        <f t="shared" si="541"/>
        <v>나 혼자 스킬융합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/>
      <c r="AQ4070">
        <v>0</v>
      </c>
      <c r="AR4070">
        <v>0</v>
      </c>
      <c r="AT4070">
        <v>0</v>
      </c>
      <c r="AU4070">
        <v>0</v>
      </c>
      <c r="AW4070">
        <v>0</v>
      </c>
      <c r="AX4070">
        <v>0</v>
      </c>
      <c r="AY4070">
        <v>70</v>
      </c>
      <c r="BC4070" t="str">
        <f t="shared" si="542"/>
        <v>9791137602069</v>
      </c>
      <c r="BE4070" t="str">
        <f t="shared" si="543"/>
        <v>판타지 웹소설 &gt; 현대 판타지</v>
      </c>
    </row>
    <row r="4071" spans="1:57" x14ac:dyDescent="0.3">
      <c r="A4071">
        <v>2313018365</v>
      </c>
      <c r="B4071">
        <v>2313018510</v>
      </c>
      <c r="C4071" t="str">
        <f>T("나 혼자 스킬융합 146화")</f>
        <v>나 혼자 스킬융합 146화</v>
      </c>
      <c r="D4071" t="str">
        <f>T("146")</f>
        <v>146</v>
      </c>
      <c r="E4071" t="str">
        <f t="shared" si="540"/>
        <v>붕어빵</v>
      </c>
      <c r="H4071" t="str">
        <f t="shared" si="539"/>
        <v>스토리위즈</v>
      </c>
      <c r="I4071" t="str">
        <f t="shared" si="541"/>
        <v>나 혼자 스킬융합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/>
      <c r="AQ4071">
        <v>0</v>
      </c>
      <c r="AR4071">
        <v>0</v>
      </c>
      <c r="AT4071">
        <v>0</v>
      </c>
      <c r="AU4071">
        <v>0</v>
      </c>
      <c r="AW4071">
        <v>0</v>
      </c>
      <c r="AX4071">
        <v>0</v>
      </c>
      <c r="AY4071">
        <v>70</v>
      </c>
      <c r="BC4071" t="str">
        <f t="shared" si="542"/>
        <v>9791137602069</v>
      </c>
      <c r="BE4071" t="str">
        <f t="shared" si="543"/>
        <v>판타지 웹소설 &gt; 현대 판타지</v>
      </c>
    </row>
    <row r="4072" spans="1:57" x14ac:dyDescent="0.3">
      <c r="A4072">
        <v>2313018365</v>
      </c>
      <c r="B4072">
        <v>2313018511</v>
      </c>
      <c r="C4072" t="str">
        <f>T("나 혼자 스킬융합 147화")</f>
        <v>나 혼자 스킬융합 147화</v>
      </c>
      <c r="D4072" t="str">
        <f>T("147")</f>
        <v>147</v>
      </c>
      <c r="E4072" t="str">
        <f t="shared" si="540"/>
        <v>붕어빵</v>
      </c>
      <c r="H4072" t="str">
        <f t="shared" si="539"/>
        <v>스토리위즈</v>
      </c>
      <c r="I4072" t="str">
        <f t="shared" si="541"/>
        <v>나 혼자 스킬융합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/>
      <c r="AQ4072">
        <v>0</v>
      </c>
      <c r="AR4072">
        <v>0</v>
      </c>
      <c r="AT4072">
        <v>0</v>
      </c>
      <c r="AU4072">
        <v>0</v>
      </c>
      <c r="AW4072">
        <v>0</v>
      </c>
      <c r="AX4072">
        <v>0</v>
      </c>
      <c r="AY4072">
        <v>70</v>
      </c>
      <c r="BC4072" t="str">
        <f t="shared" si="542"/>
        <v>9791137602069</v>
      </c>
      <c r="BE4072" t="str">
        <f t="shared" si="543"/>
        <v>판타지 웹소설 &gt; 현대 판타지</v>
      </c>
    </row>
    <row r="4073" spans="1:57" x14ac:dyDescent="0.3">
      <c r="A4073">
        <v>2313018365</v>
      </c>
      <c r="B4073">
        <v>2313018512</v>
      </c>
      <c r="C4073" t="str">
        <f>T("나 혼자 스킬융합 148화")</f>
        <v>나 혼자 스킬융합 148화</v>
      </c>
      <c r="D4073" t="str">
        <f>T("148")</f>
        <v>148</v>
      </c>
      <c r="E4073" t="str">
        <f t="shared" si="540"/>
        <v>붕어빵</v>
      </c>
      <c r="H4073" t="str">
        <f t="shared" si="539"/>
        <v>스토리위즈</v>
      </c>
      <c r="I4073" t="str">
        <f t="shared" si="541"/>
        <v>나 혼자 스킬융합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/>
      <c r="AQ4073">
        <v>0</v>
      </c>
      <c r="AR4073">
        <v>0</v>
      </c>
      <c r="AT4073">
        <v>0</v>
      </c>
      <c r="AU4073">
        <v>0</v>
      </c>
      <c r="AW4073">
        <v>0</v>
      </c>
      <c r="AX4073">
        <v>0</v>
      </c>
      <c r="AY4073">
        <v>70</v>
      </c>
      <c r="BC4073" t="str">
        <f t="shared" si="542"/>
        <v>9791137602069</v>
      </c>
      <c r="BE4073" t="str">
        <f t="shared" si="543"/>
        <v>판타지 웹소설 &gt; 현대 판타지</v>
      </c>
    </row>
    <row r="4074" spans="1:57" x14ac:dyDescent="0.3">
      <c r="A4074">
        <v>2313018365</v>
      </c>
      <c r="B4074">
        <v>2313018513</v>
      </c>
      <c r="C4074" t="str">
        <f>T("나 혼자 스킬융합 149화")</f>
        <v>나 혼자 스킬융합 149화</v>
      </c>
      <c r="D4074" t="str">
        <f>T("149")</f>
        <v>149</v>
      </c>
      <c r="E4074" t="str">
        <f t="shared" si="540"/>
        <v>붕어빵</v>
      </c>
      <c r="H4074" t="str">
        <f t="shared" si="539"/>
        <v>스토리위즈</v>
      </c>
      <c r="I4074" t="str">
        <f t="shared" si="541"/>
        <v>나 혼자 스킬융합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/>
      <c r="AQ4074">
        <v>0</v>
      </c>
      <c r="AR4074">
        <v>0</v>
      </c>
      <c r="AT4074">
        <v>0</v>
      </c>
      <c r="AU4074">
        <v>0</v>
      </c>
      <c r="AW4074">
        <v>0</v>
      </c>
      <c r="AX4074">
        <v>0</v>
      </c>
      <c r="AY4074">
        <v>70</v>
      </c>
      <c r="BC4074" t="str">
        <f t="shared" si="542"/>
        <v>9791137602069</v>
      </c>
      <c r="BE4074" t="str">
        <f t="shared" si="543"/>
        <v>판타지 웹소설 &gt; 현대 판타지</v>
      </c>
    </row>
    <row r="4075" spans="1:57" x14ac:dyDescent="0.3">
      <c r="A4075">
        <v>2313018365</v>
      </c>
      <c r="B4075">
        <v>2313018514</v>
      </c>
      <c r="C4075" t="str">
        <f>T("나 혼자 스킬융합 150화")</f>
        <v>나 혼자 스킬융합 150화</v>
      </c>
      <c r="D4075" t="str">
        <f>T("150")</f>
        <v>150</v>
      </c>
      <c r="E4075" t="str">
        <f t="shared" si="540"/>
        <v>붕어빵</v>
      </c>
      <c r="H4075" t="str">
        <f t="shared" si="539"/>
        <v>스토리위즈</v>
      </c>
      <c r="I4075" t="str">
        <f t="shared" si="541"/>
        <v>나 혼자 스킬융합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/>
      <c r="AQ4075">
        <v>0</v>
      </c>
      <c r="AR4075">
        <v>0</v>
      </c>
      <c r="AT4075">
        <v>0</v>
      </c>
      <c r="AU4075">
        <v>0</v>
      </c>
      <c r="AW4075">
        <v>0</v>
      </c>
      <c r="AX4075">
        <v>0</v>
      </c>
      <c r="AY4075">
        <v>70</v>
      </c>
      <c r="BC4075" t="str">
        <f t="shared" si="542"/>
        <v>9791137602069</v>
      </c>
      <c r="BE4075" t="str">
        <f t="shared" si="543"/>
        <v>판타지 웹소설 &gt; 현대 판타지</v>
      </c>
    </row>
    <row r="4076" spans="1:57" x14ac:dyDescent="0.3">
      <c r="A4076">
        <v>2313018365</v>
      </c>
      <c r="B4076">
        <v>2313018515</v>
      </c>
      <c r="C4076" t="str">
        <f>T("나 혼자 스킬융합 151화")</f>
        <v>나 혼자 스킬융합 151화</v>
      </c>
      <c r="D4076" t="str">
        <f>T("151")</f>
        <v>151</v>
      </c>
      <c r="E4076" t="str">
        <f t="shared" si="540"/>
        <v>붕어빵</v>
      </c>
      <c r="H4076" t="str">
        <f t="shared" si="539"/>
        <v>스토리위즈</v>
      </c>
      <c r="I4076" t="str">
        <f t="shared" si="541"/>
        <v>나 혼자 스킬융합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/>
      <c r="AQ4076">
        <v>0</v>
      </c>
      <c r="AR4076">
        <v>0</v>
      </c>
      <c r="AT4076">
        <v>0</v>
      </c>
      <c r="AU4076">
        <v>0</v>
      </c>
      <c r="AW4076">
        <v>0</v>
      </c>
      <c r="AX4076">
        <v>0</v>
      </c>
      <c r="AY4076">
        <v>70</v>
      </c>
      <c r="BC4076" t="str">
        <f t="shared" si="542"/>
        <v>9791137602069</v>
      </c>
      <c r="BE4076" t="str">
        <f t="shared" si="543"/>
        <v>판타지 웹소설 &gt; 현대 판타지</v>
      </c>
    </row>
    <row r="4077" spans="1:57" x14ac:dyDescent="0.3">
      <c r="A4077">
        <v>2313018365</v>
      </c>
      <c r="B4077">
        <v>2313018516</v>
      </c>
      <c r="C4077" t="str">
        <f>T("나 혼자 스킬융합 152화")</f>
        <v>나 혼자 스킬융합 152화</v>
      </c>
      <c r="D4077" t="str">
        <f>T("152")</f>
        <v>152</v>
      </c>
      <c r="E4077" t="str">
        <f t="shared" si="540"/>
        <v>붕어빵</v>
      </c>
      <c r="H4077" t="str">
        <f t="shared" si="539"/>
        <v>스토리위즈</v>
      </c>
      <c r="I4077" t="str">
        <f t="shared" si="541"/>
        <v>나 혼자 스킬융합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/>
      <c r="AQ4077">
        <v>0</v>
      </c>
      <c r="AR4077">
        <v>0</v>
      </c>
      <c r="AT4077">
        <v>0</v>
      </c>
      <c r="AU4077">
        <v>0</v>
      </c>
      <c r="AW4077">
        <v>0</v>
      </c>
      <c r="AX4077">
        <v>0</v>
      </c>
      <c r="AY4077">
        <v>70</v>
      </c>
      <c r="BC4077" t="str">
        <f t="shared" si="542"/>
        <v>9791137602069</v>
      </c>
      <c r="BE4077" t="str">
        <f t="shared" si="543"/>
        <v>판타지 웹소설 &gt; 현대 판타지</v>
      </c>
    </row>
    <row r="4078" spans="1:57" x14ac:dyDescent="0.3">
      <c r="A4078">
        <v>2313018365</v>
      </c>
      <c r="B4078">
        <v>2313018517</v>
      </c>
      <c r="C4078" t="str">
        <f>T("나 혼자 스킬융합 153화")</f>
        <v>나 혼자 스킬융합 153화</v>
      </c>
      <c r="D4078" t="str">
        <f>T("153")</f>
        <v>153</v>
      </c>
      <c r="E4078" t="str">
        <f t="shared" si="540"/>
        <v>붕어빵</v>
      </c>
      <c r="H4078" t="str">
        <f t="shared" si="539"/>
        <v>스토리위즈</v>
      </c>
      <c r="I4078" t="str">
        <f t="shared" si="541"/>
        <v>나 혼자 스킬융합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/>
      <c r="AQ4078">
        <v>0</v>
      </c>
      <c r="AR4078">
        <v>0</v>
      </c>
      <c r="AT4078">
        <v>0</v>
      </c>
      <c r="AU4078">
        <v>0</v>
      </c>
      <c r="AW4078">
        <v>0</v>
      </c>
      <c r="AX4078">
        <v>0</v>
      </c>
      <c r="AY4078">
        <v>70</v>
      </c>
      <c r="BC4078" t="str">
        <f t="shared" si="542"/>
        <v>9791137602069</v>
      </c>
      <c r="BE4078" t="str">
        <f t="shared" si="543"/>
        <v>판타지 웹소설 &gt; 현대 판타지</v>
      </c>
    </row>
    <row r="4079" spans="1:57" x14ac:dyDescent="0.3">
      <c r="A4079">
        <v>2313018365</v>
      </c>
      <c r="B4079">
        <v>2313018518</v>
      </c>
      <c r="C4079" t="str">
        <f>T("나 혼자 스킬융합 154화")</f>
        <v>나 혼자 스킬융합 154화</v>
      </c>
      <c r="D4079" t="str">
        <f>T("154")</f>
        <v>154</v>
      </c>
      <c r="E4079" t="str">
        <f t="shared" si="540"/>
        <v>붕어빵</v>
      </c>
      <c r="H4079" t="str">
        <f t="shared" si="539"/>
        <v>스토리위즈</v>
      </c>
      <c r="I4079" t="str">
        <f t="shared" si="541"/>
        <v>나 혼자 스킬융합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/>
      <c r="AQ4079">
        <v>0</v>
      </c>
      <c r="AR4079">
        <v>0</v>
      </c>
      <c r="AT4079">
        <v>0</v>
      </c>
      <c r="AU4079">
        <v>0</v>
      </c>
      <c r="AW4079">
        <v>0</v>
      </c>
      <c r="AX4079">
        <v>0</v>
      </c>
      <c r="AY4079">
        <v>70</v>
      </c>
      <c r="BC4079" t="str">
        <f t="shared" si="542"/>
        <v>9791137602069</v>
      </c>
      <c r="BE4079" t="str">
        <f t="shared" si="543"/>
        <v>판타지 웹소설 &gt; 현대 판타지</v>
      </c>
    </row>
    <row r="4080" spans="1:57" x14ac:dyDescent="0.3">
      <c r="A4080">
        <v>2313018365</v>
      </c>
      <c r="B4080">
        <v>2313018519</v>
      </c>
      <c r="C4080" t="str">
        <f>T("나 혼자 스킬융합 155화")</f>
        <v>나 혼자 스킬융합 155화</v>
      </c>
      <c r="D4080" t="str">
        <f>T("155")</f>
        <v>155</v>
      </c>
      <c r="E4080" t="str">
        <f t="shared" si="540"/>
        <v>붕어빵</v>
      </c>
      <c r="H4080" t="str">
        <f t="shared" si="539"/>
        <v>스토리위즈</v>
      </c>
      <c r="I4080" t="str">
        <f t="shared" si="541"/>
        <v>나 혼자 스킬융합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/>
      <c r="AQ4080">
        <v>0</v>
      </c>
      <c r="AR4080">
        <v>0</v>
      </c>
      <c r="AT4080">
        <v>0</v>
      </c>
      <c r="AU4080">
        <v>0</v>
      </c>
      <c r="AW4080">
        <v>0</v>
      </c>
      <c r="AX4080">
        <v>0</v>
      </c>
      <c r="AY4080">
        <v>70</v>
      </c>
      <c r="BC4080" t="str">
        <f t="shared" si="542"/>
        <v>9791137602069</v>
      </c>
      <c r="BE4080" t="str">
        <f t="shared" si="543"/>
        <v>판타지 웹소설 &gt; 현대 판타지</v>
      </c>
    </row>
    <row r="4081" spans="1:57" x14ac:dyDescent="0.3">
      <c r="A4081">
        <v>2313018365</v>
      </c>
      <c r="B4081">
        <v>2313018520</v>
      </c>
      <c r="C4081" t="str">
        <f>T("나 혼자 스킬융합 156화")</f>
        <v>나 혼자 스킬융합 156화</v>
      </c>
      <c r="D4081" t="str">
        <f>T("156")</f>
        <v>156</v>
      </c>
      <c r="E4081" t="str">
        <f t="shared" si="540"/>
        <v>붕어빵</v>
      </c>
      <c r="H4081" t="str">
        <f t="shared" si="539"/>
        <v>스토리위즈</v>
      </c>
      <c r="I4081" t="str">
        <f t="shared" si="541"/>
        <v>나 혼자 스킬융합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/>
      <c r="AQ4081">
        <v>0</v>
      </c>
      <c r="AR4081">
        <v>0</v>
      </c>
      <c r="AT4081">
        <v>0</v>
      </c>
      <c r="AU4081">
        <v>0</v>
      </c>
      <c r="AW4081">
        <v>0</v>
      </c>
      <c r="AX4081">
        <v>0</v>
      </c>
      <c r="AY4081">
        <v>70</v>
      </c>
      <c r="BC4081" t="str">
        <f t="shared" si="542"/>
        <v>9791137602069</v>
      </c>
      <c r="BE4081" t="str">
        <f t="shared" si="543"/>
        <v>판타지 웹소설 &gt; 현대 판타지</v>
      </c>
    </row>
    <row r="4082" spans="1:57" x14ac:dyDescent="0.3">
      <c r="A4082">
        <v>2313018365</v>
      </c>
      <c r="B4082">
        <v>2313018521</v>
      </c>
      <c r="C4082" t="str">
        <f>T("나 혼자 스킬융합 157화")</f>
        <v>나 혼자 스킬융합 157화</v>
      </c>
      <c r="D4082" t="str">
        <f>T("157")</f>
        <v>157</v>
      </c>
      <c r="E4082" t="str">
        <f t="shared" si="540"/>
        <v>붕어빵</v>
      </c>
      <c r="H4082" t="str">
        <f t="shared" si="539"/>
        <v>스토리위즈</v>
      </c>
      <c r="I4082" t="str">
        <f t="shared" si="541"/>
        <v>나 혼자 스킬융합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/>
      <c r="AQ4082">
        <v>0</v>
      </c>
      <c r="AR4082">
        <v>0</v>
      </c>
      <c r="AT4082">
        <v>0</v>
      </c>
      <c r="AU4082">
        <v>0</v>
      </c>
      <c r="AW4082">
        <v>0</v>
      </c>
      <c r="AX4082">
        <v>0</v>
      </c>
      <c r="AY4082">
        <v>70</v>
      </c>
      <c r="BC4082" t="str">
        <f t="shared" si="542"/>
        <v>9791137602069</v>
      </c>
      <c r="BE4082" t="str">
        <f t="shared" si="543"/>
        <v>판타지 웹소설 &gt; 현대 판타지</v>
      </c>
    </row>
    <row r="4083" spans="1:57" x14ac:dyDescent="0.3">
      <c r="A4083">
        <v>2313018365</v>
      </c>
      <c r="B4083">
        <v>2313018522</v>
      </c>
      <c r="C4083" t="str">
        <f>T("나 혼자 스킬융합 158화")</f>
        <v>나 혼자 스킬융합 158화</v>
      </c>
      <c r="D4083" t="str">
        <f>T("158")</f>
        <v>158</v>
      </c>
      <c r="E4083" t="str">
        <f t="shared" si="540"/>
        <v>붕어빵</v>
      </c>
      <c r="H4083" t="str">
        <f t="shared" si="539"/>
        <v>스토리위즈</v>
      </c>
      <c r="I4083" t="str">
        <f t="shared" si="541"/>
        <v>나 혼자 스킬융합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/>
      <c r="AQ4083">
        <v>0</v>
      </c>
      <c r="AR4083">
        <v>0</v>
      </c>
      <c r="AT4083">
        <v>0</v>
      </c>
      <c r="AU4083">
        <v>0</v>
      </c>
      <c r="AW4083">
        <v>0</v>
      </c>
      <c r="AX4083">
        <v>0</v>
      </c>
      <c r="AY4083">
        <v>70</v>
      </c>
      <c r="BC4083" t="str">
        <f t="shared" si="542"/>
        <v>9791137602069</v>
      </c>
      <c r="BE4083" t="str">
        <f t="shared" si="543"/>
        <v>판타지 웹소설 &gt; 현대 판타지</v>
      </c>
    </row>
    <row r="4084" spans="1:57" x14ac:dyDescent="0.3">
      <c r="A4084">
        <v>2313018365</v>
      </c>
      <c r="B4084">
        <v>2313018523</v>
      </c>
      <c r="C4084" t="str">
        <f>T("나 혼자 스킬융합 159화")</f>
        <v>나 혼자 스킬융합 159화</v>
      </c>
      <c r="D4084" t="str">
        <f>T("159")</f>
        <v>159</v>
      </c>
      <c r="E4084" t="str">
        <f t="shared" si="540"/>
        <v>붕어빵</v>
      </c>
      <c r="H4084" t="str">
        <f t="shared" si="539"/>
        <v>스토리위즈</v>
      </c>
      <c r="I4084" t="str">
        <f t="shared" si="541"/>
        <v>나 혼자 스킬융합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/>
      <c r="AQ4084">
        <v>0</v>
      </c>
      <c r="AR4084">
        <v>0</v>
      </c>
      <c r="AT4084">
        <v>0</v>
      </c>
      <c r="AU4084">
        <v>0</v>
      </c>
      <c r="AW4084">
        <v>0</v>
      </c>
      <c r="AX4084">
        <v>0</v>
      </c>
      <c r="AY4084">
        <v>70</v>
      </c>
      <c r="BC4084" t="str">
        <f t="shared" si="542"/>
        <v>9791137602069</v>
      </c>
      <c r="BE4084" t="str">
        <f t="shared" si="543"/>
        <v>판타지 웹소설 &gt; 현대 판타지</v>
      </c>
    </row>
    <row r="4085" spans="1:57" x14ac:dyDescent="0.3">
      <c r="A4085">
        <v>2313018365</v>
      </c>
      <c r="B4085">
        <v>2313018524</v>
      </c>
      <c r="C4085" t="str">
        <f>T("나 혼자 스킬융합 160화")</f>
        <v>나 혼자 스킬융합 160화</v>
      </c>
      <c r="D4085" t="str">
        <f>T("160")</f>
        <v>160</v>
      </c>
      <c r="E4085" t="str">
        <f t="shared" si="540"/>
        <v>붕어빵</v>
      </c>
      <c r="H4085" t="str">
        <f t="shared" si="539"/>
        <v>스토리위즈</v>
      </c>
      <c r="I4085" t="str">
        <f t="shared" si="541"/>
        <v>나 혼자 스킬융합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/>
      <c r="AQ4085">
        <v>0</v>
      </c>
      <c r="AR4085">
        <v>0</v>
      </c>
      <c r="AT4085">
        <v>0</v>
      </c>
      <c r="AU4085">
        <v>0</v>
      </c>
      <c r="AW4085">
        <v>0</v>
      </c>
      <c r="AX4085">
        <v>0</v>
      </c>
      <c r="AY4085">
        <v>70</v>
      </c>
      <c r="BC4085" t="str">
        <f t="shared" si="542"/>
        <v>9791137602069</v>
      </c>
      <c r="BE4085" t="str">
        <f t="shared" si="543"/>
        <v>판타지 웹소설 &gt; 현대 판타지</v>
      </c>
    </row>
    <row r="4086" spans="1:57" x14ac:dyDescent="0.3">
      <c r="A4086">
        <v>2313018365</v>
      </c>
      <c r="B4086">
        <v>2313018525</v>
      </c>
      <c r="C4086" t="str">
        <f>T("나 혼자 스킬융합 161화")</f>
        <v>나 혼자 스킬융합 161화</v>
      </c>
      <c r="D4086" t="str">
        <f>T("161")</f>
        <v>161</v>
      </c>
      <c r="E4086" t="str">
        <f t="shared" si="540"/>
        <v>붕어빵</v>
      </c>
      <c r="H4086" t="str">
        <f t="shared" si="539"/>
        <v>스토리위즈</v>
      </c>
      <c r="I4086" t="str">
        <f t="shared" si="541"/>
        <v>나 혼자 스킬융합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/>
      <c r="AQ4086">
        <v>0</v>
      </c>
      <c r="AR4086">
        <v>0</v>
      </c>
      <c r="AT4086">
        <v>0</v>
      </c>
      <c r="AU4086">
        <v>0</v>
      </c>
      <c r="AW4086">
        <v>0</v>
      </c>
      <c r="AX4086">
        <v>0</v>
      </c>
      <c r="AY4086">
        <v>70</v>
      </c>
      <c r="BC4086" t="str">
        <f t="shared" si="542"/>
        <v>9791137602069</v>
      </c>
      <c r="BE4086" t="str">
        <f t="shared" si="543"/>
        <v>판타지 웹소설 &gt; 현대 판타지</v>
      </c>
    </row>
    <row r="4087" spans="1:57" x14ac:dyDescent="0.3">
      <c r="A4087">
        <v>2313018365</v>
      </c>
      <c r="B4087">
        <v>2313018526</v>
      </c>
      <c r="C4087" t="str">
        <f>T("나 혼자 스킬융합 162화")</f>
        <v>나 혼자 스킬융합 162화</v>
      </c>
      <c r="D4087" t="str">
        <f>T("162")</f>
        <v>162</v>
      </c>
      <c r="E4087" t="str">
        <f t="shared" si="540"/>
        <v>붕어빵</v>
      </c>
      <c r="H4087" t="str">
        <f t="shared" si="539"/>
        <v>스토리위즈</v>
      </c>
      <c r="I4087" t="str">
        <f t="shared" si="541"/>
        <v>나 혼자 스킬융합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/>
      <c r="AQ4087">
        <v>0</v>
      </c>
      <c r="AR4087">
        <v>0</v>
      </c>
      <c r="AT4087">
        <v>0</v>
      </c>
      <c r="AU4087">
        <v>0</v>
      </c>
      <c r="AW4087">
        <v>0</v>
      </c>
      <c r="AX4087">
        <v>0</v>
      </c>
      <c r="AY4087">
        <v>70</v>
      </c>
      <c r="BC4087" t="str">
        <f t="shared" si="542"/>
        <v>9791137602069</v>
      </c>
      <c r="BE4087" t="str">
        <f t="shared" si="543"/>
        <v>판타지 웹소설 &gt; 현대 판타지</v>
      </c>
    </row>
    <row r="4088" spans="1:57" x14ac:dyDescent="0.3">
      <c r="A4088">
        <v>2313018365</v>
      </c>
      <c r="B4088">
        <v>2313018527</v>
      </c>
      <c r="C4088" t="str">
        <f>T("나 혼자 스킬융합 163화")</f>
        <v>나 혼자 스킬융합 163화</v>
      </c>
      <c r="D4088" t="str">
        <f>T("163")</f>
        <v>163</v>
      </c>
      <c r="E4088" t="str">
        <f t="shared" si="540"/>
        <v>붕어빵</v>
      </c>
      <c r="H4088" t="str">
        <f t="shared" si="539"/>
        <v>스토리위즈</v>
      </c>
      <c r="I4088" t="str">
        <f t="shared" si="541"/>
        <v>나 혼자 스킬융합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/>
      <c r="AQ4088">
        <v>0</v>
      </c>
      <c r="AR4088">
        <v>0</v>
      </c>
      <c r="AT4088">
        <v>0</v>
      </c>
      <c r="AU4088">
        <v>0</v>
      </c>
      <c r="AW4088">
        <v>0</v>
      </c>
      <c r="AX4088">
        <v>0</v>
      </c>
      <c r="AY4088">
        <v>70</v>
      </c>
      <c r="BC4088" t="str">
        <f t="shared" si="542"/>
        <v>9791137602069</v>
      </c>
      <c r="BE4088" t="str">
        <f t="shared" si="543"/>
        <v>판타지 웹소설 &gt; 현대 판타지</v>
      </c>
    </row>
    <row r="4089" spans="1:57" x14ac:dyDescent="0.3">
      <c r="A4089">
        <v>2313018365</v>
      </c>
      <c r="B4089">
        <v>2313018528</v>
      </c>
      <c r="C4089" t="str">
        <f>T("나 혼자 스킬융합 164화")</f>
        <v>나 혼자 스킬융합 164화</v>
      </c>
      <c r="D4089" t="str">
        <f>T("164")</f>
        <v>164</v>
      </c>
      <c r="E4089" t="str">
        <f t="shared" si="540"/>
        <v>붕어빵</v>
      </c>
      <c r="H4089" t="str">
        <f t="shared" si="539"/>
        <v>스토리위즈</v>
      </c>
      <c r="I4089" t="str">
        <f t="shared" si="541"/>
        <v>나 혼자 스킬융합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/>
      <c r="AQ4089">
        <v>0</v>
      </c>
      <c r="AR4089">
        <v>0</v>
      </c>
      <c r="AT4089">
        <v>0</v>
      </c>
      <c r="AU4089">
        <v>0</v>
      </c>
      <c r="AW4089">
        <v>0</v>
      </c>
      <c r="AX4089">
        <v>0</v>
      </c>
      <c r="AY4089">
        <v>70</v>
      </c>
      <c r="BC4089" t="str">
        <f t="shared" si="542"/>
        <v>9791137602069</v>
      </c>
      <c r="BE4089" t="str">
        <f t="shared" si="543"/>
        <v>판타지 웹소설 &gt; 현대 판타지</v>
      </c>
    </row>
    <row r="4090" spans="1:57" x14ac:dyDescent="0.3">
      <c r="A4090">
        <v>2313018365</v>
      </c>
      <c r="B4090">
        <v>2313018529</v>
      </c>
      <c r="C4090" t="str">
        <f>T("나 혼자 스킬융합 165화")</f>
        <v>나 혼자 스킬융합 165화</v>
      </c>
      <c r="D4090" t="str">
        <f>T("165")</f>
        <v>165</v>
      </c>
      <c r="E4090" t="str">
        <f t="shared" si="540"/>
        <v>붕어빵</v>
      </c>
      <c r="H4090" t="str">
        <f t="shared" si="539"/>
        <v>스토리위즈</v>
      </c>
      <c r="I4090" t="str">
        <f t="shared" si="541"/>
        <v>나 혼자 스킬융합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/>
      <c r="AQ4090">
        <v>0</v>
      </c>
      <c r="AR4090">
        <v>0</v>
      </c>
      <c r="AT4090">
        <v>0</v>
      </c>
      <c r="AU4090">
        <v>0</v>
      </c>
      <c r="AW4090">
        <v>0</v>
      </c>
      <c r="AX4090">
        <v>0</v>
      </c>
      <c r="AY4090">
        <v>70</v>
      </c>
      <c r="BC4090" t="str">
        <f t="shared" si="542"/>
        <v>9791137602069</v>
      </c>
      <c r="BE4090" t="str">
        <f t="shared" si="543"/>
        <v>판타지 웹소설 &gt; 현대 판타지</v>
      </c>
    </row>
    <row r="4091" spans="1:57" x14ac:dyDescent="0.3">
      <c r="A4091">
        <v>2313018365</v>
      </c>
      <c r="B4091">
        <v>2313018530</v>
      </c>
      <c r="C4091" t="str">
        <f>T("나 혼자 스킬융합 166화")</f>
        <v>나 혼자 스킬융합 166화</v>
      </c>
      <c r="D4091" t="str">
        <f>T("166")</f>
        <v>166</v>
      </c>
      <c r="E4091" t="str">
        <f t="shared" si="540"/>
        <v>붕어빵</v>
      </c>
      <c r="H4091" t="str">
        <f t="shared" si="539"/>
        <v>스토리위즈</v>
      </c>
      <c r="I4091" t="str">
        <f t="shared" si="541"/>
        <v>나 혼자 스킬융합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/>
      <c r="AQ4091">
        <v>0</v>
      </c>
      <c r="AR4091">
        <v>0</v>
      </c>
      <c r="AT4091">
        <v>0</v>
      </c>
      <c r="AU4091">
        <v>0</v>
      </c>
      <c r="AW4091">
        <v>0</v>
      </c>
      <c r="AX4091">
        <v>0</v>
      </c>
      <c r="AY4091">
        <v>70</v>
      </c>
      <c r="BC4091" t="str">
        <f t="shared" si="542"/>
        <v>9791137602069</v>
      </c>
      <c r="BE4091" t="str">
        <f t="shared" si="543"/>
        <v>판타지 웹소설 &gt; 현대 판타지</v>
      </c>
    </row>
    <row r="4092" spans="1:57" x14ac:dyDescent="0.3">
      <c r="A4092">
        <v>2313018365</v>
      </c>
      <c r="B4092">
        <v>2313018531</v>
      </c>
      <c r="C4092" t="str">
        <f>T("나 혼자 스킬융합 167화")</f>
        <v>나 혼자 스킬융합 167화</v>
      </c>
      <c r="D4092" t="str">
        <f>T("167")</f>
        <v>167</v>
      </c>
      <c r="E4092" t="str">
        <f t="shared" si="540"/>
        <v>붕어빵</v>
      </c>
      <c r="H4092" t="str">
        <f t="shared" si="539"/>
        <v>스토리위즈</v>
      </c>
      <c r="I4092" t="str">
        <f t="shared" si="541"/>
        <v>나 혼자 스킬융합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/>
      <c r="AQ4092">
        <v>0</v>
      </c>
      <c r="AR4092">
        <v>0</v>
      </c>
      <c r="AT4092">
        <v>0</v>
      </c>
      <c r="AU4092">
        <v>0</v>
      </c>
      <c r="AW4092">
        <v>0</v>
      </c>
      <c r="AX4092">
        <v>0</v>
      </c>
      <c r="AY4092">
        <v>70</v>
      </c>
      <c r="BC4092" t="str">
        <f t="shared" si="542"/>
        <v>9791137602069</v>
      </c>
      <c r="BE4092" t="str">
        <f t="shared" si="543"/>
        <v>판타지 웹소설 &gt; 현대 판타지</v>
      </c>
    </row>
    <row r="4093" spans="1:57" x14ac:dyDescent="0.3">
      <c r="A4093">
        <v>2313018365</v>
      </c>
      <c r="B4093">
        <v>2313018532</v>
      </c>
      <c r="C4093" t="str">
        <f>T("나 혼자 스킬융합 168화")</f>
        <v>나 혼자 스킬융합 168화</v>
      </c>
      <c r="D4093" t="str">
        <f>T("168")</f>
        <v>168</v>
      </c>
      <c r="E4093" t="str">
        <f t="shared" si="540"/>
        <v>붕어빵</v>
      </c>
      <c r="H4093" t="str">
        <f t="shared" si="539"/>
        <v>스토리위즈</v>
      </c>
      <c r="I4093" t="str">
        <f t="shared" si="541"/>
        <v>나 혼자 스킬융합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/>
      <c r="AQ4093">
        <v>0</v>
      </c>
      <c r="AR4093">
        <v>0</v>
      </c>
      <c r="AT4093">
        <v>0</v>
      </c>
      <c r="AU4093">
        <v>0</v>
      </c>
      <c r="AW4093">
        <v>0</v>
      </c>
      <c r="AX4093">
        <v>0</v>
      </c>
      <c r="AY4093">
        <v>70</v>
      </c>
      <c r="BC4093" t="str">
        <f t="shared" si="542"/>
        <v>9791137602069</v>
      </c>
      <c r="BE4093" t="str">
        <f t="shared" si="543"/>
        <v>판타지 웹소설 &gt; 현대 판타지</v>
      </c>
    </row>
    <row r="4094" spans="1:57" x14ac:dyDescent="0.3">
      <c r="A4094">
        <v>2313018365</v>
      </c>
      <c r="B4094">
        <v>2313018533</v>
      </c>
      <c r="C4094" t="str">
        <f>T("나 혼자 스킬융합 169화")</f>
        <v>나 혼자 스킬융합 169화</v>
      </c>
      <c r="D4094" t="str">
        <f>T("169")</f>
        <v>169</v>
      </c>
      <c r="E4094" t="str">
        <f t="shared" si="540"/>
        <v>붕어빵</v>
      </c>
      <c r="H4094" t="str">
        <f t="shared" si="539"/>
        <v>스토리위즈</v>
      </c>
      <c r="I4094" t="str">
        <f t="shared" si="541"/>
        <v>나 혼자 스킬융합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/>
      <c r="AQ4094">
        <v>0</v>
      </c>
      <c r="AR4094">
        <v>0</v>
      </c>
      <c r="AT4094">
        <v>0</v>
      </c>
      <c r="AU4094">
        <v>0</v>
      </c>
      <c r="AW4094">
        <v>0</v>
      </c>
      <c r="AX4094">
        <v>0</v>
      </c>
      <c r="AY4094">
        <v>70</v>
      </c>
      <c r="BC4094" t="str">
        <f t="shared" si="542"/>
        <v>9791137602069</v>
      </c>
      <c r="BE4094" t="str">
        <f t="shared" si="543"/>
        <v>판타지 웹소설 &gt; 현대 판타지</v>
      </c>
    </row>
    <row r="4095" spans="1:57" x14ac:dyDescent="0.3">
      <c r="A4095">
        <v>2313018365</v>
      </c>
      <c r="B4095">
        <v>2313018534</v>
      </c>
      <c r="C4095" t="str">
        <f>T("나 혼자 스킬융합 170화")</f>
        <v>나 혼자 스킬융합 170화</v>
      </c>
      <c r="D4095" t="str">
        <f>T("170")</f>
        <v>170</v>
      </c>
      <c r="E4095" t="str">
        <f t="shared" si="540"/>
        <v>붕어빵</v>
      </c>
      <c r="H4095" t="str">
        <f t="shared" si="539"/>
        <v>스토리위즈</v>
      </c>
      <c r="I4095" t="str">
        <f t="shared" si="541"/>
        <v>나 혼자 스킬융합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/>
      <c r="AQ4095">
        <v>0</v>
      </c>
      <c r="AR4095">
        <v>0</v>
      </c>
      <c r="AT4095">
        <v>0</v>
      </c>
      <c r="AU4095">
        <v>0</v>
      </c>
      <c r="AW4095">
        <v>0</v>
      </c>
      <c r="AX4095">
        <v>0</v>
      </c>
      <c r="AY4095">
        <v>70</v>
      </c>
      <c r="BC4095" t="str">
        <f t="shared" si="542"/>
        <v>9791137602069</v>
      </c>
      <c r="BE4095" t="str">
        <f t="shared" si="543"/>
        <v>판타지 웹소설 &gt; 현대 판타지</v>
      </c>
    </row>
    <row r="4096" spans="1:57" x14ac:dyDescent="0.3">
      <c r="A4096">
        <v>2313018365</v>
      </c>
      <c r="B4096">
        <v>2313018535</v>
      </c>
      <c r="C4096" t="str">
        <f>T("나 혼자 스킬융합 171화")</f>
        <v>나 혼자 스킬융합 171화</v>
      </c>
      <c r="D4096" t="str">
        <f>T("171")</f>
        <v>171</v>
      </c>
      <c r="E4096" t="str">
        <f t="shared" si="540"/>
        <v>붕어빵</v>
      </c>
      <c r="H4096" t="str">
        <f t="shared" si="539"/>
        <v>스토리위즈</v>
      </c>
      <c r="I4096" t="str">
        <f t="shared" si="541"/>
        <v>나 혼자 스킬융합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/>
      <c r="AQ4096">
        <v>0</v>
      </c>
      <c r="AR4096">
        <v>0</v>
      </c>
      <c r="AT4096">
        <v>0</v>
      </c>
      <c r="AU4096">
        <v>0</v>
      </c>
      <c r="AW4096">
        <v>0</v>
      </c>
      <c r="AX4096">
        <v>0</v>
      </c>
      <c r="AY4096">
        <v>70</v>
      </c>
      <c r="BC4096" t="str">
        <f t="shared" si="542"/>
        <v>9791137602069</v>
      </c>
      <c r="BE4096" t="str">
        <f t="shared" si="543"/>
        <v>판타지 웹소설 &gt; 현대 판타지</v>
      </c>
    </row>
    <row r="4097" spans="1:57" x14ac:dyDescent="0.3">
      <c r="A4097">
        <v>2313018365</v>
      </c>
      <c r="B4097">
        <v>2313018536</v>
      </c>
      <c r="C4097" t="str">
        <f>T("나 혼자 스킬융합 172화")</f>
        <v>나 혼자 스킬융합 172화</v>
      </c>
      <c r="D4097" t="str">
        <f>T("172")</f>
        <v>172</v>
      </c>
      <c r="E4097" t="str">
        <f t="shared" si="540"/>
        <v>붕어빵</v>
      </c>
      <c r="H4097" t="str">
        <f t="shared" si="539"/>
        <v>스토리위즈</v>
      </c>
      <c r="I4097" t="str">
        <f t="shared" si="541"/>
        <v>나 혼자 스킬융합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/>
      <c r="AQ4097">
        <v>0</v>
      </c>
      <c r="AR4097">
        <v>0</v>
      </c>
      <c r="AT4097">
        <v>0</v>
      </c>
      <c r="AU4097">
        <v>0</v>
      </c>
      <c r="AW4097">
        <v>0</v>
      </c>
      <c r="AX4097">
        <v>0</v>
      </c>
      <c r="AY4097">
        <v>70</v>
      </c>
      <c r="BC4097" t="str">
        <f t="shared" si="542"/>
        <v>9791137602069</v>
      </c>
      <c r="BE4097" t="str">
        <f t="shared" si="543"/>
        <v>판타지 웹소설 &gt; 현대 판타지</v>
      </c>
    </row>
    <row r="4098" spans="1:57" x14ac:dyDescent="0.3">
      <c r="A4098">
        <v>2313018365</v>
      </c>
      <c r="B4098">
        <v>2313018537</v>
      </c>
      <c r="C4098" t="str">
        <f>T("나 혼자 스킬융합 173화")</f>
        <v>나 혼자 스킬융합 173화</v>
      </c>
      <c r="D4098" t="str">
        <f>T("173")</f>
        <v>173</v>
      </c>
      <c r="E4098" t="str">
        <f t="shared" si="540"/>
        <v>붕어빵</v>
      </c>
      <c r="H4098" t="str">
        <f t="shared" si="539"/>
        <v>스토리위즈</v>
      </c>
      <c r="I4098" t="str">
        <f t="shared" si="541"/>
        <v>나 혼자 스킬융합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/>
      <c r="AQ4098">
        <v>0</v>
      </c>
      <c r="AR4098">
        <v>0</v>
      </c>
      <c r="AT4098">
        <v>0</v>
      </c>
      <c r="AU4098">
        <v>0</v>
      </c>
      <c r="AW4098">
        <v>0</v>
      </c>
      <c r="AX4098">
        <v>0</v>
      </c>
      <c r="AY4098">
        <v>70</v>
      </c>
      <c r="BC4098" t="str">
        <f t="shared" si="542"/>
        <v>9791137602069</v>
      </c>
      <c r="BE4098" t="str">
        <f t="shared" si="543"/>
        <v>판타지 웹소설 &gt; 현대 판타지</v>
      </c>
    </row>
    <row r="4099" spans="1:57" x14ac:dyDescent="0.3">
      <c r="A4099">
        <v>2313018365</v>
      </c>
      <c r="B4099">
        <v>2313018538</v>
      </c>
      <c r="C4099" t="str">
        <f>T("나 혼자 스킬융합 174화")</f>
        <v>나 혼자 스킬융합 174화</v>
      </c>
      <c r="D4099" t="str">
        <f>T("174")</f>
        <v>174</v>
      </c>
      <c r="E4099" t="str">
        <f t="shared" si="540"/>
        <v>붕어빵</v>
      </c>
      <c r="H4099" t="str">
        <f t="shared" si="539"/>
        <v>스토리위즈</v>
      </c>
      <c r="I4099" t="str">
        <f t="shared" si="541"/>
        <v>나 혼자 스킬융합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/>
      <c r="AQ4099">
        <v>0</v>
      </c>
      <c r="AR4099">
        <v>0</v>
      </c>
      <c r="AT4099">
        <v>0</v>
      </c>
      <c r="AU4099">
        <v>0</v>
      </c>
      <c r="AW4099">
        <v>0</v>
      </c>
      <c r="AX4099">
        <v>0</v>
      </c>
      <c r="AY4099">
        <v>70</v>
      </c>
      <c r="BC4099" t="str">
        <f t="shared" si="542"/>
        <v>9791137602069</v>
      </c>
      <c r="BE4099" t="str">
        <f t="shared" si="543"/>
        <v>판타지 웹소설 &gt; 현대 판타지</v>
      </c>
    </row>
    <row r="4100" spans="1:57" x14ac:dyDescent="0.3">
      <c r="A4100">
        <v>2313018365</v>
      </c>
      <c r="B4100">
        <v>2313018539</v>
      </c>
      <c r="C4100" t="str">
        <f>T("나 혼자 스킬융합 175화")</f>
        <v>나 혼자 스킬융합 175화</v>
      </c>
      <c r="D4100" t="str">
        <f>T("175")</f>
        <v>175</v>
      </c>
      <c r="E4100" t="str">
        <f t="shared" si="540"/>
        <v>붕어빵</v>
      </c>
      <c r="H4100" t="str">
        <f t="shared" si="539"/>
        <v>스토리위즈</v>
      </c>
      <c r="I4100" t="str">
        <f t="shared" si="541"/>
        <v>나 혼자 스킬융합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/>
      <c r="AQ4100">
        <v>0</v>
      </c>
      <c r="AR4100">
        <v>0</v>
      </c>
      <c r="AT4100">
        <v>0</v>
      </c>
      <c r="AU4100">
        <v>0</v>
      </c>
      <c r="AW4100">
        <v>0</v>
      </c>
      <c r="AX4100">
        <v>0</v>
      </c>
      <c r="AY4100">
        <v>70</v>
      </c>
      <c r="BC4100" t="str">
        <f t="shared" si="542"/>
        <v>9791137602069</v>
      </c>
      <c r="BE4100" t="str">
        <f t="shared" si="543"/>
        <v>판타지 웹소설 &gt; 현대 판타지</v>
      </c>
    </row>
    <row r="4101" spans="1:57" x14ac:dyDescent="0.3">
      <c r="A4101">
        <v>2313018365</v>
      </c>
      <c r="B4101">
        <v>2313018540</v>
      </c>
      <c r="C4101" t="str">
        <f>T("나 혼자 스킬융합 176화")</f>
        <v>나 혼자 스킬융합 176화</v>
      </c>
      <c r="D4101" t="str">
        <f>T("176")</f>
        <v>176</v>
      </c>
      <c r="E4101" t="str">
        <f t="shared" si="540"/>
        <v>붕어빵</v>
      </c>
      <c r="H4101" t="str">
        <f t="shared" si="539"/>
        <v>스토리위즈</v>
      </c>
      <c r="I4101" t="str">
        <f t="shared" si="541"/>
        <v>나 혼자 스킬융합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/>
      <c r="AQ4101">
        <v>0</v>
      </c>
      <c r="AR4101">
        <v>0</v>
      </c>
      <c r="AT4101">
        <v>0</v>
      </c>
      <c r="AU4101">
        <v>0</v>
      </c>
      <c r="AW4101">
        <v>0</v>
      </c>
      <c r="AX4101">
        <v>0</v>
      </c>
      <c r="AY4101">
        <v>70</v>
      </c>
      <c r="BC4101" t="str">
        <f t="shared" si="542"/>
        <v>9791137602069</v>
      </c>
      <c r="BE4101" t="str">
        <f t="shared" si="543"/>
        <v>판타지 웹소설 &gt; 현대 판타지</v>
      </c>
    </row>
    <row r="4102" spans="1:57" x14ac:dyDescent="0.3">
      <c r="A4102">
        <v>2313018365</v>
      </c>
      <c r="B4102">
        <v>2313018541</v>
      </c>
      <c r="C4102" t="str">
        <f>T("나 혼자 스킬융합 177화")</f>
        <v>나 혼자 스킬융합 177화</v>
      </c>
      <c r="D4102" t="str">
        <f>T("177")</f>
        <v>177</v>
      </c>
      <c r="E4102" t="str">
        <f t="shared" si="540"/>
        <v>붕어빵</v>
      </c>
      <c r="H4102" t="str">
        <f t="shared" si="539"/>
        <v>스토리위즈</v>
      </c>
      <c r="I4102" t="str">
        <f t="shared" si="541"/>
        <v>나 혼자 스킬융합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/>
      <c r="AQ4102">
        <v>0</v>
      </c>
      <c r="AR4102">
        <v>0</v>
      </c>
      <c r="AT4102">
        <v>0</v>
      </c>
      <c r="AU4102">
        <v>0</v>
      </c>
      <c r="AW4102">
        <v>0</v>
      </c>
      <c r="AX4102">
        <v>0</v>
      </c>
      <c r="AY4102">
        <v>70</v>
      </c>
      <c r="BC4102" t="str">
        <f t="shared" si="542"/>
        <v>9791137602069</v>
      </c>
      <c r="BE4102" t="str">
        <f t="shared" si="543"/>
        <v>판타지 웹소설 &gt; 현대 판타지</v>
      </c>
    </row>
    <row r="4103" spans="1:57" x14ac:dyDescent="0.3">
      <c r="A4103">
        <v>2313018365</v>
      </c>
      <c r="B4103">
        <v>2313018542</v>
      </c>
      <c r="C4103" t="str">
        <f>T("나 혼자 스킬융합 178화")</f>
        <v>나 혼자 스킬융합 178화</v>
      </c>
      <c r="D4103" t="str">
        <f>T("178")</f>
        <v>178</v>
      </c>
      <c r="E4103" t="str">
        <f t="shared" si="540"/>
        <v>붕어빵</v>
      </c>
      <c r="H4103" t="str">
        <f t="shared" si="539"/>
        <v>스토리위즈</v>
      </c>
      <c r="I4103" t="str">
        <f t="shared" si="541"/>
        <v>나 혼자 스킬융합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/>
      <c r="AQ4103">
        <v>0</v>
      </c>
      <c r="AR4103">
        <v>0</v>
      </c>
      <c r="AT4103">
        <v>0</v>
      </c>
      <c r="AU4103">
        <v>0</v>
      </c>
      <c r="AW4103">
        <v>0</v>
      </c>
      <c r="AX4103">
        <v>0</v>
      </c>
      <c r="AY4103">
        <v>70</v>
      </c>
      <c r="BC4103" t="str">
        <f t="shared" si="542"/>
        <v>9791137602069</v>
      </c>
      <c r="BE4103" t="str">
        <f t="shared" si="543"/>
        <v>판타지 웹소설 &gt; 현대 판타지</v>
      </c>
    </row>
    <row r="4104" spans="1:57" x14ac:dyDescent="0.3">
      <c r="A4104">
        <v>2313018365</v>
      </c>
      <c r="B4104">
        <v>2313018543</v>
      </c>
      <c r="C4104" t="str">
        <f>T("나 혼자 스킬융합 179화")</f>
        <v>나 혼자 스킬융합 179화</v>
      </c>
      <c r="D4104" t="str">
        <f>T("179")</f>
        <v>179</v>
      </c>
      <c r="E4104" t="str">
        <f t="shared" si="540"/>
        <v>붕어빵</v>
      </c>
      <c r="H4104" t="str">
        <f t="shared" si="539"/>
        <v>스토리위즈</v>
      </c>
      <c r="I4104" t="str">
        <f t="shared" si="541"/>
        <v>나 혼자 스킬융합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/>
      <c r="AQ4104">
        <v>0</v>
      </c>
      <c r="AR4104">
        <v>0</v>
      </c>
      <c r="AT4104">
        <v>0</v>
      </c>
      <c r="AU4104">
        <v>0</v>
      </c>
      <c r="AW4104">
        <v>0</v>
      </c>
      <c r="AX4104">
        <v>0</v>
      </c>
      <c r="AY4104">
        <v>70</v>
      </c>
      <c r="BC4104" t="str">
        <f t="shared" si="542"/>
        <v>9791137602069</v>
      </c>
      <c r="BE4104" t="str">
        <f t="shared" si="543"/>
        <v>판타지 웹소설 &gt; 현대 판타지</v>
      </c>
    </row>
    <row r="4105" spans="1:57" x14ac:dyDescent="0.3">
      <c r="A4105">
        <v>2313018365</v>
      </c>
      <c r="B4105">
        <v>2313018544</v>
      </c>
      <c r="C4105" t="str">
        <f>T("나 혼자 스킬융합 180화")</f>
        <v>나 혼자 스킬융합 180화</v>
      </c>
      <c r="D4105" t="str">
        <f>T("180")</f>
        <v>180</v>
      </c>
      <c r="E4105" t="str">
        <f t="shared" si="540"/>
        <v>붕어빵</v>
      </c>
      <c r="H4105" t="str">
        <f t="shared" si="539"/>
        <v>스토리위즈</v>
      </c>
      <c r="I4105" t="str">
        <f t="shared" si="541"/>
        <v>나 혼자 스킬융합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/>
      <c r="AQ4105">
        <v>0</v>
      </c>
      <c r="AR4105">
        <v>0</v>
      </c>
      <c r="AT4105">
        <v>0</v>
      </c>
      <c r="AU4105">
        <v>0</v>
      </c>
      <c r="AW4105">
        <v>0</v>
      </c>
      <c r="AX4105">
        <v>0</v>
      </c>
      <c r="AY4105">
        <v>70</v>
      </c>
      <c r="BC4105" t="str">
        <f t="shared" si="542"/>
        <v>9791137602069</v>
      </c>
      <c r="BE4105" t="str">
        <f t="shared" si="543"/>
        <v>판타지 웹소설 &gt; 현대 판타지</v>
      </c>
    </row>
    <row r="4106" spans="1:57" x14ac:dyDescent="0.3">
      <c r="A4106">
        <v>2313018365</v>
      </c>
      <c r="B4106">
        <v>2313018545</v>
      </c>
      <c r="C4106" t="str">
        <f>T("나 혼자 스킬융합 181화")</f>
        <v>나 혼자 스킬융합 181화</v>
      </c>
      <c r="D4106" t="str">
        <f>T("181")</f>
        <v>181</v>
      </c>
      <c r="E4106" t="str">
        <f t="shared" si="540"/>
        <v>붕어빵</v>
      </c>
      <c r="H4106" t="str">
        <f t="shared" si="539"/>
        <v>스토리위즈</v>
      </c>
      <c r="I4106" t="str">
        <f t="shared" si="541"/>
        <v>나 혼자 스킬융합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/>
      <c r="AQ4106">
        <v>0</v>
      </c>
      <c r="AR4106">
        <v>0</v>
      </c>
      <c r="AT4106">
        <v>0</v>
      </c>
      <c r="AU4106">
        <v>0</v>
      </c>
      <c r="AW4106">
        <v>0</v>
      </c>
      <c r="AX4106">
        <v>0</v>
      </c>
      <c r="AY4106">
        <v>70</v>
      </c>
      <c r="BC4106" t="str">
        <f t="shared" si="542"/>
        <v>9791137602069</v>
      </c>
      <c r="BE4106" t="str">
        <f t="shared" si="543"/>
        <v>판타지 웹소설 &gt; 현대 판타지</v>
      </c>
    </row>
    <row r="4107" spans="1:57" x14ac:dyDescent="0.3">
      <c r="A4107">
        <v>2313018365</v>
      </c>
      <c r="B4107">
        <v>2313018546</v>
      </c>
      <c r="C4107" t="str">
        <f>T("나 혼자 스킬융합 182화")</f>
        <v>나 혼자 스킬융합 182화</v>
      </c>
      <c r="D4107" t="str">
        <f>T("182")</f>
        <v>182</v>
      </c>
      <c r="E4107" t="str">
        <f t="shared" si="540"/>
        <v>붕어빵</v>
      </c>
      <c r="H4107" t="str">
        <f t="shared" si="539"/>
        <v>스토리위즈</v>
      </c>
      <c r="I4107" t="str">
        <f t="shared" si="541"/>
        <v>나 혼자 스킬융합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/>
      <c r="AQ4107">
        <v>0</v>
      </c>
      <c r="AR4107">
        <v>0</v>
      </c>
      <c r="AT4107">
        <v>0</v>
      </c>
      <c r="AU4107">
        <v>0</v>
      </c>
      <c r="AW4107">
        <v>0</v>
      </c>
      <c r="AX4107">
        <v>0</v>
      </c>
      <c r="AY4107">
        <v>70</v>
      </c>
      <c r="BC4107" t="str">
        <f t="shared" si="542"/>
        <v>9791137602069</v>
      </c>
      <c r="BE4107" t="str">
        <f t="shared" si="543"/>
        <v>판타지 웹소설 &gt; 현대 판타지</v>
      </c>
    </row>
    <row r="4108" spans="1:57" x14ac:dyDescent="0.3">
      <c r="A4108">
        <v>2313018365</v>
      </c>
      <c r="B4108">
        <v>2313018547</v>
      </c>
      <c r="C4108" t="str">
        <f>T("나 혼자 스킬융합 183화")</f>
        <v>나 혼자 스킬융합 183화</v>
      </c>
      <c r="D4108" t="str">
        <f>T("183")</f>
        <v>183</v>
      </c>
      <c r="E4108" t="str">
        <f t="shared" si="540"/>
        <v>붕어빵</v>
      </c>
      <c r="H4108" t="str">
        <f t="shared" si="539"/>
        <v>스토리위즈</v>
      </c>
      <c r="I4108" t="str">
        <f t="shared" si="541"/>
        <v>나 혼자 스킬융합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/>
      <c r="AQ4108">
        <v>0</v>
      </c>
      <c r="AR4108">
        <v>0</v>
      </c>
      <c r="AT4108">
        <v>0</v>
      </c>
      <c r="AU4108">
        <v>0</v>
      </c>
      <c r="AW4108">
        <v>0</v>
      </c>
      <c r="AX4108">
        <v>0</v>
      </c>
      <c r="AY4108">
        <v>70</v>
      </c>
      <c r="BC4108" t="str">
        <f t="shared" si="542"/>
        <v>9791137602069</v>
      </c>
      <c r="BE4108" t="str">
        <f t="shared" si="543"/>
        <v>판타지 웹소설 &gt; 현대 판타지</v>
      </c>
    </row>
    <row r="4109" spans="1:57" x14ac:dyDescent="0.3">
      <c r="A4109">
        <v>2313018365</v>
      </c>
      <c r="B4109">
        <v>2313018548</v>
      </c>
      <c r="C4109" t="str">
        <f>T("나 혼자 스킬융합 184화")</f>
        <v>나 혼자 스킬융합 184화</v>
      </c>
      <c r="D4109" t="str">
        <f>T("184")</f>
        <v>184</v>
      </c>
      <c r="E4109" t="str">
        <f t="shared" si="540"/>
        <v>붕어빵</v>
      </c>
      <c r="H4109" t="str">
        <f t="shared" ref="H4109:H4172" si="544">T("스토리위즈")</f>
        <v>스토리위즈</v>
      </c>
      <c r="I4109" t="str">
        <f t="shared" si="541"/>
        <v>나 혼자 스킬융합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/>
      <c r="AQ4109">
        <v>0</v>
      </c>
      <c r="AR4109">
        <v>0</v>
      </c>
      <c r="AT4109">
        <v>0</v>
      </c>
      <c r="AU4109">
        <v>0</v>
      </c>
      <c r="AW4109">
        <v>0</v>
      </c>
      <c r="AX4109">
        <v>0</v>
      </c>
      <c r="AY4109">
        <v>70</v>
      </c>
      <c r="BC4109" t="str">
        <f t="shared" si="542"/>
        <v>9791137602069</v>
      </c>
      <c r="BE4109" t="str">
        <f t="shared" si="543"/>
        <v>판타지 웹소설 &gt; 현대 판타지</v>
      </c>
    </row>
    <row r="4110" spans="1:57" x14ac:dyDescent="0.3">
      <c r="A4110">
        <v>2313018365</v>
      </c>
      <c r="B4110">
        <v>2313018549</v>
      </c>
      <c r="C4110" t="str">
        <f>T("나 혼자 스킬융합 185화")</f>
        <v>나 혼자 스킬융합 185화</v>
      </c>
      <c r="D4110" t="str">
        <f>T("185")</f>
        <v>185</v>
      </c>
      <c r="E4110" t="str">
        <f t="shared" si="540"/>
        <v>붕어빵</v>
      </c>
      <c r="H4110" t="str">
        <f t="shared" si="544"/>
        <v>스토리위즈</v>
      </c>
      <c r="I4110" t="str">
        <f t="shared" si="541"/>
        <v>나 혼자 스킬융합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/>
      <c r="AQ4110">
        <v>0</v>
      </c>
      <c r="AR4110">
        <v>0</v>
      </c>
      <c r="AT4110">
        <v>0</v>
      </c>
      <c r="AU4110">
        <v>0</v>
      </c>
      <c r="AW4110">
        <v>0</v>
      </c>
      <c r="AX4110">
        <v>0</v>
      </c>
      <c r="AY4110">
        <v>70</v>
      </c>
      <c r="BC4110" t="str">
        <f t="shared" si="542"/>
        <v>9791137602069</v>
      </c>
      <c r="BE4110" t="str">
        <f t="shared" si="543"/>
        <v>판타지 웹소설 &gt; 현대 판타지</v>
      </c>
    </row>
    <row r="4111" spans="1:57" x14ac:dyDescent="0.3">
      <c r="A4111">
        <v>2313018365</v>
      </c>
      <c r="B4111">
        <v>2313018550</v>
      </c>
      <c r="C4111" t="str">
        <f>T("나 혼자 스킬융합 186화")</f>
        <v>나 혼자 스킬융합 186화</v>
      </c>
      <c r="D4111" t="str">
        <f>T("186")</f>
        <v>186</v>
      </c>
      <c r="E4111" t="str">
        <f t="shared" si="540"/>
        <v>붕어빵</v>
      </c>
      <c r="H4111" t="str">
        <f t="shared" si="544"/>
        <v>스토리위즈</v>
      </c>
      <c r="I4111" t="str">
        <f t="shared" si="541"/>
        <v>나 혼자 스킬융합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/>
      <c r="AQ4111">
        <v>0</v>
      </c>
      <c r="AR4111">
        <v>0</v>
      </c>
      <c r="AT4111">
        <v>0</v>
      </c>
      <c r="AU4111">
        <v>0</v>
      </c>
      <c r="AW4111">
        <v>0</v>
      </c>
      <c r="AX4111">
        <v>0</v>
      </c>
      <c r="AY4111">
        <v>70</v>
      </c>
      <c r="BC4111" t="str">
        <f t="shared" si="542"/>
        <v>9791137602069</v>
      </c>
      <c r="BE4111" t="str">
        <f t="shared" si="543"/>
        <v>판타지 웹소설 &gt; 현대 판타지</v>
      </c>
    </row>
    <row r="4112" spans="1:57" x14ac:dyDescent="0.3">
      <c r="A4112">
        <v>2313018365</v>
      </c>
      <c r="B4112">
        <v>2313018551</v>
      </c>
      <c r="C4112" t="str">
        <f>T("나 혼자 스킬융합 187화")</f>
        <v>나 혼자 스킬융합 187화</v>
      </c>
      <c r="D4112" t="str">
        <f>T("187")</f>
        <v>187</v>
      </c>
      <c r="E4112" t="str">
        <f t="shared" si="540"/>
        <v>붕어빵</v>
      </c>
      <c r="H4112" t="str">
        <f t="shared" si="544"/>
        <v>스토리위즈</v>
      </c>
      <c r="I4112" t="str">
        <f t="shared" si="541"/>
        <v>나 혼자 스킬융합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/>
      <c r="AQ4112">
        <v>0</v>
      </c>
      <c r="AR4112">
        <v>0</v>
      </c>
      <c r="AT4112">
        <v>0</v>
      </c>
      <c r="AU4112">
        <v>0</v>
      </c>
      <c r="AW4112">
        <v>0</v>
      </c>
      <c r="AX4112">
        <v>0</v>
      </c>
      <c r="AY4112">
        <v>70</v>
      </c>
      <c r="BC4112" t="str">
        <f t="shared" si="542"/>
        <v>9791137602069</v>
      </c>
      <c r="BE4112" t="str">
        <f t="shared" si="543"/>
        <v>판타지 웹소설 &gt; 현대 판타지</v>
      </c>
    </row>
    <row r="4113" spans="1:57" x14ac:dyDescent="0.3">
      <c r="A4113">
        <v>2313018365</v>
      </c>
      <c r="B4113">
        <v>2313018552</v>
      </c>
      <c r="C4113" t="str">
        <f>T("나 혼자 스킬융합 188화")</f>
        <v>나 혼자 스킬융합 188화</v>
      </c>
      <c r="D4113" t="str">
        <f>T("188")</f>
        <v>188</v>
      </c>
      <c r="E4113" t="str">
        <f t="shared" si="540"/>
        <v>붕어빵</v>
      </c>
      <c r="H4113" t="str">
        <f t="shared" si="544"/>
        <v>스토리위즈</v>
      </c>
      <c r="I4113" t="str">
        <f t="shared" si="541"/>
        <v>나 혼자 스킬융합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/>
      <c r="AQ4113">
        <v>0</v>
      </c>
      <c r="AR4113">
        <v>0</v>
      </c>
      <c r="AT4113">
        <v>0</v>
      </c>
      <c r="AU4113">
        <v>0</v>
      </c>
      <c r="AW4113">
        <v>0</v>
      </c>
      <c r="AX4113">
        <v>0</v>
      </c>
      <c r="AY4113">
        <v>70</v>
      </c>
      <c r="BC4113" t="str">
        <f t="shared" si="542"/>
        <v>9791137602069</v>
      </c>
      <c r="BE4113" t="str">
        <f t="shared" si="543"/>
        <v>판타지 웹소설 &gt; 현대 판타지</v>
      </c>
    </row>
    <row r="4114" spans="1:57" x14ac:dyDescent="0.3">
      <c r="A4114">
        <v>2313018365</v>
      </c>
      <c r="B4114">
        <v>2313018553</v>
      </c>
      <c r="C4114" t="str">
        <f>T("나 혼자 스킬융합 189화")</f>
        <v>나 혼자 스킬융합 189화</v>
      </c>
      <c r="D4114" t="str">
        <f>T("189")</f>
        <v>189</v>
      </c>
      <c r="E4114" t="str">
        <f t="shared" si="540"/>
        <v>붕어빵</v>
      </c>
      <c r="H4114" t="str">
        <f t="shared" si="544"/>
        <v>스토리위즈</v>
      </c>
      <c r="I4114" t="str">
        <f t="shared" si="541"/>
        <v>나 혼자 스킬융합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/>
      <c r="AQ4114">
        <v>0</v>
      </c>
      <c r="AR4114">
        <v>0</v>
      </c>
      <c r="AT4114">
        <v>0</v>
      </c>
      <c r="AU4114">
        <v>0</v>
      </c>
      <c r="AW4114">
        <v>0</v>
      </c>
      <c r="AX4114">
        <v>0</v>
      </c>
      <c r="AY4114">
        <v>70</v>
      </c>
      <c r="BC4114" t="str">
        <f t="shared" si="542"/>
        <v>9791137602069</v>
      </c>
      <c r="BE4114" t="str">
        <f t="shared" si="543"/>
        <v>판타지 웹소설 &gt; 현대 판타지</v>
      </c>
    </row>
    <row r="4115" spans="1:57" x14ac:dyDescent="0.3">
      <c r="A4115">
        <v>2313018365</v>
      </c>
      <c r="B4115">
        <v>2313018554</v>
      </c>
      <c r="C4115" t="str">
        <f>T("나 혼자 스킬융합 190화")</f>
        <v>나 혼자 스킬융합 190화</v>
      </c>
      <c r="D4115" t="str">
        <f>T("190")</f>
        <v>190</v>
      </c>
      <c r="E4115" t="str">
        <f t="shared" si="540"/>
        <v>붕어빵</v>
      </c>
      <c r="H4115" t="str">
        <f t="shared" si="544"/>
        <v>스토리위즈</v>
      </c>
      <c r="I4115" t="str">
        <f t="shared" si="541"/>
        <v>나 혼자 스킬융합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/>
      <c r="AQ4115">
        <v>0</v>
      </c>
      <c r="AR4115">
        <v>0</v>
      </c>
      <c r="AT4115">
        <v>0</v>
      </c>
      <c r="AU4115">
        <v>0</v>
      </c>
      <c r="AW4115">
        <v>0</v>
      </c>
      <c r="AX4115">
        <v>0</v>
      </c>
      <c r="AY4115">
        <v>70</v>
      </c>
      <c r="BC4115" t="str">
        <f t="shared" si="542"/>
        <v>9791137602069</v>
      </c>
      <c r="BE4115" t="str">
        <f t="shared" si="543"/>
        <v>판타지 웹소설 &gt; 현대 판타지</v>
      </c>
    </row>
    <row r="4116" spans="1:57" x14ac:dyDescent="0.3">
      <c r="A4116">
        <v>2313018365</v>
      </c>
      <c r="B4116">
        <v>2313018555</v>
      </c>
      <c r="C4116" t="str">
        <f>T("나 혼자 스킬융합 191화")</f>
        <v>나 혼자 스킬융합 191화</v>
      </c>
      <c r="D4116" t="str">
        <f>T("191")</f>
        <v>191</v>
      </c>
      <c r="E4116" t="str">
        <f t="shared" si="540"/>
        <v>붕어빵</v>
      </c>
      <c r="H4116" t="str">
        <f t="shared" si="544"/>
        <v>스토리위즈</v>
      </c>
      <c r="I4116" t="str">
        <f t="shared" si="541"/>
        <v>나 혼자 스킬융합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/>
      <c r="AQ4116">
        <v>0</v>
      </c>
      <c r="AR4116">
        <v>0</v>
      </c>
      <c r="AT4116">
        <v>0</v>
      </c>
      <c r="AU4116">
        <v>0</v>
      </c>
      <c r="AW4116">
        <v>0</v>
      </c>
      <c r="AX4116">
        <v>0</v>
      </c>
      <c r="AY4116">
        <v>70</v>
      </c>
      <c r="BC4116" t="str">
        <f t="shared" si="542"/>
        <v>9791137602069</v>
      </c>
      <c r="BE4116" t="str">
        <f t="shared" si="543"/>
        <v>판타지 웹소설 &gt; 현대 판타지</v>
      </c>
    </row>
    <row r="4117" spans="1:57" x14ac:dyDescent="0.3">
      <c r="A4117">
        <v>2313018365</v>
      </c>
      <c r="B4117">
        <v>2313018556</v>
      </c>
      <c r="C4117" t="str">
        <f>T("나 혼자 스킬융합 192화")</f>
        <v>나 혼자 스킬융합 192화</v>
      </c>
      <c r="D4117" t="str">
        <f>T("192")</f>
        <v>192</v>
      </c>
      <c r="E4117" t="str">
        <f t="shared" si="540"/>
        <v>붕어빵</v>
      </c>
      <c r="H4117" t="str">
        <f t="shared" si="544"/>
        <v>스토리위즈</v>
      </c>
      <c r="I4117" t="str">
        <f t="shared" si="541"/>
        <v>나 혼자 스킬융합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/>
      <c r="AQ4117">
        <v>0</v>
      </c>
      <c r="AR4117">
        <v>0</v>
      </c>
      <c r="AT4117">
        <v>0</v>
      </c>
      <c r="AU4117">
        <v>0</v>
      </c>
      <c r="AW4117">
        <v>0</v>
      </c>
      <c r="AX4117">
        <v>0</v>
      </c>
      <c r="AY4117">
        <v>70</v>
      </c>
      <c r="BC4117" t="str">
        <f t="shared" si="542"/>
        <v>9791137602069</v>
      </c>
      <c r="BE4117" t="str">
        <f t="shared" si="543"/>
        <v>판타지 웹소설 &gt; 현대 판타지</v>
      </c>
    </row>
    <row r="4118" spans="1:57" x14ac:dyDescent="0.3">
      <c r="A4118">
        <v>2313018365</v>
      </c>
      <c r="B4118">
        <v>2313018557</v>
      </c>
      <c r="C4118" t="str">
        <f>T("나 혼자 스킬융합 193화")</f>
        <v>나 혼자 스킬융합 193화</v>
      </c>
      <c r="D4118" t="str">
        <f>T("193")</f>
        <v>193</v>
      </c>
      <c r="E4118" t="str">
        <f t="shared" si="540"/>
        <v>붕어빵</v>
      </c>
      <c r="H4118" t="str">
        <f t="shared" si="544"/>
        <v>스토리위즈</v>
      </c>
      <c r="I4118" t="str">
        <f t="shared" si="541"/>
        <v>나 혼자 스킬융합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/>
      <c r="AQ4118">
        <v>0</v>
      </c>
      <c r="AR4118">
        <v>0</v>
      </c>
      <c r="AT4118">
        <v>0</v>
      </c>
      <c r="AU4118">
        <v>0</v>
      </c>
      <c r="AW4118">
        <v>0</v>
      </c>
      <c r="AX4118">
        <v>0</v>
      </c>
      <c r="AY4118">
        <v>70</v>
      </c>
      <c r="BC4118" t="str">
        <f t="shared" si="542"/>
        <v>9791137602069</v>
      </c>
      <c r="BE4118" t="str">
        <f t="shared" si="543"/>
        <v>판타지 웹소설 &gt; 현대 판타지</v>
      </c>
    </row>
    <row r="4119" spans="1:57" x14ac:dyDescent="0.3">
      <c r="A4119">
        <v>2313018365</v>
      </c>
      <c r="B4119">
        <v>2313018558</v>
      </c>
      <c r="C4119" t="str">
        <f>T("나 혼자 스킬융합 194화")</f>
        <v>나 혼자 스킬융합 194화</v>
      </c>
      <c r="D4119" t="str">
        <f>T("194")</f>
        <v>194</v>
      </c>
      <c r="E4119" t="str">
        <f t="shared" si="540"/>
        <v>붕어빵</v>
      </c>
      <c r="H4119" t="str">
        <f t="shared" si="544"/>
        <v>스토리위즈</v>
      </c>
      <c r="I4119" t="str">
        <f t="shared" si="541"/>
        <v>나 혼자 스킬융합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/>
      <c r="AQ4119">
        <v>0</v>
      </c>
      <c r="AR4119">
        <v>0</v>
      </c>
      <c r="AT4119">
        <v>0</v>
      </c>
      <c r="AU4119">
        <v>0</v>
      </c>
      <c r="AW4119">
        <v>0</v>
      </c>
      <c r="AX4119">
        <v>0</v>
      </c>
      <c r="AY4119">
        <v>70</v>
      </c>
      <c r="BC4119" t="str">
        <f t="shared" si="542"/>
        <v>9791137602069</v>
      </c>
      <c r="BE4119" t="str">
        <f t="shared" si="543"/>
        <v>판타지 웹소설 &gt; 현대 판타지</v>
      </c>
    </row>
    <row r="4120" spans="1:57" x14ac:dyDescent="0.3">
      <c r="A4120">
        <v>2313018365</v>
      </c>
      <c r="B4120">
        <v>2313018559</v>
      </c>
      <c r="C4120" t="str">
        <f>T("나 혼자 스킬융합 195화")</f>
        <v>나 혼자 스킬융합 195화</v>
      </c>
      <c r="D4120" t="str">
        <f>T("195")</f>
        <v>195</v>
      </c>
      <c r="E4120" t="str">
        <f t="shared" ref="E4120:E4125" si="545">T("붕어빵")</f>
        <v>붕어빵</v>
      </c>
      <c r="H4120" t="str">
        <f t="shared" si="544"/>
        <v>스토리위즈</v>
      </c>
      <c r="I4120" t="str">
        <f t="shared" ref="I4120:I4125" si="546">T("나 혼자 스킬융합")</f>
        <v>나 혼자 스킬융합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/>
      <c r="AQ4120">
        <v>0</v>
      </c>
      <c r="AR4120">
        <v>0</v>
      </c>
      <c r="AT4120">
        <v>0</v>
      </c>
      <c r="AU4120">
        <v>0</v>
      </c>
      <c r="AW4120">
        <v>0</v>
      </c>
      <c r="AX4120">
        <v>0</v>
      </c>
      <c r="AY4120">
        <v>70</v>
      </c>
      <c r="BC4120" t="str">
        <f t="shared" ref="BC4120:BC4125" si="547">T("9791137602069")</f>
        <v>9791137602069</v>
      </c>
      <c r="BE4120" t="str">
        <f t="shared" ref="BE4120:BE4183" si="548">T("판타지 웹소설 &gt; 현대 판타지")</f>
        <v>판타지 웹소설 &gt; 현대 판타지</v>
      </c>
    </row>
    <row r="4121" spans="1:57" x14ac:dyDescent="0.3">
      <c r="A4121">
        <v>2313018365</v>
      </c>
      <c r="B4121">
        <v>2313018560</v>
      </c>
      <c r="C4121" t="str">
        <f>T("나 혼자 스킬융합 196화")</f>
        <v>나 혼자 스킬융합 196화</v>
      </c>
      <c r="D4121" t="str">
        <f>T("196")</f>
        <v>196</v>
      </c>
      <c r="E4121" t="str">
        <f t="shared" si="545"/>
        <v>붕어빵</v>
      </c>
      <c r="H4121" t="str">
        <f t="shared" si="544"/>
        <v>스토리위즈</v>
      </c>
      <c r="I4121" t="str">
        <f t="shared" si="546"/>
        <v>나 혼자 스킬융합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/>
      <c r="AQ4121">
        <v>0</v>
      </c>
      <c r="AR4121">
        <v>0</v>
      </c>
      <c r="AT4121">
        <v>0</v>
      </c>
      <c r="AU4121">
        <v>0</v>
      </c>
      <c r="AW4121">
        <v>0</v>
      </c>
      <c r="AX4121">
        <v>0</v>
      </c>
      <c r="AY4121">
        <v>70</v>
      </c>
      <c r="BC4121" t="str">
        <f t="shared" si="547"/>
        <v>9791137602069</v>
      </c>
      <c r="BE4121" t="str">
        <f t="shared" si="548"/>
        <v>판타지 웹소설 &gt; 현대 판타지</v>
      </c>
    </row>
    <row r="4122" spans="1:57" x14ac:dyDescent="0.3">
      <c r="A4122">
        <v>2313018365</v>
      </c>
      <c r="B4122">
        <v>2313018561</v>
      </c>
      <c r="C4122" t="str">
        <f>T("나 혼자 스킬융합 197화")</f>
        <v>나 혼자 스킬융합 197화</v>
      </c>
      <c r="D4122" t="str">
        <f>T("197")</f>
        <v>197</v>
      </c>
      <c r="E4122" t="str">
        <f t="shared" si="545"/>
        <v>붕어빵</v>
      </c>
      <c r="H4122" t="str">
        <f t="shared" si="544"/>
        <v>스토리위즈</v>
      </c>
      <c r="I4122" t="str">
        <f t="shared" si="546"/>
        <v>나 혼자 스킬융합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/>
      <c r="AQ4122">
        <v>0</v>
      </c>
      <c r="AR4122">
        <v>0</v>
      </c>
      <c r="AT4122">
        <v>0</v>
      </c>
      <c r="AU4122">
        <v>0</v>
      </c>
      <c r="AW4122">
        <v>0</v>
      </c>
      <c r="AX4122">
        <v>0</v>
      </c>
      <c r="AY4122">
        <v>70</v>
      </c>
      <c r="BC4122" t="str">
        <f t="shared" si="547"/>
        <v>9791137602069</v>
      </c>
      <c r="BE4122" t="str">
        <f t="shared" si="548"/>
        <v>판타지 웹소설 &gt; 현대 판타지</v>
      </c>
    </row>
    <row r="4123" spans="1:57" x14ac:dyDescent="0.3">
      <c r="A4123">
        <v>2313018365</v>
      </c>
      <c r="B4123">
        <v>2313018562</v>
      </c>
      <c r="C4123" t="str">
        <f>T("나 혼자 스킬융합 198화")</f>
        <v>나 혼자 스킬융합 198화</v>
      </c>
      <c r="D4123" t="str">
        <f>T("198")</f>
        <v>198</v>
      </c>
      <c r="E4123" t="str">
        <f t="shared" si="545"/>
        <v>붕어빵</v>
      </c>
      <c r="H4123" t="str">
        <f t="shared" si="544"/>
        <v>스토리위즈</v>
      </c>
      <c r="I4123" t="str">
        <f t="shared" si="546"/>
        <v>나 혼자 스킬융합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/>
      <c r="AQ4123">
        <v>0</v>
      </c>
      <c r="AR4123">
        <v>0</v>
      </c>
      <c r="AT4123">
        <v>0</v>
      </c>
      <c r="AU4123">
        <v>0</v>
      </c>
      <c r="AW4123">
        <v>0</v>
      </c>
      <c r="AX4123">
        <v>0</v>
      </c>
      <c r="AY4123">
        <v>70</v>
      </c>
      <c r="BC4123" t="str">
        <f t="shared" si="547"/>
        <v>9791137602069</v>
      </c>
      <c r="BE4123" t="str">
        <f t="shared" si="548"/>
        <v>판타지 웹소설 &gt; 현대 판타지</v>
      </c>
    </row>
    <row r="4124" spans="1:57" x14ac:dyDescent="0.3">
      <c r="A4124">
        <v>2313018365</v>
      </c>
      <c r="B4124">
        <v>2313018563</v>
      </c>
      <c r="C4124" t="str">
        <f>T("나 혼자 스킬융합 199화")</f>
        <v>나 혼자 스킬융합 199화</v>
      </c>
      <c r="D4124" t="str">
        <f>T("199")</f>
        <v>199</v>
      </c>
      <c r="E4124" t="str">
        <f t="shared" si="545"/>
        <v>붕어빵</v>
      </c>
      <c r="H4124" t="str">
        <f t="shared" si="544"/>
        <v>스토리위즈</v>
      </c>
      <c r="I4124" t="str">
        <f t="shared" si="546"/>
        <v>나 혼자 스킬융합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/>
      <c r="AQ4124">
        <v>0</v>
      </c>
      <c r="AR4124">
        <v>0</v>
      </c>
      <c r="AT4124">
        <v>0</v>
      </c>
      <c r="AU4124">
        <v>0</v>
      </c>
      <c r="AW4124">
        <v>0</v>
      </c>
      <c r="AX4124">
        <v>0</v>
      </c>
      <c r="AY4124">
        <v>70</v>
      </c>
      <c r="BC4124" t="str">
        <f t="shared" si="547"/>
        <v>9791137602069</v>
      </c>
      <c r="BE4124" t="str">
        <f t="shared" si="548"/>
        <v>판타지 웹소설 &gt; 현대 판타지</v>
      </c>
    </row>
    <row r="4125" spans="1:57" x14ac:dyDescent="0.3">
      <c r="A4125">
        <v>2313018365</v>
      </c>
      <c r="B4125">
        <v>2313018564</v>
      </c>
      <c r="C4125" t="str">
        <f>T("나 혼자 스킬융합 200화 (완결)")</f>
        <v>나 혼자 스킬융합 200화 (완결)</v>
      </c>
      <c r="D4125" t="str">
        <f>T("200")</f>
        <v>200</v>
      </c>
      <c r="E4125" t="str">
        <f t="shared" si="545"/>
        <v>붕어빵</v>
      </c>
      <c r="H4125" t="str">
        <f t="shared" si="544"/>
        <v>스토리위즈</v>
      </c>
      <c r="I4125" t="str">
        <f t="shared" si="546"/>
        <v>나 혼자 스킬융합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/>
      <c r="AQ4125">
        <v>0</v>
      </c>
      <c r="AR4125">
        <v>0</v>
      </c>
      <c r="AT4125">
        <v>0</v>
      </c>
      <c r="AU4125">
        <v>0</v>
      </c>
      <c r="AW4125">
        <v>0</v>
      </c>
      <c r="AX4125">
        <v>0</v>
      </c>
      <c r="AY4125">
        <v>70</v>
      </c>
      <c r="BC4125" t="str">
        <f t="shared" si="547"/>
        <v>9791137602069</v>
      </c>
      <c r="BE4125" t="str">
        <f t="shared" si="548"/>
        <v>판타지 웹소설 &gt; 현대 판타지</v>
      </c>
    </row>
    <row r="4126" spans="1:57" x14ac:dyDescent="0.3">
      <c r="A4126">
        <v>2313018633</v>
      </c>
      <c r="B4126">
        <v>2313018658</v>
      </c>
      <c r="C4126" t="str">
        <f>T("천재 배우의 다이어리 26화")</f>
        <v>천재 배우의 다이어리 26화</v>
      </c>
      <c r="D4126" t="str">
        <f>T("26")</f>
        <v>26</v>
      </c>
      <c r="E4126" t="str">
        <f t="shared" ref="E4126:E4189" si="549">T("mollen")</f>
        <v>mollen</v>
      </c>
      <c r="H4126" t="str">
        <f t="shared" si="544"/>
        <v>스토리위즈</v>
      </c>
      <c r="I4126" t="str">
        <f t="shared" ref="I4126:I4189" si="550">T("천재 배우의 다이어리")</f>
        <v>천재 배우의 다이어리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/>
      <c r="AQ4126">
        <v>0</v>
      </c>
      <c r="AR4126">
        <v>0</v>
      </c>
      <c r="AT4126">
        <v>0</v>
      </c>
      <c r="AU4126">
        <v>0</v>
      </c>
      <c r="AW4126">
        <v>0</v>
      </c>
      <c r="AX4126">
        <v>0</v>
      </c>
      <c r="AY4126">
        <v>70</v>
      </c>
      <c r="BC4126" t="str">
        <f t="shared" ref="BC4126:BC4189" si="551">T("9791137600683")</f>
        <v>9791137600683</v>
      </c>
      <c r="BE4126" t="str">
        <f t="shared" si="548"/>
        <v>판타지 웹소설 &gt; 현대 판타지</v>
      </c>
    </row>
    <row r="4127" spans="1:57" x14ac:dyDescent="0.3">
      <c r="A4127">
        <v>2313018633</v>
      </c>
      <c r="B4127">
        <v>2313018659</v>
      </c>
      <c r="C4127" t="str">
        <f>T("천재 배우의 다이어리 27화")</f>
        <v>천재 배우의 다이어리 27화</v>
      </c>
      <c r="D4127" t="str">
        <f>T("27")</f>
        <v>27</v>
      </c>
      <c r="E4127" t="str">
        <f t="shared" si="549"/>
        <v>mollen</v>
      </c>
      <c r="H4127" t="str">
        <f t="shared" si="544"/>
        <v>스토리위즈</v>
      </c>
      <c r="I4127" t="str">
        <f t="shared" si="550"/>
        <v>천재 배우의 다이어리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/>
      <c r="AQ4127">
        <v>0</v>
      </c>
      <c r="AR4127">
        <v>0</v>
      </c>
      <c r="AT4127">
        <v>0</v>
      </c>
      <c r="AU4127">
        <v>0</v>
      </c>
      <c r="AW4127">
        <v>0</v>
      </c>
      <c r="AX4127">
        <v>0</v>
      </c>
      <c r="AY4127">
        <v>70</v>
      </c>
      <c r="BC4127" t="str">
        <f t="shared" si="551"/>
        <v>9791137600683</v>
      </c>
      <c r="BE4127" t="str">
        <f t="shared" si="548"/>
        <v>판타지 웹소설 &gt; 현대 판타지</v>
      </c>
    </row>
    <row r="4128" spans="1:57" x14ac:dyDescent="0.3">
      <c r="A4128">
        <v>2313018633</v>
      </c>
      <c r="B4128">
        <v>2313018673</v>
      </c>
      <c r="C4128" t="str">
        <f>T("천재 배우의 다이어리 41화")</f>
        <v>천재 배우의 다이어리 41화</v>
      </c>
      <c r="D4128" t="str">
        <f>T("41")</f>
        <v>41</v>
      </c>
      <c r="E4128" t="str">
        <f t="shared" si="549"/>
        <v>mollen</v>
      </c>
      <c r="H4128" t="str">
        <f t="shared" si="544"/>
        <v>스토리위즈</v>
      </c>
      <c r="I4128" t="str">
        <f t="shared" si="550"/>
        <v>천재 배우의 다이어리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/>
      <c r="AQ4128">
        <v>0</v>
      </c>
      <c r="AR4128">
        <v>0</v>
      </c>
      <c r="AT4128">
        <v>0</v>
      </c>
      <c r="AU4128">
        <v>0</v>
      </c>
      <c r="AW4128">
        <v>0</v>
      </c>
      <c r="AX4128">
        <v>0</v>
      </c>
      <c r="AY4128">
        <v>70</v>
      </c>
      <c r="BC4128" t="str">
        <f t="shared" si="551"/>
        <v>9791137600683</v>
      </c>
      <c r="BE4128" t="str">
        <f t="shared" si="548"/>
        <v>판타지 웹소설 &gt; 현대 판타지</v>
      </c>
    </row>
    <row r="4129" spans="1:57" x14ac:dyDescent="0.3">
      <c r="A4129">
        <v>2313018633</v>
      </c>
      <c r="B4129">
        <v>2313018758</v>
      </c>
      <c r="C4129" t="str">
        <f>T("천재 배우의 다이어리 126화")</f>
        <v>천재 배우의 다이어리 126화</v>
      </c>
      <c r="D4129" t="str">
        <f>T("126")</f>
        <v>126</v>
      </c>
      <c r="E4129" t="str">
        <f t="shared" si="549"/>
        <v>mollen</v>
      </c>
      <c r="H4129" t="str">
        <f t="shared" si="544"/>
        <v>스토리위즈</v>
      </c>
      <c r="I4129" t="str">
        <f t="shared" si="550"/>
        <v>천재 배우의 다이어리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/>
      <c r="AQ4129">
        <v>0</v>
      </c>
      <c r="AR4129">
        <v>0</v>
      </c>
      <c r="AT4129">
        <v>0</v>
      </c>
      <c r="AU4129">
        <v>0</v>
      </c>
      <c r="AW4129">
        <v>0</v>
      </c>
      <c r="AX4129">
        <v>0</v>
      </c>
      <c r="AY4129">
        <v>70</v>
      </c>
      <c r="BC4129" t="str">
        <f t="shared" si="551"/>
        <v>9791137600683</v>
      </c>
      <c r="BE4129" t="str">
        <f t="shared" si="548"/>
        <v>판타지 웹소설 &gt; 현대 판타지</v>
      </c>
    </row>
    <row r="4130" spans="1:57" x14ac:dyDescent="0.3">
      <c r="A4130">
        <v>2313018633</v>
      </c>
      <c r="B4130">
        <v>2313018759</v>
      </c>
      <c r="C4130" t="str">
        <f>T("천재 배우의 다이어리 127화")</f>
        <v>천재 배우의 다이어리 127화</v>
      </c>
      <c r="D4130" t="str">
        <f>T("127")</f>
        <v>127</v>
      </c>
      <c r="E4130" t="str">
        <f t="shared" si="549"/>
        <v>mollen</v>
      </c>
      <c r="H4130" t="str">
        <f t="shared" si="544"/>
        <v>스토리위즈</v>
      </c>
      <c r="I4130" t="str">
        <f t="shared" si="550"/>
        <v>천재 배우의 다이어리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/>
      <c r="AQ4130">
        <v>0</v>
      </c>
      <c r="AR4130">
        <v>0</v>
      </c>
      <c r="AT4130">
        <v>0</v>
      </c>
      <c r="AU4130">
        <v>0</v>
      </c>
      <c r="AW4130">
        <v>0</v>
      </c>
      <c r="AX4130">
        <v>0</v>
      </c>
      <c r="AY4130">
        <v>70</v>
      </c>
      <c r="BC4130" t="str">
        <f t="shared" si="551"/>
        <v>9791137600683</v>
      </c>
      <c r="BE4130" t="str">
        <f t="shared" si="548"/>
        <v>판타지 웹소설 &gt; 현대 판타지</v>
      </c>
    </row>
    <row r="4131" spans="1:57" x14ac:dyDescent="0.3">
      <c r="A4131">
        <v>2313018633</v>
      </c>
      <c r="B4131">
        <v>2313018760</v>
      </c>
      <c r="C4131" t="str">
        <f>T("천재 배우의 다이어리 128화")</f>
        <v>천재 배우의 다이어리 128화</v>
      </c>
      <c r="D4131" t="str">
        <f>T("128")</f>
        <v>128</v>
      </c>
      <c r="E4131" t="str">
        <f t="shared" si="549"/>
        <v>mollen</v>
      </c>
      <c r="H4131" t="str">
        <f t="shared" si="544"/>
        <v>스토리위즈</v>
      </c>
      <c r="I4131" t="str">
        <f t="shared" si="550"/>
        <v>천재 배우의 다이어리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/>
      <c r="AQ4131">
        <v>0</v>
      </c>
      <c r="AR4131">
        <v>0</v>
      </c>
      <c r="AT4131">
        <v>0</v>
      </c>
      <c r="AU4131">
        <v>0</v>
      </c>
      <c r="AW4131">
        <v>0</v>
      </c>
      <c r="AX4131">
        <v>0</v>
      </c>
      <c r="AY4131">
        <v>70</v>
      </c>
      <c r="BC4131" t="str">
        <f t="shared" si="551"/>
        <v>9791137600683</v>
      </c>
      <c r="BE4131" t="str">
        <f t="shared" si="548"/>
        <v>판타지 웹소설 &gt; 현대 판타지</v>
      </c>
    </row>
    <row r="4132" spans="1:57" x14ac:dyDescent="0.3">
      <c r="A4132">
        <v>2313018633</v>
      </c>
      <c r="B4132">
        <v>2313018790</v>
      </c>
      <c r="C4132" t="str">
        <f>T("천재 배우의 다이어리 158화")</f>
        <v>천재 배우의 다이어리 158화</v>
      </c>
      <c r="D4132" t="str">
        <f>T("158")</f>
        <v>158</v>
      </c>
      <c r="E4132" t="str">
        <f t="shared" si="549"/>
        <v>mollen</v>
      </c>
      <c r="H4132" t="str">
        <f t="shared" si="544"/>
        <v>스토리위즈</v>
      </c>
      <c r="I4132" t="str">
        <f t="shared" si="550"/>
        <v>천재 배우의 다이어리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/>
      <c r="AQ4132">
        <v>0</v>
      </c>
      <c r="AR4132">
        <v>0</v>
      </c>
      <c r="AT4132">
        <v>0</v>
      </c>
      <c r="AU4132">
        <v>0</v>
      </c>
      <c r="AW4132">
        <v>0</v>
      </c>
      <c r="AX4132">
        <v>0</v>
      </c>
      <c r="AY4132">
        <v>70</v>
      </c>
      <c r="BC4132" t="str">
        <f t="shared" si="551"/>
        <v>9791137600683</v>
      </c>
      <c r="BE4132" t="str">
        <f t="shared" si="548"/>
        <v>판타지 웹소설 &gt; 현대 판타지</v>
      </c>
    </row>
    <row r="4133" spans="1:57" x14ac:dyDescent="0.3">
      <c r="A4133">
        <v>2313018633</v>
      </c>
      <c r="B4133">
        <v>2313018857</v>
      </c>
      <c r="C4133" t="str">
        <f>T("천재 배우의 다이어리 225화")</f>
        <v>천재 배우의 다이어리 225화</v>
      </c>
      <c r="D4133" t="str">
        <f>T("225")</f>
        <v>225</v>
      </c>
      <c r="E4133" t="str">
        <f t="shared" si="549"/>
        <v>mollen</v>
      </c>
      <c r="H4133" t="str">
        <f t="shared" si="544"/>
        <v>스토리위즈</v>
      </c>
      <c r="I4133" t="str">
        <f t="shared" si="550"/>
        <v>천재 배우의 다이어리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/>
      <c r="AQ4133">
        <v>0</v>
      </c>
      <c r="AR4133">
        <v>0</v>
      </c>
      <c r="AT4133">
        <v>0</v>
      </c>
      <c r="AU4133">
        <v>0</v>
      </c>
      <c r="AW4133">
        <v>0</v>
      </c>
      <c r="AX4133">
        <v>0</v>
      </c>
      <c r="AY4133">
        <v>70</v>
      </c>
      <c r="BC4133" t="str">
        <f t="shared" si="551"/>
        <v>9791137600683</v>
      </c>
      <c r="BE4133" t="str">
        <f t="shared" si="548"/>
        <v>판타지 웹소설 &gt; 현대 판타지</v>
      </c>
    </row>
    <row r="4134" spans="1:57" x14ac:dyDescent="0.3">
      <c r="A4134">
        <v>2313018633</v>
      </c>
      <c r="B4134">
        <v>2313018858</v>
      </c>
      <c r="C4134" t="str">
        <f>T("천재 배우의 다이어리 226화")</f>
        <v>천재 배우의 다이어리 226화</v>
      </c>
      <c r="D4134" t="str">
        <f>T("226")</f>
        <v>226</v>
      </c>
      <c r="E4134" t="str">
        <f t="shared" si="549"/>
        <v>mollen</v>
      </c>
      <c r="H4134" t="str">
        <f t="shared" si="544"/>
        <v>스토리위즈</v>
      </c>
      <c r="I4134" t="str">
        <f t="shared" si="550"/>
        <v>천재 배우의 다이어리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/>
      <c r="AQ4134">
        <v>0</v>
      </c>
      <c r="AR4134">
        <v>0</v>
      </c>
      <c r="AT4134">
        <v>0</v>
      </c>
      <c r="AU4134">
        <v>0</v>
      </c>
      <c r="AW4134">
        <v>0</v>
      </c>
      <c r="AX4134">
        <v>0</v>
      </c>
      <c r="AY4134">
        <v>70</v>
      </c>
      <c r="BC4134" t="str">
        <f t="shared" si="551"/>
        <v>9791137600683</v>
      </c>
      <c r="BE4134" t="str">
        <f t="shared" si="548"/>
        <v>판타지 웹소설 &gt; 현대 판타지</v>
      </c>
    </row>
    <row r="4135" spans="1:57" x14ac:dyDescent="0.3">
      <c r="A4135">
        <v>2313018633</v>
      </c>
      <c r="B4135">
        <v>2313018859</v>
      </c>
      <c r="C4135" t="str">
        <f>T("천재 배우의 다이어리 227화")</f>
        <v>천재 배우의 다이어리 227화</v>
      </c>
      <c r="D4135" t="str">
        <f>T("227")</f>
        <v>227</v>
      </c>
      <c r="E4135" t="str">
        <f t="shared" si="549"/>
        <v>mollen</v>
      </c>
      <c r="H4135" t="str">
        <f t="shared" si="544"/>
        <v>스토리위즈</v>
      </c>
      <c r="I4135" t="str">
        <f t="shared" si="550"/>
        <v>천재 배우의 다이어리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/>
      <c r="AQ4135">
        <v>0</v>
      </c>
      <c r="AR4135">
        <v>0</v>
      </c>
      <c r="AT4135">
        <v>0</v>
      </c>
      <c r="AU4135">
        <v>0</v>
      </c>
      <c r="AW4135">
        <v>0</v>
      </c>
      <c r="AX4135">
        <v>0</v>
      </c>
      <c r="AY4135">
        <v>70</v>
      </c>
      <c r="BC4135" t="str">
        <f t="shared" si="551"/>
        <v>9791137600683</v>
      </c>
      <c r="BE4135" t="str">
        <f t="shared" si="548"/>
        <v>판타지 웹소설 &gt; 현대 판타지</v>
      </c>
    </row>
    <row r="4136" spans="1:57" x14ac:dyDescent="0.3">
      <c r="A4136">
        <v>2313018633</v>
      </c>
      <c r="B4136">
        <v>2313018860</v>
      </c>
      <c r="C4136" t="str">
        <f>T("천재 배우의 다이어리 228화")</f>
        <v>천재 배우의 다이어리 228화</v>
      </c>
      <c r="D4136" t="str">
        <f>T("228")</f>
        <v>228</v>
      </c>
      <c r="E4136" t="str">
        <f t="shared" si="549"/>
        <v>mollen</v>
      </c>
      <c r="H4136" t="str">
        <f t="shared" si="544"/>
        <v>스토리위즈</v>
      </c>
      <c r="I4136" t="str">
        <f t="shared" si="550"/>
        <v>천재 배우의 다이어리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/>
      <c r="AQ4136">
        <v>0</v>
      </c>
      <c r="AR4136">
        <v>0</v>
      </c>
      <c r="AT4136">
        <v>0</v>
      </c>
      <c r="AU4136">
        <v>0</v>
      </c>
      <c r="AW4136">
        <v>0</v>
      </c>
      <c r="AX4136">
        <v>0</v>
      </c>
      <c r="AY4136">
        <v>70</v>
      </c>
      <c r="BC4136" t="str">
        <f t="shared" si="551"/>
        <v>9791137600683</v>
      </c>
      <c r="BE4136" t="str">
        <f t="shared" si="548"/>
        <v>판타지 웹소설 &gt; 현대 판타지</v>
      </c>
    </row>
    <row r="4137" spans="1:57" x14ac:dyDescent="0.3">
      <c r="A4137">
        <v>2313018633</v>
      </c>
      <c r="B4137">
        <v>2313018861</v>
      </c>
      <c r="C4137" t="str">
        <f>T("천재 배우의 다이어리 229화")</f>
        <v>천재 배우의 다이어리 229화</v>
      </c>
      <c r="D4137" t="str">
        <f>T("229")</f>
        <v>229</v>
      </c>
      <c r="E4137" t="str">
        <f t="shared" si="549"/>
        <v>mollen</v>
      </c>
      <c r="H4137" t="str">
        <f t="shared" si="544"/>
        <v>스토리위즈</v>
      </c>
      <c r="I4137" t="str">
        <f t="shared" si="550"/>
        <v>천재 배우의 다이어리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/>
      <c r="AQ4137">
        <v>0</v>
      </c>
      <c r="AR4137">
        <v>0</v>
      </c>
      <c r="AT4137">
        <v>0</v>
      </c>
      <c r="AU4137">
        <v>0</v>
      </c>
      <c r="AW4137">
        <v>0</v>
      </c>
      <c r="AX4137">
        <v>0</v>
      </c>
      <c r="AY4137">
        <v>70</v>
      </c>
      <c r="BC4137" t="str">
        <f t="shared" si="551"/>
        <v>9791137600683</v>
      </c>
      <c r="BE4137" t="str">
        <f t="shared" si="548"/>
        <v>판타지 웹소설 &gt; 현대 판타지</v>
      </c>
    </row>
    <row r="4138" spans="1:57" x14ac:dyDescent="0.3">
      <c r="A4138">
        <v>2313018633</v>
      </c>
      <c r="B4138">
        <v>2313018862</v>
      </c>
      <c r="C4138" t="str">
        <f>T("천재 배우의 다이어리 230화")</f>
        <v>천재 배우의 다이어리 230화</v>
      </c>
      <c r="D4138" t="str">
        <f>T("230")</f>
        <v>230</v>
      </c>
      <c r="E4138" t="str">
        <f t="shared" si="549"/>
        <v>mollen</v>
      </c>
      <c r="H4138" t="str">
        <f t="shared" si="544"/>
        <v>스토리위즈</v>
      </c>
      <c r="I4138" t="str">
        <f t="shared" si="550"/>
        <v>천재 배우의 다이어리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/>
      <c r="AQ4138">
        <v>0</v>
      </c>
      <c r="AR4138">
        <v>0</v>
      </c>
      <c r="AT4138">
        <v>0</v>
      </c>
      <c r="AU4138">
        <v>0</v>
      </c>
      <c r="AW4138">
        <v>0</v>
      </c>
      <c r="AX4138">
        <v>0</v>
      </c>
      <c r="AY4138">
        <v>70</v>
      </c>
      <c r="BC4138" t="str">
        <f t="shared" si="551"/>
        <v>9791137600683</v>
      </c>
      <c r="BE4138" t="str">
        <f t="shared" si="548"/>
        <v>판타지 웹소설 &gt; 현대 판타지</v>
      </c>
    </row>
    <row r="4139" spans="1:57" x14ac:dyDescent="0.3">
      <c r="A4139">
        <v>2313018633</v>
      </c>
      <c r="B4139">
        <v>2313018863</v>
      </c>
      <c r="C4139" t="str">
        <f>T("천재 배우의 다이어리 231화")</f>
        <v>천재 배우의 다이어리 231화</v>
      </c>
      <c r="D4139" t="str">
        <f>T("231")</f>
        <v>231</v>
      </c>
      <c r="E4139" t="str">
        <f t="shared" si="549"/>
        <v>mollen</v>
      </c>
      <c r="H4139" t="str">
        <f t="shared" si="544"/>
        <v>스토리위즈</v>
      </c>
      <c r="I4139" t="str">
        <f t="shared" si="550"/>
        <v>천재 배우의 다이어리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/>
      <c r="AQ4139">
        <v>0</v>
      </c>
      <c r="AR4139">
        <v>0</v>
      </c>
      <c r="AT4139">
        <v>0</v>
      </c>
      <c r="AU4139">
        <v>0</v>
      </c>
      <c r="AW4139">
        <v>0</v>
      </c>
      <c r="AX4139">
        <v>0</v>
      </c>
      <c r="AY4139">
        <v>70</v>
      </c>
      <c r="BC4139" t="str">
        <f t="shared" si="551"/>
        <v>9791137600683</v>
      </c>
      <c r="BE4139" t="str">
        <f t="shared" si="548"/>
        <v>판타지 웹소설 &gt; 현대 판타지</v>
      </c>
    </row>
    <row r="4140" spans="1:57" x14ac:dyDescent="0.3">
      <c r="A4140">
        <v>2313018633</v>
      </c>
      <c r="B4140">
        <v>2313018864</v>
      </c>
      <c r="C4140" t="str">
        <f>T("천재 배우의 다이어리 232화")</f>
        <v>천재 배우의 다이어리 232화</v>
      </c>
      <c r="D4140" t="str">
        <f>T("232")</f>
        <v>232</v>
      </c>
      <c r="E4140" t="str">
        <f t="shared" si="549"/>
        <v>mollen</v>
      </c>
      <c r="H4140" t="str">
        <f t="shared" si="544"/>
        <v>스토리위즈</v>
      </c>
      <c r="I4140" t="str">
        <f t="shared" si="550"/>
        <v>천재 배우의 다이어리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/>
      <c r="AQ4140">
        <v>0</v>
      </c>
      <c r="AR4140">
        <v>0</v>
      </c>
      <c r="AT4140">
        <v>0</v>
      </c>
      <c r="AU4140">
        <v>0</v>
      </c>
      <c r="AW4140">
        <v>0</v>
      </c>
      <c r="AX4140">
        <v>0</v>
      </c>
      <c r="AY4140">
        <v>70</v>
      </c>
      <c r="BC4140" t="str">
        <f t="shared" si="551"/>
        <v>9791137600683</v>
      </c>
      <c r="BE4140" t="str">
        <f t="shared" si="548"/>
        <v>판타지 웹소설 &gt; 현대 판타지</v>
      </c>
    </row>
    <row r="4141" spans="1:57" x14ac:dyDescent="0.3">
      <c r="A4141">
        <v>2313018633</v>
      </c>
      <c r="B4141">
        <v>2313018865</v>
      </c>
      <c r="C4141" t="str">
        <f>T("천재 배우의 다이어리 233화")</f>
        <v>천재 배우의 다이어리 233화</v>
      </c>
      <c r="D4141" t="str">
        <f>T("233")</f>
        <v>233</v>
      </c>
      <c r="E4141" t="str">
        <f t="shared" si="549"/>
        <v>mollen</v>
      </c>
      <c r="H4141" t="str">
        <f t="shared" si="544"/>
        <v>스토리위즈</v>
      </c>
      <c r="I4141" t="str">
        <f t="shared" si="550"/>
        <v>천재 배우의 다이어리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/>
      <c r="AQ4141">
        <v>0</v>
      </c>
      <c r="AR4141">
        <v>0</v>
      </c>
      <c r="AT4141">
        <v>0</v>
      </c>
      <c r="AU4141">
        <v>0</v>
      </c>
      <c r="AW4141">
        <v>0</v>
      </c>
      <c r="AX4141">
        <v>0</v>
      </c>
      <c r="AY4141">
        <v>70</v>
      </c>
      <c r="BC4141" t="str">
        <f t="shared" si="551"/>
        <v>9791137600683</v>
      </c>
      <c r="BE4141" t="str">
        <f t="shared" si="548"/>
        <v>판타지 웹소설 &gt; 현대 판타지</v>
      </c>
    </row>
    <row r="4142" spans="1:57" x14ac:dyDescent="0.3">
      <c r="A4142">
        <v>2313018633</v>
      </c>
      <c r="B4142">
        <v>2313018866</v>
      </c>
      <c r="C4142" t="str">
        <f>T("천재 배우의 다이어리 234화")</f>
        <v>천재 배우의 다이어리 234화</v>
      </c>
      <c r="D4142" t="str">
        <f>T("234")</f>
        <v>234</v>
      </c>
      <c r="E4142" t="str">
        <f t="shared" si="549"/>
        <v>mollen</v>
      </c>
      <c r="H4142" t="str">
        <f t="shared" si="544"/>
        <v>스토리위즈</v>
      </c>
      <c r="I4142" t="str">
        <f t="shared" si="550"/>
        <v>천재 배우의 다이어리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/>
      <c r="AQ4142">
        <v>0</v>
      </c>
      <c r="AR4142">
        <v>0</v>
      </c>
      <c r="AT4142">
        <v>0</v>
      </c>
      <c r="AU4142">
        <v>0</v>
      </c>
      <c r="AW4142">
        <v>0</v>
      </c>
      <c r="AX4142">
        <v>0</v>
      </c>
      <c r="AY4142">
        <v>70</v>
      </c>
      <c r="BC4142" t="str">
        <f t="shared" si="551"/>
        <v>9791137600683</v>
      </c>
      <c r="BE4142" t="str">
        <f t="shared" si="548"/>
        <v>판타지 웹소설 &gt; 현대 판타지</v>
      </c>
    </row>
    <row r="4143" spans="1:57" x14ac:dyDescent="0.3">
      <c r="A4143">
        <v>2313018633</v>
      </c>
      <c r="B4143">
        <v>2313018867</v>
      </c>
      <c r="C4143" t="str">
        <f>T("천재 배우의 다이어리 235화")</f>
        <v>천재 배우의 다이어리 235화</v>
      </c>
      <c r="D4143" t="str">
        <f>T("235")</f>
        <v>235</v>
      </c>
      <c r="E4143" t="str">
        <f t="shared" si="549"/>
        <v>mollen</v>
      </c>
      <c r="H4143" t="str">
        <f t="shared" si="544"/>
        <v>스토리위즈</v>
      </c>
      <c r="I4143" t="str">
        <f t="shared" si="550"/>
        <v>천재 배우의 다이어리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/>
      <c r="AQ4143">
        <v>0</v>
      </c>
      <c r="AR4143">
        <v>0</v>
      </c>
      <c r="AT4143">
        <v>0</v>
      </c>
      <c r="AU4143">
        <v>0</v>
      </c>
      <c r="AW4143">
        <v>0</v>
      </c>
      <c r="AX4143">
        <v>0</v>
      </c>
      <c r="AY4143">
        <v>70</v>
      </c>
      <c r="BC4143" t="str">
        <f t="shared" si="551"/>
        <v>9791137600683</v>
      </c>
      <c r="BE4143" t="str">
        <f t="shared" si="548"/>
        <v>판타지 웹소설 &gt; 현대 판타지</v>
      </c>
    </row>
    <row r="4144" spans="1:57" x14ac:dyDescent="0.3">
      <c r="A4144">
        <v>2313018633</v>
      </c>
      <c r="B4144">
        <v>2313018868</v>
      </c>
      <c r="C4144" t="str">
        <f>T("천재 배우의 다이어리 236화")</f>
        <v>천재 배우의 다이어리 236화</v>
      </c>
      <c r="D4144" t="str">
        <f>T("236")</f>
        <v>236</v>
      </c>
      <c r="E4144" t="str">
        <f t="shared" si="549"/>
        <v>mollen</v>
      </c>
      <c r="H4144" t="str">
        <f t="shared" si="544"/>
        <v>스토리위즈</v>
      </c>
      <c r="I4144" t="str">
        <f t="shared" si="550"/>
        <v>천재 배우의 다이어리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/>
      <c r="AQ4144">
        <v>0</v>
      </c>
      <c r="AR4144">
        <v>0</v>
      </c>
      <c r="AT4144">
        <v>0</v>
      </c>
      <c r="AU4144">
        <v>0</v>
      </c>
      <c r="AW4144">
        <v>0</v>
      </c>
      <c r="AX4144">
        <v>0</v>
      </c>
      <c r="AY4144">
        <v>70</v>
      </c>
      <c r="BC4144" t="str">
        <f t="shared" si="551"/>
        <v>9791137600683</v>
      </c>
      <c r="BE4144" t="str">
        <f t="shared" si="548"/>
        <v>판타지 웹소설 &gt; 현대 판타지</v>
      </c>
    </row>
    <row r="4145" spans="1:57" x14ac:dyDescent="0.3">
      <c r="A4145">
        <v>2313018633</v>
      </c>
      <c r="B4145">
        <v>2313018869</v>
      </c>
      <c r="C4145" t="str">
        <f>T("천재 배우의 다이어리 237화")</f>
        <v>천재 배우의 다이어리 237화</v>
      </c>
      <c r="D4145" t="str">
        <f>T("237")</f>
        <v>237</v>
      </c>
      <c r="E4145" t="str">
        <f t="shared" si="549"/>
        <v>mollen</v>
      </c>
      <c r="H4145" t="str">
        <f t="shared" si="544"/>
        <v>스토리위즈</v>
      </c>
      <c r="I4145" t="str">
        <f t="shared" si="550"/>
        <v>천재 배우의 다이어리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/>
      <c r="AQ4145">
        <v>0</v>
      </c>
      <c r="AR4145">
        <v>0</v>
      </c>
      <c r="AT4145">
        <v>0</v>
      </c>
      <c r="AU4145">
        <v>0</v>
      </c>
      <c r="AW4145">
        <v>0</v>
      </c>
      <c r="AX4145">
        <v>0</v>
      </c>
      <c r="AY4145">
        <v>70</v>
      </c>
      <c r="BC4145" t="str">
        <f t="shared" si="551"/>
        <v>9791137600683</v>
      </c>
      <c r="BE4145" t="str">
        <f t="shared" si="548"/>
        <v>판타지 웹소설 &gt; 현대 판타지</v>
      </c>
    </row>
    <row r="4146" spans="1:57" x14ac:dyDescent="0.3">
      <c r="A4146">
        <v>2313018633</v>
      </c>
      <c r="B4146">
        <v>2313018870</v>
      </c>
      <c r="C4146" t="str">
        <f>T("천재 배우의 다이어리 238화")</f>
        <v>천재 배우의 다이어리 238화</v>
      </c>
      <c r="D4146" t="str">
        <f>T("238")</f>
        <v>238</v>
      </c>
      <c r="E4146" t="str">
        <f t="shared" si="549"/>
        <v>mollen</v>
      </c>
      <c r="H4146" t="str">
        <f t="shared" si="544"/>
        <v>스토리위즈</v>
      </c>
      <c r="I4146" t="str">
        <f t="shared" si="550"/>
        <v>천재 배우의 다이어리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/>
      <c r="AQ4146">
        <v>0</v>
      </c>
      <c r="AR4146">
        <v>0</v>
      </c>
      <c r="AT4146">
        <v>0</v>
      </c>
      <c r="AU4146">
        <v>0</v>
      </c>
      <c r="AW4146">
        <v>0</v>
      </c>
      <c r="AX4146">
        <v>0</v>
      </c>
      <c r="AY4146">
        <v>70</v>
      </c>
      <c r="BC4146" t="str">
        <f t="shared" si="551"/>
        <v>9791137600683</v>
      </c>
      <c r="BE4146" t="str">
        <f t="shared" si="548"/>
        <v>판타지 웹소설 &gt; 현대 판타지</v>
      </c>
    </row>
    <row r="4147" spans="1:57" x14ac:dyDescent="0.3">
      <c r="A4147">
        <v>2313018633</v>
      </c>
      <c r="B4147">
        <v>2313018871</v>
      </c>
      <c r="C4147" t="str">
        <f>T("천재 배우의 다이어리 239화")</f>
        <v>천재 배우의 다이어리 239화</v>
      </c>
      <c r="D4147" t="str">
        <f>T("239")</f>
        <v>239</v>
      </c>
      <c r="E4147" t="str">
        <f t="shared" si="549"/>
        <v>mollen</v>
      </c>
      <c r="H4147" t="str">
        <f t="shared" si="544"/>
        <v>스토리위즈</v>
      </c>
      <c r="I4147" t="str">
        <f t="shared" si="550"/>
        <v>천재 배우의 다이어리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/>
      <c r="AQ4147">
        <v>0</v>
      </c>
      <c r="AR4147">
        <v>0</v>
      </c>
      <c r="AT4147">
        <v>0</v>
      </c>
      <c r="AU4147">
        <v>0</v>
      </c>
      <c r="AW4147">
        <v>0</v>
      </c>
      <c r="AX4147">
        <v>0</v>
      </c>
      <c r="AY4147">
        <v>70</v>
      </c>
      <c r="BC4147" t="str">
        <f t="shared" si="551"/>
        <v>9791137600683</v>
      </c>
      <c r="BE4147" t="str">
        <f t="shared" si="548"/>
        <v>판타지 웹소설 &gt; 현대 판타지</v>
      </c>
    </row>
    <row r="4148" spans="1:57" x14ac:dyDescent="0.3">
      <c r="A4148">
        <v>2313018633</v>
      </c>
      <c r="B4148">
        <v>2313018872</v>
      </c>
      <c r="C4148" t="str">
        <f>T("천재 배우의 다이어리 240화")</f>
        <v>천재 배우의 다이어리 240화</v>
      </c>
      <c r="D4148" t="str">
        <f>T("240")</f>
        <v>240</v>
      </c>
      <c r="E4148" t="str">
        <f t="shared" si="549"/>
        <v>mollen</v>
      </c>
      <c r="H4148" t="str">
        <f t="shared" si="544"/>
        <v>스토리위즈</v>
      </c>
      <c r="I4148" t="str">
        <f t="shared" si="550"/>
        <v>천재 배우의 다이어리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/>
      <c r="AQ4148">
        <v>0</v>
      </c>
      <c r="AR4148">
        <v>0</v>
      </c>
      <c r="AT4148">
        <v>0</v>
      </c>
      <c r="AU4148">
        <v>0</v>
      </c>
      <c r="AW4148">
        <v>0</v>
      </c>
      <c r="AX4148">
        <v>0</v>
      </c>
      <c r="AY4148">
        <v>70</v>
      </c>
      <c r="BC4148" t="str">
        <f t="shared" si="551"/>
        <v>9791137600683</v>
      </c>
      <c r="BE4148" t="str">
        <f t="shared" si="548"/>
        <v>판타지 웹소설 &gt; 현대 판타지</v>
      </c>
    </row>
    <row r="4149" spans="1:57" x14ac:dyDescent="0.3">
      <c r="A4149">
        <v>2313018633</v>
      </c>
      <c r="B4149">
        <v>2313018873</v>
      </c>
      <c r="C4149" t="str">
        <f>T("천재 배우의 다이어리 241화")</f>
        <v>천재 배우의 다이어리 241화</v>
      </c>
      <c r="D4149" t="str">
        <f>T("241")</f>
        <v>241</v>
      </c>
      <c r="E4149" t="str">
        <f t="shared" si="549"/>
        <v>mollen</v>
      </c>
      <c r="H4149" t="str">
        <f t="shared" si="544"/>
        <v>스토리위즈</v>
      </c>
      <c r="I4149" t="str">
        <f t="shared" si="550"/>
        <v>천재 배우의 다이어리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/>
      <c r="AQ4149">
        <v>0</v>
      </c>
      <c r="AR4149">
        <v>0</v>
      </c>
      <c r="AT4149">
        <v>0</v>
      </c>
      <c r="AU4149">
        <v>0</v>
      </c>
      <c r="AW4149">
        <v>0</v>
      </c>
      <c r="AX4149">
        <v>0</v>
      </c>
      <c r="AY4149">
        <v>70</v>
      </c>
      <c r="BC4149" t="str">
        <f t="shared" si="551"/>
        <v>9791137600683</v>
      </c>
      <c r="BE4149" t="str">
        <f t="shared" si="548"/>
        <v>판타지 웹소설 &gt; 현대 판타지</v>
      </c>
    </row>
    <row r="4150" spans="1:57" x14ac:dyDescent="0.3">
      <c r="A4150">
        <v>2313018633</v>
      </c>
      <c r="B4150">
        <v>2313018874</v>
      </c>
      <c r="C4150" t="str">
        <f>T("천재 배우의 다이어리 242화")</f>
        <v>천재 배우의 다이어리 242화</v>
      </c>
      <c r="D4150" t="str">
        <f>T("242")</f>
        <v>242</v>
      </c>
      <c r="E4150" t="str">
        <f t="shared" si="549"/>
        <v>mollen</v>
      </c>
      <c r="H4150" t="str">
        <f t="shared" si="544"/>
        <v>스토리위즈</v>
      </c>
      <c r="I4150" t="str">
        <f t="shared" si="550"/>
        <v>천재 배우의 다이어리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/>
      <c r="AQ4150">
        <v>0</v>
      </c>
      <c r="AR4150">
        <v>0</v>
      </c>
      <c r="AT4150">
        <v>0</v>
      </c>
      <c r="AU4150">
        <v>0</v>
      </c>
      <c r="AW4150">
        <v>0</v>
      </c>
      <c r="AX4150">
        <v>0</v>
      </c>
      <c r="AY4150">
        <v>70</v>
      </c>
      <c r="BC4150" t="str">
        <f t="shared" si="551"/>
        <v>9791137600683</v>
      </c>
      <c r="BE4150" t="str">
        <f t="shared" si="548"/>
        <v>판타지 웹소설 &gt; 현대 판타지</v>
      </c>
    </row>
    <row r="4151" spans="1:57" x14ac:dyDescent="0.3">
      <c r="A4151">
        <v>2313018633</v>
      </c>
      <c r="B4151">
        <v>2313018875</v>
      </c>
      <c r="C4151" t="str">
        <f>T("천재 배우의 다이어리 243화")</f>
        <v>천재 배우의 다이어리 243화</v>
      </c>
      <c r="D4151" t="str">
        <f>T("243")</f>
        <v>243</v>
      </c>
      <c r="E4151" t="str">
        <f t="shared" si="549"/>
        <v>mollen</v>
      </c>
      <c r="H4151" t="str">
        <f t="shared" si="544"/>
        <v>스토리위즈</v>
      </c>
      <c r="I4151" t="str">
        <f t="shared" si="550"/>
        <v>천재 배우의 다이어리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/>
      <c r="AQ4151">
        <v>0</v>
      </c>
      <c r="AR4151">
        <v>0</v>
      </c>
      <c r="AT4151">
        <v>0</v>
      </c>
      <c r="AU4151">
        <v>0</v>
      </c>
      <c r="AW4151">
        <v>0</v>
      </c>
      <c r="AX4151">
        <v>0</v>
      </c>
      <c r="AY4151">
        <v>70</v>
      </c>
      <c r="BC4151" t="str">
        <f t="shared" si="551"/>
        <v>9791137600683</v>
      </c>
      <c r="BE4151" t="str">
        <f t="shared" si="548"/>
        <v>판타지 웹소설 &gt; 현대 판타지</v>
      </c>
    </row>
    <row r="4152" spans="1:57" x14ac:dyDescent="0.3">
      <c r="A4152">
        <v>2313018633</v>
      </c>
      <c r="B4152">
        <v>2313018876</v>
      </c>
      <c r="C4152" t="str">
        <f>T("천재 배우의 다이어리 244화")</f>
        <v>천재 배우의 다이어리 244화</v>
      </c>
      <c r="D4152" t="str">
        <f>T("244")</f>
        <v>244</v>
      </c>
      <c r="E4152" t="str">
        <f t="shared" si="549"/>
        <v>mollen</v>
      </c>
      <c r="H4152" t="str">
        <f t="shared" si="544"/>
        <v>스토리위즈</v>
      </c>
      <c r="I4152" t="str">
        <f t="shared" si="550"/>
        <v>천재 배우의 다이어리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/>
      <c r="AQ4152">
        <v>0</v>
      </c>
      <c r="AR4152">
        <v>0</v>
      </c>
      <c r="AT4152">
        <v>0</v>
      </c>
      <c r="AU4152">
        <v>0</v>
      </c>
      <c r="AW4152">
        <v>0</v>
      </c>
      <c r="AX4152">
        <v>0</v>
      </c>
      <c r="AY4152">
        <v>70</v>
      </c>
      <c r="BC4152" t="str">
        <f t="shared" si="551"/>
        <v>9791137600683</v>
      </c>
      <c r="BE4152" t="str">
        <f t="shared" si="548"/>
        <v>판타지 웹소설 &gt; 현대 판타지</v>
      </c>
    </row>
    <row r="4153" spans="1:57" x14ac:dyDescent="0.3">
      <c r="A4153">
        <v>2313018633</v>
      </c>
      <c r="B4153">
        <v>2313018877</v>
      </c>
      <c r="C4153" t="str">
        <f>T("천재 배우의 다이어리 245화")</f>
        <v>천재 배우의 다이어리 245화</v>
      </c>
      <c r="D4153" t="str">
        <f>T("245")</f>
        <v>245</v>
      </c>
      <c r="E4153" t="str">
        <f t="shared" si="549"/>
        <v>mollen</v>
      </c>
      <c r="H4153" t="str">
        <f t="shared" si="544"/>
        <v>스토리위즈</v>
      </c>
      <c r="I4153" t="str">
        <f t="shared" si="550"/>
        <v>천재 배우의 다이어리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/>
      <c r="AQ4153">
        <v>0</v>
      </c>
      <c r="AR4153">
        <v>0</v>
      </c>
      <c r="AT4153">
        <v>0</v>
      </c>
      <c r="AU4153">
        <v>0</v>
      </c>
      <c r="AW4153">
        <v>0</v>
      </c>
      <c r="AX4153">
        <v>0</v>
      </c>
      <c r="AY4153">
        <v>70</v>
      </c>
      <c r="BC4153" t="str">
        <f t="shared" si="551"/>
        <v>9791137600683</v>
      </c>
      <c r="BE4153" t="str">
        <f t="shared" si="548"/>
        <v>판타지 웹소설 &gt; 현대 판타지</v>
      </c>
    </row>
    <row r="4154" spans="1:57" x14ac:dyDescent="0.3">
      <c r="A4154">
        <v>2313018633</v>
      </c>
      <c r="B4154">
        <v>2313018878</v>
      </c>
      <c r="C4154" t="str">
        <f>T("천재 배우의 다이어리 246화")</f>
        <v>천재 배우의 다이어리 246화</v>
      </c>
      <c r="D4154" t="str">
        <f>T("246")</f>
        <v>246</v>
      </c>
      <c r="E4154" t="str">
        <f t="shared" si="549"/>
        <v>mollen</v>
      </c>
      <c r="H4154" t="str">
        <f t="shared" si="544"/>
        <v>스토리위즈</v>
      </c>
      <c r="I4154" t="str">
        <f t="shared" si="550"/>
        <v>천재 배우의 다이어리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/>
      <c r="AQ4154">
        <v>0</v>
      </c>
      <c r="AR4154">
        <v>0</v>
      </c>
      <c r="AT4154">
        <v>0</v>
      </c>
      <c r="AU4154">
        <v>0</v>
      </c>
      <c r="AW4154">
        <v>0</v>
      </c>
      <c r="AX4154">
        <v>0</v>
      </c>
      <c r="AY4154">
        <v>70</v>
      </c>
      <c r="BC4154" t="str">
        <f t="shared" si="551"/>
        <v>9791137600683</v>
      </c>
      <c r="BE4154" t="str">
        <f t="shared" si="548"/>
        <v>판타지 웹소설 &gt; 현대 판타지</v>
      </c>
    </row>
    <row r="4155" spans="1:57" x14ac:dyDescent="0.3">
      <c r="A4155">
        <v>2313018633</v>
      </c>
      <c r="B4155">
        <v>2313018879</v>
      </c>
      <c r="C4155" t="str">
        <f>T("천재 배우의 다이어리 247화")</f>
        <v>천재 배우의 다이어리 247화</v>
      </c>
      <c r="D4155" t="str">
        <f>T("247")</f>
        <v>247</v>
      </c>
      <c r="E4155" t="str">
        <f t="shared" si="549"/>
        <v>mollen</v>
      </c>
      <c r="H4155" t="str">
        <f t="shared" si="544"/>
        <v>스토리위즈</v>
      </c>
      <c r="I4155" t="str">
        <f t="shared" si="550"/>
        <v>천재 배우의 다이어리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/>
      <c r="AQ4155">
        <v>0</v>
      </c>
      <c r="AR4155">
        <v>0</v>
      </c>
      <c r="AT4155">
        <v>0</v>
      </c>
      <c r="AU4155">
        <v>0</v>
      </c>
      <c r="AW4155">
        <v>0</v>
      </c>
      <c r="AX4155">
        <v>0</v>
      </c>
      <c r="AY4155">
        <v>70</v>
      </c>
      <c r="BC4155" t="str">
        <f t="shared" si="551"/>
        <v>9791137600683</v>
      </c>
      <c r="BE4155" t="str">
        <f t="shared" si="548"/>
        <v>판타지 웹소설 &gt; 현대 판타지</v>
      </c>
    </row>
    <row r="4156" spans="1:57" x14ac:dyDescent="0.3">
      <c r="A4156">
        <v>2313018633</v>
      </c>
      <c r="B4156">
        <v>2313018880</v>
      </c>
      <c r="C4156" t="str">
        <f>T("천재 배우의 다이어리 248화")</f>
        <v>천재 배우의 다이어리 248화</v>
      </c>
      <c r="D4156" t="str">
        <f>T("248")</f>
        <v>248</v>
      </c>
      <c r="E4156" t="str">
        <f t="shared" si="549"/>
        <v>mollen</v>
      </c>
      <c r="H4156" t="str">
        <f t="shared" si="544"/>
        <v>스토리위즈</v>
      </c>
      <c r="I4156" t="str">
        <f t="shared" si="550"/>
        <v>천재 배우의 다이어리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/>
      <c r="AQ4156">
        <v>0</v>
      </c>
      <c r="AR4156">
        <v>0</v>
      </c>
      <c r="AT4156">
        <v>0</v>
      </c>
      <c r="AU4156">
        <v>0</v>
      </c>
      <c r="AW4156">
        <v>0</v>
      </c>
      <c r="AX4156">
        <v>0</v>
      </c>
      <c r="AY4156">
        <v>70</v>
      </c>
      <c r="BC4156" t="str">
        <f t="shared" si="551"/>
        <v>9791137600683</v>
      </c>
      <c r="BE4156" t="str">
        <f t="shared" si="548"/>
        <v>판타지 웹소설 &gt; 현대 판타지</v>
      </c>
    </row>
    <row r="4157" spans="1:57" x14ac:dyDescent="0.3">
      <c r="A4157">
        <v>2313018633</v>
      </c>
      <c r="B4157">
        <v>2313018881</v>
      </c>
      <c r="C4157" t="str">
        <f>T("천재 배우의 다이어리 249화")</f>
        <v>천재 배우의 다이어리 249화</v>
      </c>
      <c r="D4157" t="str">
        <f>T("249")</f>
        <v>249</v>
      </c>
      <c r="E4157" t="str">
        <f t="shared" si="549"/>
        <v>mollen</v>
      </c>
      <c r="H4157" t="str">
        <f t="shared" si="544"/>
        <v>스토리위즈</v>
      </c>
      <c r="I4157" t="str">
        <f t="shared" si="550"/>
        <v>천재 배우의 다이어리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/>
      <c r="AQ4157">
        <v>0</v>
      </c>
      <c r="AR4157">
        <v>0</v>
      </c>
      <c r="AT4157">
        <v>0</v>
      </c>
      <c r="AU4157">
        <v>0</v>
      </c>
      <c r="AW4157">
        <v>0</v>
      </c>
      <c r="AX4157">
        <v>0</v>
      </c>
      <c r="AY4157">
        <v>70</v>
      </c>
      <c r="BC4157" t="str">
        <f t="shared" si="551"/>
        <v>9791137600683</v>
      </c>
      <c r="BE4157" t="str">
        <f t="shared" si="548"/>
        <v>판타지 웹소설 &gt; 현대 판타지</v>
      </c>
    </row>
    <row r="4158" spans="1:57" x14ac:dyDescent="0.3">
      <c r="A4158">
        <v>2313018633</v>
      </c>
      <c r="B4158">
        <v>2313018882</v>
      </c>
      <c r="C4158" t="str">
        <f>T("천재 배우의 다이어리 250화")</f>
        <v>천재 배우의 다이어리 250화</v>
      </c>
      <c r="D4158" t="str">
        <f>T("250")</f>
        <v>250</v>
      </c>
      <c r="E4158" t="str">
        <f t="shared" si="549"/>
        <v>mollen</v>
      </c>
      <c r="H4158" t="str">
        <f t="shared" si="544"/>
        <v>스토리위즈</v>
      </c>
      <c r="I4158" t="str">
        <f t="shared" si="550"/>
        <v>천재 배우의 다이어리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/>
      <c r="AQ4158">
        <v>0</v>
      </c>
      <c r="AR4158">
        <v>0</v>
      </c>
      <c r="AT4158">
        <v>0</v>
      </c>
      <c r="AU4158">
        <v>0</v>
      </c>
      <c r="AW4158">
        <v>0</v>
      </c>
      <c r="AX4158">
        <v>0</v>
      </c>
      <c r="AY4158">
        <v>70</v>
      </c>
      <c r="BC4158" t="str">
        <f t="shared" si="551"/>
        <v>9791137600683</v>
      </c>
      <c r="BE4158" t="str">
        <f t="shared" si="548"/>
        <v>판타지 웹소설 &gt; 현대 판타지</v>
      </c>
    </row>
    <row r="4159" spans="1:57" x14ac:dyDescent="0.3">
      <c r="A4159">
        <v>2313018633</v>
      </c>
      <c r="B4159">
        <v>2313018883</v>
      </c>
      <c r="C4159" t="str">
        <f>T("천재 배우의 다이어리 251화")</f>
        <v>천재 배우의 다이어리 251화</v>
      </c>
      <c r="D4159" t="str">
        <f>T("251")</f>
        <v>251</v>
      </c>
      <c r="E4159" t="str">
        <f t="shared" si="549"/>
        <v>mollen</v>
      </c>
      <c r="H4159" t="str">
        <f t="shared" si="544"/>
        <v>스토리위즈</v>
      </c>
      <c r="I4159" t="str">
        <f t="shared" si="550"/>
        <v>천재 배우의 다이어리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/>
      <c r="AQ4159">
        <v>0</v>
      </c>
      <c r="AR4159">
        <v>0</v>
      </c>
      <c r="AT4159">
        <v>0</v>
      </c>
      <c r="AU4159">
        <v>0</v>
      </c>
      <c r="AW4159">
        <v>0</v>
      </c>
      <c r="AX4159">
        <v>0</v>
      </c>
      <c r="AY4159">
        <v>70</v>
      </c>
      <c r="BC4159" t="str">
        <f t="shared" si="551"/>
        <v>9791137600683</v>
      </c>
      <c r="BE4159" t="str">
        <f t="shared" si="548"/>
        <v>판타지 웹소설 &gt; 현대 판타지</v>
      </c>
    </row>
    <row r="4160" spans="1:57" x14ac:dyDescent="0.3">
      <c r="A4160">
        <v>2313018633</v>
      </c>
      <c r="B4160">
        <v>2313018884</v>
      </c>
      <c r="C4160" t="str">
        <f>T("천재 배우의 다이어리 252화")</f>
        <v>천재 배우의 다이어리 252화</v>
      </c>
      <c r="D4160" t="str">
        <f>T("252")</f>
        <v>252</v>
      </c>
      <c r="E4160" t="str">
        <f t="shared" si="549"/>
        <v>mollen</v>
      </c>
      <c r="H4160" t="str">
        <f t="shared" si="544"/>
        <v>스토리위즈</v>
      </c>
      <c r="I4160" t="str">
        <f t="shared" si="550"/>
        <v>천재 배우의 다이어리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/>
      <c r="AQ4160">
        <v>0</v>
      </c>
      <c r="AR4160">
        <v>0</v>
      </c>
      <c r="AT4160">
        <v>0</v>
      </c>
      <c r="AU4160">
        <v>0</v>
      </c>
      <c r="AW4160">
        <v>0</v>
      </c>
      <c r="AX4160">
        <v>0</v>
      </c>
      <c r="AY4160">
        <v>70</v>
      </c>
      <c r="BC4160" t="str">
        <f t="shared" si="551"/>
        <v>9791137600683</v>
      </c>
      <c r="BE4160" t="str">
        <f t="shared" si="548"/>
        <v>판타지 웹소설 &gt; 현대 판타지</v>
      </c>
    </row>
    <row r="4161" spans="1:57" x14ac:dyDescent="0.3">
      <c r="A4161">
        <v>2313018633</v>
      </c>
      <c r="B4161">
        <v>2313018885</v>
      </c>
      <c r="C4161" t="str">
        <f>T("천재 배우의 다이어리 253화")</f>
        <v>천재 배우의 다이어리 253화</v>
      </c>
      <c r="D4161" t="str">
        <f>T("253")</f>
        <v>253</v>
      </c>
      <c r="E4161" t="str">
        <f t="shared" si="549"/>
        <v>mollen</v>
      </c>
      <c r="H4161" t="str">
        <f t="shared" si="544"/>
        <v>스토리위즈</v>
      </c>
      <c r="I4161" t="str">
        <f t="shared" si="550"/>
        <v>천재 배우의 다이어리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/>
      <c r="AQ4161">
        <v>0</v>
      </c>
      <c r="AR4161">
        <v>0</v>
      </c>
      <c r="AT4161">
        <v>0</v>
      </c>
      <c r="AU4161">
        <v>0</v>
      </c>
      <c r="AW4161">
        <v>0</v>
      </c>
      <c r="AX4161">
        <v>0</v>
      </c>
      <c r="AY4161">
        <v>70</v>
      </c>
      <c r="BC4161" t="str">
        <f t="shared" si="551"/>
        <v>9791137600683</v>
      </c>
      <c r="BE4161" t="str">
        <f t="shared" si="548"/>
        <v>판타지 웹소설 &gt; 현대 판타지</v>
      </c>
    </row>
    <row r="4162" spans="1:57" x14ac:dyDescent="0.3">
      <c r="A4162">
        <v>2313018633</v>
      </c>
      <c r="B4162">
        <v>2313018886</v>
      </c>
      <c r="C4162" t="str">
        <f>T("천재 배우의 다이어리 254화")</f>
        <v>천재 배우의 다이어리 254화</v>
      </c>
      <c r="D4162" t="str">
        <f>T("254")</f>
        <v>254</v>
      </c>
      <c r="E4162" t="str">
        <f t="shared" si="549"/>
        <v>mollen</v>
      </c>
      <c r="H4162" t="str">
        <f t="shared" si="544"/>
        <v>스토리위즈</v>
      </c>
      <c r="I4162" t="str">
        <f t="shared" si="550"/>
        <v>천재 배우의 다이어리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/>
      <c r="AQ4162">
        <v>0</v>
      </c>
      <c r="AR4162">
        <v>0</v>
      </c>
      <c r="AT4162">
        <v>0</v>
      </c>
      <c r="AU4162">
        <v>0</v>
      </c>
      <c r="AW4162">
        <v>0</v>
      </c>
      <c r="AX4162">
        <v>0</v>
      </c>
      <c r="AY4162">
        <v>70</v>
      </c>
      <c r="BC4162" t="str">
        <f t="shared" si="551"/>
        <v>9791137600683</v>
      </c>
      <c r="BE4162" t="str">
        <f t="shared" si="548"/>
        <v>판타지 웹소설 &gt; 현대 판타지</v>
      </c>
    </row>
    <row r="4163" spans="1:57" x14ac:dyDescent="0.3">
      <c r="A4163">
        <v>2313018633</v>
      </c>
      <c r="B4163">
        <v>2313018887</v>
      </c>
      <c r="C4163" t="str">
        <f>T("천재 배우의 다이어리 255화")</f>
        <v>천재 배우의 다이어리 255화</v>
      </c>
      <c r="D4163" t="str">
        <f>T("255")</f>
        <v>255</v>
      </c>
      <c r="E4163" t="str">
        <f t="shared" si="549"/>
        <v>mollen</v>
      </c>
      <c r="H4163" t="str">
        <f t="shared" si="544"/>
        <v>스토리위즈</v>
      </c>
      <c r="I4163" t="str">
        <f t="shared" si="550"/>
        <v>천재 배우의 다이어리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/>
      <c r="AQ4163">
        <v>0</v>
      </c>
      <c r="AR4163">
        <v>0</v>
      </c>
      <c r="AT4163">
        <v>0</v>
      </c>
      <c r="AU4163">
        <v>0</v>
      </c>
      <c r="AW4163">
        <v>0</v>
      </c>
      <c r="AX4163">
        <v>0</v>
      </c>
      <c r="AY4163">
        <v>70</v>
      </c>
      <c r="BC4163" t="str">
        <f t="shared" si="551"/>
        <v>9791137600683</v>
      </c>
      <c r="BE4163" t="str">
        <f t="shared" si="548"/>
        <v>판타지 웹소설 &gt; 현대 판타지</v>
      </c>
    </row>
    <row r="4164" spans="1:57" x14ac:dyDescent="0.3">
      <c r="A4164">
        <v>2313018633</v>
      </c>
      <c r="B4164">
        <v>2313018888</v>
      </c>
      <c r="C4164" t="str">
        <f>T("천재 배우의 다이어리 256화")</f>
        <v>천재 배우의 다이어리 256화</v>
      </c>
      <c r="D4164" t="str">
        <f>T("256")</f>
        <v>256</v>
      </c>
      <c r="E4164" t="str">
        <f t="shared" si="549"/>
        <v>mollen</v>
      </c>
      <c r="H4164" t="str">
        <f t="shared" si="544"/>
        <v>스토리위즈</v>
      </c>
      <c r="I4164" t="str">
        <f t="shared" si="550"/>
        <v>천재 배우의 다이어리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/>
      <c r="AQ4164">
        <v>0</v>
      </c>
      <c r="AR4164">
        <v>0</v>
      </c>
      <c r="AT4164">
        <v>0</v>
      </c>
      <c r="AU4164">
        <v>0</v>
      </c>
      <c r="AW4164">
        <v>0</v>
      </c>
      <c r="AX4164">
        <v>0</v>
      </c>
      <c r="AY4164">
        <v>70</v>
      </c>
      <c r="BC4164" t="str">
        <f t="shared" si="551"/>
        <v>9791137600683</v>
      </c>
      <c r="BE4164" t="str">
        <f t="shared" si="548"/>
        <v>판타지 웹소설 &gt; 현대 판타지</v>
      </c>
    </row>
    <row r="4165" spans="1:57" x14ac:dyDescent="0.3">
      <c r="A4165">
        <v>2313018633</v>
      </c>
      <c r="B4165">
        <v>2313018889</v>
      </c>
      <c r="C4165" t="str">
        <f>T("천재 배우의 다이어리 257화")</f>
        <v>천재 배우의 다이어리 257화</v>
      </c>
      <c r="D4165" t="str">
        <f>T("257")</f>
        <v>257</v>
      </c>
      <c r="E4165" t="str">
        <f t="shared" si="549"/>
        <v>mollen</v>
      </c>
      <c r="H4165" t="str">
        <f t="shared" si="544"/>
        <v>스토리위즈</v>
      </c>
      <c r="I4165" t="str">
        <f t="shared" si="550"/>
        <v>천재 배우의 다이어리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/>
      <c r="AQ4165">
        <v>0</v>
      </c>
      <c r="AR4165">
        <v>0</v>
      </c>
      <c r="AT4165">
        <v>0</v>
      </c>
      <c r="AU4165">
        <v>0</v>
      </c>
      <c r="AW4165">
        <v>0</v>
      </c>
      <c r="AX4165">
        <v>0</v>
      </c>
      <c r="AY4165">
        <v>70</v>
      </c>
      <c r="BC4165" t="str">
        <f t="shared" si="551"/>
        <v>9791137600683</v>
      </c>
      <c r="BE4165" t="str">
        <f t="shared" si="548"/>
        <v>판타지 웹소설 &gt; 현대 판타지</v>
      </c>
    </row>
    <row r="4166" spans="1:57" x14ac:dyDescent="0.3">
      <c r="A4166">
        <v>2313018633</v>
      </c>
      <c r="B4166">
        <v>2313018890</v>
      </c>
      <c r="C4166" t="str">
        <f>T("천재 배우의 다이어리 258화")</f>
        <v>천재 배우의 다이어리 258화</v>
      </c>
      <c r="D4166" t="str">
        <f>T("258")</f>
        <v>258</v>
      </c>
      <c r="E4166" t="str">
        <f t="shared" si="549"/>
        <v>mollen</v>
      </c>
      <c r="H4166" t="str">
        <f t="shared" si="544"/>
        <v>스토리위즈</v>
      </c>
      <c r="I4166" t="str">
        <f t="shared" si="550"/>
        <v>천재 배우의 다이어리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/>
      <c r="AQ4166">
        <v>0</v>
      </c>
      <c r="AR4166">
        <v>0</v>
      </c>
      <c r="AT4166">
        <v>0</v>
      </c>
      <c r="AU4166">
        <v>0</v>
      </c>
      <c r="AW4166">
        <v>0</v>
      </c>
      <c r="AX4166">
        <v>0</v>
      </c>
      <c r="AY4166">
        <v>70</v>
      </c>
      <c r="BC4166" t="str">
        <f t="shared" si="551"/>
        <v>9791137600683</v>
      </c>
      <c r="BE4166" t="str">
        <f t="shared" si="548"/>
        <v>판타지 웹소설 &gt; 현대 판타지</v>
      </c>
    </row>
    <row r="4167" spans="1:57" x14ac:dyDescent="0.3">
      <c r="A4167">
        <v>2313018633</v>
      </c>
      <c r="B4167">
        <v>2313018891</v>
      </c>
      <c r="C4167" t="str">
        <f>T("천재 배우의 다이어리 259화")</f>
        <v>천재 배우의 다이어리 259화</v>
      </c>
      <c r="D4167" t="str">
        <f>T("259")</f>
        <v>259</v>
      </c>
      <c r="E4167" t="str">
        <f t="shared" si="549"/>
        <v>mollen</v>
      </c>
      <c r="H4167" t="str">
        <f t="shared" si="544"/>
        <v>스토리위즈</v>
      </c>
      <c r="I4167" t="str">
        <f t="shared" si="550"/>
        <v>천재 배우의 다이어리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/>
      <c r="AQ4167">
        <v>0</v>
      </c>
      <c r="AR4167">
        <v>0</v>
      </c>
      <c r="AT4167">
        <v>0</v>
      </c>
      <c r="AU4167">
        <v>0</v>
      </c>
      <c r="AW4167">
        <v>0</v>
      </c>
      <c r="AX4167">
        <v>0</v>
      </c>
      <c r="AY4167">
        <v>70</v>
      </c>
      <c r="BC4167" t="str">
        <f t="shared" si="551"/>
        <v>9791137600683</v>
      </c>
      <c r="BE4167" t="str">
        <f t="shared" si="548"/>
        <v>판타지 웹소설 &gt; 현대 판타지</v>
      </c>
    </row>
    <row r="4168" spans="1:57" x14ac:dyDescent="0.3">
      <c r="A4168">
        <v>2313018633</v>
      </c>
      <c r="B4168">
        <v>2313018892</v>
      </c>
      <c r="C4168" t="str">
        <f>T("천재 배우의 다이어리 260화")</f>
        <v>천재 배우의 다이어리 260화</v>
      </c>
      <c r="D4168" t="str">
        <f>T("260")</f>
        <v>260</v>
      </c>
      <c r="E4168" t="str">
        <f t="shared" si="549"/>
        <v>mollen</v>
      </c>
      <c r="H4168" t="str">
        <f t="shared" si="544"/>
        <v>스토리위즈</v>
      </c>
      <c r="I4168" t="str">
        <f t="shared" si="550"/>
        <v>천재 배우의 다이어리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/>
      <c r="AQ4168">
        <v>0</v>
      </c>
      <c r="AR4168">
        <v>0</v>
      </c>
      <c r="AT4168">
        <v>0</v>
      </c>
      <c r="AU4168">
        <v>0</v>
      </c>
      <c r="AW4168">
        <v>0</v>
      </c>
      <c r="AX4168">
        <v>0</v>
      </c>
      <c r="AY4168">
        <v>70</v>
      </c>
      <c r="BC4168" t="str">
        <f t="shared" si="551"/>
        <v>9791137600683</v>
      </c>
      <c r="BE4168" t="str">
        <f t="shared" si="548"/>
        <v>판타지 웹소설 &gt; 현대 판타지</v>
      </c>
    </row>
    <row r="4169" spans="1:57" x14ac:dyDescent="0.3">
      <c r="A4169">
        <v>2313018633</v>
      </c>
      <c r="B4169">
        <v>2313018893</v>
      </c>
      <c r="C4169" t="str">
        <f>T("천재 배우의 다이어리 261화")</f>
        <v>천재 배우의 다이어리 261화</v>
      </c>
      <c r="D4169" t="str">
        <f>T("261")</f>
        <v>261</v>
      </c>
      <c r="E4169" t="str">
        <f t="shared" si="549"/>
        <v>mollen</v>
      </c>
      <c r="H4169" t="str">
        <f t="shared" si="544"/>
        <v>스토리위즈</v>
      </c>
      <c r="I4169" t="str">
        <f t="shared" si="550"/>
        <v>천재 배우의 다이어리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/>
      <c r="AQ4169">
        <v>0</v>
      </c>
      <c r="AR4169">
        <v>0</v>
      </c>
      <c r="AT4169">
        <v>0</v>
      </c>
      <c r="AU4169">
        <v>0</v>
      </c>
      <c r="AW4169">
        <v>0</v>
      </c>
      <c r="AX4169">
        <v>0</v>
      </c>
      <c r="AY4169">
        <v>70</v>
      </c>
      <c r="BC4169" t="str">
        <f t="shared" si="551"/>
        <v>9791137600683</v>
      </c>
      <c r="BE4169" t="str">
        <f t="shared" si="548"/>
        <v>판타지 웹소설 &gt; 현대 판타지</v>
      </c>
    </row>
    <row r="4170" spans="1:57" x14ac:dyDescent="0.3">
      <c r="A4170">
        <v>2313018633</v>
      </c>
      <c r="B4170">
        <v>2313018894</v>
      </c>
      <c r="C4170" t="str">
        <f>T("천재 배우의 다이어리 262화")</f>
        <v>천재 배우의 다이어리 262화</v>
      </c>
      <c r="D4170" t="str">
        <f>T("262")</f>
        <v>262</v>
      </c>
      <c r="E4170" t="str">
        <f t="shared" si="549"/>
        <v>mollen</v>
      </c>
      <c r="H4170" t="str">
        <f t="shared" si="544"/>
        <v>스토리위즈</v>
      </c>
      <c r="I4170" t="str">
        <f t="shared" si="550"/>
        <v>천재 배우의 다이어리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/>
      <c r="AQ4170">
        <v>0</v>
      </c>
      <c r="AR4170">
        <v>0</v>
      </c>
      <c r="AT4170">
        <v>0</v>
      </c>
      <c r="AU4170">
        <v>0</v>
      </c>
      <c r="AW4170">
        <v>0</v>
      </c>
      <c r="AX4170">
        <v>0</v>
      </c>
      <c r="AY4170">
        <v>70</v>
      </c>
      <c r="BC4170" t="str">
        <f t="shared" si="551"/>
        <v>9791137600683</v>
      </c>
      <c r="BE4170" t="str">
        <f t="shared" si="548"/>
        <v>판타지 웹소설 &gt; 현대 판타지</v>
      </c>
    </row>
    <row r="4171" spans="1:57" x14ac:dyDescent="0.3">
      <c r="A4171">
        <v>2313018633</v>
      </c>
      <c r="B4171">
        <v>2313018895</v>
      </c>
      <c r="C4171" t="str">
        <f>T("천재 배우의 다이어리 263화")</f>
        <v>천재 배우의 다이어리 263화</v>
      </c>
      <c r="D4171" t="str">
        <f>T("263")</f>
        <v>263</v>
      </c>
      <c r="E4171" t="str">
        <f t="shared" si="549"/>
        <v>mollen</v>
      </c>
      <c r="H4171" t="str">
        <f t="shared" si="544"/>
        <v>스토리위즈</v>
      </c>
      <c r="I4171" t="str">
        <f t="shared" si="550"/>
        <v>천재 배우의 다이어리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/>
      <c r="AQ4171">
        <v>0</v>
      </c>
      <c r="AR4171">
        <v>0</v>
      </c>
      <c r="AT4171">
        <v>0</v>
      </c>
      <c r="AU4171">
        <v>0</v>
      </c>
      <c r="AW4171">
        <v>0</v>
      </c>
      <c r="AX4171">
        <v>0</v>
      </c>
      <c r="AY4171">
        <v>70</v>
      </c>
      <c r="BC4171" t="str">
        <f t="shared" si="551"/>
        <v>9791137600683</v>
      </c>
      <c r="BE4171" t="str">
        <f t="shared" si="548"/>
        <v>판타지 웹소설 &gt; 현대 판타지</v>
      </c>
    </row>
    <row r="4172" spans="1:57" x14ac:dyDescent="0.3">
      <c r="A4172">
        <v>2313018633</v>
      </c>
      <c r="B4172">
        <v>2313018896</v>
      </c>
      <c r="C4172" t="str">
        <f>T("천재 배우의 다이어리 264화")</f>
        <v>천재 배우의 다이어리 264화</v>
      </c>
      <c r="D4172" t="str">
        <f>T("264")</f>
        <v>264</v>
      </c>
      <c r="E4172" t="str">
        <f t="shared" si="549"/>
        <v>mollen</v>
      </c>
      <c r="H4172" t="str">
        <f t="shared" si="544"/>
        <v>스토리위즈</v>
      </c>
      <c r="I4172" t="str">
        <f t="shared" si="550"/>
        <v>천재 배우의 다이어리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/>
      <c r="AQ4172">
        <v>0</v>
      </c>
      <c r="AR4172">
        <v>0</v>
      </c>
      <c r="AT4172">
        <v>0</v>
      </c>
      <c r="AU4172">
        <v>0</v>
      </c>
      <c r="AW4172">
        <v>0</v>
      </c>
      <c r="AX4172">
        <v>0</v>
      </c>
      <c r="AY4172">
        <v>70</v>
      </c>
      <c r="BC4172" t="str">
        <f t="shared" si="551"/>
        <v>9791137600683</v>
      </c>
      <c r="BE4172" t="str">
        <f t="shared" si="548"/>
        <v>판타지 웹소설 &gt; 현대 판타지</v>
      </c>
    </row>
    <row r="4173" spans="1:57" x14ac:dyDescent="0.3">
      <c r="A4173">
        <v>2313018633</v>
      </c>
      <c r="B4173">
        <v>2313018897</v>
      </c>
      <c r="C4173" t="str">
        <f>T("천재 배우의 다이어리 265화")</f>
        <v>천재 배우의 다이어리 265화</v>
      </c>
      <c r="D4173" t="str">
        <f>T("265")</f>
        <v>265</v>
      </c>
      <c r="E4173" t="str">
        <f t="shared" si="549"/>
        <v>mollen</v>
      </c>
      <c r="H4173" t="str">
        <f t="shared" ref="H4173:H4241" si="552">T("스토리위즈")</f>
        <v>스토리위즈</v>
      </c>
      <c r="I4173" t="str">
        <f t="shared" si="550"/>
        <v>천재 배우의 다이어리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/>
      <c r="AQ4173">
        <v>0</v>
      </c>
      <c r="AR4173">
        <v>0</v>
      </c>
      <c r="AT4173">
        <v>0</v>
      </c>
      <c r="AU4173">
        <v>0</v>
      </c>
      <c r="AW4173">
        <v>0</v>
      </c>
      <c r="AX4173">
        <v>0</v>
      </c>
      <c r="AY4173">
        <v>70</v>
      </c>
      <c r="BC4173" t="str">
        <f t="shared" si="551"/>
        <v>9791137600683</v>
      </c>
      <c r="BE4173" t="str">
        <f t="shared" si="548"/>
        <v>판타지 웹소설 &gt; 현대 판타지</v>
      </c>
    </row>
    <row r="4174" spans="1:57" x14ac:dyDescent="0.3">
      <c r="A4174">
        <v>2313018633</v>
      </c>
      <c r="B4174">
        <v>2313018898</v>
      </c>
      <c r="C4174" t="str">
        <f>T("천재 배우의 다이어리 266화")</f>
        <v>천재 배우의 다이어리 266화</v>
      </c>
      <c r="D4174" t="str">
        <f>T("266")</f>
        <v>266</v>
      </c>
      <c r="E4174" t="str">
        <f t="shared" si="549"/>
        <v>mollen</v>
      </c>
      <c r="H4174" t="str">
        <f t="shared" si="552"/>
        <v>스토리위즈</v>
      </c>
      <c r="I4174" t="str">
        <f t="shared" si="550"/>
        <v>천재 배우의 다이어리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/>
      <c r="AQ4174">
        <v>0</v>
      </c>
      <c r="AR4174">
        <v>0</v>
      </c>
      <c r="AT4174">
        <v>0</v>
      </c>
      <c r="AU4174">
        <v>0</v>
      </c>
      <c r="AW4174">
        <v>0</v>
      </c>
      <c r="AX4174">
        <v>0</v>
      </c>
      <c r="AY4174">
        <v>70</v>
      </c>
      <c r="BC4174" t="str">
        <f t="shared" si="551"/>
        <v>9791137600683</v>
      </c>
      <c r="BE4174" t="str">
        <f t="shared" si="548"/>
        <v>판타지 웹소설 &gt; 현대 판타지</v>
      </c>
    </row>
    <row r="4175" spans="1:57" x14ac:dyDescent="0.3">
      <c r="A4175">
        <v>2313018633</v>
      </c>
      <c r="B4175">
        <v>2313018899</v>
      </c>
      <c r="C4175" t="str">
        <f>T("천재 배우의 다이어리 267화")</f>
        <v>천재 배우의 다이어리 267화</v>
      </c>
      <c r="D4175" t="str">
        <f>T("267")</f>
        <v>267</v>
      </c>
      <c r="E4175" t="str">
        <f t="shared" si="549"/>
        <v>mollen</v>
      </c>
      <c r="H4175" t="str">
        <f t="shared" si="552"/>
        <v>스토리위즈</v>
      </c>
      <c r="I4175" t="str">
        <f t="shared" si="550"/>
        <v>천재 배우의 다이어리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/>
      <c r="AQ4175">
        <v>0</v>
      </c>
      <c r="AR4175">
        <v>0</v>
      </c>
      <c r="AT4175">
        <v>0</v>
      </c>
      <c r="AU4175">
        <v>0</v>
      </c>
      <c r="AW4175">
        <v>0</v>
      </c>
      <c r="AX4175">
        <v>0</v>
      </c>
      <c r="AY4175">
        <v>70</v>
      </c>
      <c r="BC4175" t="str">
        <f t="shared" si="551"/>
        <v>9791137600683</v>
      </c>
      <c r="BE4175" t="str">
        <f t="shared" si="548"/>
        <v>판타지 웹소설 &gt; 현대 판타지</v>
      </c>
    </row>
    <row r="4176" spans="1:57" x14ac:dyDescent="0.3">
      <c r="A4176">
        <v>2313018633</v>
      </c>
      <c r="B4176">
        <v>2313018900</v>
      </c>
      <c r="C4176" t="str">
        <f>T("천재 배우의 다이어리 268화")</f>
        <v>천재 배우의 다이어리 268화</v>
      </c>
      <c r="D4176" t="str">
        <f>T("268")</f>
        <v>268</v>
      </c>
      <c r="E4176" t="str">
        <f t="shared" si="549"/>
        <v>mollen</v>
      </c>
      <c r="H4176" t="str">
        <f t="shared" si="552"/>
        <v>스토리위즈</v>
      </c>
      <c r="I4176" t="str">
        <f t="shared" si="550"/>
        <v>천재 배우의 다이어리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/>
      <c r="AQ4176">
        <v>0</v>
      </c>
      <c r="AR4176">
        <v>0</v>
      </c>
      <c r="AT4176">
        <v>0</v>
      </c>
      <c r="AU4176">
        <v>0</v>
      </c>
      <c r="AW4176">
        <v>0</v>
      </c>
      <c r="AX4176">
        <v>0</v>
      </c>
      <c r="AY4176">
        <v>70</v>
      </c>
      <c r="BC4176" t="str">
        <f t="shared" si="551"/>
        <v>9791137600683</v>
      </c>
      <c r="BE4176" t="str">
        <f t="shared" si="548"/>
        <v>판타지 웹소설 &gt; 현대 판타지</v>
      </c>
    </row>
    <row r="4177" spans="1:57" x14ac:dyDescent="0.3">
      <c r="A4177">
        <v>2313018633</v>
      </c>
      <c r="B4177">
        <v>2313018901</v>
      </c>
      <c r="C4177" t="str">
        <f>T("천재 배우의 다이어리 269화")</f>
        <v>천재 배우의 다이어리 269화</v>
      </c>
      <c r="D4177" t="str">
        <f>T("269")</f>
        <v>269</v>
      </c>
      <c r="E4177" t="str">
        <f t="shared" si="549"/>
        <v>mollen</v>
      </c>
      <c r="H4177" t="str">
        <f t="shared" si="552"/>
        <v>스토리위즈</v>
      </c>
      <c r="I4177" t="str">
        <f t="shared" si="550"/>
        <v>천재 배우의 다이어리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/>
      <c r="AQ4177">
        <v>0</v>
      </c>
      <c r="AR4177">
        <v>0</v>
      </c>
      <c r="AT4177">
        <v>0</v>
      </c>
      <c r="AU4177">
        <v>0</v>
      </c>
      <c r="AW4177">
        <v>0</v>
      </c>
      <c r="AX4177">
        <v>0</v>
      </c>
      <c r="AY4177">
        <v>70</v>
      </c>
      <c r="BC4177" t="str">
        <f t="shared" si="551"/>
        <v>9791137600683</v>
      </c>
      <c r="BE4177" t="str">
        <f t="shared" si="548"/>
        <v>판타지 웹소설 &gt; 현대 판타지</v>
      </c>
    </row>
    <row r="4178" spans="1:57" x14ac:dyDescent="0.3">
      <c r="A4178">
        <v>2313018633</v>
      </c>
      <c r="B4178">
        <v>2313018902</v>
      </c>
      <c r="C4178" t="str">
        <f>T("천재 배우의 다이어리 270화")</f>
        <v>천재 배우의 다이어리 270화</v>
      </c>
      <c r="D4178" t="str">
        <f>T("270")</f>
        <v>270</v>
      </c>
      <c r="E4178" t="str">
        <f t="shared" si="549"/>
        <v>mollen</v>
      </c>
      <c r="H4178" t="str">
        <f t="shared" si="552"/>
        <v>스토리위즈</v>
      </c>
      <c r="I4178" t="str">
        <f t="shared" si="550"/>
        <v>천재 배우의 다이어리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/>
      <c r="AQ4178">
        <v>0</v>
      </c>
      <c r="AR4178">
        <v>0</v>
      </c>
      <c r="AT4178">
        <v>0</v>
      </c>
      <c r="AU4178">
        <v>0</v>
      </c>
      <c r="AW4178">
        <v>0</v>
      </c>
      <c r="AX4178">
        <v>0</v>
      </c>
      <c r="AY4178">
        <v>70</v>
      </c>
      <c r="BC4178" t="str">
        <f t="shared" si="551"/>
        <v>9791137600683</v>
      </c>
      <c r="BE4178" t="str">
        <f t="shared" si="548"/>
        <v>판타지 웹소설 &gt; 현대 판타지</v>
      </c>
    </row>
    <row r="4179" spans="1:57" x14ac:dyDescent="0.3">
      <c r="A4179">
        <v>2313018633</v>
      </c>
      <c r="B4179">
        <v>2313018903</v>
      </c>
      <c r="C4179" t="str">
        <f>T("천재 배우의 다이어리 271화")</f>
        <v>천재 배우의 다이어리 271화</v>
      </c>
      <c r="D4179" t="str">
        <f>T("271")</f>
        <v>271</v>
      </c>
      <c r="E4179" t="str">
        <f t="shared" si="549"/>
        <v>mollen</v>
      </c>
      <c r="H4179" t="str">
        <f t="shared" si="552"/>
        <v>스토리위즈</v>
      </c>
      <c r="I4179" t="str">
        <f t="shared" si="550"/>
        <v>천재 배우의 다이어리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/>
      <c r="AQ4179">
        <v>0</v>
      </c>
      <c r="AR4179">
        <v>0</v>
      </c>
      <c r="AT4179">
        <v>0</v>
      </c>
      <c r="AU4179">
        <v>0</v>
      </c>
      <c r="AW4179">
        <v>0</v>
      </c>
      <c r="AX4179">
        <v>0</v>
      </c>
      <c r="AY4179">
        <v>70</v>
      </c>
      <c r="BC4179" t="str">
        <f t="shared" si="551"/>
        <v>9791137600683</v>
      </c>
      <c r="BE4179" t="str">
        <f t="shared" si="548"/>
        <v>판타지 웹소설 &gt; 현대 판타지</v>
      </c>
    </row>
    <row r="4180" spans="1:57" x14ac:dyDescent="0.3">
      <c r="A4180">
        <v>2313018633</v>
      </c>
      <c r="B4180">
        <v>2313018904</v>
      </c>
      <c r="C4180" t="str">
        <f>T("천재 배우의 다이어리 272화")</f>
        <v>천재 배우의 다이어리 272화</v>
      </c>
      <c r="D4180" t="str">
        <f>T("272")</f>
        <v>272</v>
      </c>
      <c r="E4180" t="str">
        <f t="shared" si="549"/>
        <v>mollen</v>
      </c>
      <c r="H4180" t="str">
        <f t="shared" si="552"/>
        <v>스토리위즈</v>
      </c>
      <c r="I4180" t="str">
        <f t="shared" si="550"/>
        <v>천재 배우의 다이어리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/>
      <c r="AQ4180">
        <v>0</v>
      </c>
      <c r="AR4180">
        <v>0</v>
      </c>
      <c r="AT4180">
        <v>0</v>
      </c>
      <c r="AU4180">
        <v>0</v>
      </c>
      <c r="AW4180">
        <v>0</v>
      </c>
      <c r="AX4180">
        <v>0</v>
      </c>
      <c r="AY4180">
        <v>70</v>
      </c>
      <c r="BC4180" t="str">
        <f t="shared" si="551"/>
        <v>9791137600683</v>
      </c>
      <c r="BE4180" t="str">
        <f t="shared" si="548"/>
        <v>판타지 웹소설 &gt; 현대 판타지</v>
      </c>
    </row>
    <row r="4181" spans="1:57" x14ac:dyDescent="0.3">
      <c r="A4181">
        <v>2313018633</v>
      </c>
      <c r="B4181">
        <v>2313018905</v>
      </c>
      <c r="C4181" t="str">
        <f>T("천재 배우의 다이어리 273화")</f>
        <v>천재 배우의 다이어리 273화</v>
      </c>
      <c r="D4181" t="str">
        <f>T("273")</f>
        <v>273</v>
      </c>
      <c r="E4181" t="str">
        <f t="shared" si="549"/>
        <v>mollen</v>
      </c>
      <c r="H4181" t="str">
        <f t="shared" si="552"/>
        <v>스토리위즈</v>
      </c>
      <c r="I4181" t="str">
        <f t="shared" si="550"/>
        <v>천재 배우의 다이어리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/>
      <c r="AQ4181">
        <v>0</v>
      </c>
      <c r="AR4181">
        <v>0</v>
      </c>
      <c r="AT4181">
        <v>0</v>
      </c>
      <c r="AU4181">
        <v>0</v>
      </c>
      <c r="AW4181">
        <v>0</v>
      </c>
      <c r="AX4181">
        <v>0</v>
      </c>
      <c r="AY4181">
        <v>70</v>
      </c>
      <c r="BC4181" t="str">
        <f t="shared" si="551"/>
        <v>9791137600683</v>
      </c>
      <c r="BE4181" t="str">
        <f t="shared" si="548"/>
        <v>판타지 웹소설 &gt; 현대 판타지</v>
      </c>
    </row>
    <row r="4182" spans="1:57" x14ac:dyDescent="0.3">
      <c r="A4182">
        <v>2313018633</v>
      </c>
      <c r="B4182">
        <v>2313018906</v>
      </c>
      <c r="C4182" t="str">
        <f>T("천재 배우의 다이어리 274화")</f>
        <v>천재 배우의 다이어리 274화</v>
      </c>
      <c r="D4182" t="str">
        <f>T("274")</f>
        <v>274</v>
      </c>
      <c r="E4182" t="str">
        <f t="shared" si="549"/>
        <v>mollen</v>
      </c>
      <c r="H4182" t="str">
        <f t="shared" si="552"/>
        <v>스토리위즈</v>
      </c>
      <c r="I4182" t="str">
        <f t="shared" si="550"/>
        <v>천재 배우의 다이어리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/>
      <c r="AQ4182">
        <v>0</v>
      </c>
      <c r="AR4182">
        <v>0</v>
      </c>
      <c r="AT4182">
        <v>0</v>
      </c>
      <c r="AU4182">
        <v>0</v>
      </c>
      <c r="AW4182">
        <v>0</v>
      </c>
      <c r="AX4182">
        <v>0</v>
      </c>
      <c r="AY4182">
        <v>70</v>
      </c>
      <c r="BC4182" t="str">
        <f t="shared" si="551"/>
        <v>9791137600683</v>
      </c>
      <c r="BE4182" t="str">
        <f t="shared" si="548"/>
        <v>판타지 웹소설 &gt; 현대 판타지</v>
      </c>
    </row>
    <row r="4183" spans="1:57" x14ac:dyDescent="0.3">
      <c r="A4183">
        <v>2313018633</v>
      </c>
      <c r="B4183">
        <v>2313018907</v>
      </c>
      <c r="C4183" t="str">
        <f>T("천재 배우의 다이어리 275화")</f>
        <v>천재 배우의 다이어리 275화</v>
      </c>
      <c r="D4183" t="str">
        <f>T("275")</f>
        <v>275</v>
      </c>
      <c r="E4183" t="str">
        <f t="shared" si="549"/>
        <v>mollen</v>
      </c>
      <c r="H4183" t="str">
        <f t="shared" si="552"/>
        <v>스토리위즈</v>
      </c>
      <c r="I4183" t="str">
        <f t="shared" si="550"/>
        <v>천재 배우의 다이어리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/>
      <c r="AQ4183">
        <v>0</v>
      </c>
      <c r="AR4183">
        <v>0</v>
      </c>
      <c r="AT4183">
        <v>0</v>
      </c>
      <c r="AU4183">
        <v>0</v>
      </c>
      <c r="AW4183">
        <v>0</v>
      </c>
      <c r="AX4183">
        <v>0</v>
      </c>
      <c r="AY4183">
        <v>70</v>
      </c>
      <c r="BC4183" t="str">
        <f t="shared" si="551"/>
        <v>9791137600683</v>
      </c>
      <c r="BE4183" t="str">
        <f t="shared" si="548"/>
        <v>판타지 웹소설 &gt; 현대 판타지</v>
      </c>
    </row>
    <row r="4184" spans="1:57" x14ac:dyDescent="0.3">
      <c r="A4184">
        <v>2313018633</v>
      </c>
      <c r="B4184">
        <v>2313018908</v>
      </c>
      <c r="C4184" t="str">
        <f>T("천재 배우의 다이어리 276화")</f>
        <v>천재 배우의 다이어리 276화</v>
      </c>
      <c r="D4184" t="str">
        <f>T("276")</f>
        <v>276</v>
      </c>
      <c r="E4184" t="str">
        <f t="shared" si="549"/>
        <v>mollen</v>
      </c>
      <c r="H4184" t="str">
        <f t="shared" si="552"/>
        <v>스토리위즈</v>
      </c>
      <c r="I4184" t="str">
        <f t="shared" si="550"/>
        <v>천재 배우의 다이어리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/>
      <c r="AQ4184">
        <v>0</v>
      </c>
      <c r="AR4184">
        <v>0</v>
      </c>
      <c r="AT4184">
        <v>0</v>
      </c>
      <c r="AU4184">
        <v>0</v>
      </c>
      <c r="AW4184">
        <v>0</v>
      </c>
      <c r="AX4184">
        <v>0</v>
      </c>
      <c r="AY4184">
        <v>70</v>
      </c>
      <c r="BC4184" t="str">
        <f t="shared" si="551"/>
        <v>9791137600683</v>
      </c>
      <c r="BE4184" t="str">
        <f t="shared" ref="BE4184:BE4241" si="553">T("판타지 웹소설 &gt; 현대 판타지")</f>
        <v>판타지 웹소설 &gt; 현대 판타지</v>
      </c>
    </row>
    <row r="4185" spans="1:57" x14ac:dyDescent="0.3">
      <c r="A4185">
        <v>2313018633</v>
      </c>
      <c r="B4185">
        <v>2313018909</v>
      </c>
      <c r="C4185" t="str">
        <f>T("천재 배우의 다이어리 277화")</f>
        <v>천재 배우의 다이어리 277화</v>
      </c>
      <c r="D4185" t="str">
        <f>T("277")</f>
        <v>277</v>
      </c>
      <c r="E4185" t="str">
        <f t="shared" si="549"/>
        <v>mollen</v>
      </c>
      <c r="H4185" t="str">
        <f t="shared" si="552"/>
        <v>스토리위즈</v>
      </c>
      <c r="I4185" t="str">
        <f t="shared" si="550"/>
        <v>천재 배우의 다이어리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/>
      <c r="AQ4185">
        <v>0</v>
      </c>
      <c r="AR4185">
        <v>0</v>
      </c>
      <c r="AT4185">
        <v>0</v>
      </c>
      <c r="AU4185">
        <v>0</v>
      </c>
      <c r="AW4185">
        <v>0</v>
      </c>
      <c r="AX4185">
        <v>0</v>
      </c>
      <c r="AY4185">
        <v>70</v>
      </c>
      <c r="BC4185" t="str">
        <f t="shared" si="551"/>
        <v>9791137600683</v>
      </c>
      <c r="BE4185" t="str">
        <f t="shared" si="553"/>
        <v>판타지 웹소설 &gt; 현대 판타지</v>
      </c>
    </row>
    <row r="4186" spans="1:57" x14ac:dyDescent="0.3">
      <c r="A4186">
        <v>2313018633</v>
      </c>
      <c r="B4186">
        <v>2313018910</v>
      </c>
      <c r="C4186" t="str">
        <f>T("천재 배우의 다이어리 278화")</f>
        <v>천재 배우의 다이어리 278화</v>
      </c>
      <c r="D4186" t="str">
        <f>T("278")</f>
        <v>278</v>
      </c>
      <c r="E4186" t="str">
        <f t="shared" si="549"/>
        <v>mollen</v>
      </c>
      <c r="H4186" t="str">
        <f t="shared" si="552"/>
        <v>스토리위즈</v>
      </c>
      <c r="I4186" t="str">
        <f t="shared" si="550"/>
        <v>천재 배우의 다이어리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/>
      <c r="AQ4186">
        <v>0</v>
      </c>
      <c r="AR4186">
        <v>0</v>
      </c>
      <c r="AT4186">
        <v>0</v>
      </c>
      <c r="AU4186">
        <v>0</v>
      </c>
      <c r="AW4186">
        <v>0</v>
      </c>
      <c r="AX4186">
        <v>0</v>
      </c>
      <c r="AY4186">
        <v>70</v>
      </c>
      <c r="BC4186" t="str">
        <f t="shared" si="551"/>
        <v>9791137600683</v>
      </c>
      <c r="BE4186" t="str">
        <f t="shared" si="553"/>
        <v>판타지 웹소설 &gt; 현대 판타지</v>
      </c>
    </row>
    <row r="4187" spans="1:57" x14ac:dyDescent="0.3">
      <c r="A4187">
        <v>2313018633</v>
      </c>
      <c r="B4187">
        <v>2313018911</v>
      </c>
      <c r="C4187" t="str">
        <f>T("천재 배우의 다이어리 279화")</f>
        <v>천재 배우의 다이어리 279화</v>
      </c>
      <c r="D4187" t="str">
        <f>T("279")</f>
        <v>279</v>
      </c>
      <c r="E4187" t="str">
        <f t="shared" si="549"/>
        <v>mollen</v>
      </c>
      <c r="H4187" t="str">
        <f t="shared" si="552"/>
        <v>스토리위즈</v>
      </c>
      <c r="I4187" t="str">
        <f t="shared" si="550"/>
        <v>천재 배우의 다이어리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/>
      <c r="AQ4187">
        <v>0</v>
      </c>
      <c r="AR4187">
        <v>0</v>
      </c>
      <c r="AT4187">
        <v>0</v>
      </c>
      <c r="AU4187">
        <v>0</v>
      </c>
      <c r="AW4187">
        <v>0</v>
      </c>
      <c r="AX4187">
        <v>0</v>
      </c>
      <c r="AY4187">
        <v>70</v>
      </c>
      <c r="BC4187" t="str">
        <f t="shared" si="551"/>
        <v>9791137600683</v>
      </c>
      <c r="BE4187" t="str">
        <f t="shared" si="553"/>
        <v>판타지 웹소설 &gt; 현대 판타지</v>
      </c>
    </row>
    <row r="4188" spans="1:57" x14ac:dyDescent="0.3">
      <c r="A4188">
        <v>2313018633</v>
      </c>
      <c r="B4188">
        <v>2313018912</v>
      </c>
      <c r="C4188" t="str">
        <f>T("천재 배우의 다이어리 280화")</f>
        <v>천재 배우의 다이어리 280화</v>
      </c>
      <c r="D4188" t="str">
        <f>T("280")</f>
        <v>280</v>
      </c>
      <c r="E4188" t="str">
        <f t="shared" si="549"/>
        <v>mollen</v>
      </c>
      <c r="H4188" t="str">
        <f t="shared" si="552"/>
        <v>스토리위즈</v>
      </c>
      <c r="I4188" t="str">
        <f t="shared" si="550"/>
        <v>천재 배우의 다이어리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/>
      <c r="AQ4188">
        <v>0</v>
      </c>
      <c r="AR4188">
        <v>0</v>
      </c>
      <c r="AT4188">
        <v>0</v>
      </c>
      <c r="AU4188">
        <v>0</v>
      </c>
      <c r="AW4188">
        <v>0</v>
      </c>
      <c r="AX4188">
        <v>0</v>
      </c>
      <c r="AY4188">
        <v>70</v>
      </c>
      <c r="BC4188" t="str">
        <f t="shared" si="551"/>
        <v>9791137600683</v>
      </c>
      <c r="BE4188" t="str">
        <f t="shared" si="553"/>
        <v>판타지 웹소설 &gt; 현대 판타지</v>
      </c>
    </row>
    <row r="4189" spans="1:57" x14ac:dyDescent="0.3">
      <c r="A4189">
        <v>2313018633</v>
      </c>
      <c r="B4189">
        <v>2313018913</v>
      </c>
      <c r="C4189" t="str">
        <f>T("천재 배우의 다이어리 281화")</f>
        <v>천재 배우의 다이어리 281화</v>
      </c>
      <c r="D4189" t="str">
        <f>T("281")</f>
        <v>281</v>
      </c>
      <c r="E4189" t="str">
        <f t="shared" si="549"/>
        <v>mollen</v>
      </c>
      <c r="H4189" t="str">
        <f t="shared" si="552"/>
        <v>스토리위즈</v>
      </c>
      <c r="I4189" t="str">
        <f t="shared" si="550"/>
        <v>천재 배우의 다이어리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/>
      <c r="AQ4189">
        <v>0</v>
      </c>
      <c r="AR4189">
        <v>0</v>
      </c>
      <c r="AT4189">
        <v>0</v>
      </c>
      <c r="AU4189">
        <v>0</v>
      </c>
      <c r="AW4189">
        <v>0</v>
      </c>
      <c r="AX4189">
        <v>0</v>
      </c>
      <c r="AY4189">
        <v>70</v>
      </c>
      <c r="BC4189" t="str">
        <f t="shared" si="551"/>
        <v>9791137600683</v>
      </c>
      <c r="BE4189" t="str">
        <f t="shared" si="553"/>
        <v>판타지 웹소설 &gt; 현대 판타지</v>
      </c>
    </row>
    <row r="4190" spans="1:57" x14ac:dyDescent="0.3">
      <c r="A4190">
        <v>2313018633</v>
      </c>
      <c r="B4190">
        <v>2313018914</v>
      </c>
      <c r="C4190" t="str">
        <f>T("천재 배우의 다이어리 282화")</f>
        <v>천재 배우의 다이어리 282화</v>
      </c>
      <c r="D4190" t="str">
        <f>T("282")</f>
        <v>282</v>
      </c>
      <c r="E4190" t="str">
        <f t="shared" ref="E4190:E4241" si="554">T("mollen")</f>
        <v>mollen</v>
      </c>
      <c r="H4190" t="str">
        <f t="shared" si="552"/>
        <v>스토리위즈</v>
      </c>
      <c r="I4190" t="str">
        <f t="shared" ref="I4190:I4241" si="555">T("천재 배우의 다이어리")</f>
        <v>천재 배우의 다이어리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/>
      <c r="AQ4190">
        <v>0</v>
      </c>
      <c r="AR4190">
        <v>0</v>
      </c>
      <c r="AT4190">
        <v>0</v>
      </c>
      <c r="AU4190">
        <v>0</v>
      </c>
      <c r="AW4190">
        <v>0</v>
      </c>
      <c r="AX4190">
        <v>0</v>
      </c>
      <c r="AY4190">
        <v>70</v>
      </c>
      <c r="BC4190" t="str">
        <f t="shared" ref="BC4190:BC4241" si="556">T("9791137600683")</f>
        <v>9791137600683</v>
      </c>
      <c r="BE4190" t="str">
        <f t="shared" si="553"/>
        <v>판타지 웹소설 &gt; 현대 판타지</v>
      </c>
    </row>
    <row r="4191" spans="1:57" x14ac:dyDescent="0.3">
      <c r="A4191">
        <v>2313018633</v>
      </c>
      <c r="B4191">
        <v>2313018915</v>
      </c>
      <c r="C4191" t="str">
        <f>T("천재 배우의 다이어리 283화")</f>
        <v>천재 배우의 다이어리 283화</v>
      </c>
      <c r="D4191" t="str">
        <f>T("283")</f>
        <v>283</v>
      </c>
      <c r="E4191" t="str">
        <f t="shared" si="554"/>
        <v>mollen</v>
      </c>
      <c r="H4191" t="str">
        <f t="shared" si="552"/>
        <v>스토리위즈</v>
      </c>
      <c r="I4191" t="str">
        <f t="shared" si="555"/>
        <v>천재 배우의 다이어리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/>
      <c r="AQ4191">
        <v>0</v>
      </c>
      <c r="AR4191">
        <v>0</v>
      </c>
      <c r="AT4191">
        <v>0</v>
      </c>
      <c r="AU4191">
        <v>0</v>
      </c>
      <c r="AW4191">
        <v>0</v>
      </c>
      <c r="AX4191">
        <v>0</v>
      </c>
      <c r="AY4191">
        <v>70</v>
      </c>
      <c r="BC4191" t="str">
        <f t="shared" si="556"/>
        <v>9791137600683</v>
      </c>
      <c r="BE4191" t="str">
        <f t="shared" si="553"/>
        <v>판타지 웹소설 &gt; 현대 판타지</v>
      </c>
    </row>
    <row r="4192" spans="1:57" x14ac:dyDescent="0.3">
      <c r="A4192">
        <v>2313018633</v>
      </c>
      <c r="B4192">
        <v>2313018916</v>
      </c>
      <c r="C4192" t="str">
        <f>T("천재 배우의 다이어리 284화")</f>
        <v>천재 배우의 다이어리 284화</v>
      </c>
      <c r="D4192" t="str">
        <f>T("284")</f>
        <v>284</v>
      </c>
      <c r="E4192" t="str">
        <f t="shared" si="554"/>
        <v>mollen</v>
      </c>
      <c r="H4192" t="str">
        <f t="shared" si="552"/>
        <v>스토리위즈</v>
      </c>
      <c r="I4192" t="str">
        <f t="shared" si="555"/>
        <v>천재 배우의 다이어리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/>
      <c r="AQ4192">
        <v>0</v>
      </c>
      <c r="AR4192">
        <v>0</v>
      </c>
      <c r="AT4192">
        <v>0</v>
      </c>
      <c r="AU4192">
        <v>0</v>
      </c>
      <c r="AW4192">
        <v>0</v>
      </c>
      <c r="AX4192">
        <v>0</v>
      </c>
      <c r="AY4192">
        <v>70</v>
      </c>
      <c r="BC4192" t="str">
        <f t="shared" si="556"/>
        <v>9791137600683</v>
      </c>
      <c r="BE4192" t="str">
        <f t="shared" si="553"/>
        <v>판타지 웹소설 &gt; 현대 판타지</v>
      </c>
    </row>
    <row r="4193" spans="1:57" x14ac:dyDescent="0.3">
      <c r="A4193">
        <v>2313018633</v>
      </c>
      <c r="B4193">
        <v>2313018917</v>
      </c>
      <c r="C4193" t="str">
        <f>T("천재 배우의 다이어리 285화")</f>
        <v>천재 배우의 다이어리 285화</v>
      </c>
      <c r="D4193" t="str">
        <f>T("285")</f>
        <v>285</v>
      </c>
      <c r="E4193" t="str">
        <f t="shared" si="554"/>
        <v>mollen</v>
      </c>
      <c r="H4193" t="str">
        <f t="shared" si="552"/>
        <v>스토리위즈</v>
      </c>
      <c r="I4193" t="str">
        <f t="shared" si="555"/>
        <v>천재 배우의 다이어리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/>
      <c r="AQ4193">
        <v>0</v>
      </c>
      <c r="AR4193">
        <v>0</v>
      </c>
      <c r="AT4193">
        <v>0</v>
      </c>
      <c r="AU4193">
        <v>0</v>
      </c>
      <c r="AW4193">
        <v>0</v>
      </c>
      <c r="AX4193">
        <v>0</v>
      </c>
      <c r="AY4193">
        <v>70</v>
      </c>
      <c r="BC4193" t="str">
        <f t="shared" si="556"/>
        <v>9791137600683</v>
      </c>
      <c r="BE4193" t="str">
        <f t="shared" si="553"/>
        <v>판타지 웹소설 &gt; 현대 판타지</v>
      </c>
    </row>
    <row r="4194" spans="1:57" x14ac:dyDescent="0.3">
      <c r="A4194">
        <v>2313018633</v>
      </c>
      <c r="B4194">
        <v>2313018918</v>
      </c>
      <c r="C4194" t="str">
        <f>T("천재 배우의 다이어리 286화")</f>
        <v>천재 배우의 다이어리 286화</v>
      </c>
      <c r="D4194" t="str">
        <f>T("286")</f>
        <v>286</v>
      </c>
      <c r="E4194" t="str">
        <f t="shared" si="554"/>
        <v>mollen</v>
      </c>
      <c r="H4194" t="str">
        <f t="shared" si="552"/>
        <v>스토리위즈</v>
      </c>
      <c r="I4194" t="str">
        <f t="shared" si="555"/>
        <v>천재 배우의 다이어리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/>
      <c r="AQ4194">
        <v>0</v>
      </c>
      <c r="AR4194">
        <v>0</v>
      </c>
      <c r="AT4194">
        <v>0</v>
      </c>
      <c r="AU4194">
        <v>0</v>
      </c>
      <c r="AW4194">
        <v>0</v>
      </c>
      <c r="AX4194">
        <v>0</v>
      </c>
      <c r="AY4194">
        <v>70</v>
      </c>
      <c r="BC4194" t="str">
        <f t="shared" si="556"/>
        <v>9791137600683</v>
      </c>
      <c r="BE4194" t="str">
        <f t="shared" si="553"/>
        <v>판타지 웹소설 &gt; 현대 판타지</v>
      </c>
    </row>
    <row r="4195" spans="1:57" x14ac:dyDescent="0.3">
      <c r="A4195">
        <v>2313018633</v>
      </c>
      <c r="B4195">
        <v>2313018919</v>
      </c>
      <c r="C4195" t="str">
        <f>T("천재 배우의 다이어리 287화")</f>
        <v>천재 배우의 다이어리 287화</v>
      </c>
      <c r="D4195" t="str">
        <f>T("287")</f>
        <v>287</v>
      </c>
      <c r="E4195" t="str">
        <f t="shared" si="554"/>
        <v>mollen</v>
      </c>
      <c r="H4195" t="str">
        <f t="shared" si="552"/>
        <v>스토리위즈</v>
      </c>
      <c r="I4195" t="str">
        <f t="shared" si="555"/>
        <v>천재 배우의 다이어리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/>
      <c r="AQ4195">
        <v>0</v>
      </c>
      <c r="AR4195">
        <v>0</v>
      </c>
      <c r="AT4195">
        <v>0</v>
      </c>
      <c r="AU4195">
        <v>0</v>
      </c>
      <c r="AW4195">
        <v>0</v>
      </c>
      <c r="AX4195">
        <v>0</v>
      </c>
      <c r="AY4195">
        <v>70</v>
      </c>
      <c r="BC4195" t="str">
        <f t="shared" si="556"/>
        <v>9791137600683</v>
      </c>
      <c r="BE4195" t="str">
        <f t="shared" si="553"/>
        <v>판타지 웹소설 &gt; 현대 판타지</v>
      </c>
    </row>
    <row r="4196" spans="1:57" x14ac:dyDescent="0.3">
      <c r="A4196">
        <v>2313018633</v>
      </c>
      <c r="B4196">
        <v>2313018920</v>
      </c>
      <c r="C4196" t="str">
        <f>T("천재 배우의 다이어리 288화")</f>
        <v>천재 배우의 다이어리 288화</v>
      </c>
      <c r="D4196" t="str">
        <f>T("288")</f>
        <v>288</v>
      </c>
      <c r="E4196" t="str">
        <f t="shared" si="554"/>
        <v>mollen</v>
      </c>
      <c r="H4196" t="str">
        <f t="shared" si="552"/>
        <v>스토리위즈</v>
      </c>
      <c r="I4196" t="str">
        <f t="shared" si="555"/>
        <v>천재 배우의 다이어리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/>
      <c r="AQ4196">
        <v>0</v>
      </c>
      <c r="AR4196">
        <v>0</v>
      </c>
      <c r="AT4196">
        <v>0</v>
      </c>
      <c r="AU4196">
        <v>0</v>
      </c>
      <c r="AW4196">
        <v>0</v>
      </c>
      <c r="AX4196">
        <v>0</v>
      </c>
      <c r="AY4196">
        <v>70</v>
      </c>
      <c r="BC4196" t="str">
        <f t="shared" si="556"/>
        <v>9791137600683</v>
      </c>
      <c r="BE4196" t="str">
        <f t="shared" si="553"/>
        <v>판타지 웹소설 &gt; 현대 판타지</v>
      </c>
    </row>
    <row r="4197" spans="1:57" x14ac:dyDescent="0.3">
      <c r="A4197">
        <v>2313018633</v>
      </c>
      <c r="B4197">
        <v>2313018921</v>
      </c>
      <c r="C4197" t="str">
        <f>T("천재 배우의 다이어리 289화")</f>
        <v>천재 배우의 다이어리 289화</v>
      </c>
      <c r="D4197" t="str">
        <f>T("289")</f>
        <v>289</v>
      </c>
      <c r="E4197" t="str">
        <f t="shared" si="554"/>
        <v>mollen</v>
      </c>
      <c r="H4197" t="str">
        <f t="shared" si="552"/>
        <v>스토리위즈</v>
      </c>
      <c r="I4197" t="str">
        <f t="shared" si="555"/>
        <v>천재 배우의 다이어리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/>
      <c r="AQ4197">
        <v>0</v>
      </c>
      <c r="AR4197">
        <v>0</v>
      </c>
      <c r="AT4197">
        <v>0</v>
      </c>
      <c r="AU4197">
        <v>0</v>
      </c>
      <c r="AW4197">
        <v>0</v>
      </c>
      <c r="AX4197">
        <v>0</v>
      </c>
      <c r="AY4197">
        <v>70</v>
      </c>
      <c r="BC4197" t="str">
        <f t="shared" si="556"/>
        <v>9791137600683</v>
      </c>
      <c r="BE4197" t="str">
        <f t="shared" si="553"/>
        <v>판타지 웹소설 &gt; 현대 판타지</v>
      </c>
    </row>
    <row r="4198" spans="1:57" x14ac:dyDescent="0.3">
      <c r="A4198">
        <v>2313018633</v>
      </c>
      <c r="B4198">
        <v>2313018922</v>
      </c>
      <c r="C4198" t="str">
        <f>T("천재 배우의 다이어리 290화")</f>
        <v>천재 배우의 다이어리 290화</v>
      </c>
      <c r="D4198" t="str">
        <f>T("290")</f>
        <v>290</v>
      </c>
      <c r="E4198" t="str">
        <f t="shared" si="554"/>
        <v>mollen</v>
      </c>
      <c r="H4198" t="str">
        <f t="shared" si="552"/>
        <v>스토리위즈</v>
      </c>
      <c r="I4198" t="str">
        <f t="shared" si="555"/>
        <v>천재 배우의 다이어리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/>
      <c r="AQ4198">
        <v>0</v>
      </c>
      <c r="AR4198">
        <v>0</v>
      </c>
      <c r="AT4198">
        <v>0</v>
      </c>
      <c r="AU4198">
        <v>0</v>
      </c>
      <c r="AW4198">
        <v>0</v>
      </c>
      <c r="AX4198">
        <v>0</v>
      </c>
      <c r="AY4198">
        <v>70</v>
      </c>
      <c r="BC4198" t="str">
        <f t="shared" si="556"/>
        <v>9791137600683</v>
      </c>
      <c r="BE4198" t="str">
        <f t="shared" si="553"/>
        <v>판타지 웹소설 &gt; 현대 판타지</v>
      </c>
    </row>
    <row r="4199" spans="1:57" x14ac:dyDescent="0.3">
      <c r="A4199">
        <v>2313018633</v>
      </c>
      <c r="B4199">
        <v>2313018923</v>
      </c>
      <c r="C4199" t="str">
        <f>T("천재 배우의 다이어리 291화")</f>
        <v>천재 배우의 다이어리 291화</v>
      </c>
      <c r="D4199" t="str">
        <f>T("291")</f>
        <v>291</v>
      </c>
      <c r="E4199" t="str">
        <f t="shared" si="554"/>
        <v>mollen</v>
      </c>
      <c r="H4199" t="str">
        <f t="shared" si="552"/>
        <v>스토리위즈</v>
      </c>
      <c r="I4199" t="str">
        <f t="shared" si="555"/>
        <v>천재 배우의 다이어리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/>
      <c r="AQ4199">
        <v>0</v>
      </c>
      <c r="AR4199">
        <v>0</v>
      </c>
      <c r="AT4199">
        <v>0</v>
      </c>
      <c r="AU4199">
        <v>0</v>
      </c>
      <c r="AW4199">
        <v>0</v>
      </c>
      <c r="AX4199">
        <v>0</v>
      </c>
      <c r="AY4199">
        <v>70</v>
      </c>
      <c r="BC4199" t="str">
        <f t="shared" si="556"/>
        <v>9791137600683</v>
      </c>
      <c r="BE4199" t="str">
        <f t="shared" si="553"/>
        <v>판타지 웹소설 &gt; 현대 판타지</v>
      </c>
    </row>
    <row r="4200" spans="1:57" x14ac:dyDescent="0.3">
      <c r="A4200">
        <v>2313018633</v>
      </c>
      <c r="B4200">
        <v>2313018924</v>
      </c>
      <c r="C4200" t="str">
        <f>T("천재 배우의 다이어리 292화")</f>
        <v>천재 배우의 다이어리 292화</v>
      </c>
      <c r="D4200" t="str">
        <f>T("292")</f>
        <v>292</v>
      </c>
      <c r="E4200" t="str">
        <f t="shared" si="554"/>
        <v>mollen</v>
      </c>
      <c r="H4200" t="str">
        <f t="shared" si="552"/>
        <v>스토리위즈</v>
      </c>
      <c r="I4200" t="str">
        <f t="shared" si="555"/>
        <v>천재 배우의 다이어리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/>
      <c r="AQ4200">
        <v>0</v>
      </c>
      <c r="AR4200">
        <v>0</v>
      </c>
      <c r="AT4200">
        <v>0</v>
      </c>
      <c r="AU4200">
        <v>0</v>
      </c>
      <c r="AW4200">
        <v>0</v>
      </c>
      <c r="AX4200">
        <v>0</v>
      </c>
      <c r="AY4200">
        <v>70</v>
      </c>
      <c r="BC4200" t="str">
        <f t="shared" si="556"/>
        <v>9791137600683</v>
      </c>
      <c r="BE4200" t="str">
        <f t="shared" si="553"/>
        <v>판타지 웹소설 &gt; 현대 판타지</v>
      </c>
    </row>
    <row r="4201" spans="1:57" x14ac:dyDescent="0.3">
      <c r="A4201">
        <v>2313018633</v>
      </c>
      <c r="B4201">
        <v>2313018925</v>
      </c>
      <c r="C4201" t="str">
        <f>T("천재 배우의 다이어리 293화")</f>
        <v>천재 배우의 다이어리 293화</v>
      </c>
      <c r="D4201" t="str">
        <f>T("293")</f>
        <v>293</v>
      </c>
      <c r="E4201" t="str">
        <f t="shared" si="554"/>
        <v>mollen</v>
      </c>
      <c r="H4201" t="str">
        <f t="shared" si="552"/>
        <v>스토리위즈</v>
      </c>
      <c r="I4201" t="str">
        <f t="shared" si="555"/>
        <v>천재 배우의 다이어리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/>
      <c r="AQ4201">
        <v>0</v>
      </c>
      <c r="AR4201">
        <v>0</v>
      </c>
      <c r="AT4201">
        <v>0</v>
      </c>
      <c r="AU4201">
        <v>0</v>
      </c>
      <c r="AW4201">
        <v>0</v>
      </c>
      <c r="AX4201">
        <v>0</v>
      </c>
      <c r="AY4201">
        <v>70</v>
      </c>
      <c r="BC4201" t="str">
        <f t="shared" si="556"/>
        <v>9791137600683</v>
      </c>
      <c r="BE4201" t="str">
        <f t="shared" si="553"/>
        <v>판타지 웹소설 &gt; 현대 판타지</v>
      </c>
    </row>
    <row r="4202" spans="1:57" x14ac:dyDescent="0.3">
      <c r="A4202">
        <v>2313018633</v>
      </c>
      <c r="B4202">
        <v>2313018926</v>
      </c>
      <c r="C4202" t="str">
        <f>T("천재 배우의 다이어리 294화")</f>
        <v>천재 배우의 다이어리 294화</v>
      </c>
      <c r="D4202" t="str">
        <f>T("294")</f>
        <v>294</v>
      </c>
      <c r="E4202" t="str">
        <f t="shared" si="554"/>
        <v>mollen</v>
      </c>
      <c r="H4202" t="str">
        <f t="shared" si="552"/>
        <v>스토리위즈</v>
      </c>
      <c r="I4202" t="str">
        <f t="shared" si="555"/>
        <v>천재 배우의 다이어리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/>
      <c r="AQ4202">
        <v>0</v>
      </c>
      <c r="AR4202">
        <v>0</v>
      </c>
      <c r="AT4202">
        <v>0</v>
      </c>
      <c r="AU4202">
        <v>0</v>
      </c>
      <c r="AW4202">
        <v>0</v>
      </c>
      <c r="AX4202">
        <v>0</v>
      </c>
      <c r="AY4202">
        <v>70</v>
      </c>
      <c r="BC4202" t="str">
        <f t="shared" si="556"/>
        <v>9791137600683</v>
      </c>
      <c r="BE4202" t="str">
        <f t="shared" si="553"/>
        <v>판타지 웹소설 &gt; 현대 판타지</v>
      </c>
    </row>
    <row r="4203" spans="1:57" x14ac:dyDescent="0.3">
      <c r="A4203">
        <v>2313018633</v>
      </c>
      <c r="B4203">
        <v>2313018927</v>
      </c>
      <c r="C4203" t="str">
        <f>T("천재 배우의 다이어리 295화")</f>
        <v>천재 배우의 다이어리 295화</v>
      </c>
      <c r="D4203" t="str">
        <f>T("295")</f>
        <v>295</v>
      </c>
      <c r="E4203" t="str">
        <f t="shared" si="554"/>
        <v>mollen</v>
      </c>
      <c r="H4203" t="str">
        <f t="shared" si="552"/>
        <v>스토리위즈</v>
      </c>
      <c r="I4203" t="str">
        <f t="shared" si="555"/>
        <v>천재 배우의 다이어리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/>
      <c r="AQ4203">
        <v>0</v>
      </c>
      <c r="AR4203">
        <v>0</v>
      </c>
      <c r="AT4203">
        <v>0</v>
      </c>
      <c r="AU4203">
        <v>0</v>
      </c>
      <c r="AW4203">
        <v>0</v>
      </c>
      <c r="AX4203">
        <v>0</v>
      </c>
      <c r="AY4203">
        <v>70</v>
      </c>
      <c r="BC4203" t="str">
        <f t="shared" si="556"/>
        <v>9791137600683</v>
      </c>
      <c r="BE4203" t="str">
        <f t="shared" si="553"/>
        <v>판타지 웹소설 &gt; 현대 판타지</v>
      </c>
    </row>
    <row r="4204" spans="1:57" x14ac:dyDescent="0.3">
      <c r="A4204">
        <v>2313018633</v>
      </c>
      <c r="B4204">
        <v>2313018928</v>
      </c>
      <c r="C4204" t="str">
        <f>T("천재 배우의 다이어리 296화")</f>
        <v>천재 배우의 다이어리 296화</v>
      </c>
      <c r="D4204" t="str">
        <f>T("296")</f>
        <v>296</v>
      </c>
      <c r="E4204" t="str">
        <f t="shared" si="554"/>
        <v>mollen</v>
      </c>
      <c r="H4204" t="str">
        <f t="shared" si="552"/>
        <v>스토리위즈</v>
      </c>
      <c r="I4204" t="str">
        <f t="shared" si="555"/>
        <v>천재 배우의 다이어리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/>
      <c r="AQ4204">
        <v>0</v>
      </c>
      <c r="AR4204">
        <v>0</v>
      </c>
      <c r="AT4204">
        <v>0</v>
      </c>
      <c r="AU4204">
        <v>0</v>
      </c>
      <c r="AW4204">
        <v>0</v>
      </c>
      <c r="AX4204">
        <v>0</v>
      </c>
      <c r="AY4204">
        <v>70</v>
      </c>
      <c r="BC4204" t="str">
        <f t="shared" si="556"/>
        <v>9791137600683</v>
      </c>
      <c r="BE4204" t="str">
        <f t="shared" si="553"/>
        <v>판타지 웹소설 &gt; 현대 판타지</v>
      </c>
    </row>
    <row r="4205" spans="1:57" x14ac:dyDescent="0.3">
      <c r="A4205">
        <v>2313018633</v>
      </c>
      <c r="B4205">
        <v>2313018929</v>
      </c>
      <c r="C4205" t="str">
        <f>T("천재 배우의 다이어리 297화")</f>
        <v>천재 배우의 다이어리 297화</v>
      </c>
      <c r="D4205" t="str">
        <f>T("297")</f>
        <v>297</v>
      </c>
      <c r="E4205" t="str">
        <f t="shared" si="554"/>
        <v>mollen</v>
      </c>
      <c r="H4205" t="str">
        <f t="shared" si="552"/>
        <v>스토리위즈</v>
      </c>
      <c r="I4205" t="str">
        <f t="shared" si="555"/>
        <v>천재 배우의 다이어리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/>
      <c r="AQ4205">
        <v>0</v>
      </c>
      <c r="AR4205">
        <v>0</v>
      </c>
      <c r="AT4205">
        <v>0</v>
      </c>
      <c r="AU4205">
        <v>0</v>
      </c>
      <c r="AW4205">
        <v>0</v>
      </c>
      <c r="AX4205">
        <v>0</v>
      </c>
      <c r="AY4205">
        <v>70</v>
      </c>
      <c r="BC4205" t="str">
        <f t="shared" si="556"/>
        <v>9791137600683</v>
      </c>
      <c r="BE4205" t="str">
        <f t="shared" si="553"/>
        <v>판타지 웹소설 &gt; 현대 판타지</v>
      </c>
    </row>
    <row r="4206" spans="1:57" x14ac:dyDescent="0.3">
      <c r="A4206">
        <v>2313018633</v>
      </c>
      <c r="B4206">
        <v>2313018930</v>
      </c>
      <c r="C4206" t="str">
        <f>T("천재 배우의 다이어리 298화")</f>
        <v>천재 배우의 다이어리 298화</v>
      </c>
      <c r="D4206" t="str">
        <f>T("298")</f>
        <v>298</v>
      </c>
      <c r="E4206" t="str">
        <f t="shared" si="554"/>
        <v>mollen</v>
      </c>
      <c r="H4206" t="str">
        <f t="shared" si="552"/>
        <v>스토리위즈</v>
      </c>
      <c r="I4206" t="str">
        <f t="shared" si="555"/>
        <v>천재 배우의 다이어리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/>
      <c r="AQ4206">
        <v>0</v>
      </c>
      <c r="AR4206">
        <v>0</v>
      </c>
      <c r="AT4206">
        <v>0</v>
      </c>
      <c r="AU4206">
        <v>0</v>
      </c>
      <c r="AW4206">
        <v>0</v>
      </c>
      <c r="AX4206">
        <v>0</v>
      </c>
      <c r="AY4206">
        <v>70</v>
      </c>
      <c r="BC4206" t="str">
        <f t="shared" si="556"/>
        <v>9791137600683</v>
      </c>
      <c r="BE4206" t="str">
        <f t="shared" si="553"/>
        <v>판타지 웹소설 &gt; 현대 판타지</v>
      </c>
    </row>
    <row r="4207" spans="1:57" x14ac:dyDescent="0.3">
      <c r="A4207">
        <v>2313018633</v>
      </c>
      <c r="B4207">
        <v>2313018931</v>
      </c>
      <c r="C4207" t="str">
        <f>T("천재 배우의 다이어리 299화")</f>
        <v>천재 배우의 다이어리 299화</v>
      </c>
      <c r="D4207" t="str">
        <f>T("299")</f>
        <v>299</v>
      </c>
      <c r="E4207" t="str">
        <f t="shared" si="554"/>
        <v>mollen</v>
      </c>
      <c r="H4207" t="str">
        <f t="shared" si="552"/>
        <v>스토리위즈</v>
      </c>
      <c r="I4207" t="str">
        <f t="shared" si="555"/>
        <v>천재 배우의 다이어리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/>
      <c r="AQ4207">
        <v>0</v>
      </c>
      <c r="AR4207">
        <v>0</v>
      </c>
      <c r="AT4207">
        <v>0</v>
      </c>
      <c r="AU4207">
        <v>0</v>
      </c>
      <c r="AW4207">
        <v>0</v>
      </c>
      <c r="AX4207">
        <v>0</v>
      </c>
      <c r="AY4207">
        <v>70</v>
      </c>
      <c r="BC4207" t="str">
        <f t="shared" si="556"/>
        <v>9791137600683</v>
      </c>
      <c r="BE4207" t="str">
        <f t="shared" si="553"/>
        <v>판타지 웹소설 &gt; 현대 판타지</v>
      </c>
    </row>
    <row r="4208" spans="1:57" x14ac:dyDescent="0.3">
      <c r="A4208">
        <v>2313018633</v>
      </c>
      <c r="B4208">
        <v>2313018932</v>
      </c>
      <c r="C4208" t="str">
        <f>T("천재 배우의 다이어리 300화")</f>
        <v>천재 배우의 다이어리 300화</v>
      </c>
      <c r="D4208" t="str">
        <f>T("300")</f>
        <v>300</v>
      </c>
      <c r="E4208" t="str">
        <f t="shared" si="554"/>
        <v>mollen</v>
      </c>
      <c r="H4208" t="str">
        <f t="shared" si="552"/>
        <v>스토리위즈</v>
      </c>
      <c r="I4208" t="str">
        <f t="shared" si="555"/>
        <v>천재 배우의 다이어리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/>
      <c r="AQ4208">
        <v>0</v>
      </c>
      <c r="AR4208">
        <v>0</v>
      </c>
      <c r="AT4208">
        <v>0</v>
      </c>
      <c r="AU4208">
        <v>0</v>
      </c>
      <c r="AW4208">
        <v>0</v>
      </c>
      <c r="AX4208">
        <v>0</v>
      </c>
      <c r="AY4208">
        <v>70</v>
      </c>
      <c r="BC4208" t="str">
        <f t="shared" si="556"/>
        <v>9791137600683</v>
      </c>
      <c r="BE4208" t="str">
        <f t="shared" si="553"/>
        <v>판타지 웹소설 &gt; 현대 판타지</v>
      </c>
    </row>
    <row r="4209" spans="1:57" x14ac:dyDescent="0.3">
      <c r="A4209">
        <v>2313018633</v>
      </c>
      <c r="B4209">
        <v>2313018933</v>
      </c>
      <c r="C4209" t="str">
        <f>T("천재 배우의 다이어리 301화")</f>
        <v>천재 배우의 다이어리 301화</v>
      </c>
      <c r="D4209" t="str">
        <f>T("301")</f>
        <v>301</v>
      </c>
      <c r="E4209" t="str">
        <f t="shared" si="554"/>
        <v>mollen</v>
      </c>
      <c r="H4209" t="str">
        <f t="shared" si="552"/>
        <v>스토리위즈</v>
      </c>
      <c r="I4209" t="str">
        <f t="shared" si="555"/>
        <v>천재 배우의 다이어리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/>
      <c r="AQ4209">
        <v>0</v>
      </c>
      <c r="AR4209">
        <v>0</v>
      </c>
      <c r="AT4209">
        <v>0</v>
      </c>
      <c r="AU4209">
        <v>0</v>
      </c>
      <c r="AW4209">
        <v>0</v>
      </c>
      <c r="AX4209">
        <v>0</v>
      </c>
      <c r="AY4209">
        <v>70</v>
      </c>
      <c r="BC4209" t="str">
        <f t="shared" si="556"/>
        <v>9791137600683</v>
      </c>
      <c r="BE4209" t="str">
        <f t="shared" si="553"/>
        <v>판타지 웹소설 &gt; 현대 판타지</v>
      </c>
    </row>
    <row r="4210" spans="1:57" x14ac:dyDescent="0.3">
      <c r="A4210">
        <v>2313018633</v>
      </c>
      <c r="B4210">
        <v>2313018934</v>
      </c>
      <c r="C4210" t="str">
        <f>T("천재 배우의 다이어리 302화")</f>
        <v>천재 배우의 다이어리 302화</v>
      </c>
      <c r="D4210" t="str">
        <f>T("302")</f>
        <v>302</v>
      </c>
      <c r="E4210" t="str">
        <f t="shared" si="554"/>
        <v>mollen</v>
      </c>
      <c r="H4210" t="str">
        <f t="shared" si="552"/>
        <v>스토리위즈</v>
      </c>
      <c r="I4210" t="str">
        <f t="shared" si="555"/>
        <v>천재 배우의 다이어리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/>
      <c r="AQ4210">
        <v>0</v>
      </c>
      <c r="AR4210">
        <v>0</v>
      </c>
      <c r="AT4210">
        <v>0</v>
      </c>
      <c r="AU4210">
        <v>0</v>
      </c>
      <c r="AW4210">
        <v>0</v>
      </c>
      <c r="AX4210">
        <v>0</v>
      </c>
      <c r="AY4210">
        <v>70</v>
      </c>
      <c r="BC4210" t="str">
        <f t="shared" si="556"/>
        <v>9791137600683</v>
      </c>
      <c r="BE4210" t="str">
        <f t="shared" si="553"/>
        <v>판타지 웹소설 &gt; 현대 판타지</v>
      </c>
    </row>
    <row r="4211" spans="1:57" x14ac:dyDescent="0.3">
      <c r="A4211">
        <v>2313018633</v>
      </c>
      <c r="B4211">
        <v>2313018935</v>
      </c>
      <c r="C4211" t="str">
        <f>T("천재 배우의 다이어리 303화")</f>
        <v>천재 배우의 다이어리 303화</v>
      </c>
      <c r="D4211" t="str">
        <f>T("303")</f>
        <v>303</v>
      </c>
      <c r="E4211" t="str">
        <f t="shared" si="554"/>
        <v>mollen</v>
      </c>
      <c r="H4211" t="str">
        <f t="shared" si="552"/>
        <v>스토리위즈</v>
      </c>
      <c r="I4211" t="str">
        <f t="shared" si="555"/>
        <v>천재 배우의 다이어리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/>
      <c r="AQ4211">
        <v>0</v>
      </c>
      <c r="AR4211">
        <v>0</v>
      </c>
      <c r="AT4211">
        <v>0</v>
      </c>
      <c r="AU4211">
        <v>0</v>
      </c>
      <c r="AW4211">
        <v>0</v>
      </c>
      <c r="AX4211">
        <v>0</v>
      </c>
      <c r="AY4211">
        <v>70</v>
      </c>
      <c r="BC4211" t="str">
        <f t="shared" si="556"/>
        <v>9791137600683</v>
      </c>
      <c r="BE4211" t="str">
        <f t="shared" si="553"/>
        <v>판타지 웹소설 &gt; 현대 판타지</v>
      </c>
    </row>
    <row r="4212" spans="1:57" x14ac:dyDescent="0.3">
      <c r="A4212">
        <v>2313018633</v>
      </c>
      <c r="B4212">
        <v>2313018936</v>
      </c>
      <c r="C4212" t="str">
        <f>T("천재 배우의 다이어리 304화")</f>
        <v>천재 배우의 다이어리 304화</v>
      </c>
      <c r="D4212" t="str">
        <f>T("304")</f>
        <v>304</v>
      </c>
      <c r="E4212" t="str">
        <f t="shared" si="554"/>
        <v>mollen</v>
      </c>
      <c r="H4212" t="str">
        <f t="shared" si="552"/>
        <v>스토리위즈</v>
      </c>
      <c r="I4212" t="str">
        <f t="shared" si="555"/>
        <v>천재 배우의 다이어리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/>
      <c r="AQ4212">
        <v>0</v>
      </c>
      <c r="AR4212">
        <v>0</v>
      </c>
      <c r="AT4212">
        <v>0</v>
      </c>
      <c r="AU4212">
        <v>0</v>
      </c>
      <c r="AW4212">
        <v>0</v>
      </c>
      <c r="AX4212">
        <v>0</v>
      </c>
      <c r="AY4212">
        <v>70</v>
      </c>
      <c r="BC4212" t="str">
        <f t="shared" si="556"/>
        <v>9791137600683</v>
      </c>
      <c r="BE4212" t="str">
        <f t="shared" si="553"/>
        <v>판타지 웹소설 &gt; 현대 판타지</v>
      </c>
    </row>
    <row r="4213" spans="1:57" x14ac:dyDescent="0.3">
      <c r="A4213">
        <v>2313018633</v>
      </c>
      <c r="B4213">
        <v>2313018937</v>
      </c>
      <c r="C4213" t="str">
        <f>T("천재 배우의 다이어리 305화")</f>
        <v>천재 배우의 다이어리 305화</v>
      </c>
      <c r="D4213" t="str">
        <f>T("305")</f>
        <v>305</v>
      </c>
      <c r="E4213" t="str">
        <f t="shared" si="554"/>
        <v>mollen</v>
      </c>
      <c r="H4213" t="str">
        <f t="shared" si="552"/>
        <v>스토리위즈</v>
      </c>
      <c r="I4213" t="str">
        <f t="shared" si="555"/>
        <v>천재 배우의 다이어리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/>
      <c r="AQ4213">
        <v>0</v>
      </c>
      <c r="AR4213">
        <v>0</v>
      </c>
      <c r="AT4213">
        <v>0</v>
      </c>
      <c r="AU4213">
        <v>0</v>
      </c>
      <c r="AW4213">
        <v>0</v>
      </c>
      <c r="AX4213">
        <v>0</v>
      </c>
      <c r="AY4213">
        <v>70</v>
      </c>
      <c r="BC4213" t="str">
        <f t="shared" si="556"/>
        <v>9791137600683</v>
      </c>
      <c r="BE4213" t="str">
        <f t="shared" si="553"/>
        <v>판타지 웹소설 &gt; 현대 판타지</v>
      </c>
    </row>
    <row r="4214" spans="1:57" x14ac:dyDescent="0.3">
      <c r="A4214">
        <v>2313018633</v>
      </c>
      <c r="B4214">
        <v>2313018938</v>
      </c>
      <c r="C4214" t="str">
        <f>T("천재 배우의 다이어리 306화")</f>
        <v>천재 배우의 다이어리 306화</v>
      </c>
      <c r="D4214" t="str">
        <f>T("306")</f>
        <v>306</v>
      </c>
      <c r="E4214" t="str">
        <f t="shared" si="554"/>
        <v>mollen</v>
      </c>
      <c r="H4214" t="str">
        <f t="shared" si="552"/>
        <v>스토리위즈</v>
      </c>
      <c r="I4214" t="str">
        <f t="shared" si="555"/>
        <v>천재 배우의 다이어리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/>
      <c r="AQ4214">
        <v>0</v>
      </c>
      <c r="AR4214">
        <v>0</v>
      </c>
      <c r="AT4214">
        <v>0</v>
      </c>
      <c r="AU4214">
        <v>0</v>
      </c>
      <c r="AW4214">
        <v>0</v>
      </c>
      <c r="AX4214">
        <v>0</v>
      </c>
      <c r="AY4214">
        <v>70</v>
      </c>
      <c r="BC4214" t="str">
        <f t="shared" si="556"/>
        <v>9791137600683</v>
      </c>
      <c r="BE4214" t="str">
        <f t="shared" si="553"/>
        <v>판타지 웹소설 &gt; 현대 판타지</v>
      </c>
    </row>
    <row r="4215" spans="1:57" x14ac:dyDescent="0.3">
      <c r="A4215">
        <v>2313018633</v>
      </c>
      <c r="B4215">
        <v>2313018939</v>
      </c>
      <c r="C4215" t="str">
        <f>T("천재 배우의 다이어리 307화")</f>
        <v>천재 배우의 다이어리 307화</v>
      </c>
      <c r="D4215" t="str">
        <f>T("307")</f>
        <v>307</v>
      </c>
      <c r="E4215" t="str">
        <f t="shared" si="554"/>
        <v>mollen</v>
      </c>
      <c r="H4215" t="str">
        <f t="shared" si="552"/>
        <v>스토리위즈</v>
      </c>
      <c r="I4215" t="str">
        <f t="shared" si="555"/>
        <v>천재 배우의 다이어리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/>
      <c r="AQ4215">
        <v>0</v>
      </c>
      <c r="AR4215">
        <v>0</v>
      </c>
      <c r="AT4215">
        <v>0</v>
      </c>
      <c r="AU4215">
        <v>0</v>
      </c>
      <c r="AW4215">
        <v>0</v>
      </c>
      <c r="AX4215">
        <v>0</v>
      </c>
      <c r="AY4215">
        <v>70</v>
      </c>
      <c r="BC4215" t="str">
        <f t="shared" si="556"/>
        <v>9791137600683</v>
      </c>
      <c r="BE4215" t="str">
        <f t="shared" si="553"/>
        <v>판타지 웹소설 &gt; 현대 판타지</v>
      </c>
    </row>
    <row r="4216" spans="1:57" x14ac:dyDescent="0.3">
      <c r="A4216">
        <v>2313018633</v>
      </c>
      <c r="B4216">
        <v>2313018940</v>
      </c>
      <c r="C4216" t="str">
        <f>T("천재 배우의 다이어리 308화")</f>
        <v>천재 배우의 다이어리 308화</v>
      </c>
      <c r="D4216" t="str">
        <f>T("308")</f>
        <v>308</v>
      </c>
      <c r="E4216" t="str">
        <f t="shared" si="554"/>
        <v>mollen</v>
      </c>
      <c r="H4216" t="str">
        <f t="shared" si="552"/>
        <v>스토리위즈</v>
      </c>
      <c r="I4216" t="str">
        <f t="shared" si="555"/>
        <v>천재 배우의 다이어리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/>
      <c r="AQ4216">
        <v>0</v>
      </c>
      <c r="AR4216">
        <v>0</v>
      </c>
      <c r="AT4216">
        <v>0</v>
      </c>
      <c r="AU4216">
        <v>0</v>
      </c>
      <c r="AW4216">
        <v>0</v>
      </c>
      <c r="AX4216">
        <v>0</v>
      </c>
      <c r="AY4216">
        <v>70</v>
      </c>
      <c r="BC4216" t="str">
        <f t="shared" si="556"/>
        <v>9791137600683</v>
      </c>
      <c r="BE4216" t="str">
        <f t="shared" si="553"/>
        <v>판타지 웹소설 &gt; 현대 판타지</v>
      </c>
    </row>
    <row r="4217" spans="1:57" x14ac:dyDescent="0.3">
      <c r="A4217">
        <v>2313018633</v>
      </c>
      <c r="B4217">
        <v>2313018941</v>
      </c>
      <c r="C4217" t="str">
        <f>T("천재 배우의 다이어리 309화")</f>
        <v>천재 배우의 다이어리 309화</v>
      </c>
      <c r="D4217" t="str">
        <f>T("309")</f>
        <v>309</v>
      </c>
      <c r="E4217" t="str">
        <f t="shared" si="554"/>
        <v>mollen</v>
      </c>
      <c r="H4217" t="str">
        <f t="shared" si="552"/>
        <v>스토리위즈</v>
      </c>
      <c r="I4217" t="str">
        <f t="shared" si="555"/>
        <v>천재 배우의 다이어리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/>
      <c r="AQ4217">
        <v>0</v>
      </c>
      <c r="AR4217">
        <v>0</v>
      </c>
      <c r="AT4217">
        <v>0</v>
      </c>
      <c r="AU4217">
        <v>0</v>
      </c>
      <c r="AW4217">
        <v>0</v>
      </c>
      <c r="AX4217">
        <v>0</v>
      </c>
      <c r="AY4217">
        <v>70</v>
      </c>
      <c r="BC4217" t="str">
        <f t="shared" si="556"/>
        <v>9791137600683</v>
      </c>
      <c r="BE4217" t="str">
        <f t="shared" si="553"/>
        <v>판타지 웹소설 &gt; 현대 판타지</v>
      </c>
    </row>
    <row r="4218" spans="1:57" x14ac:dyDescent="0.3">
      <c r="A4218">
        <v>2313018633</v>
      </c>
      <c r="B4218">
        <v>2313018942</v>
      </c>
      <c r="C4218" t="str">
        <f>T("천재 배우의 다이어리 310화")</f>
        <v>천재 배우의 다이어리 310화</v>
      </c>
      <c r="D4218" t="str">
        <f>T("310")</f>
        <v>310</v>
      </c>
      <c r="E4218" t="str">
        <f t="shared" si="554"/>
        <v>mollen</v>
      </c>
      <c r="H4218" t="str">
        <f t="shared" si="552"/>
        <v>스토리위즈</v>
      </c>
      <c r="I4218" t="str">
        <f t="shared" si="555"/>
        <v>천재 배우의 다이어리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/>
      <c r="AQ4218">
        <v>0</v>
      </c>
      <c r="AR4218">
        <v>0</v>
      </c>
      <c r="AT4218">
        <v>0</v>
      </c>
      <c r="AU4218">
        <v>0</v>
      </c>
      <c r="AW4218">
        <v>0</v>
      </c>
      <c r="AX4218">
        <v>0</v>
      </c>
      <c r="AY4218">
        <v>70</v>
      </c>
      <c r="BC4218" t="str">
        <f t="shared" si="556"/>
        <v>9791137600683</v>
      </c>
      <c r="BE4218" t="str">
        <f t="shared" si="553"/>
        <v>판타지 웹소설 &gt; 현대 판타지</v>
      </c>
    </row>
    <row r="4219" spans="1:57" x14ac:dyDescent="0.3">
      <c r="A4219">
        <v>2313018633</v>
      </c>
      <c r="B4219">
        <v>2313018943</v>
      </c>
      <c r="C4219" t="str">
        <f>T("천재 배우의 다이어리 311화")</f>
        <v>천재 배우의 다이어리 311화</v>
      </c>
      <c r="D4219" t="str">
        <f>T("311")</f>
        <v>311</v>
      </c>
      <c r="E4219" t="str">
        <f t="shared" si="554"/>
        <v>mollen</v>
      </c>
      <c r="H4219" t="str">
        <f t="shared" si="552"/>
        <v>스토리위즈</v>
      </c>
      <c r="I4219" t="str">
        <f t="shared" si="555"/>
        <v>천재 배우의 다이어리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/>
      <c r="AQ4219">
        <v>0</v>
      </c>
      <c r="AR4219">
        <v>0</v>
      </c>
      <c r="AT4219">
        <v>0</v>
      </c>
      <c r="AU4219">
        <v>0</v>
      </c>
      <c r="AW4219">
        <v>0</v>
      </c>
      <c r="AX4219">
        <v>0</v>
      </c>
      <c r="AY4219">
        <v>70</v>
      </c>
      <c r="BC4219" t="str">
        <f t="shared" si="556"/>
        <v>9791137600683</v>
      </c>
      <c r="BE4219" t="str">
        <f t="shared" si="553"/>
        <v>판타지 웹소설 &gt; 현대 판타지</v>
      </c>
    </row>
    <row r="4220" spans="1:57" x14ac:dyDescent="0.3">
      <c r="A4220">
        <v>2313018633</v>
      </c>
      <c r="B4220">
        <v>2313018944</v>
      </c>
      <c r="C4220" t="str">
        <f>T("천재 배우의 다이어리 312화")</f>
        <v>천재 배우의 다이어리 312화</v>
      </c>
      <c r="D4220" t="str">
        <f>T("312")</f>
        <v>312</v>
      </c>
      <c r="E4220" t="str">
        <f t="shared" si="554"/>
        <v>mollen</v>
      </c>
      <c r="H4220" t="str">
        <f t="shared" si="552"/>
        <v>스토리위즈</v>
      </c>
      <c r="I4220" t="str">
        <f t="shared" si="555"/>
        <v>천재 배우의 다이어리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/>
      <c r="AQ4220">
        <v>0</v>
      </c>
      <c r="AR4220">
        <v>0</v>
      </c>
      <c r="AT4220">
        <v>0</v>
      </c>
      <c r="AU4220">
        <v>0</v>
      </c>
      <c r="AW4220">
        <v>0</v>
      </c>
      <c r="AX4220">
        <v>0</v>
      </c>
      <c r="AY4220">
        <v>70</v>
      </c>
      <c r="BC4220" t="str">
        <f t="shared" si="556"/>
        <v>9791137600683</v>
      </c>
      <c r="BE4220" t="str">
        <f t="shared" si="553"/>
        <v>판타지 웹소설 &gt; 현대 판타지</v>
      </c>
    </row>
    <row r="4221" spans="1:57" x14ac:dyDescent="0.3">
      <c r="A4221">
        <v>2313018633</v>
      </c>
      <c r="B4221">
        <v>2313018945</v>
      </c>
      <c r="C4221" t="str">
        <f>T("천재 배우의 다이어리 313화")</f>
        <v>천재 배우의 다이어리 313화</v>
      </c>
      <c r="D4221" t="str">
        <f>T("313")</f>
        <v>313</v>
      </c>
      <c r="E4221" t="str">
        <f t="shared" si="554"/>
        <v>mollen</v>
      </c>
      <c r="H4221" t="str">
        <f t="shared" si="552"/>
        <v>스토리위즈</v>
      </c>
      <c r="I4221" t="str">
        <f t="shared" si="555"/>
        <v>천재 배우의 다이어리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/>
      <c r="AQ4221">
        <v>0</v>
      </c>
      <c r="AR4221">
        <v>0</v>
      </c>
      <c r="AT4221">
        <v>0</v>
      </c>
      <c r="AU4221">
        <v>0</v>
      </c>
      <c r="AW4221">
        <v>0</v>
      </c>
      <c r="AX4221">
        <v>0</v>
      </c>
      <c r="AY4221">
        <v>70</v>
      </c>
      <c r="BC4221" t="str">
        <f t="shared" si="556"/>
        <v>9791137600683</v>
      </c>
      <c r="BE4221" t="str">
        <f t="shared" si="553"/>
        <v>판타지 웹소설 &gt; 현대 판타지</v>
      </c>
    </row>
    <row r="4222" spans="1:57" x14ac:dyDescent="0.3">
      <c r="A4222">
        <v>2313018633</v>
      </c>
      <c r="B4222">
        <v>2313018946</v>
      </c>
      <c r="C4222" t="str">
        <f>T("천재 배우의 다이어리 314화")</f>
        <v>천재 배우의 다이어리 314화</v>
      </c>
      <c r="D4222" t="str">
        <f>T("314")</f>
        <v>314</v>
      </c>
      <c r="E4222" t="str">
        <f t="shared" si="554"/>
        <v>mollen</v>
      </c>
      <c r="H4222" t="str">
        <f t="shared" si="552"/>
        <v>스토리위즈</v>
      </c>
      <c r="I4222" t="str">
        <f t="shared" si="555"/>
        <v>천재 배우의 다이어리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/>
      <c r="AQ4222">
        <v>0</v>
      </c>
      <c r="AR4222">
        <v>0</v>
      </c>
      <c r="AT4222">
        <v>0</v>
      </c>
      <c r="AU4222">
        <v>0</v>
      </c>
      <c r="AW4222">
        <v>0</v>
      </c>
      <c r="AX4222">
        <v>0</v>
      </c>
      <c r="AY4222">
        <v>70</v>
      </c>
      <c r="BC4222" t="str">
        <f t="shared" si="556"/>
        <v>9791137600683</v>
      </c>
      <c r="BE4222" t="str">
        <f t="shared" si="553"/>
        <v>판타지 웹소설 &gt; 현대 판타지</v>
      </c>
    </row>
    <row r="4223" spans="1:57" x14ac:dyDescent="0.3">
      <c r="A4223">
        <v>2313018633</v>
      </c>
      <c r="B4223">
        <v>2313018947</v>
      </c>
      <c r="C4223" t="str">
        <f>T("천재 배우의 다이어리 315화")</f>
        <v>천재 배우의 다이어리 315화</v>
      </c>
      <c r="D4223" t="str">
        <f>T("315")</f>
        <v>315</v>
      </c>
      <c r="E4223" t="str">
        <f t="shared" si="554"/>
        <v>mollen</v>
      </c>
      <c r="H4223" t="str">
        <f t="shared" si="552"/>
        <v>스토리위즈</v>
      </c>
      <c r="I4223" t="str">
        <f t="shared" si="555"/>
        <v>천재 배우의 다이어리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/>
      <c r="AQ4223">
        <v>0</v>
      </c>
      <c r="AR4223">
        <v>0</v>
      </c>
      <c r="AT4223">
        <v>0</v>
      </c>
      <c r="AU4223">
        <v>0</v>
      </c>
      <c r="AW4223">
        <v>0</v>
      </c>
      <c r="AX4223">
        <v>0</v>
      </c>
      <c r="AY4223">
        <v>70</v>
      </c>
      <c r="BC4223" t="str">
        <f t="shared" si="556"/>
        <v>9791137600683</v>
      </c>
      <c r="BE4223" t="str">
        <f t="shared" si="553"/>
        <v>판타지 웹소설 &gt; 현대 판타지</v>
      </c>
    </row>
    <row r="4224" spans="1:57" x14ac:dyDescent="0.3">
      <c r="A4224">
        <v>2313018633</v>
      </c>
      <c r="B4224">
        <v>2313018948</v>
      </c>
      <c r="C4224" t="str">
        <f>T("천재 배우의 다이어리 316화")</f>
        <v>천재 배우의 다이어리 316화</v>
      </c>
      <c r="D4224" t="str">
        <f>T("316")</f>
        <v>316</v>
      </c>
      <c r="E4224" t="str">
        <f t="shared" si="554"/>
        <v>mollen</v>
      </c>
      <c r="H4224" t="str">
        <f t="shared" si="552"/>
        <v>스토리위즈</v>
      </c>
      <c r="I4224" t="str">
        <f t="shared" si="555"/>
        <v>천재 배우의 다이어리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/>
      <c r="AQ4224">
        <v>0</v>
      </c>
      <c r="AR4224">
        <v>0</v>
      </c>
      <c r="AT4224">
        <v>0</v>
      </c>
      <c r="AU4224">
        <v>0</v>
      </c>
      <c r="AW4224">
        <v>0</v>
      </c>
      <c r="AX4224">
        <v>0</v>
      </c>
      <c r="AY4224">
        <v>70</v>
      </c>
      <c r="BC4224" t="str">
        <f t="shared" si="556"/>
        <v>9791137600683</v>
      </c>
      <c r="BE4224" t="str">
        <f t="shared" si="553"/>
        <v>판타지 웹소설 &gt; 현대 판타지</v>
      </c>
    </row>
    <row r="4225" spans="1:57" x14ac:dyDescent="0.3">
      <c r="A4225">
        <v>2313018633</v>
      </c>
      <c r="B4225">
        <v>2313018949</v>
      </c>
      <c r="C4225" t="str">
        <f>T("천재 배우의 다이어리 317화")</f>
        <v>천재 배우의 다이어리 317화</v>
      </c>
      <c r="D4225" t="str">
        <f>T("317")</f>
        <v>317</v>
      </c>
      <c r="E4225" t="str">
        <f t="shared" si="554"/>
        <v>mollen</v>
      </c>
      <c r="H4225" t="str">
        <f t="shared" si="552"/>
        <v>스토리위즈</v>
      </c>
      <c r="I4225" t="str">
        <f t="shared" si="555"/>
        <v>천재 배우의 다이어리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/>
      <c r="AQ4225">
        <v>0</v>
      </c>
      <c r="AR4225">
        <v>0</v>
      </c>
      <c r="AT4225">
        <v>0</v>
      </c>
      <c r="AU4225">
        <v>0</v>
      </c>
      <c r="AW4225">
        <v>0</v>
      </c>
      <c r="AX4225">
        <v>0</v>
      </c>
      <c r="AY4225">
        <v>70</v>
      </c>
      <c r="BC4225" t="str">
        <f t="shared" si="556"/>
        <v>9791137600683</v>
      </c>
      <c r="BE4225" t="str">
        <f t="shared" si="553"/>
        <v>판타지 웹소설 &gt; 현대 판타지</v>
      </c>
    </row>
    <row r="4226" spans="1:57" x14ac:dyDescent="0.3">
      <c r="A4226">
        <v>2313018633</v>
      </c>
      <c r="B4226">
        <v>2313018950</v>
      </c>
      <c r="C4226" t="str">
        <f>T("천재 배우의 다이어리 318화")</f>
        <v>천재 배우의 다이어리 318화</v>
      </c>
      <c r="D4226" t="str">
        <f>T("318")</f>
        <v>318</v>
      </c>
      <c r="E4226" t="str">
        <f t="shared" si="554"/>
        <v>mollen</v>
      </c>
      <c r="H4226" t="str">
        <f t="shared" si="552"/>
        <v>스토리위즈</v>
      </c>
      <c r="I4226" t="str">
        <f t="shared" si="555"/>
        <v>천재 배우의 다이어리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/>
      <c r="AQ4226">
        <v>0</v>
      </c>
      <c r="AR4226">
        <v>0</v>
      </c>
      <c r="AT4226">
        <v>0</v>
      </c>
      <c r="AU4226">
        <v>0</v>
      </c>
      <c r="AW4226">
        <v>0</v>
      </c>
      <c r="AX4226">
        <v>0</v>
      </c>
      <c r="AY4226">
        <v>70</v>
      </c>
      <c r="BC4226" t="str">
        <f t="shared" si="556"/>
        <v>9791137600683</v>
      </c>
      <c r="BE4226" t="str">
        <f t="shared" si="553"/>
        <v>판타지 웹소설 &gt; 현대 판타지</v>
      </c>
    </row>
    <row r="4227" spans="1:57" x14ac:dyDescent="0.3">
      <c r="A4227">
        <v>2313018633</v>
      </c>
      <c r="B4227">
        <v>2313018951</v>
      </c>
      <c r="C4227" t="str">
        <f>T("천재 배우의 다이어리 319화")</f>
        <v>천재 배우의 다이어리 319화</v>
      </c>
      <c r="D4227" t="str">
        <f>T("319")</f>
        <v>319</v>
      </c>
      <c r="E4227" t="str">
        <f t="shared" si="554"/>
        <v>mollen</v>
      </c>
      <c r="H4227" t="str">
        <f t="shared" si="552"/>
        <v>스토리위즈</v>
      </c>
      <c r="I4227" t="str">
        <f t="shared" si="555"/>
        <v>천재 배우의 다이어리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/>
      <c r="AQ4227">
        <v>0</v>
      </c>
      <c r="AR4227">
        <v>0</v>
      </c>
      <c r="AT4227">
        <v>0</v>
      </c>
      <c r="AU4227">
        <v>0</v>
      </c>
      <c r="AW4227">
        <v>0</v>
      </c>
      <c r="AX4227">
        <v>0</v>
      </c>
      <c r="AY4227">
        <v>70</v>
      </c>
      <c r="BC4227" t="str">
        <f t="shared" si="556"/>
        <v>9791137600683</v>
      </c>
      <c r="BE4227" t="str">
        <f t="shared" si="553"/>
        <v>판타지 웹소설 &gt; 현대 판타지</v>
      </c>
    </row>
    <row r="4228" spans="1:57" x14ac:dyDescent="0.3">
      <c r="A4228">
        <v>2313018633</v>
      </c>
      <c r="B4228">
        <v>2313018952</v>
      </c>
      <c r="C4228" t="str">
        <f>T("천재 배우의 다이어리 320화")</f>
        <v>천재 배우의 다이어리 320화</v>
      </c>
      <c r="D4228" t="str">
        <f>T("320")</f>
        <v>320</v>
      </c>
      <c r="E4228" t="str">
        <f t="shared" si="554"/>
        <v>mollen</v>
      </c>
      <c r="H4228" t="str">
        <f t="shared" si="552"/>
        <v>스토리위즈</v>
      </c>
      <c r="I4228" t="str">
        <f t="shared" si="555"/>
        <v>천재 배우의 다이어리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/>
      <c r="AQ4228">
        <v>0</v>
      </c>
      <c r="AR4228">
        <v>0</v>
      </c>
      <c r="AT4228">
        <v>0</v>
      </c>
      <c r="AU4228">
        <v>0</v>
      </c>
      <c r="AW4228">
        <v>0</v>
      </c>
      <c r="AX4228">
        <v>0</v>
      </c>
      <c r="AY4228">
        <v>70</v>
      </c>
      <c r="BC4228" t="str">
        <f t="shared" si="556"/>
        <v>9791137600683</v>
      </c>
      <c r="BE4228" t="str">
        <f t="shared" si="553"/>
        <v>판타지 웹소설 &gt; 현대 판타지</v>
      </c>
    </row>
    <row r="4229" spans="1:57" x14ac:dyDescent="0.3">
      <c r="A4229">
        <v>2313018633</v>
      </c>
      <c r="B4229">
        <v>2313018953</v>
      </c>
      <c r="C4229" t="str">
        <f>T("천재 배우의 다이어리 321화")</f>
        <v>천재 배우의 다이어리 321화</v>
      </c>
      <c r="D4229" t="str">
        <f>T("321")</f>
        <v>321</v>
      </c>
      <c r="E4229" t="str">
        <f t="shared" si="554"/>
        <v>mollen</v>
      </c>
      <c r="H4229" t="str">
        <f t="shared" si="552"/>
        <v>스토리위즈</v>
      </c>
      <c r="I4229" t="str">
        <f t="shared" si="555"/>
        <v>천재 배우의 다이어리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/>
      <c r="AQ4229">
        <v>0</v>
      </c>
      <c r="AR4229">
        <v>0</v>
      </c>
      <c r="AT4229">
        <v>0</v>
      </c>
      <c r="AU4229">
        <v>0</v>
      </c>
      <c r="AW4229">
        <v>0</v>
      </c>
      <c r="AX4229">
        <v>0</v>
      </c>
      <c r="AY4229">
        <v>70</v>
      </c>
      <c r="BC4229" t="str">
        <f t="shared" si="556"/>
        <v>9791137600683</v>
      </c>
      <c r="BE4229" t="str">
        <f t="shared" si="553"/>
        <v>판타지 웹소설 &gt; 현대 판타지</v>
      </c>
    </row>
    <row r="4230" spans="1:57" x14ac:dyDescent="0.3">
      <c r="A4230">
        <v>2313018633</v>
      </c>
      <c r="B4230">
        <v>2313018954</v>
      </c>
      <c r="C4230" t="str">
        <f>T("천재 배우의 다이어리 322화")</f>
        <v>천재 배우의 다이어리 322화</v>
      </c>
      <c r="D4230" t="str">
        <f>T("322")</f>
        <v>322</v>
      </c>
      <c r="E4230" t="str">
        <f t="shared" si="554"/>
        <v>mollen</v>
      </c>
      <c r="H4230" t="str">
        <f t="shared" si="552"/>
        <v>스토리위즈</v>
      </c>
      <c r="I4230" t="str">
        <f t="shared" si="555"/>
        <v>천재 배우의 다이어리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/>
      <c r="AQ4230">
        <v>0</v>
      </c>
      <c r="AR4230">
        <v>0</v>
      </c>
      <c r="AT4230">
        <v>0</v>
      </c>
      <c r="AU4230">
        <v>0</v>
      </c>
      <c r="AW4230">
        <v>0</v>
      </c>
      <c r="AX4230">
        <v>0</v>
      </c>
      <c r="AY4230">
        <v>70</v>
      </c>
      <c r="BC4230" t="str">
        <f t="shared" si="556"/>
        <v>9791137600683</v>
      </c>
      <c r="BE4230" t="str">
        <f t="shared" si="553"/>
        <v>판타지 웹소설 &gt; 현대 판타지</v>
      </c>
    </row>
    <row r="4231" spans="1:57" x14ac:dyDescent="0.3">
      <c r="A4231">
        <v>2313018633</v>
      </c>
      <c r="B4231">
        <v>2313018955</v>
      </c>
      <c r="C4231" t="str">
        <f>T("천재 배우의 다이어리 323화")</f>
        <v>천재 배우의 다이어리 323화</v>
      </c>
      <c r="D4231" t="str">
        <f>T("323")</f>
        <v>323</v>
      </c>
      <c r="E4231" t="str">
        <f t="shared" si="554"/>
        <v>mollen</v>
      </c>
      <c r="H4231" t="str">
        <f t="shared" si="552"/>
        <v>스토리위즈</v>
      </c>
      <c r="I4231" t="str">
        <f t="shared" si="555"/>
        <v>천재 배우의 다이어리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/>
      <c r="AQ4231">
        <v>0</v>
      </c>
      <c r="AR4231">
        <v>0</v>
      </c>
      <c r="AT4231">
        <v>0</v>
      </c>
      <c r="AU4231">
        <v>0</v>
      </c>
      <c r="AW4231">
        <v>0</v>
      </c>
      <c r="AX4231">
        <v>0</v>
      </c>
      <c r="AY4231">
        <v>70</v>
      </c>
      <c r="BC4231" t="str">
        <f t="shared" si="556"/>
        <v>9791137600683</v>
      </c>
      <c r="BE4231" t="str">
        <f t="shared" si="553"/>
        <v>판타지 웹소설 &gt; 현대 판타지</v>
      </c>
    </row>
    <row r="4232" spans="1:57" x14ac:dyDescent="0.3">
      <c r="A4232">
        <v>2313018633</v>
      </c>
      <c r="B4232">
        <v>2313018956</v>
      </c>
      <c r="C4232" t="str">
        <f>T("천재 배우의 다이어리 324화")</f>
        <v>천재 배우의 다이어리 324화</v>
      </c>
      <c r="D4232" t="str">
        <f>T("324")</f>
        <v>324</v>
      </c>
      <c r="E4232" t="str">
        <f t="shared" si="554"/>
        <v>mollen</v>
      </c>
      <c r="H4232" t="str">
        <f t="shared" si="552"/>
        <v>스토리위즈</v>
      </c>
      <c r="I4232" t="str">
        <f t="shared" si="555"/>
        <v>천재 배우의 다이어리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/>
      <c r="AQ4232">
        <v>0</v>
      </c>
      <c r="AR4232">
        <v>0</v>
      </c>
      <c r="AT4232">
        <v>0</v>
      </c>
      <c r="AU4232">
        <v>0</v>
      </c>
      <c r="AW4232">
        <v>0</v>
      </c>
      <c r="AX4232">
        <v>0</v>
      </c>
      <c r="AY4232">
        <v>70</v>
      </c>
      <c r="BC4232" t="str">
        <f t="shared" si="556"/>
        <v>9791137600683</v>
      </c>
      <c r="BE4232" t="str">
        <f t="shared" si="553"/>
        <v>판타지 웹소설 &gt; 현대 판타지</v>
      </c>
    </row>
    <row r="4233" spans="1:57" x14ac:dyDescent="0.3">
      <c r="A4233">
        <v>2313018633</v>
      </c>
      <c r="B4233">
        <v>2313018957</v>
      </c>
      <c r="C4233" t="str">
        <f>T("천재 배우의 다이어리 325화")</f>
        <v>천재 배우의 다이어리 325화</v>
      </c>
      <c r="D4233" t="str">
        <f>T("325")</f>
        <v>325</v>
      </c>
      <c r="E4233" t="str">
        <f t="shared" si="554"/>
        <v>mollen</v>
      </c>
      <c r="H4233" t="str">
        <f t="shared" si="552"/>
        <v>스토리위즈</v>
      </c>
      <c r="I4233" t="str">
        <f t="shared" si="555"/>
        <v>천재 배우의 다이어리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/>
      <c r="AQ4233">
        <v>0</v>
      </c>
      <c r="AR4233">
        <v>0</v>
      </c>
      <c r="AT4233">
        <v>0</v>
      </c>
      <c r="AU4233">
        <v>0</v>
      </c>
      <c r="AW4233">
        <v>0</v>
      </c>
      <c r="AX4233">
        <v>0</v>
      </c>
      <c r="AY4233">
        <v>70</v>
      </c>
      <c r="BC4233" t="str">
        <f t="shared" si="556"/>
        <v>9791137600683</v>
      </c>
      <c r="BE4233" t="str">
        <f t="shared" si="553"/>
        <v>판타지 웹소설 &gt; 현대 판타지</v>
      </c>
    </row>
    <row r="4234" spans="1:57" x14ac:dyDescent="0.3">
      <c r="A4234">
        <v>2313018633</v>
      </c>
      <c r="B4234">
        <v>2313018958</v>
      </c>
      <c r="C4234" t="str">
        <f>T("천재 배우의 다이어리 326화")</f>
        <v>천재 배우의 다이어리 326화</v>
      </c>
      <c r="D4234" t="str">
        <f>T("326")</f>
        <v>326</v>
      </c>
      <c r="E4234" t="str">
        <f t="shared" si="554"/>
        <v>mollen</v>
      </c>
      <c r="H4234" t="str">
        <f t="shared" si="552"/>
        <v>스토리위즈</v>
      </c>
      <c r="I4234" t="str">
        <f t="shared" si="555"/>
        <v>천재 배우의 다이어리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/>
      <c r="AQ4234">
        <v>0</v>
      </c>
      <c r="AR4234">
        <v>0</v>
      </c>
      <c r="AT4234">
        <v>0</v>
      </c>
      <c r="AU4234">
        <v>0</v>
      </c>
      <c r="AW4234">
        <v>0</v>
      </c>
      <c r="AX4234">
        <v>0</v>
      </c>
      <c r="AY4234">
        <v>70</v>
      </c>
      <c r="BC4234" t="str">
        <f t="shared" si="556"/>
        <v>9791137600683</v>
      </c>
      <c r="BE4234" t="str">
        <f t="shared" si="553"/>
        <v>판타지 웹소설 &gt; 현대 판타지</v>
      </c>
    </row>
    <row r="4235" spans="1:57" x14ac:dyDescent="0.3">
      <c r="A4235">
        <v>2313018633</v>
      </c>
      <c r="B4235">
        <v>2313018959</v>
      </c>
      <c r="C4235" t="str">
        <f>T("천재 배우의 다이어리 327화")</f>
        <v>천재 배우의 다이어리 327화</v>
      </c>
      <c r="D4235" t="str">
        <f>T("327")</f>
        <v>327</v>
      </c>
      <c r="E4235" t="str">
        <f t="shared" si="554"/>
        <v>mollen</v>
      </c>
      <c r="H4235" t="str">
        <f t="shared" si="552"/>
        <v>스토리위즈</v>
      </c>
      <c r="I4235" t="str">
        <f t="shared" si="555"/>
        <v>천재 배우의 다이어리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/>
      <c r="AQ4235">
        <v>0</v>
      </c>
      <c r="AR4235">
        <v>0</v>
      </c>
      <c r="AT4235">
        <v>0</v>
      </c>
      <c r="AU4235">
        <v>0</v>
      </c>
      <c r="AW4235">
        <v>0</v>
      </c>
      <c r="AX4235">
        <v>0</v>
      </c>
      <c r="AY4235">
        <v>70</v>
      </c>
      <c r="BC4235" t="str">
        <f t="shared" si="556"/>
        <v>9791137600683</v>
      </c>
      <c r="BE4235" t="str">
        <f t="shared" si="553"/>
        <v>판타지 웹소설 &gt; 현대 판타지</v>
      </c>
    </row>
    <row r="4236" spans="1:57" x14ac:dyDescent="0.3">
      <c r="A4236">
        <v>2313018633</v>
      </c>
      <c r="B4236">
        <v>2313018960</v>
      </c>
      <c r="C4236" t="str">
        <f>T("천재 배우의 다이어리 328화")</f>
        <v>천재 배우의 다이어리 328화</v>
      </c>
      <c r="D4236" t="str">
        <f>T("328")</f>
        <v>328</v>
      </c>
      <c r="E4236" t="str">
        <f t="shared" si="554"/>
        <v>mollen</v>
      </c>
      <c r="H4236" t="str">
        <f t="shared" si="552"/>
        <v>스토리위즈</v>
      </c>
      <c r="I4236" t="str">
        <f t="shared" si="555"/>
        <v>천재 배우의 다이어리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/>
      <c r="AQ4236">
        <v>0</v>
      </c>
      <c r="AR4236">
        <v>0</v>
      </c>
      <c r="AT4236">
        <v>0</v>
      </c>
      <c r="AU4236">
        <v>0</v>
      </c>
      <c r="AW4236">
        <v>0</v>
      </c>
      <c r="AX4236">
        <v>0</v>
      </c>
      <c r="AY4236">
        <v>70</v>
      </c>
      <c r="BC4236" t="str">
        <f t="shared" si="556"/>
        <v>9791137600683</v>
      </c>
      <c r="BE4236" t="str">
        <f t="shared" si="553"/>
        <v>판타지 웹소설 &gt; 현대 판타지</v>
      </c>
    </row>
    <row r="4237" spans="1:57" x14ac:dyDescent="0.3">
      <c r="A4237">
        <v>2313018633</v>
      </c>
      <c r="B4237">
        <v>2313018961</v>
      </c>
      <c r="C4237" t="str">
        <f>T("천재 배우의 다이어리 329화")</f>
        <v>천재 배우의 다이어리 329화</v>
      </c>
      <c r="D4237" t="str">
        <f>T("329")</f>
        <v>329</v>
      </c>
      <c r="E4237" t="str">
        <f t="shared" si="554"/>
        <v>mollen</v>
      </c>
      <c r="H4237" t="str">
        <f t="shared" si="552"/>
        <v>스토리위즈</v>
      </c>
      <c r="I4237" t="str">
        <f t="shared" si="555"/>
        <v>천재 배우의 다이어리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/>
      <c r="AQ4237">
        <v>0</v>
      </c>
      <c r="AR4237">
        <v>0</v>
      </c>
      <c r="AT4237">
        <v>0</v>
      </c>
      <c r="AU4237">
        <v>0</v>
      </c>
      <c r="AW4237">
        <v>0</v>
      </c>
      <c r="AX4237">
        <v>0</v>
      </c>
      <c r="AY4237">
        <v>70</v>
      </c>
      <c r="BC4237" t="str">
        <f t="shared" si="556"/>
        <v>9791137600683</v>
      </c>
      <c r="BE4237" t="str">
        <f t="shared" si="553"/>
        <v>판타지 웹소설 &gt; 현대 판타지</v>
      </c>
    </row>
    <row r="4238" spans="1:57" x14ac:dyDescent="0.3">
      <c r="A4238">
        <v>2313018633</v>
      </c>
      <c r="B4238">
        <v>2313018962</v>
      </c>
      <c r="C4238" t="str">
        <f>T("천재 배우의 다이어리 330화")</f>
        <v>천재 배우의 다이어리 330화</v>
      </c>
      <c r="D4238" t="str">
        <f>T("330")</f>
        <v>330</v>
      </c>
      <c r="E4238" t="str">
        <f t="shared" si="554"/>
        <v>mollen</v>
      </c>
      <c r="H4238" t="str">
        <f t="shared" si="552"/>
        <v>스토리위즈</v>
      </c>
      <c r="I4238" t="str">
        <f t="shared" si="555"/>
        <v>천재 배우의 다이어리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/>
      <c r="AQ4238">
        <v>0</v>
      </c>
      <c r="AR4238">
        <v>0</v>
      </c>
      <c r="AT4238">
        <v>0</v>
      </c>
      <c r="AU4238">
        <v>0</v>
      </c>
      <c r="AW4238">
        <v>0</v>
      </c>
      <c r="AX4238">
        <v>0</v>
      </c>
      <c r="AY4238">
        <v>70</v>
      </c>
      <c r="BC4238" t="str">
        <f t="shared" si="556"/>
        <v>9791137600683</v>
      </c>
      <c r="BE4238" t="str">
        <f t="shared" si="553"/>
        <v>판타지 웹소설 &gt; 현대 판타지</v>
      </c>
    </row>
    <row r="4239" spans="1:57" x14ac:dyDescent="0.3">
      <c r="A4239">
        <v>2313018633</v>
      </c>
      <c r="B4239">
        <v>2313018963</v>
      </c>
      <c r="C4239" t="str">
        <f>T("천재 배우의 다이어리 331화")</f>
        <v>천재 배우의 다이어리 331화</v>
      </c>
      <c r="D4239" t="str">
        <f>T("331")</f>
        <v>331</v>
      </c>
      <c r="E4239" t="str">
        <f t="shared" si="554"/>
        <v>mollen</v>
      </c>
      <c r="H4239" t="str">
        <f t="shared" si="552"/>
        <v>스토리위즈</v>
      </c>
      <c r="I4239" t="str">
        <f t="shared" si="555"/>
        <v>천재 배우의 다이어리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/>
      <c r="AQ4239">
        <v>0</v>
      </c>
      <c r="AR4239">
        <v>0</v>
      </c>
      <c r="AT4239">
        <v>0</v>
      </c>
      <c r="AU4239">
        <v>0</v>
      </c>
      <c r="AW4239">
        <v>0</v>
      </c>
      <c r="AX4239">
        <v>0</v>
      </c>
      <c r="AY4239">
        <v>70</v>
      </c>
      <c r="BC4239" t="str">
        <f t="shared" si="556"/>
        <v>9791137600683</v>
      </c>
      <c r="BE4239" t="str">
        <f t="shared" si="553"/>
        <v>판타지 웹소설 &gt; 현대 판타지</v>
      </c>
    </row>
    <row r="4240" spans="1:57" x14ac:dyDescent="0.3">
      <c r="A4240">
        <v>2313018633</v>
      </c>
      <c r="B4240">
        <v>2313018964</v>
      </c>
      <c r="C4240" t="str">
        <f>T("천재 배우의 다이어리 332화")</f>
        <v>천재 배우의 다이어리 332화</v>
      </c>
      <c r="D4240" t="str">
        <f>T("332")</f>
        <v>332</v>
      </c>
      <c r="E4240" t="str">
        <f t="shared" si="554"/>
        <v>mollen</v>
      </c>
      <c r="H4240" t="str">
        <f t="shared" si="552"/>
        <v>스토리위즈</v>
      </c>
      <c r="I4240" t="str">
        <f t="shared" si="555"/>
        <v>천재 배우의 다이어리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/>
      <c r="AQ4240">
        <v>0</v>
      </c>
      <c r="AR4240">
        <v>0</v>
      </c>
      <c r="AT4240">
        <v>0</v>
      </c>
      <c r="AU4240">
        <v>0</v>
      </c>
      <c r="AW4240">
        <v>0</v>
      </c>
      <c r="AX4240">
        <v>0</v>
      </c>
      <c r="AY4240">
        <v>70</v>
      </c>
      <c r="BC4240" t="str">
        <f t="shared" si="556"/>
        <v>9791137600683</v>
      </c>
      <c r="BE4240" t="str">
        <f t="shared" si="553"/>
        <v>판타지 웹소설 &gt; 현대 판타지</v>
      </c>
    </row>
    <row r="4241" spans="1:57" x14ac:dyDescent="0.3">
      <c r="A4241">
        <v>2313018633</v>
      </c>
      <c r="B4241">
        <v>2313018965</v>
      </c>
      <c r="C4241" t="str">
        <f>T("천재 배우의 다이어리 333화 (완결)")</f>
        <v>천재 배우의 다이어리 333화 (완결)</v>
      </c>
      <c r="D4241" t="str">
        <f>T("333")</f>
        <v>333</v>
      </c>
      <c r="E4241" t="str">
        <f t="shared" si="554"/>
        <v>mollen</v>
      </c>
      <c r="H4241" t="str">
        <f t="shared" si="552"/>
        <v>스토리위즈</v>
      </c>
      <c r="I4241" t="str">
        <f t="shared" si="555"/>
        <v>천재 배우의 다이어리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/>
      <c r="AQ4241">
        <v>0</v>
      </c>
      <c r="AR4241">
        <v>0</v>
      </c>
      <c r="AT4241">
        <v>0</v>
      </c>
      <c r="AU4241">
        <v>0</v>
      </c>
      <c r="AW4241">
        <v>0</v>
      </c>
      <c r="AX4241">
        <v>0</v>
      </c>
      <c r="AY4241">
        <v>70</v>
      </c>
      <c r="BC4241" t="str">
        <f t="shared" si="556"/>
        <v>9791137600683</v>
      </c>
      <c r="BE4241" t="str">
        <f t="shared" si="553"/>
        <v>판타지 웹소설 &gt; 현대 판타지</v>
      </c>
    </row>
    <row r="4242" spans="1:57" x14ac:dyDescent="0.3">
      <c r="A4242">
        <v>2313019194</v>
      </c>
      <c r="B4242">
        <v>2313019316</v>
      </c>
      <c r="C4242" t="str">
        <f>T("천사의 아이 123화")</f>
        <v>천사의 아이 123화</v>
      </c>
      <c r="D4242" t="str">
        <f>T("123")</f>
        <v>123</v>
      </c>
      <c r="E4242" t="str">
        <f t="shared" ref="E4242:E4251" si="557">T("틴타")</f>
        <v>틴타</v>
      </c>
      <c r="H4242" t="str">
        <f t="shared" ref="H4242:H4251" si="558">T("도서출판 태랑")</f>
        <v>도서출판 태랑</v>
      </c>
      <c r="I4242" t="str">
        <f t="shared" ref="I4242:I4251" si="559">T("천사의 아이")</f>
        <v>천사의 아이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/>
      <c r="AQ4242">
        <v>0</v>
      </c>
      <c r="AR4242">
        <v>0</v>
      </c>
      <c r="AT4242">
        <v>0</v>
      </c>
      <c r="AU4242">
        <v>0</v>
      </c>
      <c r="AW4242">
        <v>0</v>
      </c>
      <c r="AX4242">
        <v>0</v>
      </c>
      <c r="AY4242">
        <v>70</v>
      </c>
      <c r="BC4242" t="str">
        <f t="shared" ref="BC4242:BC4251" si="560">T("9791164370160")</f>
        <v>9791164370160</v>
      </c>
      <c r="BE4242" t="str">
        <f t="shared" ref="BE4242:BE4251" si="561">T("판타지 웹소설 &gt; 퓨전 판타지")</f>
        <v>판타지 웹소설 &gt; 퓨전 판타지</v>
      </c>
    </row>
    <row r="4243" spans="1:57" x14ac:dyDescent="0.3">
      <c r="A4243">
        <v>2313019194</v>
      </c>
      <c r="B4243">
        <v>2313019317</v>
      </c>
      <c r="C4243" t="str">
        <f>T("천사의 아이 124화")</f>
        <v>천사의 아이 124화</v>
      </c>
      <c r="D4243" t="str">
        <f>T("124")</f>
        <v>124</v>
      </c>
      <c r="E4243" t="str">
        <f t="shared" si="557"/>
        <v>틴타</v>
      </c>
      <c r="H4243" t="str">
        <f t="shared" si="558"/>
        <v>도서출판 태랑</v>
      </c>
      <c r="I4243" t="str">
        <f t="shared" si="559"/>
        <v>천사의 아이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/>
      <c r="AQ4243">
        <v>0</v>
      </c>
      <c r="AR4243">
        <v>0</v>
      </c>
      <c r="AT4243">
        <v>0</v>
      </c>
      <c r="AU4243">
        <v>0</v>
      </c>
      <c r="AW4243">
        <v>0</v>
      </c>
      <c r="AX4243">
        <v>0</v>
      </c>
      <c r="AY4243">
        <v>70</v>
      </c>
      <c r="BC4243" t="str">
        <f t="shared" si="560"/>
        <v>9791164370160</v>
      </c>
      <c r="BE4243" t="str">
        <f t="shared" si="561"/>
        <v>판타지 웹소설 &gt; 퓨전 판타지</v>
      </c>
    </row>
    <row r="4244" spans="1:57" x14ac:dyDescent="0.3">
      <c r="A4244">
        <v>2313019194</v>
      </c>
      <c r="B4244">
        <v>2313019318</v>
      </c>
      <c r="C4244" t="str">
        <f>T("천사의 아이 125화")</f>
        <v>천사의 아이 125화</v>
      </c>
      <c r="D4244" t="str">
        <f>T("125")</f>
        <v>125</v>
      </c>
      <c r="E4244" t="str">
        <f t="shared" si="557"/>
        <v>틴타</v>
      </c>
      <c r="H4244" t="str">
        <f t="shared" si="558"/>
        <v>도서출판 태랑</v>
      </c>
      <c r="I4244" t="str">
        <f t="shared" si="559"/>
        <v>천사의 아이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/>
      <c r="AQ4244">
        <v>0</v>
      </c>
      <c r="AR4244">
        <v>0</v>
      </c>
      <c r="AT4244">
        <v>0</v>
      </c>
      <c r="AU4244">
        <v>0</v>
      </c>
      <c r="AW4244">
        <v>0</v>
      </c>
      <c r="AX4244">
        <v>0</v>
      </c>
      <c r="AY4244">
        <v>70</v>
      </c>
      <c r="BC4244" t="str">
        <f t="shared" si="560"/>
        <v>9791164370160</v>
      </c>
      <c r="BE4244" t="str">
        <f t="shared" si="561"/>
        <v>판타지 웹소설 &gt; 퓨전 판타지</v>
      </c>
    </row>
    <row r="4245" spans="1:57" x14ac:dyDescent="0.3">
      <c r="A4245">
        <v>2313019194</v>
      </c>
      <c r="B4245">
        <v>2313019319</v>
      </c>
      <c r="C4245" t="str">
        <f>T("천사의 아이 126화")</f>
        <v>천사의 아이 126화</v>
      </c>
      <c r="D4245" t="str">
        <f>T("126")</f>
        <v>126</v>
      </c>
      <c r="E4245" t="str">
        <f t="shared" si="557"/>
        <v>틴타</v>
      </c>
      <c r="H4245" t="str">
        <f t="shared" si="558"/>
        <v>도서출판 태랑</v>
      </c>
      <c r="I4245" t="str">
        <f t="shared" si="559"/>
        <v>천사의 아이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/>
      <c r="AQ4245">
        <v>0</v>
      </c>
      <c r="AR4245">
        <v>0</v>
      </c>
      <c r="AT4245">
        <v>0</v>
      </c>
      <c r="AU4245">
        <v>0</v>
      </c>
      <c r="AW4245">
        <v>0</v>
      </c>
      <c r="AX4245">
        <v>0</v>
      </c>
      <c r="AY4245">
        <v>70</v>
      </c>
      <c r="BC4245" t="str">
        <f t="shared" si="560"/>
        <v>9791164370160</v>
      </c>
      <c r="BE4245" t="str">
        <f t="shared" si="561"/>
        <v>판타지 웹소설 &gt; 퓨전 판타지</v>
      </c>
    </row>
    <row r="4246" spans="1:57" x14ac:dyDescent="0.3">
      <c r="A4246">
        <v>2313019194</v>
      </c>
      <c r="B4246">
        <v>2313019320</v>
      </c>
      <c r="C4246" t="str">
        <f>T("천사의 아이 127화")</f>
        <v>천사의 아이 127화</v>
      </c>
      <c r="D4246" t="str">
        <f>T("127")</f>
        <v>127</v>
      </c>
      <c r="E4246" t="str">
        <f t="shared" si="557"/>
        <v>틴타</v>
      </c>
      <c r="H4246" t="str">
        <f t="shared" si="558"/>
        <v>도서출판 태랑</v>
      </c>
      <c r="I4246" t="str">
        <f t="shared" si="559"/>
        <v>천사의 아이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/>
      <c r="AQ4246">
        <v>0</v>
      </c>
      <c r="AR4246">
        <v>0</v>
      </c>
      <c r="AT4246">
        <v>0</v>
      </c>
      <c r="AU4246">
        <v>0</v>
      </c>
      <c r="AW4246">
        <v>0</v>
      </c>
      <c r="AX4246">
        <v>0</v>
      </c>
      <c r="AY4246">
        <v>70</v>
      </c>
      <c r="BC4246" t="str">
        <f t="shared" si="560"/>
        <v>9791164370160</v>
      </c>
      <c r="BE4246" t="str">
        <f t="shared" si="561"/>
        <v>판타지 웹소설 &gt; 퓨전 판타지</v>
      </c>
    </row>
    <row r="4247" spans="1:57" x14ac:dyDescent="0.3">
      <c r="A4247">
        <v>2313019194</v>
      </c>
      <c r="B4247">
        <v>2313019321</v>
      </c>
      <c r="C4247" t="str">
        <f>T("천사의 아이 128화")</f>
        <v>천사의 아이 128화</v>
      </c>
      <c r="D4247" t="str">
        <f>T("128")</f>
        <v>128</v>
      </c>
      <c r="E4247" t="str">
        <f t="shared" si="557"/>
        <v>틴타</v>
      </c>
      <c r="H4247" t="str">
        <f t="shared" si="558"/>
        <v>도서출판 태랑</v>
      </c>
      <c r="I4247" t="str">
        <f t="shared" si="559"/>
        <v>천사의 아이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/>
      <c r="AQ4247">
        <v>0</v>
      </c>
      <c r="AR4247">
        <v>0</v>
      </c>
      <c r="AT4247">
        <v>0</v>
      </c>
      <c r="AU4247">
        <v>0</v>
      </c>
      <c r="AW4247">
        <v>0</v>
      </c>
      <c r="AX4247">
        <v>0</v>
      </c>
      <c r="AY4247">
        <v>70</v>
      </c>
      <c r="BC4247" t="str">
        <f t="shared" si="560"/>
        <v>9791164370160</v>
      </c>
      <c r="BE4247" t="str">
        <f t="shared" si="561"/>
        <v>판타지 웹소설 &gt; 퓨전 판타지</v>
      </c>
    </row>
    <row r="4248" spans="1:57" x14ac:dyDescent="0.3">
      <c r="A4248">
        <v>2313019194</v>
      </c>
      <c r="B4248">
        <v>2313019322</v>
      </c>
      <c r="C4248" t="str">
        <f>T("천사의 아이 129화")</f>
        <v>천사의 아이 129화</v>
      </c>
      <c r="D4248" t="str">
        <f>T("129")</f>
        <v>129</v>
      </c>
      <c r="E4248" t="str">
        <f t="shared" si="557"/>
        <v>틴타</v>
      </c>
      <c r="H4248" t="str">
        <f t="shared" si="558"/>
        <v>도서출판 태랑</v>
      </c>
      <c r="I4248" t="str">
        <f t="shared" si="559"/>
        <v>천사의 아이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/>
      <c r="AQ4248">
        <v>0</v>
      </c>
      <c r="AR4248">
        <v>0</v>
      </c>
      <c r="AT4248">
        <v>0</v>
      </c>
      <c r="AU4248">
        <v>0</v>
      </c>
      <c r="AW4248">
        <v>0</v>
      </c>
      <c r="AX4248">
        <v>0</v>
      </c>
      <c r="AY4248">
        <v>70</v>
      </c>
      <c r="BC4248" t="str">
        <f t="shared" si="560"/>
        <v>9791164370160</v>
      </c>
      <c r="BE4248" t="str">
        <f t="shared" si="561"/>
        <v>판타지 웹소설 &gt; 퓨전 판타지</v>
      </c>
    </row>
    <row r="4249" spans="1:57" x14ac:dyDescent="0.3">
      <c r="A4249">
        <v>2313019194</v>
      </c>
      <c r="B4249">
        <v>2313019323</v>
      </c>
      <c r="C4249" t="str">
        <f>T("천사의 아이 130화")</f>
        <v>천사의 아이 130화</v>
      </c>
      <c r="D4249" t="str">
        <f>T("130")</f>
        <v>130</v>
      </c>
      <c r="E4249" t="str">
        <f t="shared" si="557"/>
        <v>틴타</v>
      </c>
      <c r="H4249" t="str">
        <f t="shared" si="558"/>
        <v>도서출판 태랑</v>
      </c>
      <c r="I4249" t="str">
        <f t="shared" si="559"/>
        <v>천사의 아이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/>
      <c r="AQ4249">
        <v>0</v>
      </c>
      <c r="AR4249">
        <v>0</v>
      </c>
      <c r="AT4249">
        <v>0</v>
      </c>
      <c r="AU4249">
        <v>0</v>
      </c>
      <c r="AW4249">
        <v>0</v>
      </c>
      <c r="AX4249">
        <v>0</v>
      </c>
      <c r="AY4249">
        <v>70</v>
      </c>
      <c r="BC4249" t="str">
        <f t="shared" si="560"/>
        <v>9791164370160</v>
      </c>
      <c r="BE4249" t="str">
        <f t="shared" si="561"/>
        <v>판타지 웹소설 &gt; 퓨전 판타지</v>
      </c>
    </row>
    <row r="4250" spans="1:57" x14ac:dyDescent="0.3">
      <c r="A4250">
        <v>2313019194</v>
      </c>
      <c r="B4250">
        <v>2313019324</v>
      </c>
      <c r="C4250" t="str">
        <f>T("천사의 아이 131화")</f>
        <v>천사의 아이 131화</v>
      </c>
      <c r="D4250" t="str">
        <f>T("131")</f>
        <v>131</v>
      </c>
      <c r="E4250" t="str">
        <f t="shared" si="557"/>
        <v>틴타</v>
      </c>
      <c r="H4250" t="str">
        <f t="shared" si="558"/>
        <v>도서출판 태랑</v>
      </c>
      <c r="I4250" t="str">
        <f t="shared" si="559"/>
        <v>천사의 아이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/>
      <c r="AQ4250">
        <v>0</v>
      </c>
      <c r="AR4250">
        <v>0</v>
      </c>
      <c r="AT4250">
        <v>0</v>
      </c>
      <c r="AU4250">
        <v>0</v>
      </c>
      <c r="AW4250">
        <v>0</v>
      </c>
      <c r="AX4250">
        <v>0</v>
      </c>
      <c r="AY4250">
        <v>70</v>
      </c>
      <c r="BC4250" t="str">
        <f t="shared" si="560"/>
        <v>9791164370160</v>
      </c>
      <c r="BE4250" t="str">
        <f t="shared" si="561"/>
        <v>판타지 웹소설 &gt; 퓨전 판타지</v>
      </c>
    </row>
    <row r="4251" spans="1:57" x14ac:dyDescent="0.3">
      <c r="A4251">
        <v>2313019194</v>
      </c>
      <c r="B4251">
        <v>2313019325</v>
      </c>
      <c r="C4251" t="str">
        <f>T("천사의 아이 132화 (완결)")</f>
        <v>천사의 아이 132화 (완결)</v>
      </c>
      <c r="D4251" t="str">
        <f>T("132")</f>
        <v>132</v>
      </c>
      <c r="E4251" t="str">
        <f t="shared" si="557"/>
        <v>틴타</v>
      </c>
      <c r="H4251" t="str">
        <f t="shared" si="558"/>
        <v>도서출판 태랑</v>
      </c>
      <c r="I4251" t="str">
        <f t="shared" si="559"/>
        <v>천사의 아이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/>
      <c r="AQ4251">
        <v>0</v>
      </c>
      <c r="AR4251">
        <v>0</v>
      </c>
      <c r="AT4251">
        <v>0</v>
      </c>
      <c r="AU4251">
        <v>0</v>
      </c>
      <c r="AW4251">
        <v>0</v>
      </c>
      <c r="AX4251">
        <v>0</v>
      </c>
      <c r="AY4251">
        <v>70</v>
      </c>
      <c r="BC4251" t="str">
        <f t="shared" si="560"/>
        <v>9791164370160</v>
      </c>
      <c r="BE4251" t="str">
        <f t="shared" si="561"/>
        <v>판타지 웹소설 &gt; 퓨전 판타지</v>
      </c>
    </row>
    <row r="4252" spans="1:57" x14ac:dyDescent="0.3">
      <c r="A4252">
        <v>2313019331</v>
      </c>
      <c r="B4252">
        <v>2313019360</v>
      </c>
      <c r="C4252" t="str">
        <f>T("상태창빨로 천재 재벌 30화")</f>
        <v>상태창빨로 천재 재벌 30화</v>
      </c>
      <c r="D4252" t="str">
        <f>T("30")</f>
        <v>30</v>
      </c>
      <c r="E4252" t="str">
        <f t="shared" ref="E4252:E4315" si="562">T("리얼탄산")</f>
        <v>리얼탄산</v>
      </c>
      <c r="H4252" t="str">
        <f t="shared" ref="H4252:H4315" si="563">T("스토리위즈")</f>
        <v>스토리위즈</v>
      </c>
      <c r="I4252" t="str">
        <f t="shared" ref="I4252:I4315" si="564">T("상태창빨로 천재 재벌")</f>
        <v>상태창빨로 천재 재벌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/>
      <c r="AQ4252">
        <v>0</v>
      </c>
      <c r="AR4252">
        <v>0</v>
      </c>
      <c r="AT4252">
        <v>0</v>
      </c>
      <c r="AU4252">
        <v>0</v>
      </c>
      <c r="AW4252">
        <v>0</v>
      </c>
      <c r="AX4252">
        <v>0</v>
      </c>
      <c r="AY4252">
        <v>70</v>
      </c>
      <c r="BC4252" t="str">
        <f t="shared" ref="BC4252:BC4315" si="565">T("9791137601741")</f>
        <v>9791137601741</v>
      </c>
      <c r="BE4252" t="str">
        <f t="shared" ref="BE4252:BE4315" si="566">T("판타지 웹소설 &gt; 현대 판타지")</f>
        <v>판타지 웹소설 &gt; 현대 판타지</v>
      </c>
    </row>
    <row r="4253" spans="1:57" x14ac:dyDescent="0.3">
      <c r="A4253">
        <v>2313019331</v>
      </c>
      <c r="B4253">
        <v>2313019361</v>
      </c>
      <c r="C4253" t="str">
        <f>T("상태창빨로 천재 재벌 31화")</f>
        <v>상태창빨로 천재 재벌 31화</v>
      </c>
      <c r="D4253" t="str">
        <f>T("31")</f>
        <v>31</v>
      </c>
      <c r="E4253" t="str">
        <f t="shared" si="562"/>
        <v>리얼탄산</v>
      </c>
      <c r="H4253" t="str">
        <f t="shared" si="563"/>
        <v>스토리위즈</v>
      </c>
      <c r="I4253" t="str">
        <f t="shared" si="564"/>
        <v>상태창빨로 천재 재벌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/>
      <c r="AQ4253">
        <v>0</v>
      </c>
      <c r="AR4253">
        <v>0</v>
      </c>
      <c r="AT4253">
        <v>0</v>
      </c>
      <c r="AU4253">
        <v>0</v>
      </c>
      <c r="AW4253">
        <v>0</v>
      </c>
      <c r="AX4253">
        <v>0</v>
      </c>
      <c r="AY4253">
        <v>70</v>
      </c>
      <c r="BC4253" t="str">
        <f t="shared" si="565"/>
        <v>9791137601741</v>
      </c>
      <c r="BE4253" t="str">
        <f t="shared" si="566"/>
        <v>판타지 웹소설 &gt; 현대 판타지</v>
      </c>
    </row>
    <row r="4254" spans="1:57" x14ac:dyDescent="0.3">
      <c r="A4254">
        <v>2313019331</v>
      </c>
      <c r="B4254">
        <v>2313019362</v>
      </c>
      <c r="C4254" t="str">
        <f>T("상태창빨로 천재 재벌 32화")</f>
        <v>상태창빨로 천재 재벌 32화</v>
      </c>
      <c r="D4254" t="str">
        <f>T("32")</f>
        <v>32</v>
      </c>
      <c r="E4254" t="str">
        <f t="shared" si="562"/>
        <v>리얼탄산</v>
      </c>
      <c r="H4254" t="str">
        <f t="shared" si="563"/>
        <v>스토리위즈</v>
      </c>
      <c r="I4254" t="str">
        <f t="shared" si="564"/>
        <v>상태창빨로 천재 재벌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/>
      <c r="AQ4254">
        <v>0</v>
      </c>
      <c r="AR4254">
        <v>0</v>
      </c>
      <c r="AT4254">
        <v>0</v>
      </c>
      <c r="AU4254">
        <v>0</v>
      </c>
      <c r="AW4254">
        <v>0</v>
      </c>
      <c r="AX4254">
        <v>0</v>
      </c>
      <c r="AY4254">
        <v>70</v>
      </c>
      <c r="BC4254" t="str">
        <f t="shared" si="565"/>
        <v>9791137601741</v>
      </c>
      <c r="BE4254" t="str">
        <f t="shared" si="566"/>
        <v>판타지 웹소설 &gt; 현대 판타지</v>
      </c>
    </row>
    <row r="4255" spans="1:57" x14ac:dyDescent="0.3">
      <c r="A4255">
        <v>2313019331</v>
      </c>
      <c r="B4255">
        <v>2313019363</v>
      </c>
      <c r="C4255" t="str">
        <f>T("상태창빨로 천재 재벌 33화")</f>
        <v>상태창빨로 천재 재벌 33화</v>
      </c>
      <c r="D4255" t="str">
        <f>T("33")</f>
        <v>33</v>
      </c>
      <c r="E4255" t="str">
        <f t="shared" si="562"/>
        <v>리얼탄산</v>
      </c>
      <c r="H4255" t="str">
        <f t="shared" si="563"/>
        <v>스토리위즈</v>
      </c>
      <c r="I4255" t="str">
        <f t="shared" si="564"/>
        <v>상태창빨로 천재 재벌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/>
      <c r="AQ4255">
        <v>0</v>
      </c>
      <c r="AR4255">
        <v>0</v>
      </c>
      <c r="AT4255">
        <v>0</v>
      </c>
      <c r="AU4255">
        <v>0</v>
      </c>
      <c r="AW4255">
        <v>0</v>
      </c>
      <c r="AX4255">
        <v>0</v>
      </c>
      <c r="AY4255">
        <v>70</v>
      </c>
      <c r="BC4255" t="str">
        <f t="shared" si="565"/>
        <v>9791137601741</v>
      </c>
      <c r="BE4255" t="str">
        <f t="shared" si="566"/>
        <v>판타지 웹소설 &gt; 현대 판타지</v>
      </c>
    </row>
    <row r="4256" spans="1:57" x14ac:dyDescent="0.3">
      <c r="A4256">
        <v>2313019331</v>
      </c>
      <c r="B4256">
        <v>2313019364</v>
      </c>
      <c r="C4256" t="str">
        <f>T("상태창빨로 천재 재벌 34화")</f>
        <v>상태창빨로 천재 재벌 34화</v>
      </c>
      <c r="D4256" t="str">
        <f>T("34")</f>
        <v>34</v>
      </c>
      <c r="E4256" t="str">
        <f t="shared" si="562"/>
        <v>리얼탄산</v>
      </c>
      <c r="H4256" t="str">
        <f t="shared" si="563"/>
        <v>스토리위즈</v>
      </c>
      <c r="I4256" t="str">
        <f t="shared" si="564"/>
        <v>상태창빨로 천재 재벌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/>
      <c r="AQ4256">
        <v>0</v>
      </c>
      <c r="AR4256">
        <v>0</v>
      </c>
      <c r="AT4256">
        <v>0</v>
      </c>
      <c r="AU4256">
        <v>0</v>
      </c>
      <c r="AW4256">
        <v>0</v>
      </c>
      <c r="AX4256">
        <v>0</v>
      </c>
      <c r="AY4256">
        <v>70</v>
      </c>
      <c r="BC4256" t="str">
        <f t="shared" si="565"/>
        <v>9791137601741</v>
      </c>
      <c r="BE4256" t="str">
        <f t="shared" si="566"/>
        <v>판타지 웹소설 &gt; 현대 판타지</v>
      </c>
    </row>
    <row r="4257" spans="1:57" x14ac:dyDescent="0.3">
      <c r="A4257">
        <v>2313019331</v>
      </c>
      <c r="B4257">
        <v>2313019365</v>
      </c>
      <c r="C4257" t="str">
        <f>T("상태창빨로 천재 재벌 35화")</f>
        <v>상태창빨로 천재 재벌 35화</v>
      </c>
      <c r="D4257" t="str">
        <f>T("35")</f>
        <v>35</v>
      </c>
      <c r="E4257" t="str">
        <f t="shared" si="562"/>
        <v>리얼탄산</v>
      </c>
      <c r="H4257" t="str">
        <f t="shared" si="563"/>
        <v>스토리위즈</v>
      </c>
      <c r="I4257" t="str">
        <f t="shared" si="564"/>
        <v>상태창빨로 천재 재벌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/>
      <c r="AQ4257">
        <v>0</v>
      </c>
      <c r="AR4257">
        <v>0</v>
      </c>
      <c r="AT4257">
        <v>0</v>
      </c>
      <c r="AU4257">
        <v>0</v>
      </c>
      <c r="AW4257">
        <v>0</v>
      </c>
      <c r="AX4257">
        <v>0</v>
      </c>
      <c r="AY4257">
        <v>70</v>
      </c>
      <c r="BC4257" t="str">
        <f t="shared" si="565"/>
        <v>9791137601741</v>
      </c>
      <c r="BE4257" t="str">
        <f t="shared" si="566"/>
        <v>판타지 웹소설 &gt; 현대 판타지</v>
      </c>
    </row>
    <row r="4258" spans="1:57" x14ac:dyDescent="0.3">
      <c r="A4258">
        <v>2313019331</v>
      </c>
      <c r="B4258">
        <v>2313019366</v>
      </c>
      <c r="C4258" t="str">
        <f>T("상태창빨로 천재 재벌 36화")</f>
        <v>상태창빨로 천재 재벌 36화</v>
      </c>
      <c r="D4258" t="str">
        <f>T("36")</f>
        <v>36</v>
      </c>
      <c r="E4258" t="str">
        <f t="shared" si="562"/>
        <v>리얼탄산</v>
      </c>
      <c r="H4258" t="str">
        <f t="shared" si="563"/>
        <v>스토리위즈</v>
      </c>
      <c r="I4258" t="str">
        <f t="shared" si="564"/>
        <v>상태창빨로 천재 재벌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/>
      <c r="AQ4258">
        <v>0</v>
      </c>
      <c r="AR4258">
        <v>0</v>
      </c>
      <c r="AT4258">
        <v>0</v>
      </c>
      <c r="AU4258">
        <v>0</v>
      </c>
      <c r="AW4258">
        <v>0</v>
      </c>
      <c r="AX4258">
        <v>0</v>
      </c>
      <c r="AY4258">
        <v>70</v>
      </c>
      <c r="BC4258" t="str">
        <f t="shared" si="565"/>
        <v>9791137601741</v>
      </c>
      <c r="BE4258" t="str">
        <f t="shared" si="566"/>
        <v>판타지 웹소설 &gt; 현대 판타지</v>
      </c>
    </row>
    <row r="4259" spans="1:57" x14ac:dyDescent="0.3">
      <c r="A4259">
        <v>2313019331</v>
      </c>
      <c r="B4259">
        <v>2313019367</v>
      </c>
      <c r="C4259" t="str">
        <f>T("상태창빨로 천재 재벌 37화")</f>
        <v>상태창빨로 천재 재벌 37화</v>
      </c>
      <c r="D4259" t="str">
        <f>T("37")</f>
        <v>37</v>
      </c>
      <c r="E4259" t="str">
        <f t="shared" si="562"/>
        <v>리얼탄산</v>
      </c>
      <c r="H4259" t="str">
        <f t="shared" si="563"/>
        <v>스토리위즈</v>
      </c>
      <c r="I4259" t="str">
        <f t="shared" si="564"/>
        <v>상태창빨로 천재 재벌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/>
      <c r="AQ4259">
        <v>0</v>
      </c>
      <c r="AR4259">
        <v>0</v>
      </c>
      <c r="AT4259">
        <v>0</v>
      </c>
      <c r="AU4259">
        <v>0</v>
      </c>
      <c r="AW4259">
        <v>0</v>
      </c>
      <c r="AX4259">
        <v>0</v>
      </c>
      <c r="AY4259">
        <v>70</v>
      </c>
      <c r="BC4259" t="str">
        <f t="shared" si="565"/>
        <v>9791137601741</v>
      </c>
      <c r="BE4259" t="str">
        <f t="shared" si="566"/>
        <v>판타지 웹소설 &gt; 현대 판타지</v>
      </c>
    </row>
    <row r="4260" spans="1:57" x14ac:dyDescent="0.3">
      <c r="A4260">
        <v>2313019331</v>
      </c>
      <c r="B4260">
        <v>2313019368</v>
      </c>
      <c r="C4260" t="str">
        <f>T("상태창빨로 천재 재벌 38화")</f>
        <v>상태창빨로 천재 재벌 38화</v>
      </c>
      <c r="D4260" t="str">
        <f>T("38")</f>
        <v>38</v>
      </c>
      <c r="E4260" t="str">
        <f t="shared" si="562"/>
        <v>리얼탄산</v>
      </c>
      <c r="H4260" t="str">
        <f t="shared" si="563"/>
        <v>스토리위즈</v>
      </c>
      <c r="I4260" t="str">
        <f t="shared" si="564"/>
        <v>상태창빨로 천재 재벌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/>
      <c r="AQ4260">
        <v>0</v>
      </c>
      <c r="AR4260">
        <v>0</v>
      </c>
      <c r="AT4260">
        <v>0</v>
      </c>
      <c r="AU4260">
        <v>0</v>
      </c>
      <c r="AW4260">
        <v>0</v>
      </c>
      <c r="AX4260">
        <v>0</v>
      </c>
      <c r="AY4260">
        <v>70</v>
      </c>
      <c r="BC4260" t="str">
        <f t="shared" si="565"/>
        <v>9791137601741</v>
      </c>
      <c r="BE4260" t="str">
        <f t="shared" si="566"/>
        <v>판타지 웹소설 &gt; 현대 판타지</v>
      </c>
    </row>
    <row r="4261" spans="1:57" x14ac:dyDescent="0.3">
      <c r="A4261">
        <v>2313019331</v>
      </c>
      <c r="B4261">
        <v>2313019369</v>
      </c>
      <c r="C4261" t="str">
        <f>T("상태창빨로 천재 재벌 39화")</f>
        <v>상태창빨로 천재 재벌 39화</v>
      </c>
      <c r="D4261" t="str">
        <f>T("39")</f>
        <v>39</v>
      </c>
      <c r="E4261" t="str">
        <f t="shared" si="562"/>
        <v>리얼탄산</v>
      </c>
      <c r="H4261" t="str">
        <f t="shared" si="563"/>
        <v>스토리위즈</v>
      </c>
      <c r="I4261" t="str">
        <f t="shared" si="564"/>
        <v>상태창빨로 천재 재벌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/>
      <c r="AQ4261">
        <v>0</v>
      </c>
      <c r="AR4261">
        <v>0</v>
      </c>
      <c r="AT4261">
        <v>0</v>
      </c>
      <c r="AU4261">
        <v>0</v>
      </c>
      <c r="AW4261">
        <v>0</v>
      </c>
      <c r="AX4261">
        <v>0</v>
      </c>
      <c r="AY4261">
        <v>70</v>
      </c>
      <c r="BC4261" t="str">
        <f t="shared" si="565"/>
        <v>9791137601741</v>
      </c>
      <c r="BE4261" t="str">
        <f t="shared" si="566"/>
        <v>판타지 웹소설 &gt; 현대 판타지</v>
      </c>
    </row>
    <row r="4262" spans="1:57" x14ac:dyDescent="0.3">
      <c r="A4262">
        <v>2313019331</v>
      </c>
      <c r="B4262">
        <v>2313019370</v>
      </c>
      <c r="C4262" t="str">
        <f>T("상태창빨로 천재 재벌 40화")</f>
        <v>상태창빨로 천재 재벌 40화</v>
      </c>
      <c r="D4262" t="str">
        <f>T("40")</f>
        <v>40</v>
      </c>
      <c r="E4262" t="str">
        <f t="shared" si="562"/>
        <v>리얼탄산</v>
      </c>
      <c r="H4262" t="str">
        <f t="shared" si="563"/>
        <v>스토리위즈</v>
      </c>
      <c r="I4262" t="str">
        <f t="shared" si="564"/>
        <v>상태창빨로 천재 재벌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/>
      <c r="AQ4262">
        <v>0</v>
      </c>
      <c r="AR4262">
        <v>0</v>
      </c>
      <c r="AT4262">
        <v>0</v>
      </c>
      <c r="AU4262">
        <v>0</v>
      </c>
      <c r="AW4262">
        <v>0</v>
      </c>
      <c r="AX4262">
        <v>0</v>
      </c>
      <c r="AY4262">
        <v>70</v>
      </c>
      <c r="BC4262" t="str">
        <f t="shared" si="565"/>
        <v>9791137601741</v>
      </c>
      <c r="BE4262" t="str">
        <f t="shared" si="566"/>
        <v>판타지 웹소설 &gt; 현대 판타지</v>
      </c>
    </row>
    <row r="4263" spans="1:57" x14ac:dyDescent="0.3">
      <c r="A4263">
        <v>2313019331</v>
      </c>
      <c r="B4263">
        <v>2313019371</v>
      </c>
      <c r="C4263" t="str">
        <f>T("상태창빨로 천재 재벌 41화")</f>
        <v>상태창빨로 천재 재벌 41화</v>
      </c>
      <c r="D4263" t="str">
        <f>T("41")</f>
        <v>41</v>
      </c>
      <c r="E4263" t="str">
        <f t="shared" si="562"/>
        <v>리얼탄산</v>
      </c>
      <c r="H4263" t="str">
        <f t="shared" si="563"/>
        <v>스토리위즈</v>
      </c>
      <c r="I4263" t="str">
        <f t="shared" si="564"/>
        <v>상태창빨로 천재 재벌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/>
      <c r="AQ4263">
        <v>0</v>
      </c>
      <c r="AR4263">
        <v>0</v>
      </c>
      <c r="AT4263">
        <v>0</v>
      </c>
      <c r="AU4263">
        <v>0</v>
      </c>
      <c r="AW4263">
        <v>0</v>
      </c>
      <c r="AX4263">
        <v>0</v>
      </c>
      <c r="AY4263">
        <v>70</v>
      </c>
      <c r="BC4263" t="str">
        <f t="shared" si="565"/>
        <v>9791137601741</v>
      </c>
      <c r="BE4263" t="str">
        <f t="shared" si="566"/>
        <v>판타지 웹소설 &gt; 현대 판타지</v>
      </c>
    </row>
    <row r="4264" spans="1:57" x14ac:dyDescent="0.3">
      <c r="A4264">
        <v>2313019331</v>
      </c>
      <c r="B4264">
        <v>2313019372</v>
      </c>
      <c r="C4264" t="str">
        <f>T("상태창빨로 천재 재벌 42화")</f>
        <v>상태창빨로 천재 재벌 42화</v>
      </c>
      <c r="D4264" t="str">
        <f>T("42")</f>
        <v>42</v>
      </c>
      <c r="E4264" t="str">
        <f t="shared" si="562"/>
        <v>리얼탄산</v>
      </c>
      <c r="H4264" t="str">
        <f t="shared" si="563"/>
        <v>스토리위즈</v>
      </c>
      <c r="I4264" t="str">
        <f t="shared" si="564"/>
        <v>상태창빨로 천재 재벌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/>
      <c r="AQ4264">
        <v>0</v>
      </c>
      <c r="AR4264">
        <v>0</v>
      </c>
      <c r="AT4264">
        <v>0</v>
      </c>
      <c r="AU4264">
        <v>0</v>
      </c>
      <c r="AW4264">
        <v>0</v>
      </c>
      <c r="AX4264">
        <v>0</v>
      </c>
      <c r="AY4264">
        <v>70</v>
      </c>
      <c r="BC4264" t="str">
        <f t="shared" si="565"/>
        <v>9791137601741</v>
      </c>
      <c r="BE4264" t="str">
        <f t="shared" si="566"/>
        <v>판타지 웹소설 &gt; 현대 판타지</v>
      </c>
    </row>
    <row r="4265" spans="1:57" x14ac:dyDescent="0.3">
      <c r="A4265">
        <v>2313019331</v>
      </c>
      <c r="B4265">
        <v>2313019373</v>
      </c>
      <c r="C4265" t="str">
        <f>T("상태창빨로 천재 재벌 43화")</f>
        <v>상태창빨로 천재 재벌 43화</v>
      </c>
      <c r="D4265" t="str">
        <f>T("43")</f>
        <v>43</v>
      </c>
      <c r="E4265" t="str">
        <f t="shared" si="562"/>
        <v>리얼탄산</v>
      </c>
      <c r="H4265" t="str">
        <f t="shared" si="563"/>
        <v>스토리위즈</v>
      </c>
      <c r="I4265" t="str">
        <f t="shared" si="564"/>
        <v>상태창빨로 천재 재벌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/>
      <c r="AQ4265">
        <v>0</v>
      </c>
      <c r="AR4265">
        <v>0</v>
      </c>
      <c r="AT4265">
        <v>0</v>
      </c>
      <c r="AU4265">
        <v>0</v>
      </c>
      <c r="AW4265">
        <v>0</v>
      </c>
      <c r="AX4265">
        <v>0</v>
      </c>
      <c r="AY4265">
        <v>70</v>
      </c>
      <c r="BC4265" t="str">
        <f t="shared" si="565"/>
        <v>9791137601741</v>
      </c>
      <c r="BE4265" t="str">
        <f t="shared" si="566"/>
        <v>판타지 웹소설 &gt; 현대 판타지</v>
      </c>
    </row>
    <row r="4266" spans="1:57" x14ac:dyDescent="0.3">
      <c r="A4266">
        <v>2313019331</v>
      </c>
      <c r="B4266">
        <v>2313019374</v>
      </c>
      <c r="C4266" t="str">
        <f>T("상태창빨로 천재 재벌 44화")</f>
        <v>상태창빨로 천재 재벌 44화</v>
      </c>
      <c r="D4266" t="str">
        <f>T("44")</f>
        <v>44</v>
      </c>
      <c r="E4266" t="str">
        <f t="shared" si="562"/>
        <v>리얼탄산</v>
      </c>
      <c r="H4266" t="str">
        <f t="shared" si="563"/>
        <v>스토리위즈</v>
      </c>
      <c r="I4266" t="str">
        <f t="shared" si="564"/>
        <v>상태창빨로 천재 재벌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/>
      <c r="AQ4266">
        <v>0</v>
      </c>
      <c r="AR4266">
        <v>0</v>
      </c>
      <c r="AT4266">
        <v>0</v>
      </c>
      <c r="AU4266">
        <v>0</v>
      </c>
      <c r="AW4266">
        <v>0</v>
      </c>
      <c r="AX4266">
        <v>0</v>
      </c>
      <c r="AY4266">
        <v>70</v>
      </c>
      <c r="BC4266" t="str">
        <f t="shared" si="565"/>
        <v>9791137601741</v>
      </c>
      <c r="BE4266" t="str">
        <f t="shared" si="566"/>
        <v>판타지 웹소설 &gt; 현대 판타지</v>
      </c>
    </row>
    <row r="4267" spans="1:57" x14ac:dyDescent="0.3">
      <c r="A4267">
        <v>2313019331</v>
      </c>
      <c r="B4267">
        <v>2313019375</v>
      </c>
      <c r="C4267" t="str">
        <f>T("상태창빨로 천재 재벌 45화")</f>
        <v>상태창빨로 천재 재벌 45화</v>
      </c>
      <c r="D4267" t="str">
        <f>T("45")</f>
        <v>45</v>
      </c>
      <c r="E4267" t="str">
        <f t="shared" si="562"/>
        <v>리얼탄산</v>
      </c>
      <c r="H4267" t="str">
        <f t="shared" si="563"/>
        <v>스토리위즈</v>
      </c>
      <c r="I4267" t="str">
        <f t="shared" si="564"/>
        <v>상태창빨로 천재 재벌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/>
      <c r="AQ4267">
        <v>0</v>
      </c>
      <c r="AR4267">
        <v>0</v>
      </c>
      <c r="AT4267">
        <v>0</v>
      </c>
      <c r="AU4267">
        <v>0</v>
      </c>
      <c r="AW4267">
        <v>0</v>
      </c>
      <c r="AX4267">
        <v>0</v>
      </c>
      <c r="AY4267">
        <v>70</v>
      </c>
      <c r="BC4267" t="str">
        <f t="shared" si="565"/>
        <v>9791137601741</v>
      </c>
      <c r="BE4267" t="str">
        <f t="shared" si="566"/>
        <v>판타지 웹소설 &gt; 현대 판타지</v>
      </c>
    </row>
    <row r="4268" spans="1:57" x14ac:dyDescent="0.3">
      <c r="A4268">
        <v>2313019331</v>
      </c>
      <c r="B4268">
        <v>2313019376</v>
      </c>
      <c r="C4268" t="str">
        <f>T("상태창빨로 천재 재벌 46화")</f>
        <v>상태창빨로 천재 재벌 46화</v>
      </c>
      <c r="D4268" t="str">
        <f>T("46")</f>
        <v>46</v>
      </c>
      <c r="E4268" t="str">
        <f t="shared" si="562"/>
        <v>리얼탄산</v>
      </c>
      <c r="H4268" t="str">
        <f t="shared" si="563"/>
        <v>스토리위즈</v>
      </c>
      <c r="I4268" t="str">
        <f t="shared" si="564"/>
        <v>상태창빨로 천재 재벌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/>
      <c r="AQ4268">
        <v>0</v>
      </c>
      <c r="AR4268">
        <v>0</v>
      </c>
      <c r="AT4268">
        <v>0</v>
      </c>
      <c r="AU4268">
        <v>0</v>
      </c>
      <c r="AW4268">
        <v>0</v>
      </c>
      <c r="AX4268">
        <v>0</v>
      </c>
      <c r="AY4268">
        <v>70</v>
      </c>
      <c r="BC4268" t="str">
        <f t="shared" si="565"/>
        <v>9791137601741</v>
      </c>
      <c r="BE4268" t="str">
        <f t="shared" si="566"/>
        <v>판타지 웹소설 &gt; 현대 판타지</v>
      </c>
    </row>
    <row r="4269" spans="1:57" x14ac:dyDescent="0.3">
      <c r="A4269">
        <v>2313019331</v>
      </c>
      <c r="B4269">
        <v>2313019377</v>
      </c>
      <c r="C4269" t="str">
        <f>T("상태창빨로 천재 재벌 47화")</f>
        <v>상태창빨로 천재 재벌 47화</v>
      </c>
      <c r="D4269" t="str">
        <f>T("47")</f>
        <v>47</v>
      </c>
      <c r="E4269" t="str">
        <f t="shared" si="562"/>
        <v>리얼탄산</v>
      </c>
      <c r="H4269" t="str">
        <f t="shared" si="563"/>
        <v>스토리위즈</v>
      </c>
      <c r="I4269" t="str">
        <f t="shared" si="564"/>
        <v>상태창빨로 천재 재벌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/>
      <c r="AQ4269">
        <v>0</v>
      </c>
      <c r="AR4269">
        <v>0</v>
      </c>
      <c r="AT4269">
        <v>0</v>
      </c>
      <c r="AU4269">
        <v>0</v>
      </c>
      <c r="AW4269">
        <v>0</v>
      </c>
      <c r="AX4269">
        <v>0</v>
      </c>
      <c r="AY4269">
        <v>70</v>
      </c>
      <c r="BC4269" t="str">
        <f t="shared" si="565"/>
        <v>9791137601741</v>
      </c>
      <c r="BE4269" t="str">
        <f t="shared" si="566"/>
        <v>판타지 웹소설 &gt; 현대 판타지</v>
      </c>
    </row>
    <row r="4270" spans="1:57" x14ac:dyDescent="0.3">
      <c r="A4270">
        <v>2313019331</v>
      </c>
      <c r="B4270">
        <v>2313019378</v>
      </c>
      <c r="C4270" t="str">
        <f>T("상태창빨로 천재 재벌 48화")</f>
        <v>상태창빨로 천재 재벌 48화</v>
      </c>
      <c r="D4270" t="str">
        <f>T("48")</f>
        <v>48</v>
      </c>
      <c r="E4270" t="str">
        <f t="shared" si="562"/>
        <v>리얼탄산</v>
      </c>
      <c r="H4270" t="str">
        <f t="shared" si="563"/>
        <v>스토리위즈</v>
      </c>
      <c r="I4270" t="str">
        <f t="shared" si="564"/>
        <v>상태창빨로 천재 재벌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/>
      <c r="AQ4270">
        <v>0</v>
      </c>
      <c r="AR4270">
        <v>0</v>
      </c>
      <c r="AT4270">
        <v>0</v>
      </c>
      <c r="AU4270">
        <v>0</v>
      </c>
      <c r="AW4270">
        <v>0</v>
      </c>
      <c r="AX4270">
        <v>0</v>
      </c>
      <c r="AY4270">
        <v>70</v>
      </c>
      <c r="BC4270" t="str">
        <f t="shared" si="565"/>
        <v>9791137601741</v>
      </c>
      <c r="BE4270" t="str">
        <f t="shared" si="566"/>
        <v>판타지 웹소설 &gt; 현대 판타지</v>
      </c>
    </row>
    <row r="4271" spans="1:57" x14ac:dyDescent="0.3">
      <c r="A4271">
        <v>2313019331</v>
      </c>
      <c r="B4271">
        <v>2313019379</v>
      </c>
      <c r="C4271" t="str">
        <f>T("상태창빨로 천재 재벌 49화")</f>
        <v>상태창빨로 천재 재벌 49화</v>
      </c>
      <c r="D4271" t="str">
        <f>T("49")</f>
        <v>49</v>
      </c>
      <c r="E4271" t="str">
        <f t="shared" si="562"/>
        <v>리얼탄산</v>
      </c>
      <c r="H4271" t="str">
        <f t="shared" si="563"/>
        <v>스토리위즈</v>
      </c>
      <c r="I4271" t="str">
        <f t="shared" si="564"/>
        <v>상태창빨로 천재 재벌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/>
      <c r="AQ4271">
        <v>0</v>
      </c>
      <c r="AR4271">
        <v>0</v>
      </c>
      <c r="AT4271">
        <v>0</v>
      </c>
      <c r="AU4271">
        <v>0</v>
      </c>
      <c r="AW4271">
        <v>0</v>
      </c>
      <c r="AX4271">
        <v>0</v>
      </c>
      <c r="AY4271">
        <v>70</v>
      </c>
      <c r="BC4271" t="str">
        <f t="shared" si="565"/>
        <v>9791137601741</v>
      </c>
      <c r="BE4271" t="str">
        <f t="shared" si="566"/>
        <v>판타지 웹소설 &gt; 현대 판타지</v>
      </c>
    </row>
    <row r="4272" spans="1:57" x14ac:dyDescent="0.3">
      <c r="A4272">
        <v>2313019331</v>
      </c>
      <c r="B4272">
        <v>2313019380</v>
      </c>
      <c r="C4272" t="str">
        <f>T("상태창빨로 천재 재벌 50화")</f>
        <v>상태창빨로 천재 재벌 50화</v>
      </c>
      <c r="D4272" t="str">
        <f>T("50")</f>
        <v>50</v>
      </c>
      <c r="E4272" t="str">
        <f t="shared" si="562"/>
        <v>리얼탄산</v>
      </c>
      <c r="H4272" t="str">
        <f t="shared" si="563"/>
        <v>스토리위즈</v>
      </c>
      <c r="I4272" t="str">
        <f t="shared" si="564"/>
        <v>상태창빨로 천재 재벌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/>
      <c r="AQ4272">
        <v>0</v>
      </c>
      <c r="AR4272">
        <v>0</v>
      </c>
      <c r="AT4272">
        <v>0</v>
      </c>
      <c r="AU4272">
        <v>0</v>
      </c>
      <c r="AW4272">
        <v>0</v>
      </c>
      <c r="AX4272">
        <v>0</v>
      </c>
      <c r="AY4272">
        <v>70</v>
      </c>
      <c r="BC4272" t="str">
        <f t="shared" si="565"/>
        <v>9791137601741</v>
      </c>
      <c r="BE4272" t="str">
        <f t="shared" si="566"/>
        <v>판타지 웹소설 &gt; 현대 판타지</v>
      </c>
    </row>
    <row r="4273" spans="1:57" x14ac:dyDescent="0.3">
      <c r="A4273">
        <v>2313019331</v>
      </c>
      <c r="B4273">
        <v>2313019445</v>
      </c>
      <c r="C4273" t="str">
        <f>T("상태창빨로 천재 재벌 115화")</f>
        <v>상태창빨로 천재 재벌 115화</v>
      </c>
      <c r="D4273" t="str">
        <f>T("115")</f>
        <v>115</v>
      </c>
      <c r="E4273" t="str">
        <f t="shared" si="562"/>
        <v>리얼탄산</v>
      </c>
      <c r="H4273" t="str">
        <f t="shared" si="563"/>
        <v>스토리위즈</v>
      </c>
      <c r="I4273" t="str">
        <f t="shared" si="564"/>
        <v>상태창빨로 천재 재벌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/>
      <c r="AQ4273">
        <v>0</v>
      </c>
      <c r="AR4273">
        <v>0</v>
      </c>
      <c r="AT4273">
        <v>0</v>
      </c>
      <c r="AU4273">
        <v>0</v>
      </c>
      <c r="AW4273">
        <v>0</v>
      </c>
      <c r="AX4273">
        <v>0</v>
      </c>
      <c r="AY4273">
        <v>70</v>
      </c>
      <c r="BC4273" t="str">
        <f t="shared" si="565"/>
        <v>9791137601741</v>
      </c>
      <c r="BE4273" t="str">
        <f t="shared" si="566"/>
        <v>판타지 웹소설 &gt; 현대 판타지</v>
      </c>
    </row>
    <row r="4274" spans="1:57" x14ac:dyDescent="0.3">
      <c r="A4274">
        <v>2313019331</v>
      </c>
      <c r="B4274">
        <v>2313019453</v>
      </c>
      <c r="C4274" t="str">
        <f>T("상태창빨로 천재 재벌 123화")</f>
        <v>상태창빨로 천재 재벌 123화</v>
      </c>
      <c r="D4274" t="str">
        <f>T("123")</f>
        <v>123</v>
      </c>
      <c r="E4274" t="str">
        <f t="shared" si="562"/>
        <v>리얼탄산</v>
      </c>
      <c r="H4274" t="str">
        <f t="shared" si="563"/>
        <v>스토리위즈</v>
      </c>
      <c r="I4274" t="str">
        <f t="shared" si="564"/>
        <v>상태창빨로 천재 재벌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/>
      <c r="AQ4274">
        <v>0</v>
      </c>
      <c r="AR4274">
        <v>0</v>
      </c>
      <c r="AT4274">
        <v>0</v>
      </c>
      <c r="AU4274">
        <v>0</v>
      </c>
      <c r="AW4274">
        <v>0</v>
      </c>
      <c r="AX4274">
        <v>0</v>
      </c>
      <c r="AY4274">
        <v>70</v>
      </c>
      <c r="BC4274" t="str">
        <f t="shared" si="565"/>
        <v>9791137601741</v>
      </c>
      <c r="BE4274" t="str">
        <f t="shared" si="566"/>
        <v>판타지 웹소설 &gt; 현대 판타지</v>
      </c>
    </row>
    <row r="4275" spans="1:57" x14ac:dyDescent="0.3">
      <c r="A4275">
        <v>2313019331</v>
      </c>
      <c r="B4275">
        <v>2313019454</v>
      </c>
      <c r="C4275" t="str">
        <f>T("상태창빨로 천재 재벌 124화")</f>
        <v>상태창빨로 천재 재벌 124화</v>
      </c>
      <c r="D4275" t="str">
        <f>T("124")</f>
        <v>124</v>
      </c>
      <c r="E4275" t="str">
        <f t="shared" si="562"/>
        <v>리얼탄산</v>
      </c>
      <c r="H4275" t="str">
        <f t="shared" si="563"/>
        <v>스토리위즈</v>
      </c>
      <c r="I4275" t="str">
        <f t="shared" si="564"/>
        <v>상태창빨로 천재 재벌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/>
      <c r="AQ4275">
        <v>0</v>
      </c>
      <c r="AR4275">
        <v>0</v>
      </c>
      <c r="AT4275">
        <v>0</v>
      </c>
      <c r="AU4275">
        <v>0</v>
      </c>
      <c r="AW4275">
        <v>0</v>
      </c>
      <c r="AX4275">
        <v>0</v>
      </c>
      <c r="AY4275">
        <v>70</v>
      </c>
      <c r="BC4275" t="str">
        <f t="shared" si="565"/>
        <v>9791137601741</v>
      </c>
      <c r="BE4275" t="str">
        <f t="shared" si="566"/>
        <v>판타지 웹소설 &gt; 현대 판타지</v>
      </c>
    </row>
    <row r="4276" spans="1:57" x14ac:dyDescent="0.3">
      <c r="A4276">
        <v>2313019331</v>
      </c>
      <c r="B4276">
        <v>2313019456</v>
      </c>
      <c r="C4276" t="str">
        <f>T("상태창빨로 천재 재벌 126화")</f>
        <v>상태창빨로 천재 재벌 126화</v>
      </c>
      <c r="D4276" t="str">
        <f>T("126")</f>
        <v>126</v>
      </c>
      <c r="E4276" t="str">
        <f t="shared" si="562"/>
        <v>리얼탄산</v>
      </c>
      <c r="H4276" t="str">
        <f t="shared" si="563"/>
        <v>스토리위즈</v>
      </c>
      <c r="I4276" t="str">
        <f t="shared" si="564"/>
        <v>상태창빨로 천재 재벌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/>
      <c r="AQ4276">
        <v>0</v>
      </c>
      <c r="AR4276">
        <v>0</v>
      </c>
      <c r="AT4276">
        <v>0</v>
      </c>
      <c r="AU4276">
        <v>0</v>
      </c>
      <c r="AW4276">
        <v>0</v>
      </c>
      <c r="AX4276">
        <v>0</v>
      </c>
      <c r="AY4276">
        <v>70</v>
      </c>
      <c r="BC4276" t="str">
        <f t="shared" si="565"/>
        <v>9791137601741</v>
      </c>
      <c r="BE4276" t="str">
        <f t="shared" si="566"/>
        <v>판타지 웹소설 &gt; 현대 판타지</v>
      </c>
    </row>
    <row r="4277" spans="1:57" x14ac:dyDescent="0.3">
      <c r="A4277">
        <v>2313019331</v>
      </c>
      <c r="B4277">
        <v>2313019462</v>
      </c>
      <c r="C4277" t="str">
        <f>T("상태창빨로 천재 재벌 132화")</f>
        <v>상태창빨로 천재 재벌 132화</v>
      </c>
      <c r="D4277" t="str">
        <f>T("132")</f>
        <v>132</v>
      </c>
      <c r="E4277" t="str">
        <f t="shared" si="562"/>
        <v>리얼탄산</v>
      </c>
      <c r="H4277" t="str">
        <f t="shared" si="563"/>
        <v>스토리위즈</v>
      </c>
      <c r="I4277" t="str">
        <f t="shared" si="564"/>
        <v>상태창빨로 천재 재벌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/>
      <c r="AQ4277">
        <v>0</v>
      </c>
      <c r="AR4277">
        <v>0</v>
      </c>
      <c r="AT4277">
        <v>0</v>
      </c>
      <c r="AU4277">
        <v>0</v>
      </c>
      <c r="AW4277">
        <v>0</v>
      </c>
      <c r="AX4277">
        <v>0</v>
      </c>
      <c r="AY4277">
        <v>70</v>
      </c>
      <c r="BC4277" t="str">
        <f t="shared" si="565"/>
        <v>9791137601741</v>
      </c>
      <c r="BE4277" t="str">
        <f t="shared" si="566"/>
        <v>판타지 웹소설 &gt; 현대 판타지</v>
      </c>
    </row>
    <row r="4278" spans="1:57" x14ac:dyDescent="0.3">
      <c r="A4278">
        <v>2313019331</v>
      </c>
      <c r="B4278">
        <v>2313019463</v>
      </c>
      <c r="C4278" t="str">
        <f>T("상태창빨로 천재 재벌 133화")</f>
        <v>상태창빨로 천재 재벌 133화</v>
      </c>
      <c r="D4278" t="str">
        <f>T("133")</f>
        <v>133</v>
      </c>
      <c r="E4278" t="str">
        <f t="shared" si="562"/>
        <v>리얼탄산</v>
      </c>
      <c r="H4278" t="str">
        <f t="shared" si="563"/>
        <v>스토리위즈</v>
      </c>
      <c r="I4278" t="str">
        <f t="shared" si="564"/>
        <v>상태창빨로 천재 재벌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/>
      <c r="AQ4278">
        <v>0</v>
      </c>
      <c r="AR4278">
        <v>0</v>
      </c>
      <c r="AT4278">
        <v>0</v>
      </c>
      <c r="AU4278">
        <v>0</v>
      </c>
      <c r="AW4278">
        <v>0</v>
      </c>
      <c r="AX4278">
        <v>0</v>
      </c>
      <c r="AY4278">
        <v>70</v>
      </c>
      <c r="BC4278" t="str">
        <f t="shared" si="565"/>
        <v>9791137601741</v>
      </c>
      <c r="BE4278" t="str">
        <f t="shared" si="566"/>
        <v>판타지 웹소설 &gt; 현대 판타지</v>
      </c>
    </row>
    <row r="4279" spans="1:57" x14ac:dyDescent="0.3">
      <c r="A4279">
        <v>2313019331</v>
      </c>
      <c r="B4279">
        <v>2313019464</v>
      </c>
      <c r="C4279" t="str">
        <f>T("상태창빨로 천재 재벌 134화")</f>
        <v>상태창빨로 천재 재벌 134화</v>
      </c>
      <c r="D4279" t="str">
        <f>T("134")</f>
        <v>134</v>
      </c>
      <c r="E4279" t="str">
        <f t="shared" si="562"/>
        <v>리얼탄산</v>
      </c>
      <c r="H4279" t="str">
        <f t="shared" si="563"/>
        <v>스토리위즈</v>
      </c>
      <c r="I4279" t="str">
        <f t="shared" si="564"/>
        <v>상태창빨로 천재 재벌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/>
      <c r="AQ4279">
        <v>0</v>
      </c>
      <c r="AR4279">
        <v>0</v>
      </c>
      <c r="AT4279">
        <v>0</v>
      </c>
      <c r="AU4279">
        <v>0</v>
      </c>
      <c r="AW4279">
        <v>0</v>
      </c>
      <c r="AX4279">
        <v>0</v>
      </c>
      <c r="AY4279">
        <v>70</v>
      </c>
      <c r="BC4279" t="str">
        <f t="shared" si="565"/>
        <v>9791137601741</v>
      </c>
      <c r="BE4279" t="str">
        <f t="shared" si="566"/>
        <v>판타지 웹소설 &gt; 현대 판타지</v>
      </c>
    </row>
    <row r="4280" spans="1:57" x14ac:dyDescent="0.3">
      <c r="A4280">
        <v>2313019331</v>
      </c>
      <c r="B4280">
        <v>2313019465</v>
      </c>
      <c r="C4280" t="str">
        <f>T("상태창빨로 천재 재벌 135화")</f>
        <v>상태창빨로 천재 재벌 135화</v>
      </c>
      <c r="D4280" t="str">
        <f>T("135")</f>
        <v>135</v>
      </c>
      <c r="E4280" t="str">
        <f t="shared" si="562"/>
        <v>리얼탄산</v>
      </c>
      <c r="H4280" t="str">
        <f t="shared" si="563"/>
        <v>스토리위즈</v>
      </c>
      <c r="I4280" t="str">
        <f t="shared" si="564"/>
        <v>상태창빨로 천재 재벌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/>
      <c r="AQ4280">
        <v>0</v>
      </c>
      <c r="AR4280">
        <v>0</v>
      </c>
      <c r="AT4280">
        <v>0</v>
      </c>
      <c r="AU4280">
        <v>0</v>
      </c>
      <c r="AW4280">
        <v>0</v>
      </c>
      <c r="AX4280">
        <v>0</v>
      </c>
      <c r="AY4280">
        <v>70</v>
      </c>
      <c r="BC4280" t="str">
        <f t="shared" si="565"/>
        <v>9791137601741</v>
      </c>
      <c r="BE4280" t="str">
        <f t="shared" si="566"/>
        <v>판타지 웹소설 &gt; 현대 판타지</v>
      </c>
    </row>
    <row r="4281" spans="1:57" x14ac:dyDescent="0.3">
      <c r="A4281">
        <v>2313019331</v>
      </c>
      <c r="B4281">
        <v>2313019472</v>
      </c>
      <c r="C4281" t="str">
        <f>T("상태창빨로 천재 재벌 142화")</f>
        <v>상태창빨로 천재 재벌 142화</v>
      </c>
      <c r="D4281" t="str">
        <f>T("142")</f>
        <v>142</v>
      </c>
      <c r="E4281" t="str">
        <f t="shared" si="562"/>
        <v>리얼탄산</v>
      </c>
      <c r="H4281" t="str">
        <f t="shared" si="563"/>
        <v>스토리위즈</v>
      </c>
      <c r="I4281" t="str">
        <f t="shared" si="564"/>
        <v>상태창빨로 천재 재벌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/>
      <c r="AQ4281">
        <v>0</v>
      </c>
      <c r="AR4281">
        <v>0</v>
      </c>
      <c r="AT4281">
        <v>0</v>
      </c>
      <c r="AU4281">
        <v>0</v>
      </c>
      <c r="AW4281">
        <v>0</v>
      </c>
      <c r="AX4281">
        <v>0</v>
      </c>
      <c r="AY4281">
        <v>70</v>
      </c>
      <c r="BC4281" t="str">
        <f t="shared" si="565"/>
        <v>9791137601741</v>
      </c>
      <c r="BE4281" t="str">
        <f t="shared" si="566"/>
        <v>판타지 웹소설 &gt; 현대 판타지</v>
      </c>
    </row>
    <row r="4282" spans="1:57" x14ac:dyDescent="0.3">
      <c r="A4282">
        <v>2313019331</v>
      </c>
      <c r="B4282">
        <v>2313019530</v>
      </c>
      <c r="C4282" t="str">
        <f>T("상태창빨로 천재 재벌 200화")</f>
        <v>상태창빨로 천재 재벌 200화</v>
      </c>
      <c r="D4282" t="str">
        <f>T("200")</f>
        <v>200</v>
      </c>
      <c r="E4282" t="str">
        <f t="shared" si="562"/>
        <v>리얼탄산</v>
      </c>
      <c r="H4282" t="str">
        <f t="shared" si="563"/>
        <v>스토리위즈</v>
      </c>
      <c r="I4282" t="str">
        <f t="shared" si="564"/>
        <v>상태창빨로 천재 재벌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/>
      <c r="AQ4282">
        <v>0</v>
      </c>
      <c r="AR4282">
        <v>0</v>
      </c>
      <c r="AT4282">
        <v>0</v>
      </c>
      <c r="AU4282">
        <v>0</v>
      </c>
      <c r="AW4282">
        <v>0</v>
      </c>
      <c r="AX4282">
        <v>0</v>
      </c>
      <c r="AY4282">
        <v>70</v>
      </c>
      <c r="BC4282" t="str">
        <f t="shared" si="565"/>
        <v>9791137601741</v>
      </c>
      <c r="BE4282" t="str">
        <f t="shared" si="566"/>
        <v>판타지 웹소설 &gt; 현대 판타지</v>
      </c>
    </row>
    <row r="4283" spans="1:57" x14ac:dyDescent="0.3">
      <c r="A4283">
        <v>2313019331</v>
      </c>
      <c r="B4283">
        <v>2313019531</v>
      </c>
      <c r="C4283" t="str">
        <f>T("상태창빨로 천재 재벌 201화")</f>
        <v>상태창빨로 천재 재벌 201화</v>
      </c>
      <c r="D4283" t="str">
        <f>T("201")</f>
        <v>201</v>
      </c>
      <c r="E4283" t="str">
        <f t="shared" si="562"/>
        <v>리얼탄산</v>
      </c>
      <c r="H4283" t="str">
        <f t="shared" si="563"/>
        <v>스토리위즈</v>
      </c>
      <c r="I4283" t="str">
        <f t="shared" si="564"/>
        <v>상태창빨로 천재 재벌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/>
      <c r="AQ4283">
        <v>0</v>
      </c>
      <c r="AR4283">
        <v>0</v>
      </c>
      <c r="AT4283">
        <v>0</v>
      </c>
      <c r="AU4283">
        <v>0</v>
      </c>
      <c r="AW4283">
        <v>0</v>
      </c>
      <c r="AX4283">
        <v>0</v>
      </c>
      <c r="AY4283">
        <v>70</v>
      </c>
      <c r="BC4283" t="str">
        <f t="shared" si="565"/>
        <v>9791137601741</v>
      </c>
      <c r="BE4283" t="str">
        <f t="shared" si="566"/>
        <v>판타지 웹소설 &gt; 현대 판타지</v>
      </c>
    </row>
    <row r="4284" spans="1:57" x14ac:dyDescent="0.3">
      <c r="A4284">
        <v>2313019331</v>
      </c>
      <c r="B4284">
        <v>2313019532</v>
      </c>
      <c r="C4284" t="str">
        <f>T("상태창빨로 천재 재벌 202화")</f>
        <v>상태창빨로 천재 재벌 202화</v>
      </c>
      <c r="D4284" t="str">
        <f>T("202")</f>
        <v>202</v>
      </c>
      <c r="E4284" t="str">
        <f t="shared" si="562"/>
        <v>리얼탄산</v>
      </c>
      <c r="H4284" t="str">
        <f t="shared" si="563"/>
        <v>스토리위즈</v>
      </c>
      <c r="I4284" t="str">
        <f t="shared" si="564"/>
        <v>상태창빨로 천재 재벌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/>
      <c r="AQ4284">
        <v>0</v>
      </c>
      <c r="AR4284">
        <v>0</v>
      </c>
      <c r="AT4284">
        <v>0</v>
      </c>
      <c r="AU4284">
        <v>0</v>
      </c>
      <c r="AW4284">
        <v>0</v>
      </c>
      <c r="AX4284">
        <v>0</v>
      </c>
      <c r="AY4284">
        <v>70</v>
      </c>
      <c r="BC4284" t="str">
        <f t="shared" si="565"/>
        <v>9791137601741</v>
      </c>
      <c r="BE4284" t="str">
        <f t="shared" si="566"/>
        <v>판타지 웹소설 &gt; 현대 판타지</v>
      </c>
    </row>
    <row r="4285" spans="1:57" x14ac:dyDescent="0.3">
      <c r="A4285">
        <v>2313019331</v>
      </c>
      <c r="B4285">
        <v>2313019533</v>
      </c>
      <c r="C4285" t="str">
        <f>T("상태창빨로 천재 재벌 203화")</f>
        <v>상태창빨로 천재 재벌 203화</v>
      </c>
      <c r="D4285" t="str">
        <f>T("203")</f>
        <v>203</v>
      </c>
      <c r="E4285" t="str">
        <f t="shared" si="562"/>
        <v>리얼탄산</v>
      </c>
      <c r="H4285" t="str">
        <f t="shared" si="563"/>
        <v>스토리위즈</v>
      </c>
      <c r="I4285" t="str">
        <f t="shared" si="564"/>
        <v>상태창빨로 천재 재벌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/>
      <c r="AQ4285">
        <v>0</v>
      </c>
      <c r="AR4285">
        <v>0</v>
      </c>
      <c r="AT4285">
        <v>0</v>
      </c>
      <c r="AU4285">
        <v>0</v>
      </c>
      <c r="AW4285">
        <v>0</v>
      </c>
      <c r="AX4285">
        <v>0</v>
      </c>
      <c r="AY4285">
        <v>70</v>
      </c>
      <c r="BC4285" t="str">
        <f t="shared" si="565"/>
        <v>9791137601741</v>
      </c>
      <c r="BE4285" t="str">
        <f t="shared" si="566"/>
        <v>판타지 웹소설 &gt; 현대 판타지</v>
      </c>
    </row>
    <row r="4286" spans="1:57" x14ac:dyDescent="0.3">
      <c r="A4286">
        <v>2313019331</v>
      </c>
      <c r="B4286">
        <v>2313019534</v>
      </c>
      <c r="C4286" t="str">
        <f>T("상태창빨로 천재 재벌 204화")</f>
        <v>상태창빨로 천재 재벌 204화</v>
      </c>
      <c r="D4286" t="str">
        <f>T("204")</f>
        <v>204</v>
      </c>
      <c r="E4286" t="str">
        <f t="shared" si="562"/>
        <v>리얼탄산</v>
      </c>
      <c r="H4286" t="str">
        <f t="shared" si="563"/>
        <v>스토리위즈</v>
      </c>
      <c r="I4286" t="str">
        <f t="shared" si="564"/>
        <v>상태창빨로 천재 재벌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/>
      <c r="AQ4286">
        <v>0</v>
      </c>
      <c r="AR4286">
        <v>0</v>
      </c>
      <c r="AT4286">
        <v>0</v>
      </c>
      <c r="AU4286">
        <v>0</v>
      </c>
      <c r="AW4286">
        <v>0</v>
      </c>
      <c r="AX4286">
        <v>0</v>
      </c>
      <c r="AY4286">
        <v>70</v>
      </c>
      <c r="BC4286" t="str">
        <f t="shared" si="565"/>
        <v>9791137601741</v>
      </c>
      <c r="BE4286" t="str">
        <f t="shared" si="566"/>
        <v>판타지 웹소설 &gt; 현대 판타지</v>
      </c>
    </row>
    <row r="4287" spans="1:57" x14ac:dyDescent="0.3">
      <c r="A4287">
        <v>2313019331</v>
      </c>
      <c r="B4287">
        <v>2313019535</v>
      </c>
      <c r="C4287" t="str">
        <f>T("상태창빨로 천재 재벌 205화")</f>
        <v>상태창빨로 천재 재벌 205화</v>
      </c>
      <c r="D4287" t="str">
        <f>T("205")</f>
        <v>205</v>
      </c>
      <c r="E4287" t="str">
        <f t="shared" si="562"/>
        <v>리얼탄산</v>
      </c>
      <c r="H4287" t="str">
        <f t="shared" si="563"/>
        <v>스토리위즈</v>
      </c>
      <c r="I4287" t="str">
        <f t="shared" si="564"/>
        <v>상태창빨로 천재 재벌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/>
      <c r="AQ4287">
        <v>0</v>
      </c>
      <c r="AR4287">
        <v>0</v>
      </c>
      <c r="AT4287">
        <v>0</v>
      </c>
      <c r="AU4287">
        <v>0</v>
      </c>
      <c r="AW4287">
        <v>0</v>
      </c>
      <c r="AX4287">
        <v>0</v>
      </c>
      <c r="AY4287">
        <v>70</v>
      </c>
      <c r="BC4287" t="str">
        <f t="shared" si="565"/>
        <v>9791137601741</v>
      </c>
      <c r="BE4287" t="str">
        <f t="shared" si="566"/>
        <v>판타지 웹소설 &gt; 현대 판타지</v>
      </c>
    </row>
    <row r="4288" spans="1:57" x14ac:dyDescent="0.3">
      <c r="A4288">
        <v>2313019331</v>
      </c>
      <c r="B4288">
        <v>2313019536</v>
      </c>
      <c r="C4288" t="str">
        <f>T("상태창빨로 천재 재벌 206화")</f>
        <v>상태창빨로 천재 재벌 206화</v>
      </c>
      <c r="D4288" t="str">
        <f>T("206")</f>
        <v>206</v>
      </c>
      <c r="E4288" t="str">
        <f t="shared" si="562"/>
        <v>리얼탄산</v>
      </c>
      <c r="H4288" t="str">
        <f t="shared" si="563"/>
        <v>스토리위즈</v>
      </c>
      <c r="I4288" t="str">
        <f t="shared" si="564"/>
        <v>상태창빨로 천재 재벌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/>
      <c r="AQ4288">
        <v>0</v>
      </c>
      <c r="AR4288">
        <v>0</v>
      </c>
      <c r="AT4288">
        <v>0</v>
      </c>
      <c r="AU4288">
        <v>0</v>
      </c>
      <c r="AW4288">
        <v>0</v>
      </c>
      <c r="AX4288">
        <v>0</v>
      </c>
      <c r="AY4288">
        <v>70</v>
      </c>
      <c r="BC4288" t="str">
        <f t="shared" si="565"/>
        <v>9791137601741</v>
      </c>
      <c r="BE4288" t="str">
        <f t="shared" si="566"/>
        <v>판타지 웹소설 &gt; 현대 판타지</v>
      </c>
    </row>
    <row r="4289" spans="1:57" x14ac:dyDescent="0.3">
      <c r="A4289">
        <v>2313019331</v>
      </c>
      <c r="B4289">
        <v>2313019537</v>
      </c>
      <c r="C4289" t="str">
        <f>T("상태창빨로 천재 재벌 207화")</f>
        <v>상태창빨로 천재 재벌 207화</v>
      </c>
      <c r="D4289" t="str">
        <f>T("207")</f>
        <v>207</v>
      </c>
      <c r="E4289" t="str">
        <f t="shared" si="562"/>
        <v>리얼탄산</v>
      </c>
      <c r="H4289" t="str">
        <f t="shared" si="563"/>
        <v>스토리위즈</v>
      </c>
      <c r="I4289" t="str">
        <f t="shared" si="564"/>
        <v>상태창빨로 천재 재벌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/>
      <c r="AQ4289">
        <v>0</v>
      </c>
      <c r="AR4289">
        <v>0</v>
      </c>
      <c r="AT4289">
        <v>0</v>
      </c>
      <c r="AU4289">
        <v>0</v>
      </c>
      <c r="AW4289">
        <v>0</v>
      </c>
      <c r="AX4289">
        <v>0</v>
      </c>
      <c r="AY4289">
        <v>70</v>
      </c>
      <c r="BC4289" t="str">
        <f t="shared" si="565"/>
        <v>9791137601741</v>
      </c>
      <c r="BE4289" t="str">
        <f t="shared" si="566"/>
        <v>판타지 웹소설 &gt; 현대 판타지</v>
      </c>
    </row>
    <row r="4290" spans="1:57" x14ac:dyDescent="0.3">
      <c r="A4290">
        <v>2313019331</v>
      </c>
      <c r="B4290">
        <v>2313019538</v>
      </c>
      <c r="C4290" t="str">
        <f>T("상태창빨로 천재 재벌 208화")</f>
        <v>상태창빨로 천재 재벌 208화</v>
      </c>
      <c r="D4290" t="str">
        <f>T("208")</f>
        <v>208</v>
      </c>
      <c r="E4290" t="str">
        <f t="shared" si="562"/>
        <v>리얼탄산</v>
      </c>
      <c r="H4290" t="str">
        <f t="shared" si="563"/>
        <v>스토리위즈</v>
      </c>
      <c r="I4290" t="str">
        <f t="shared" si="564"/>
        <v>상태창빨로 천재 재벌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/>
      <c r="AQ4290">
        <v>0</v>
      </c>
      <c r="AR4290">
        <v>0</v>
      </c>
      <c r="AT4290">
        <v>0</v>
      </c>
      <c r="AU4290">
        <v>0</v>
      </c>
      <c r="AW4290">
        <v>0</v>
      </c>
      <c r="AX4290">
        <v>0</v>
      </c>
      <c r="AY4290">
        <v>70</v>
      </c>
      <c r="BC4290" t="str">
        <f t="shared" si="565"/>
        <v>9791137601741</v>
      </c>
      <c r="BE4290" t="str">
        <f t="shared" si="566"/>
        <v>판타지 웹소설 &gt; 현대 판타지</v>
      </c>
    </row>
    <row r="4291" spans="1:57" x14ac:dyDescent="0.3">
      <c r="A4291">
        <v>2313019331</v>
      </c>
      <c r="B4291">
        <v>2313019539</v>
      </c>
      <c r="C4291" t="str">
        <f>T("상태창빨로 천재 재벌 209화")</f>
        <v>상태창빨로 천재 재벌 209화</v>
      </c>
      <c r="D4291" t="str">
        <f>T("209")</f>
        <v>209</v>
      </c>
      <c r="E4291" t="str">
        <f t="shared" si="562"/>
        <v>리얼탄산</v>
      </c>
      <c r="H4291" t="str">
        <f t="shared" si="563"/>
        <v>스토리위즈</v>
      </c>
      <c r="I4291" t="str">
        <f t="shared" si="564"/>
        <v>상태창빨로 천재 재벌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/>
      <c r="AQ4291">
        <v>0</v>
      </c>
      <c r="AR4291">
        <v>0</v>
      </c>
      <c r="AT4291">
        <v>0</v>
      </c>
      <c r="AU4291">
        <v>0</v>
      </c>
      <c r="AW4291">
        <v>0</v>
      </c>
      <c r="AX4291">
        <v>0</v>
      </c>
      <c r="AY4291">
        <v>70</v>
      </c>
      <c r="BC4291" t="str">
        <f t="shared" si="565"/>
        <v>9791137601741</v>
      </c>
      <c r="BE4291" t="str">
        <f t="shared" si="566"/>
        <v>판타지 웹소설 &gt; 현대 판타지</v>
      </c>
    </row>
    <row r="4292" spans="1:57" x14ac:dyDescent="0.3">
      <c r="A4292">
        <v>2313019331</v>
      </c>
      <c r="B4292">
        <v>2313019540</v>
      </c>
      <c r="C4292" t="str">
        <f>T("상태창빨로 천재 재벌 210화")</f>
        <v>상태창빨로 천재 재벌 210화</v>
      </c>
      <c r="D4292" t="str">
        <f>T("210")</f>
        <v>210</v>
      </c>
      <c r="E4292" t="str">
        <f t="shared" si="562"/>
        <v>리얼탄산</v>
      </c>
      <c r="H4292" t="str">
        <f t="shared" si="563"/>
        <v>스토리위즈</v>
      </c>
      <c r="I4292" t="str">
        <f t="shared" si="564"/>
        <v>상태창빨로 천재 재벌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/>
      <c r="AQ4292">
        <v>0</v>
      </c>
      <c r="AR4292">
        <v>0</v>
      </c>
      <c r="AT4292">
        <v>0</v>
      </c>
      <c r="AU4292">
        <v>0</v>
      </c>
      <c r="AW4292">
        <v>0</v>
      </c>
      <c r="AX4292">
        <v>0</v>
      </c>
      <c r="AY4292">
        <v>70</v>
      </c>
      <c r="BC4292" t="str">
        <f t="shared" si="565"/>
        <v>9791137601741</v>
      </c>
      <c r="BE4292" t="str">
        <f t="shared" si="566"/>
        <v>판타지 웹소설 &gt; 현대 판타지</v>
      </c>
    </row>
    <row r="4293" spans="1:57" x14ac:dyDescent="0.3">
      <c r="A4293">
        <v>2313019331</v>
      </c>
      <c r="B4293">
        <v>2313019541</v>
      </c>
      <c r="C4293" t="str">
        <f>T("상태창빨로 천재 재벌 211화")</f>
        <v>상태창빨로 천재 재벌 211화</v>
      </c>
      <c r="D4293" t="str">
        <f>T("211")</f>
        <v>211</v>
      </c>
      <c r="E4293" t="str">
        <f t="shared" si="562"/>
        <v>리얼탄산</v>
      </c>
      <c r="H4293" t="str">
        <f t="shared" si="563"/>
        <v>스토리위즈</v>
      </c>
      <c r="I4293" t="str">
        <f t="shared" si="564"/>
        <v>상태창빨로 천재 재벌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/>
      <c r="AQ4293">
        <v>0</v>
      </c>
      <c r="AR4293">
        <v>0</v>
      </c>
      <c r="AT4293">
        <v>0</v>
      </c>
      <c r="AU4293">
        <v>0</v>
      </c>
      <c r="AW4293">
        <v>0</v>
      </c>
      <c r="AX4293">
        <v>0</v>
      </c>
      <c r="AY4293">
        <v>70</v>
      </c>
      <c r="BC4293" t="str">
        <f t="shared" si="565"/>
        <v>9791137601741</v>
      </c>
      <c r="BE4293" t="str">
        <f t="shared" si="566"/>
        <v>판타지 웹소설 &gt; 현대 판타지</v>
      </c>
    </row>
    <row r="4294" spans="1:57" x14ac:dyDescent="0.3">
      <c r="A4294">
        <v>2313019331</v>
      </c>
      <c r="B4294">
        <v>2313019542</v>
      </c>
      <c r="C4294" t="str">
        <f>T("상태창빨로 천재 재벌 212화")</f>
        <v>상태창빨로 천재 재벌 212화</v>
      </c>
      <c r="D4294" t="str">
        <f>T("212")</f>
        <v>212</v>
      </c>
      <c r="E4294" t="str">
        <f t="shared" si="562"/>
        <v>리얼탄산</v>
      </c>
      <c r="H4294" t="str">
        <f t="shared" si="563"/>
        <v>스토리위즈</v>
      </c>
      <c r="I4294" t="str">
        <f t="shared" si="564"/>
        <v>상태창빨로 천재 재벌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/>
      <c r="AQ4294">
        <v>0</v>
      </c>
      <c r="AR4294">
        <v>0</v>
      </c>
      <c r="AT4294">
        <v>0</v>
      </c>
      <c r="AU4294">
        <v>0</v>
      </c>
      <c r="AW4294">
        <v>0</v>
      </c>
      <c r="AX4294">
        <v>0</v>
      </c>
      <c r="AY4294">
        <v>70</v>
      </c>
      <c r="BC4294" t="str">
        <f t="shared" si="565"/>
        <v>9791137601741</v>
      </c>
      <c r="BE4294" t="str">
        <f t="shared" si="566"/>
        <v>판타지 웹소설 &gt; 현대 판타지</v>
      </c>
    </row>
    <row r="4295" spans="1:57" x14ac:dyDescent="0.3">
      <c r="A4295">
        <v>2313019331</v>
      </c>
      <c r="B4295">
        <v>2313019543</v>
      </c>
      <c r="C4295" t="str">
        <f>T("상태창빨로 천재 재벌 213화")</f>
        <v>상태창빨로 천재 재벌 213화</v>
      </c>
      <c r="D4295" t="str">
        <f>T("213")</f>
        <v>213</v>
      </c>
      <c r="E4295" t="str">
        <f t="shared" si="562"/>
        <v>리얼탄산</v>
      </c>
      <c r="H4295" t="str">
        <f t="shared" si="563"/>
        <v>스토리위즈</v>
      </c>
      <c r="I4295" t="str">
        <f t="shared" si="564"/>
        <v>상태창빨로 천재 재벌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/>
      <c r="AQ4295">
        <v>0</v>
      </c>
      <c r="AR4295">
        <v>0</v>
      </c>
      <c r="AT4295">
        <v>0</v>
      </c>
      <c r="AU4295">
        <v>0</v>
      </c>
      <c r="AW4295">
        <v>0</v>
      </c>
      <c r="AX4295">
        <v>0</v>
      </c>
      <c r="AY4295">
        <v>70</v>
      </c>
      <c r="BC4295" t="str">
        <f t="shared" si="565"/>
        <v>9791137601741</v>
      </c>
      <c r="BE4295" t="str">
        <f t="shared" si="566"/>
        <v>판타지 웹소설 &gt; 현대 판타지</v>
      </c>
    </row>
    <row r="4296" spans="1:57" x14ac:dyDescent="0.3">
      <c r="A4296">
        <v>2313019331</v>
      </c>
      <c r="B4296">
        <v>2313019544</v>
      </c>
      <c r="C4296" t="str">
        <f>T("상태창빨로 천재 재벌 214화")</f>
        <v>상태창빨로 천재 재벌 214화</v>
      </c>
      <c r="D4296" t="str">
        <f>T("214")</f>
        <v>214</v>
      </c>
      <c r="E4296" t="str">
        <f t="shared" si="562"/>
        <v>리얼탄산</v>
      </c>
      <c r="H4296" t="str">
        <f t="shared" si="563"/>
        <v>스토리위즈</v>
      </c>
      <c r="I4296" t="str">
        <f t="shared" si="564"/>
        <v>상태창빨로 천재 재벌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/>
      <c r="AQ4296">
        <v>0</v>
      </c>
      <c r="AR4296">
        <v>0</v>
      </c>
      <c r="AT4296">
        <v>0</v>
      </c>
      <c r="AU4296">
        <v>0</v>
      </c>
      <c r="AW4296">
        <v>0</v>
      </c>
      <c r="AX4296">
        <v>0</v>
      </c>
      <c r="AY4296">
        <v>70</v>
      </c>
      <c r="BC4296" t="str">
        <f t="shared" si="565"/>
        <v>9791137601741</v>
      </c>
      <c r="BE4296" t="str">
        <f t="shared" si="566"/>
        <v>판타지 웹소설 &gt; 현대 판타지</v>
      </c>
    </row>
    <row r="4297" spans="1:57" x14ac:dyDescent="0.3">
      <c r="A4297">
        <v>2313019331</v>
      </c>
      <c r="B4297">
        <v>2313019545</v>
      </c>
      <c r="C4297" t="str">
        <f>T("상태창빨로 천재 재벌 215화")</f>
        <v>상태창빨로 천재 재벌 215화</v>
      </c>
      <c r="D4297" t="str">
        <f>T("215")</f>
        <v>215</v>
      </c>
      <c r="E4297" t="str">
        <f t="shared" si="562"/>
        <v>리얼탄산</v>
      </c>
      <c r="H4297" t="str">
        <f t="shared" si="563"/>
        <v>스토리위즈</v>
      </c>
      <c r="I4297" t="str">
        <f t="shared" si="564"/>
        <v>상태창빨로 천재 재벌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/>
      <c r="AQ4297">
        <v>0</v>
      </c>
      <c r="AR4297">
        <v>0</v>
      </c>
      <c r="AT4297">
        <v>0</v>
      </c>
      <c r="AU4297">
        <v>0</v>
      </c>
      <c r="AW4297">
        <v>0</v>
      </c>
      <c r="AX4297">
        <v>0</v>
      </c>
      <c r="AY4297">
        <v>70</v>
      </c>
      <c r="BC4297" t="str">
        <f t="shared" si="565"/>
        <v>9791137601741</v>
      </c>
      <c r="BE4297" t="str">
        <f t="shared" si="566"/>
        <v>판타지 웹소설 &gt; 현대 판타지</v>
      </c>
    </row>
    <row r="4298" spans="1:57" x14ac:dyDescent="0.3">
      <c r="A4298">
        <v>2313019331</v>
      </c>
      <c r="B4298">
        <v>2313019546</v>
      </c>
      <c r="C4298" t="str">
        <f>T("상태창빨로 천재 재벌 216화")</f>
        <v>상태창빨로 천재 재벌 216화</v>
      </c>
      <c r="D4298" t="str">
        <f>T("216")</f>
        <v>216</v>
      </c>
      <c r="E4298" t="str">
        <f t="shared" si="562"/>
        <v>리얼탄산</v>
      </c>
      <c r="H4298" t="str">
        <f t="shared" si="563"/>
        <v>스토리위즈</v>
      </c>
      <c r="I4298" t="str">
        <f t="shared" si="564"/>
        <v>상태창빨로 천재 재벌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/>
      <c r="AQ4298">
        <v>0</v>
      </c>
      <c r="AR4298">
        <v>0</v>
      </c>
      <c r="AT4298">
        <v>0</v>
      </c>
      <c r="AU4298">
        <v>0</v>
      </c>
      <c r="AW4298">
        <v>0</v>
      </c>
      <c r="AX4298">
        <v>0</v>
      </c>
      <c r="AY4298">
        <v>70</v>
      </c>
      <c r="BC4298" t="str">
        <f t="shared" si="565"/>
        <v>9791137601741</v>
      </c>
      <c r="BE4298" t="str">
        <f t="shared" si="566"/>
        <v>판타지 웹소설 &gt; 현대 판타지</v>
      </c>
    </row>
    <row r="4299" spans="1:57" x14ac:dyDescent="0.3">
      <c r="A4299">
        <v>2313019331</v>
      </c>
      <c r="B4299">
        <v>2313019547</v>
      </c>
      <c r="C4299" t="str">
        <f>T("상태창빨로 천재 재벌 217화")</f>
        <v>상태창빨로 천재 재벌 217화</v>
      </c>
      <c r="D4299" t="str">
        <f>T("217")</f>
        <v>217</v>
      </c>
      <c r="E4299" t="str">
        <f t="shared" si="562"/>
        <v>리얼탄산</v>
      </c>
      <c r="H4299" t="str">
        <f t="shared" si="563"/>
        <v>스토리위즈</v>
      </c>
      <c r="I4299" t="str">
        <f t="shared" si="564"/>
        <v>상태창빨로 천재 재벌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/>
      <c r="AQ4299">
        <v>0</v>
      </c>
      <c r="AR4299">
        <v>0</v>
      </c>
      <c r="AT4299">
        <v>0</v>
      </c>
      <c r="AU4299">
        <v>0</v>
      </c>
      <c r="AW4299">
        <v>0</v>
      </c>
      <c r="AX4299">
        <v>0</v>
      </c>
      <c r="AY4299">
        <v>70</v>
      </c>
      <c r="BC4299" t="str">
        <f t="shared" si="565"/>
        <v>9791137601741</v>
      </c>
      <c r="BE4299" t="str">
        <f t="shared" si="566"/>
        <v>판타지 웹소설 &gt; 현대 판타지</v>
      </c>
    </row>
    <row r="4300" spans="1:57" x14ac:dyDescent="0.3">
      <c r="A4300">
        <v>2313019331</v>
      </c>
      <c r="B4300">
        <v>2313019548</v>
      </c>
      <c r="C4300" t="str">
        <f>T("상태창빨로 천재 재벌 218화")</f>
        <v>상태창빨로 천재 재벌 218화</v>
      </c>
      <c r="D4300" t="str">
        <f>T("218")</f>
        <v>218</v>
      </c>
      <c r="E4300" t="str">
        <f t="shared" si="562"/>
        <v>리얼탄산</v>
      </c>
      <c r="H4300" t="str">
        <f t="shared" si="563"/>
        <v>스토리위즈</v>
      </c>
      <c r="I4300" t="str">
        <f t="shared" si="564"/>
        <v>상태창빨로 천재 재벌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/>
      <c r="AQ4300">
        <v>0</v>
      </c>
      <c r="AR4300">
        <v>0</v>
      </c>
      <c r="AT4300">
        <v>0</v>
      </c>
      <c r="AU4300">
        <v>0</v>
      </c>
      <c r="AW4300">
        <v>0</v>
      </c>
      <c r="AX4300">
        <v>0</v>
      </c>
      <c r="AY4300">
        <v>70</v>
      </c>
      <c r="BC4300" t="str">
        <f t="shared" si="565"/>
        <v>9791137601741</v>
      </c>
      <c r="BE4300" t="str">
        <f t="shared" si="566"/>
        <v>판타지 웹소설 &gt; 현대 판타지</v>
      </c>
    </row>
    <row r="4301" spans="1:57" x14ac:dyDescent="0.3">
      <c r="A4301">
        <v>2313019331</v>
      </c>
      <c r="B4301">
        <v>2313019549</v>
      </c>
      <c r="C4301" t="str">
        <f>T("상태창빨로 천재 재벌 219화")</f>
        <v>상태창빨로 천재 재벌 219화</v>
      </c>
      <c r="D4301" t="str">
        <f>T("219")</f>
        <v>219</v>
      </c>
      <c r="E4301" t="str">
        <f t="shared" si="562"/>
        <v>리얼탄산</v>
      </c>
      <c r="H4301" t="str">
        <f t="shared" si="563"/>
        <v>스토리위즈</v>
      </c>
      <c r="I4301" t="str">
        <f t="shared" si="564"/>
        <v>상태창빨로 천재 재벌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/>
      <c r="AQ4301">
        <v>0</v>
      </c>
      <c r="AR4301">
        <v>0</v>
      </c>
      <c r="AT4301">
        <v>0</v>
      </c>
      <c r="AU4301">
        <v>0</v>
      </c>
      <c r="AW4301">
        <v>0</v>
      </c>
      <c r="AX4301">
        <v>0</v>
      </c>
      <c r="AY4301">
        <v>70</v>
      </c>
      <c r="BC4301" t="str">
        <f t="shared" si="565"/>
        <v>9791137601741</v>
      </c>
      <c r="BE4301" t="str">
        <f t="shared" si="566"/>
        <v>판타지 웹소설 &gt; 현대 판타지</v>
      </c>
    </row>
    <row r="4302" spans="1:57" x14ac:dyDescent="0.3">
      <c r="A4302">
        <v>2313019331</v>
      </c>
      <c r="B4302">
        <v>2313019550</v>
      </c>
      <c r="C4302" t="str">
        <f>T("상태창빨로 천재 재벌 220화")</f>
        <v>상태창빨로 천재 재벌 220화</v>
      </c>
      <c r="D4302" t="str">
        <f>T("220")</f>
        <v>220</v>
      </c>
      <c r="E4302" t="str">
        <f t="shared" si="562"/>
        <v>리얼탄산</v>
      </c>
      <c r="H4302" t="str">
        <f t="shared" si="563"/>
        <v>스토리위즈</v>
      </c>
      <c r="I4302" t="str">
        <f t="shared" si="564"/>
        <v>상태창빨로 천재 재벌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/>
      <c r="AQ4302">
        <v>0</v>
      </c>
      <c r="AR4302">
        <v>0</v>
      </c>
      <c r="AT4302">
        <v>0</v>
      </c>
      <c r="AU4302">
        <v>0</v>
      </c>
      <c r="AW4302">
        <v>0</v>
      </c>
      <c r="AX4302">
        <v>0</v>
      </c>
      <c r="AY4302">
        <v>70</v>
      </c>
      <c r="BC4302" t="str">
        <f t="shared" si="565"/>
        <v>9791137601741</v>
      </c>
      <c r="BE4302" t="str">
        <f t="shared" si="566"/>
        <v>판타지 웹소설 &gt; 현대 판타지</v>
      </c>
    </row>
    <row r="4303" spans="1:57" x14ac:dyDescent="0.3">
      <c r="A4303">
        <v>2313019331</v>
      </c>
      <c r="B4303">
        <v>2313019551</v>
      </c>
      <c r="C4303" t="str">
        <f>T("상태창빨로 천재 재벌 221화")</f>
        <v>상태창빨로 천재 재벌 221화</v>
      </c>
      <c r="D4303" t="str">
        <f>T("221")</f>
        <v>221</v>
      </c>
      <c r="E4303" t="str">
        <f t="shared" si="562"/>
        <v>리얼탄산</v>
      </c>
      <c r="H4303" t="str">
        <f t="shared" si="563"/>
        <v>스토리위즈</v>
      </c>
      <c r="I4303" t="str">
        <f t="shared" si="564"/>
        <v>상태창빨로 천재 재벌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/>
      <c r="AQ4303">
        <v>0</v>
      </c>
      <c r="AR4303">
        <v>0</v>
      </c>
      <c r="AT4303">
        <v>0</v>
      </c>
      <c r="AU4303">
        <v>0</v>
      </c>
      <c r="AW4303">
        <v>0</v>
      </c>
      <c r="AX4303">
        <v>0</v>
      </c>
      <c r="AY4303">
        <v>70</v>
      </c>
      <c r="BC4303" t="str">
        <f t="shared" si="565"/>
        <v>9791137601741</v>
      </c>
      <c r="BE4303" t="str">
        <f t="shared" si="566"/>
        <v>판타지 웹소설 &gt; 현대 판타지</v>
      </c>
    </row>
    <row r="4304" spans="1:57" x14ac:dyDescent="0.3">
      <c r="A4304">
        <v>2313019331</v>
      </c>
      <c r="B4304">
        <v>2313019552</v>
      </c>
      <c r="C4304" t="str">
        <f>T("상태창빨로 천재 재벌 222화")</f>
        <v>상태창빨로 천재 재벌 222화</v>
      </c>
      <c r="D4304" t="str">
        <f>T("222")</f>
        <v>222</v>
      </c>
      <c r="E4304" t="str">
        <f t="shared" si="562"/>
        <v>리얼탄산</v>
      </c>
      <c r="H4304" t="str">
        <f t="shared" si="563"/>
        <v>스토리위즈</v>
      </c>
      <c r="I4304" t="str">
        <f t="shared" si="564"/>
        <v>상태창빨로 천재 재벌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/>
      <c r="AQ4304">
        <v>0</v>
      </c>
      <c r="AR4304">
        <v>0</v>
      </c>
      <c r="AT4304">
        <v>0</v>
      </c>
      <c r="AU4304">
        <v>0</v>
      </c>
      <c r="AW4304">
        <v>0</v>
      </c>
      <c r="AX4304">
        <v>0</v>
      </c>
      <c r="AY4304">
        <v>70</v>
      </c>
      <c r="BC4304" t="str">
        <f t="shared" si="565"/>
        <v>9791137601741</v>
      </c>
      <c r="BE4304" t="str">
        <f t="shared" si="566"/>
        <v>판타지 웹소설 &gt; 현대 판타지</v>
      </c>
    </row>
    <row r="4305" spans="1:57" x14ac:dyDescent="0.3">
      <c r="A4305">
        <v>2313019331</v>
      </c>
      <c r="B4305">
        <v>2313019553</v>
      </c>
      <c r="C4305" t="str">
        <f>T("상태창빨로 천재 재벌 223화")</f>
        <v>상태창빨로 천재 재벌 223화</v>
      </c>
      <c r="D4305" t="str">
        <f>T("223")</f>
        <v>223</v>
      </c>
      <c r="E4305" t="str">
        <f t="shared" si="562"/>
        <v>리얼탄산</v>
      </c>
      <c r="H4305" t="str">
        <f t="shared" si="563"/>
        <v>스토리위즈</v>
      </c>
      <c r="I4305" t="str">
        <f t="shared" si="564"/>
        <v>상태창빨로 천재 재벌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/>
      <c r="AQ4305">
        <v>0</v>
      </c>
      <c r="AR4305">
        <v>0</v>
      </c>
      <c r="AT4305">
        <v>0</v>
      </c>
      <c r="AU4305">
        <v>0</v>
      </c>
      <c r="AW4305">
        <v>0</v>
      </c>
      <c r="AX4305">
        <v>0</v>
      </c>
      <c r="AY4305">
        <v>70</v>
      </c>
      <c r="BC4305" t="str">
        <f t="shared" si="565"/>
        <v>9791137601741</v>
      </c>
      <c r="BE4305" t="str">
        <f t="shared" si="566"/>
        <v>판타지 웹소설 &gt; 현대 판타지</v>
      </c>
    </row>
    <row r="4306" spans="1:57" x14ac:dyDescent="0.3">
      <c r="A4306">
        <v>2313019331</v>
      </c>
      <c r="B4306">
        <v>2313019554</v>
      </c>
      <c r="C4306" t="str">
        <f>T("상태창빨로 천재 재벌 224화")</f>
        <v>상태창빨로 천재 재벌 224화</v>
      </c>
      <c r="D4306" t="str">
        <f>T("224")</f>
        <v>224</v>
      </c>
      <c r="E4306" t="str">
        <f t="shared" si="562"/>
        <v>리얼탄산</v>
      </c>
      <c r="H4306" t="str">
        <f t="shared" si="563"/>
        <v>스토리위즈</v>
      </c>
      <c r="I4306" t="str">
        <f t="shared" si="564"/>
        <v>상태창빨로 천재 재벌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/>
      <c r="AQ4306">
        <v>0</v>
      </c>
      <c r="AR4306">
        <v>0</v>
      </c>
      <c r="AT4306">
        <v>0</v>
      </c>
      <c r="AU4306">
        <v>0</v>
      </c>
      <c r="AW4306">
        <v>0</v>
      </c>
      <c r="AX4306">
        <v>0</v>
      </c>
      <c r="AY4306">
        <v>70</v>
      </c>
      <c r="BC4306" t="str">
        <f t="shared" si="565"/>
        <v>9791137601741</v>
      </c>
      <c r="BE4306" t="str">
        <f t="shared" si="566"/>
        <v>판타지 웹소설 &gt; 현대 판타지</v>
      </c>
    </row>
    <row r="4307" spans="1:57" x14ac:dyDescent="0.3">
      <c r="A4307">
        <v>2313019331</v>
      </c>
      <c r="B4307">
        <v>2313019555</v>
      </c>
      <c r="C4307" t="str">
        <f>T("상태창빨로 천재 재벌 225화")</f>
        <v>상태창빨로 천재 재벌 225화</v>
      </c>
      <c r="D4307" t="str">
        <f>T("225")</f>
        <v>225</v>
      </c>
      <c r="E4307" t="str">
        <f t="shared" si="562"/>
        <v>리얼탄산</v>
      </c>
      <c r="H4307" t="str">
        <f t="shared" si="563"/>
        <v>스토리위즈</v>
      </c>
      <c r="I4307" t="str">
        <f t="shared" si="564"/>
        <v>상태창빨로 천재 재벌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/>
      <c r="AQ4307">
        <v>0</v>
      </c>
      <c r="AR4307">
        <v>0</v>
      </c>
      <c r="AT4307">
        <v>0</v>
      </c>
      <c r="AU4307">
        <v>0</v>
      </c>
      <c r="AW4307">
        <v>0</v>
      </c>
      <c r="AX4307">
        <v>0</v>
      </c>
      <c r="AY4307">
        <v>70</v>
      </c>
      <c r="BC4307" t="str">
        <f t="shared" si="565"/>
        <v>9791137601741</v>
      </c>
      <c r="BE4307" t="str">
        <f t="shared" si="566"/>
        <v>판타지 웹소설 &gt; 현대 판타지</v>
      </c>
    </row>
    <row r="4308" spans="1:57" x14ac:dyDescent="0.3">
      <c r="A4308">
        <v>2313019331</v>
      </c>
      <c r="B4308">
        <v>2313019556</v>
      </c>
      <c r="C4308" t="str">
        <f>T("상태창빨로 천재 재벌 226화")</f>
        <v>상태창빨로 천재 재벌 226화</v>
      </c>
      <c r="D4308" t="str">
        <f>T("226")</f>
        <v>226</v>
      </c>
      <c r="E4308" t="str">
        <f t="shared" si="562"/>
        <v>리얼탄산</v>
      </c>
      <c r="H4308" t="str">
        <f t="shared" si="563"/>
        <v>스토리위즈</v>
      </c>
      <c r="I4308" t="str">
        <f t="shared" si="564"/>
        <v>상태창빨로 천재 재벌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/>
      <c r="AQ4308">
        <v>0</v>
      </c>
      <c r="AR4308">
        <v>0</v>
      </c>
      <c r="AT4308">
        <v>0</v>
      </c>
      <c r="AU4308">
        <v>0</v>
      </c>
      <c r="AW4308">
        <v>0</v>
      </c>
      <c r="AX4308">
        <v>0</v>
      </c>
      <c r="AY4308">
        <v>70</v>
      </c>
      <c r="BC4308" t="str">
        <f t="shared" si="565"/>
        <v>9791137601741</v>
      </c>
      <c r="BE4308" t="str">
        <f t="shared" si="566"/>
        <v>판타지 웹소설 &gt; 현대 판타지</v>
      </c>
    </row>
    <row r="4309" spans="1:57" x14ac:dyDescent="0.3">
      <c r="A4309">
        <v>2313019331</v>
      </c>
      <c r="B4309">
        <v>2313019557</v>
      </c>
      <c r="C4309" t="str">
        <f>T("상태창빨로 천재 재벌 227화")</f>
        <v>상태창빨로 천재 재벌 227화</v>
      </c>
      <c r="D4309" t="str">
        <f>T("227")</f>
        <v>227</v>
      </c>
      <c r="E4309" t="str">
        <f t="shared" si="562"/>
        <v>리얼탄산</v>
      </c>
      <c r="H4309" t="str">
        <f t="shared" si="563"/>
        <v>스토리위즈</v>
      </c>
      <c r="I4309" t="str">
        <f t="shared" si="564"/>
        <v>상태창빨로 천재 재벌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/>
      <c r="AQ4309">
        <v>0</v>
      </c>
      <c r="AR4309">
        <v>0</v>
      </c>
      <c r="AT4309">
        <v>0</v>
      </c>
      <c r="AU4309">
        <v>0</v>
      </c>
      <c r="AW4309">
        <v>0</v>
      </c>
      <c r="AX4309">
        <v>0</v>
      </c>
      <c r="AY4309">
        <v>70</v>
      </c>
      <c r="BC4309" t="str">
        <f t="shared" si="565"/>
        <v>9791137601741</v>
      </c>
      <c r="BE4309" t="str">
        <f t="shared" si="566"/>
        <v>판타지 웹소설 &gt; 현대 판타지</v>
      </c>
    </row>
    <row r="4310" spans="1:57" x14ac:dyDescent="0.3">
      <c r="A4310">
        <v>2313019331</v>
      </c>
      <c r="B4310">
        <v>2313019558</v>
      </c>
      <c r="C4310" t="str">
        <f>T("상태창빨로 천재 재벌 228화")</f>
        <v>상태창빨로 천재 재벌 228화</v>
      </c>
      <c r="D4310" t="str">
        <f>T("228")</f>
        <v>228</v>
      </c>
      <c r="E4310" t="str">
        <f t="shared" si="562"/>
        <v>리얼탄산</v>
      </c>
      <c r="H4310" t="str">
        <f t="shared" si="563"/>
        <v>스토리위즈</v>
      </c>
      <c r="I4310" t="str">
        <f t="shared" si="564"/>
        <v>상태창빨로 천재 재벌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/>
      <c r="AQ4310">
        <v>0</v>
      </c>
      <c r="AR4310">
        <v>0</v>
      </c>
      <c r="AT4310">
        <v>0</v>
      </c>
      <c r="AU4310">
        <v>0</v>
      </c>
      <c r="AW4310">
        <v>0</v>
      </c>
      <c r="AX4310">
        <v>0</v>
      </c>
      <c r="AY4310">
        <v>70</v>
      </c>
      <c r="BC4310" t="str">
        <f t="shared" si="565"/>
        <v>9791137601741</v>
      </c>
      <c r="BE4310" t="str">
        <f t="shared" si="566"/>
        <v>판타지 웹소설 &gt; 현대 판타지</v>
      </c>
    </row>
    <row r="4311" spans="1:57" x14ac:dyDescent="0.3">
      <c r="A4311">
        <v>2313019331</v>
      </c>
      <c r="B4311">
        <v>2313019559</v>
      </c>
      <c r="C4311" t="str">
        <f>T("상태창빨로 천재 재벌 229화")</f>
        <v>상태창빨로 천재 재벌 229화</v>
      </c>
      <c r="D4311" t="str">
        <f>T("229")</f>
        <v>229</v>
      </c>
      <c r="E4311" t="str">
        <f t="shared" si="562"/>
        <v>리얼탄산</v>
      </c>
      <c r="H4311" t="str">
        <f t="shared" si="563"/>
        <v>스토리위즈</v>
      </c>
      <c r="I4311" t="str">
        <f t="shared" si="564"/>
        <v>상태창빨로 천재 재벌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/>
      <c r="AQ4311">
        <v>0</v>
      </c>
      <c r="AR4311">
        <v>0</v>
      </c>
      <c r="AT4311">
        <v>0</v>
      </c>
      <c r="AU4311">
        <v>0</v>
      </c>
      <c r="AW4311">
        <v>0</v>
      </c>
      <c r="AX4311">
        <v>0</v>
      </c>
      <c r="AY4311">
        <v>70</v>
      </c>
      <c r="BC4311" t="str">
        <f t="shared" si="565"/>
        <v>9791137601741</v>
      </c>
      <c r="BE4311" t="str">
        <f t="shared" si="566"/>
        <v>판타지 웹소설 &gt; 현대 판타지</v>
      </c>
    </row>
    <row r="4312" spans="1:57" x14ac:dyDescent="0.3">
      <c r="A4312">
        <v>2313019331</v>
      </c>
      <c r="B4312">
        <v>2313019560</v>
      </c>
      <c r="C4312" t="str">
        <f>T("상태창빨로 천재 재벌 230화")</f>
        <v>상태창빨로 천재 재벌 230화</v>
      </c>
      <c r="D4312" t="str">
        <f>T("230")</f>
        <v>230</v>
      </c>
      <c r="E4312" t="str">
        <f t="shared" si="562"/>
        <v>리얼탄산</v>
      </c>
      <c r="H4312" t="str">
        <f t="shared" si="563"/>
        <v>스토리위즈</v>
      </c>
      <c r="I4312" t="str">
        <f t="shared" si="564"/>
        <v>상태창빨로 천재 재벌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/>
      <c r="AQ4312">
        <v>0</v>
      </c>
      <c r="AR4312">
        <v>0</v>
      </c>
      <c r="AT4312">
        <v>0</v>
      </c>
      <c r="AU4312">
        <v>0</v>
      </c>
      <c r="AW4312">
        <v>0</v>
      </c>
      <c r="AX4312">
        <v>0</v>
      </c>
      <c r="AY4312">
        <v>70</v>
      </c>
      <c r="BC4312" t="str">
        <f t="shared" si="565"/>
        <v>9791137601741</v>
      </c>
      <c r="BE4312" t="str">
        <f t="shared" si="566"/>
        <v>판타지 웹소설 &gt; 현대 판타지</v>
      </c>
    </row>
    <row r="4313" spans="1:57" x14ac:dyDescent="0.3">
      <c r="A4313">
        <v>2313019331</v>
      </c>
      <c r="B4313">
        <v>2313019561</v>
      </c>
      <c r="C4313" t="str">
        <f>T("상태창빨로 천재 재벌 231화")</f>
        <v>상태창빨로 천재 재벌 231화</v>
      </c>
      <c r="D4313" t="str">
        <f>T("231")</f>
        <v>231</v>
      </c>
      <c r="E4313" t="str">
        <f t="shared" si="562"/>
        <v>리얼탄산</v>
      </c>
      <c r="H4313" t="str">
        <f t="shared" si="563"/>
        <v>스토리위즈</v>
      </c>
      <c r="I4313" t="str">
        <f t="shared" si="564"/>
        <v>상태창빨로 천재 재벌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/>
      <c r="AQ4313">
        <v>0</v>
      </c>
      <c r="AR4313">
        <v>0</v>
      </c>
      <c r="AT4313">
        <v>0</v>
      </c>
      <c r="AU4313">
        <v>0</v>
      </c>
      <c r="AW4313">
        <v>0</v>
      </c>
      <c r="AX4313">
        <v>0</v>
      </c>
      <c r="AY4313">
        <v>70</v>
      </c>
      <c r="BC4313" t="str">
        <f t="shared" si="565"/>
        <v>9791137601741</v>
      </c>
      <c r="BE4313" t="str">
        <f t="shared" si="566"/>
        <v>판타지 웹소설 &gt; 현대 판타지</v>
      </c>
    </row>
    <row r="4314" spans="1:57" x14ac:dyDescent="0.3">
      <c r="A4314">
        <v>2313019331</v>
      </c>
      <c r="B4314">
        <v>2313019562</v>
      </c>
      <c r="C4314" t="str">
        <f>T("상태창빨로 천재 재벌 232화")</f>
        <v>상태창빨로 천재 재벌 232화</v>
      </c>
      <c r="D4314" t="str">
        <f>T("232")</f>
        <v>232</v>
      </c>
      <c r="E4314" t="str">
        <f t="shared" si="562"/>
        <v>리얼탄산</v>
      </c>
      <c r="H4314" t="str">
        <f t="shared" si="563"/>
        <v>스토리위즈</v>
      </c>
      <c r="I4314" t="str">
        <f t="shared" si="564"/>
        <v>상태창빨로 천재 재벌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/>
      <c r="AQ4314">
        <v>0</v>
      </c>
      <c r="AR4314">
        <v>0</v>
      </c>
      <c r="AT4314">
        <v>0</v>
      </c>
      <c r="AU4314">
        <v>0</v>
      </c>
      <c r="AW4314">
        <v>0</v>
      </c>
      <c r="AX4314">
        <v>0</v>
      </c>
      <c r="AY4314">
        <v>70</v>
      </c>
      <c r="BC4314" t="str">
        <f t="shared" si="565"/>
        <v>9791137601741</v>
      </c>
      <c r="BE4314" t="str">
        <f t="shared" si="566"/>
        <v>판타지 웹소설 &gt; 현대 판타지</v>
      </c>
    </row>
    <row r="4315" spans="1:57" x14ac:dyDescent="0.3">
      <c r="A4315">
        <v>2313019331</v>
      </c>
      <c r="B4315">
        <v>2313019563</v>
      </c>
      <c r="C4315" t="str">
        <f>T("상태창빨로 천재 재벌 233화")</f>
        <v>상태창빨로 천재 재벌 233화</v>
      </c>
      <c r="D4315" t="str">
        <f>T("233")</f>
        <v>233</v>
      </c>
      <c r="E4315" t="str">
        <f t="shared" si="562"/>
        <v>리얼탄산</v>
      </c>
      <c r="H4315" t="str">
        <f t="shared" si="563"/>
        <v>스토리위즈</v>
      </c>
      <c r="I4315" t="str">
        <f t="shared" si="564"/>
        <v>상태창빨로 천재 재벌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/>
      <c r="AQ4315">
        <v>0</v>
      </c>
      <c r="AR4315">
        <v>0</v>
      </c>
      <c r="AT4315">
        <v>0</v>
      </c>
      <c r="AU4315">
        <v>0</v>
      </c>
      <c r="AW4315">
        <v>0</v>
      </c>
      <c r="AX4315">
        <v>0</v>
      </c>
      <c r="AY4315">
        <v>70</v>
      </c>
      <c r="BC4315" t="str">
        <f t="shared" si="565"/>
        <v>9791137601741</v>
      </c>
      <c r="BE4315" t="str">
        <f t="shared" si="566"/>
        <v>판타지 웹소설 &gt; 현대 판타지</v>
      </c>
    </row>
    <row r="4316" spans="1:57" x14ac:dyDescent="0.3">
      <c r="A4316">
        <v>2313019331</v>
      </c>
      <c r="B4316">
        <v>2313019564</v>
      </c>
      <c r="C4316" t="str">
        <f>T("상태창빨로 천재 재벌 234화")</f>
        <v>상태창빨로 천재 재벌 234화</v>
      </c>
      <c r="D4316" t="str">
        <f>T("234")</f>
        <v>234</v>
      </c>
      <c r="E4316" t="str">
        <f t="shared" ref="E4316:E4379" si="567">T("리얼탄산")</f>
        <v>리얼탄산</v>
      </c>
      <c r="H4316" t="str">
        <f t="shared" ref="H4316:H4379" si="568">T("스토리위즈")</f>
        <v>스토리위즈</v>
      </c>
      <c r="I4316" t="str">
        <f t="shared" ref="I4316:I4379" si="569">T("상태창빨로 천재 재벌")</f>
        <v>상태창빨로 천재 재벌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/>
      <c r="AQ4316">
        <v>0</v>
      </c>
      <c r="AR4316">
        <v>0</v>
      </c>
      <c r="AT4316">
        <v>0</v>
      </c>
      <c r="AU4316">
        <v>0</v>
      </c>
      <c r="AW4316">
        <v>0</v>
      </c>
      <c r="AX4316">
        <v>0</v>
      </c>
      <c r="AY4316">
        <v>70</v>
      </c>
      <c r="BC4316" t="str">
        <f t="shared" ref="BC4316:BC4379" si="570">T("9791137601741")</f>
        <v>9791137601741</v>
      </c>
      <c r="BE4316" t="str">
        <f t="shared" ref="BE4316:BE4379" si="571">T("판타지 웹소설 &gt; 현대 판타지")</f>
        <v>판타지 웹소설 &gt; 현대 판타지</v>
      </c>
    </row>
    <row r="4317" spans="1:57" x14ac:dyDescent="0.3">
      <c r="A4317">
        <v>2313019331</v>
      </c>
      <c r="B4317">
        <v>2313019565</v>
      </c>
      <c r="C4317" t="str">
        <f>T("상태창빨로 천재 재벌 235화")</f>
        <v>상태창빨로 천재 재벌 235화</v>
      </c>
      <c r="D4317" t="str">
        <f>T("235")</f>
        <v>235</v>
      </c>
      <c r="E4317" t="str">
        <f t="shared" si="567"/>
        <v>리얼탄산</v>
      </c>
      <c r="H4317" t="str">
        <f t="shared" si="568"/>
        <v>스토리위즈</v>
      </c>
      <c r="I4317" t="str">
        <f t="shared" si="569"/>
        <v>상태창빨로 천재 재벌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/>
      <c r="AQ4317">
        <v>0</v>
      </c>
      <c r="AR4317">
        <v>0</v>
      </c>
      <c r="AT4317">
        <v>0</v>
      </c>
      <c r="AU4317">
        <v>0</v>
      </c>
      <c r="AW4317">
        <v>0</v>
      </c>
      <c r="AX4317">
        <v>0</v>
      </c>
      <c r="AY4317">
        <v>70</v>
      </c>
      <c r="BC4317" t="str">
        <f t="shared" si="570"/>
        <v>9791137601741</v>
      </c>
      <c r="BE4317" t="str">
        <f t="shared" si="571"/>
        <v>판타지 웹소설 &gt; 현대 판타지</v>
      </c>
    </row>
    <row r="4318" spans="1:57" x14ac:dyDescent="0.3">
      <c r="A4318">
        <v>2313019331</v>
      </c>
      <c r="B4318">
        <v>2313019566</v>
      </c>
      <c r="C4318" t="str">
        <f>T("상태창빨로 천재 재벌 236화")</f>
        <v>상태창빨로 천재 재벌 236화</v>
      </c>
      <c r="D4318" t="str">
        <f>T("236")</f>
        <v>236</v>
      </c>
      <c r="E4318" t="str">
        <f t="shared" si="567"/>
        <v>리얼탄산</v>
      </c>
      <c r="H4318" t="str">
        <f t="shared" si="568"/>
        <v>스토리위즈</v>
      </c>
      <c r="I4318" t="str">
        <f t="shared" si="569"/>
        <v>상태창빨로 천재 재벌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/>
      <c r="AQ4318">
        <v>0</v>
      </c>
      <c r="AR4318">
        <v>0</v>
      </c>
      <c r="AT4318">
        <v>0</v>
      </c>
      <c r="AU4318">
        <v>0</v>
      </c>
      <c r="AW4318">
        <v>0</v>
      </c>
      <c r="AX4318">
        <v>0</v>
      </c>
      <c r="AY4318">
        <v>70</v>
      </c>
      <c r="BC4318" t="str">
        <f t="shared" si="570"/>
        <v>9791137601741</v>
      </c>
      <c r="BE4318" t="str">
        <f t="shared" si="571"/>
        <v>판타지 웹소설 &gt; 현대 판타지</v>
      </c>
    </row>
    <row r="4319" spans="1:57" x14ac:dyDescent="0.3">
      <c r="A4319">
        <v>2313019331</v>
      </c>
      <c r="B4319">
        <v>2313019567</v>
      </c>
      <c r="C4319" t="str">
        <f>T("상태창빨로 천재 재벌 237화")</f>
        <v>상태창빨로 천재 재벌 237화</v>
      </c>
      <c r="D4319" t="str">
        <f>T("237")</f>
        <v>237</v>
      </c>
      <c r="E4319" t="str">
        <f t="shared" si="567"/>
        <v>리얼탄산</v>
      </c>
      <c r="H4319" t="str">
        <f t="shared" si="568"/>
        <v>스토리위즈</v>
      </c>
      <c r="I4319" t="str">
        <f t="shared" si="569"/>
        <v>상태창빨로 천재 재벌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/>
      <c r="AQ4319">
        <v>0</v>
      </c>
      <c r="AR4319">
        <v>0</v>
      </c>
      <c r="AT4319">
        <v>0</v>
      </c>
      <c r="AU4319">
        <v>0</v>
      </c>
      <c r="AW4319">
        <v>0</v>
      </c>
      <c r="AX4319">
        <v>0</v>
      </c>
      <c r="AY4319">
        <v>70</v>
      </c>
      <c r="BC4319" t="str">
        <f t="shared" si="570"/>
        <v>9791137601741</v>
      </c>
      <c r="BE4319" t="str">
        <f t="shared" si="571"/>
        <v>판타지 웹소설 &gt; 현대 판타지</v>
      </c>
    </row>
    <row r="4320" spans="1:57" x14ac:dyDescent="0.3">
      <c r="A4320">
        <v>2313019331</v>
      </c>
      <c r="B4320">
        <v>2313019568</v>
      </c>
      <c r="C4320" t="str">
        <f>T("상태창빨로 천재 재벌 238화")</f>
        <v>상태창빨로 천재 재벌 238화</v>
      </c>
      <c r="D4320" t="str">
        <f>T("238")</f>
        <v>238</v>
      </c>
      <c r="E4320" t="str">
        <f t="shared" si="567"/>
        <v>리얼탄산</v>
      </c>
      <c r="H4320" t="str">
        <f t="shared" si="568"/>
        <v>스토리위즈</v>
      </c>
      <c r="I4320" t="str">
        <f t="shared" si="569"/>
        <v>상태창빨로 천재 재벌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/>
      <c r="AQ4320">
        <v>0</v>
      </c>
      <c r="AR4320">
        <v>0</v>
      </c>
      <c r="AT4320">
        <v>0</v>
      </c>
      <c r="AU4320">
        <v>0</v>
      </c>
      <c r="AW4320">
        <v>0</v>
      </c>
      <c r="AX4320">
        <v>0</v>
      </c>
      <c r="AY4320">
        <v>70</v>
      </c>
      <c r="BC4320" t="str">
        <f t="shared" si="570"/>
        <v>9791137601741</v>
      </c>
      <c r="BE4320" t="str">
        <f t="shared" si="571"/>
        <v>판타지 웹소설 &gt; 현대 판타지</v>
      </c>
    </row>
    <row r="4321" spans="1:57" x14ac:dyDescent="0.3">
      <c r="A4321">
        <v>2313019331</v>
      </c>
      <c r="B4321">
        <v>2313019569</v>
      </c>
      <c r="C4321" t="str">
        <f>T("상태창빨로 천재 재벌 239화")</f>
        <v>상태창빨로 천재 재벌 239화</v>
      </c>
      <c r="D4321" t="str">
        <f>T("239")</f>
        <v>239</v>
      </c>
      <c r="E4321" t="str">
        <f t="shared" si="567"/>
        <v>리얼탄산</v>
      </c>
      <c r="H4321" t="str">
        <f t="shared" si="568"/>
        <v>스토리위즈</v>
      </c>
      <c r="I4321" t="str">
        <f t="shared" si="569"/>
        <v>상태창빨로 천재 재벌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/>
      <c r="AQ4321">
        <v>0</v>
      </c>
      <c r="AR4321">
        <v>0</v>
      </c>
      <c r="AT4321">
        <v>0</v>
      </c>
      <c r="AU4321">
        <v>0</v>
      </c>
      <c r="AW4321">
        <v>0</v>
      </c>
      <c r="AX4321">
        <v>0</v>
      </c>
      <c r="AY4321">
        <v>70</v>
      </c>
      <c r="BC4321" t="str">
        <f t="shared" si="570"/>
        <v>9791137601741</v>
      </c>
      <c r="BE4321" t="str">
        <f t="shared" si="571"/>
        <v>판타지 웹소설 &gt; 현대 판타지</v>
      </c>
    </row>
    <row r="4322" spans="1:57" x14ac:dyDescent="0.3">
      <c r="A4322">
        <v>2313019331</v>
      </c>
      <c r="B4322">
        <v>2313019570</v>
      </c>
      <c r="C4322" t="str">
        <f>T("상태창빨로 천재 재벌 240화")</f>
        <v>상태창빨로 천재 재벌 240화</v>
      </c>
      <c r="D4322" t="str">
        <f>T("240")</f>
        <v>240</v>
      </c>
      <c r="E4322" t="str">
        <f t="shared" si="567"/>
        <v>리얼탄산</v>
      </c>
      <c r="H4322" t="str">
        <f t="shared" si="568"/>
        <v>스토리위즈</v>
      </c>
      <c r="I4322" t="str">
        <f t="shared" si="569"/>
        <v>상태창빨로 천재 재벌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/>
      <c r="AQ4322">
        <v>0</v>
      </c>
      <c r="AR4322">
        <v>0</v>
      </c>
      <c r="AT4322">
        <v>0</v>
      </c>
      <c r="AU4322">
        <v>0</v>
      </c>
      <c r="AW4322">
        <v>0</v>
      </c>
      <c r="AX4322">
        <v>0</v>
      </c>
      <c r="AY4322">
        <v>70</v>
      </c>
      <c r="BC4322" t="str">
        <f t="shared" si="570"/>
        <v>9791137601741</v>
      </c>
      <c r="BE4322" t="str">
        <f t="shared" si="571"/>
        <v>판타지 웹소설 &gt; 현대 판타지</v>
      </c>
    </row>
    <row r="4323" spans="1:57" x14ac:dyDescent="0.3">
      <c r="A4323">
        <v>2313019331</v>
      </c>
      <c r="B4323">
        <v>2313019571</v>
      </c>
      <c r="C4323" t="str">
        <f>T("상태창빨로 천재 재벌 241화")</f>
        <v>상태창빨로 천재 재벌 241화</v>
      </c>
      <c r="D4323" t="str">
        <f>T("241")</f>
        <v>241</v>
      </c>
      <c r="E4323" t="str">
        <f t="shared" si="567"/>
        <v>리얼탄산</v>
      </c>
      <c r="H4323" t="str">
        <f t="shared" si="568"/>
        <v>스토리위즈</v>
      </c>
      <c r="I4323" t="str">
        <f t="shared" si="569"/>
        <v>상태창빨로 천재 재벌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/>
      <c r="AQ4323">
        <v>0</v>
      </c>
      <c r="AR4323">
        <v>0</v>
      </c>
      <c r="AT4323">
        <v>0</v>
      </c>
      <c r="AU4323">
        <v>0</v>
      </c>
      <c r="AW4323">
        <v>0</v>
      </c>
      <c r="AX4323">
        <v>0</v>
      </c>
      <c r="AY4323">
        <v>70</v>
      </c>
      <c r="BC4323" t="str">
        <f t="shared" si="570"/>
        <v>9791137601741</v>
      </c>
      <c r="BE4323" t="str">
        <f t="shared" si="571"/>
        <v>판타지 웹소설 &gt; 현대 판타지</v>
      </c>
    </row>
    <row r="4324" spans="1:57" x14ac:dyDescent="0.3">
      <c r="A4324">
        <v>2313019331</v>
      </c>
      <c r="B4324">
        <v>2313019572</v>
      </c>
      <c r="C4324" t="str">
        <f>T("상태창빨로 천재 재벌 242화")</f>
        <v>상태창빨로 천재 재벌 242화</v>
      </c>
      <c r="D4324" t="str">
        <f>T("242")</f>
        <v>242</v>
      </c>
      <c r="E4324" t="str">
        <f t="shared" si="567"/>
        <v>리얼탄산</v>
      </c>
      <c r="H4324" t="str">
        <f t="shared" si="568"/>
        <v>스토리위즈</v>
      </c>
      <c r="I4324" t="str">
        <f t="shared" si="569"/>
        <v>상태창빨로 천재 재벌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/>
      <c r="AQ4324">
        <v>0</v>
      </c>
      <c r="AR4324">
        <v>0</v>
      </c>
      <c r="AT4324">
        <v>0</v>
      </c>
      <c r="AU4324">
        <v>0</v>
      </c>
      <c r="AW4324">
        <v>0</v>
      </c>
      <c r="AX4324">
        <v>0</v>
      </c>
      <c r="AY4324">
        <v>70</v>
      </c>
      <c r="BC4324" t="str">
        <f t="shared" si="570"/>
        <v>9791137601741</v>
      </c>
      <c r="BE4324" t="str">
        <f t="shared" si="571"/>
        <v>판타지 웹소설 &gt; 현대 판타지</v>
      </c>
    </row>
    <row r="4325" spans="1:57" x14ac:dyDescent="0.3">
      <c r="A4325">
        <v>2313019331</v>
      </c>
      <c r="B4325">
        <v>2313019573</v>
      </c>
      <c r="C4325" t="str">
        <f>T("상태창빨로 천재 재벌 243화")</f>
        <v>상태창빨로 천재 재벌 243화</v>
      </c>
      <c r="D4325" t="str">
        <f>T("243")</f>
        <v>243</v>
      </c>
      <c r="E4325" t="str">
        <f t="shared" si="567"/>
        <v>리얼탄산</v>
      </c>
      <c r="H4325" t="str">
        <f t="shared" si="568"/>
        <v>스토리위즈</v>
      </c>
      <c r="I4325" t="str">
        <f t="shared" si="569"/>
        <v>상태창빨로 천재 재벌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/>
      <c r="AQ4325">
        <v>0</v>
      </c>
      <c r="AR4325">
        <v>0</v>
      </c>
      <c r="AT4325">
        <v>0</v>
      </c>
      <c r="AU4325">
        <v>0</v>
      </c>
      <c r="AW4325">
        <v>0</v>
      </c>
      <c r="AX4325">
        <v>0</v>
      </c>
      <c r="AY4325">
        <v>70</v>
      </c>
      <c r="BC4325" t="str">
        <f t="shared" si="570"/>
        <v>9791137601741</v>
      </c>
      <c r="BE4325" t="str">
        <f t="shared" si="571"/>
        <v>판타지 웹소설 &gt; 현대 판타지</v>
      </c>
    </row>
    <row r="4326" spans="1:57" x14ac:dyDescent="0.3">
      <c r="A4326">
        <v>2313019331</v>
      </c>
      <c r="B4326">
        <v>2313019574</v>
      </c>
      <c r="C4326" t="str">
        <f>T("상태창빨로 천재 재벌 244화")</f>
        <v>상태창빨로 천재 재벌 244화</v>
      </c>
      <c r="D4326" t="str">
        <f>T("244")</f>
        <v>244</v>
      </c>
      <c r="E4326" t="str">
        <f t="shared" si="567"/>
        <v>리얼탄산</v>
      </c>
      <c r="H4326" t="str">
        <f t="shared" si="568"/>
        <v>스토리위즈</v>
      </c>
      <c r="I4326" t="str">
        <f t="shared" si="569"/>
        <v>상태창빨로 천재 재벌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/>
      <c r="AQ4326">
        <v>0</v>
      </c>
      <c r="AR4326">
        <v>0</v>
      </c>
      <c r="AT4326">
        <v>0</v>
      </c>
      <c r="AU4326">
        <v>0</v>
      </c>
      <c r="AW4326">
        <v>0</v>
      </c>
      <c r="AX4326">
        <v>0</v>
      </c>
      <c r="AY4326">
        <v>70</v>
      </c>
      <c r="BC4326" t="str">
        <f t="shared" si="570"/>
        <v>9791137601741</v>
      </c>
      <c r="BE4326" t="str">
        <f t="shared" si="571"/>
        <v>판타지 웹소설 &gt; 현대 판타지</v>
      </c>
    </row>
    <row r="4327" spans="1:57" x14ac:dyDescent="0.3">
      <c r="A4327">
        <v>2313019331</v>
      </c>
      <c r="B4327">
        <v>2313019575</v>
      </c>
      <c r="C4327" t="str">
        <f>T("상태창빨로 천재 재벌 245화")</f>
        <v>상태창빨로 천재 재벌 245화</v>
      </c>
      <c r="D4327" t="str">
        <f>T("245")</f>
        <v>245</v>
      </c>
      <c r="E4327" t="str">
        <f t="shared" si="567"/>
        <v>리얼탄산</v>
      </c>
      <c r="H4327" t="str">
        <f t="shared" si="568"/>
        <v>스토리위즈</v>
      </c>
      <c r="I4327" t="str">
        <f t="shared" si="569"/>
        <v>상태창빨로 천재 재벌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/>
      <c r="AQ4327">
        <v>0</v>
      </c>
      <c r="AR4327">
        <v>0</v>
      </c>
      <c r="AT4327">
        <v>0</v>
      </c>
      <c r="AU4327">
        <v>0</v>
      </c>
      <c r="AW4327">
        <v>0</v>
      </c>
      <c r="AX4327">
        <v>0</v>
      </c>
      <c r="AY4327">
        <v>70</v>
      </c>
      <c r="BC4327" t="str">
        <f t="shared" si="570"/>
        <v>9791137601741</v>
      </c>
      <c r="BE4327" t="str">
        <f t="shared" si="571"/>
        <v>판타지 웹소설 &gt; 현대 판타지</v>
      </c>
    </row>
    <row r="4328" spans="1:57" x14ac:dyDescent="0.3">
      <c r="A4328">
        <v>2313019331</v>
      </c>
      <c r="B4328">
        <v>2313019576</v>
      </c>
      <c r="C4328" t="str">
        <f>T("상태창빨로 천재 재벌 246화")</f>
        <v>상태창빨로 천재 재벌 246화</v>
      </c>
      <c r="D4328" t="str">
        <f>T("246")</f>
        <v>246</v>
      </c>
      <c r="E4328" t="str">
        <f t="shared" si="567"/>
        <v>리얼탄산</v>
      </c>
      <c r="H4328" t="str">
        <f t="shared" si="568"/>
        <v>스토리위즈</v>
      </c>
      <c r="I4328" t="str">
        <f t="shared" si="569"/>
        <v>상태창빨로 천재 재벌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/>
      <c r="AQ4328">
        <v>0</v>
      </c>
      <c r="AR4328">
        <v>0</v>
      </c>
      <c r="AT4328">
        <v>0</v>
      </c>
      <c r="AU4328">
        <v>0</v>
      </c>
      <c r="AW4328">
        <v>0</v>
      </c>
      <c r="AX4328">
        <v>0</v>
      </c>
      <c r="AY4328">
        <v>70</v>
      </c>
      <c r="BC4328" t="str">
        <f t="shared" si="570"/>
        <v>9791137601741</v>
      </c>
      <c r="BE4328" t="str">
        <f t="shared" si="571"/>
        <v>판타지 웹소설 &gt; 현대 판타지</v>
      </c>
    </row>
    <row r="4329" spans="1:57" x14ac:dyDescent="0.3">
      <c r="A4329">
        <v>2313019331</v>
      </c>
      <c r="B4329">
        <v>2313019577</v>
      </c>
      <c r="C4329" t="str">
        <f>T("상태창빨로 천재 재벌 247화")</f>
        <v>상태창빨로 천재 재벌 247화</v>
      </c>
      <c r="D4329" t="str">
        <f>T("247")</f>
        <v>247</v>
      </c>
      <c r="E4329" t="str">
        <f t="shared" si="567"/>
        <v>리얼탄산</v>
      </c>
      <c r="H4329" t="str">
        <f t="shared" si="568"/>
        <v>스토리위즈</v>
      </c>
      <c r="I4329" t="str">
        <f t="shared" si="569"/>
        <v>상태창빨로 천재 재벌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/>
      <c r="AQ4329">
        <v>0</v>
      </c>
      <c r="AR4329">
        <v>0</v>
      </c>
      <c r="AT4329">
        <v>0</v>
      </c>
      <c r="AU4329">
        <v>0</v>
      </c>
      <c r="AW4329">
        <v>0</v>
      </c>
      <c r="AX4329">
        <v>0</v>
      </c>
      <c r="AY4329">
        <v>70</v>
      </c>
      <c r="BC4329" t="str">
        <f t="shared" si="570"/>
        <v>9791137601741</v>
      </c>
      <c r="BE4329" t="str">
        <f t="shared" si="571"/>
        <v>판타지 웹소설 &gt; 현대 판타지</v>
      </c>
    </row>
    <row r="4330" spans="1:57" x14ac:dyDescent="0.3">
      <c r="A4330">
        <v>2313019331</v>
      </c>
      <c r="B4330">
        <v>2313019578</v>
      </c>
      <c r="C4330" t="str">
        <f>T("상태창빨로 천재 재벌 248화")</f>
        <v>상태창빨로 천재 재벌 248화</v>
      </c>
      <c r="D4330" t="str">
        <f>T("248")</f>
        <v>248</v>
      </c>
      <c r="E4330" t="str">
        <f t="shared" si="567"/>
        <v>리얼탄산</v>
      </c>
      <c r="H4330" t="str">
        <f t="shared" si="568"/>
        <v>스토리위즈</v>
      </c>
      <c r="I4330" t="str">
        <f t="shared" si="569"/>
        <v>상태창빨로 천재 재벌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/>
      <c r="AQ4330">
        <v>0</v>
      </c>
      <c r="AR4330">
        <v>0</v>
      </c>
      <c r="AT4330">
        <v>0</v>
      </c>
      <c r="AU4330">
        <v>0</v>
      </c>
      <c r="AW4330">
        <v>0</v>
      </c>
      <c r="AX4330">
        <v>0</v>
      </c>
      <c r="AY4330">
        <v>70</v>
      </c>
      <c r="BC4330" t="str">
        <f t="shared" si="570"/>
        <v>9791137601741</v>
      </c>
      <c r="BE4330" t="str">
        <f t="shared" si="571"/>
        <v>판타지 웹소설 &gt; 현대 판타지</v>
      </c>
    </row>
    <row r="4331" spans="1:57" x14ac:dyDescent="0.3">
      <c r="A4331">
        <v>2313019331</v>
      </c>
      <c r="B4331">
        <v>2313019579</v>
      </c>
      <c r="C4331" t="str">
        <f>T("상태창빨로 천재 재벌 249화")</f>
        <v>상태창빨로 천재 재벌 249화</v>
      </c>
      <c r="D4331" t="str">
        <f>T("249")</f>
        <v>249</v>
      </c>
      <c r="E4331" t="str">
        <f t="shared" si="567"/>
        <v>리얼탄산</v>
      </c>
      <c r="H4331" t="str">
        <f t="shared" si="568"/>
        <v>스토리위즈</v>
      </c>
      <c r="I4331" t="str">
        <f t="shared" si="569"/>
        <v>상태창빨로 천재 재벌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/>
      <c r="AQ4331">
        <v>0</v>
      </c>
      <c r="AR4331">
        <v>0</v>
      </c>
      <c r="AT4331">
        <v>0</v>
      </c>
      <c r="AU4331">
        <v>0</v>
      </c>
      <c r="AW4331">
        <v>0</v>
      </c>
      <c r="AX4331">
        <v>0</v>
      </c>
      <c r="AY4331">
        <v>70</v>
      </c>
      <c r="BC4331" t="str">
        <f t="shared" si="570"/>
        <v>9791137601741</v>
      </c>
      <c r="BE4331" t="str">
        <f t="shared" si="571"/>
        <v>판타지 웹소설 &gt; 현대 판타지</v>
      </c>
    </row>
    <row r="4332" spans="1:57" x14ac:dyDescent="0.3">
      <c r="A4332">
        <v>2313019331</v>
      </c>
      <c r="B4332">
        <v>2313019580</v>
      </c>
      <c r="C4332" t="str">
        <f>T("상태창빨로 천재 재벌 250화")</f>
        <v>상태창빨로 천재 재벌 250화</v>
      </c>
      <c r="D4332" t="str">
        <f>T("250")</f>
        <v>250</v>
      </c>
      <c r="E4332" t="str">
        <f t="shared" si="567"/>
        <v>리얼탄산</v>
      </c>
      <c r="H4332" t="str">
        <f t="shared" si="568"/>
        <v>스토리위즈</v>
      </c>
      <c r="I4332" t="str">
        <f t="shared" si="569"/>
        <v>상태창빨로 천재 재벌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/>
      <c r="AQ4332">
        <v>0</v>
      </c>
      <c r="AR4332">
        <v>0</v>
      </c>
      <c r="AT4332">
        <v>0</v>
      </c>
      <c r="AU4332">
        <v>0</v>
      </c>
      <c r="AW4332">
        <v>0</v>
      </c>
      <c r="AX4332">
        <v>0</v>
      </c>
      <c r="AY4332">
        <v>70</v>
      </c>
      <c r="BC4332" t="str">
        <f t="shared" si="570"/>
        <v>9791137601741</v>
      </c>
      <c r="BE4332" t="str">
        <f t="shared" si="571"/>
        <v>판타지 웹소설 &gt; 현대 판타지</v>
      </c>
    </row>
    <row r="4333" spans="1:57" x14ac:dyDescent="0.3">
      <c r="A4333">
        <v>2313019331</v>
      </c>
      <c r="B4333">
        <v>2313019581</v>
      </c>
      <c r="C4333" t="str">
        <f>T("상태창빨로 천재 재벌 251화")</f>
        <v>상태창빨로 천재 재벌 251화</v>
      </c>
      <c r="D4333" t="str">
        <f>T("251")</f>
        <v>251</v>
      </c>
      <c r="E4333" t="str">
        <f t="shared" si="567"/>
        <v>리얼탄산</v>
      </c>
      <c r="H4333" t="str">
        <f t="shared" si="568"/>
        <v>스토리위즈</v>
      </c>
      <c r="I4333" t="str">
        <f t="shared" si="569"/>
        <v>상태창빨로 천재 재벌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/>
      <c r="AQ4333">
        <v>0</v>
      </c>
      <c r="AR4333">
        <v>0</v>
      </c>
      <c r="AT4333">
        <v>0</v>
      </c>
      <c r="AU4333">
        <v>0</v>
      </c>
      <c r="AW4333">
        <v>0</v>
      </c>
      <c r="AX4333">
        <v>0</v>
      </c>
      <c r="AY4333">
        <v>70</v>
      </c>
      <c r="BC4333" t="str">
        <f t="shared" si="570"/>
        <v>9791137601741</v>
      </c>
      <c r="BE4333" t="str">
        <f t="shared" si="571"/>
        <v>판타지 웹소설 &gt; 현대 판타지</v>
      </c>
    </row>
    <row r="4334" spans="1:57" x14ac:dyDescent="0.3">
      <c r="A4334">
        <v>2313019331</v>
      </c>
      <c r="B4334">
        <v>2313019582</v>
      </c>
      <c r="C4334" t="str">
        <f>T("상태창빨로 천재 재벌 252화")</f>
        <v>상태창빨로 천재 재벌 252화</v>
      </c>
      <c r="D4334" t="str">
        <f>T("252")</f>
        <v>252</v>
      </c>
      <c r="E4334" t="str">
        <f t="shared" si="567"/>
        <v>리얼탄산</v>
      </c>
      <c r="H4334" t="str">
        <f t="shared" si="568"/>
        <v>스토리위즈</v>
      </c>
      <c r="I4334" t="str">
        <f t="shared" si="569"/>
        <v>상태창빨로 천재 재벌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/>
      <c r="AQ4334">
        <v>0</v>
      </c>
      <c r="AR4334">
        <v>0</v>
      </c>
      <c r="AT4334">
        <v>0</v>
      </c>
      <c r="AU4334">
        <v>0</v>
      </c>
      <c r="AW4334">
        <v>0</v>
      </c>
      <c r="AX4334">
        <v>0</v>
      </c>
      <c r="AY4334">
        <v>70</v>
      </c>
      <c r="BC4334" t="str">
        <f t="shared" si="570"/>
        <v>9791137601741</v>
      </c>
      <c r="BE4334" t="str">
        <f t="shared" si="571"/>
        <v>판타지 웹소설 &gt; 현대 판타지</v>
      </c>
    </row>
    <row r="4335" spans="1:57" x14ac:dyDescent="0.3">
      <c r="A4335">
        <v>2313019331</v>
      </c>
      <c r="B4335">
        <v>2313019583</v>
      </c>
      <c r="C4335" t="str">
        <f>T("상태창빨로 천재 재벌 253화")</f>
        <v>상태창빨로 천재 재벌 253화</v>
      </c>
      <c r="D4335" t="str">
        <f>T("253")</f>
        <v>253</v>
      </c>
      <c r="E4335" t="str">
        <f t="shared" si="567"/>
        <v>리얼탄산</v>
      </c>
      <c r="H4335" t="str">
        <f t="shared" si="568"/>
        <v>스토리위즈</v>
      </c>
      <c r="I4335" t="str">
        <f t="shared" si="569"/>
        <v>상태창빨로 천재 재벌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/>
      <c r="AQ4335">
        <v>0</v>
      </c>
      <c r="AR4335">
        <v>0</v>
      </c>
      <c r="AT4335">
        <v>0</v>
      </c>
      <c r="AU4335">
        <v>0</v>
      </c>
      <c r="AW4335">
        <v>0</v>
      </c>
      <c r="AX4335">
        <v>0</v>
      </c>
      <c r="AY4335">
        <v>70</v>
      </c>
      <c r="BC4335" t="str">
        <f t="shared" si="570"/>
        <v>9791137601741</v>
      </c>
      <c r="BE4335" t="str">
        <f t="shared" si="571"/>
        <v>판타지 웹소설 &gt; 현대 판타지</v>
      </c>
    </row>
    <row r="4336" spans="1:57" x14ac:dyDescent="0.3">
      <c r="A4336">
        <v>2313019331</v>
      </c>
      <c r="B4336">
        <v>2313019584</v>
      </c>
      <c r="C4336" t="str">
        <f>T("상태창빨로 천재 재벌 254화")</f>
        <v>상태창빨로 천재 재벌 254화</v>
      </c>
      <c r="D4336" t="str">
        <f>T("254")</f>
        <v>254</v>
      </c>
      <c r="E4336" t="str">
        <f t="shared" si="567"/>
        <v>리얼탄산</v>
      </c>
      <c r="H4336" t="str">
        <f t="shared" si="568"/>
        <v>스토리위즈</v>
      </c>
      <c r="I4336" t="str">
        <f t="shared" si="569"/>
        <v>상태창빨로 천재 재벌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/>
      <c r="AQ4336">
        <v>0</v>
      </c>
      <c r="AR4336">
        <v>0</v>
      </c>
      <c r="AT4336">
        <v>0</v>
      </c>
      <c r="AU4336">
        <v>0</v>
      </c>
      <c r="AW4336">
        <v>0</v>
      </c>
      <c r="AX4336">
        <v>0</v>
      </c>
      <c r="AY4336">
        <v>70</v>
      </c>
      <c r="BC4336" t="str">
        <f t="shared" si="570"/>
        <v>9791137601741</v>
      </c>
      <c r="BE4336" t="str">
        <f t="shared" si="571"/>
        <v>판타지 웹소설 &gt; 현대 판타지</v>
      </c>
    </row>
    <row r="4337" spans="1:57" x14ac:dyDescent="0.3">
      <c r="A4337">
        <v>2313019331</v>
      </c>
      <c r="B4337">
        <v>2313019585</v>
      </c>
      <c r="C4337" t="str">
        <f>T("상태창빨로 천재 재벌 255화")</f>
        <v>상태창빨로 천재 재벌 255화</v>
      </c>
      <c r="D4337" t="str">
        <f>T("255")</f>
        <v>255</v>
      </c>
      <c r="E4337" t="str">
        <f t="shared" si="567"/>
        <v>리얼탄산</v>
      </c>
      <c r="H4337" t="str">
        <f t="shared" si="568"/>
        <v>스토리위즈</v>
      </c>
      <c r="I4337" t="str">
        <f t="shared" si="569"/>
        <v>상태창빨로 천재 재벌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/>
      <c r="AQ4337">
        <v>0</v>
      </c>
      <c r="AR4337">
        <v>0</v>
      </c>
      <c r="AT4337">
        <v>0</v>
      </c>
      <c r="AU4337">
        <v>0</v>
      </c>
      <c r="AW4337">
        <v>0</v>
      </c>
      <c r="AX4337">
        <v>0</v>
      </c>
      <c r="AY4337">
        <v>70</v>
      </c>
      <c r="BC4337" t="str">
        <f t="shared" si="570"/>
        <v>9791137601741</v>
      </c>
      <c r="BE4337" t="str">
        <f t="shared" si="571"/>
        <v>판타지 웹소설 &gt; 현대 판타지</v>
      </c>
    </row>
    <row r="4338" spans="1:57" x14ac:dyDescent="0.3">
      <c r="A4338">
        <v>2313019331</v>
      </c>
      <c r="B4338">
        <v>2313019586</v>
      </c>
      <c r="C4338" t="str">
        <f>T("상태창빨로 천재 재벌 256화")</f>
        <v>상태창빨로 천재 재벌 256화</v>
      </c>
      <c r="D4338" t="str">
        <f>T("256")</f>
        <v>256</v>
      </c>
      <c r="E4338" t="str">
        <f t="shared" si="567"/>
        <v>리얼탄산</v>
      </c>
      <c r="H4338" t="str">
        <f t="shared" si="568"/>
        <v>스토리위즈</v>
      </c>
      <c r="I4338" t="str">
        <f t="shared" si="569"/>
        <v>상태창빨로 천재 재벌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/>
      <c r="AQ4338">
        <v>0</v>
      </c>
      <c r="AR4338">
        <v>0</v>
      </c>
      <c r="AT4338">
        <v>0</v>
      </c>
      <c r="AU4338">
        <v>0</v>
      </c>
      <c r="AW4338">
        <v>0</v>
      </c>
      <c r="AX4338">
        <v>0</v>
      </c>
      <c r="AY4338">
        <v>70</v>
      </c>
      <c r="BC4338" t="str">
        <f t="shared" si="570"/>
        <v>9791137601741</v>
      </c>
      <c r="BE4338" t="str">
        <f t="shared" si="571"/>
        <v>판타지 웹소설 &gt; 현대 판타지</v>
      </c>
    </row>
    <row r="4339" spans="1:57" x14ac:dyDescent="0.3">
      <c r="A4339">
        <v>2313019331</v>
      </c>
      <c r="B4339">
        <v>2313019587</v>
      </c>
      <c r="C4339" t="str">
        <f>T("상태창빨로 천재 재벌 257화")</f>
        <v>상태창빨로 천재 재벌 257화</v>
      </c>
      <c r="D4339" t="str">
        <f>T("257")</f>
        <v>257</v>
      </c>
      <c r="E4339" t="str">
        <f t="shared" si="567"/>
        <v>리얼탄산</v>
      </c>
      <c r="H4339" t="str">
        <f t="shared" si="568"/>
        <v>스토리위즈</v>
      </c>
      <c r="I4339" t="str">
        <f t="shared" si="569"/>
        <v>상태창빨로 천재 재벌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/>
      <c r="AQ4339">
        <v>0</v>
      </c>
      <c r="AR4339">
        <v>0</v>
      </c>
      <c r="AT4339">
        <v>0</v>
      </c>
      <c r="AU4339">
        <v>0</v>
      </c>
      <c r="AW4339">
        <v>0</v>
      </c>
      <c r="AX4339">
        <v>0</v>
      </c>
      <c r="AY4339">
        <v>70</v>
      </c>
      <c r="BC4339" t="str">
        <f t="shared" si="570"/>
        <v>9791137601741</v>
      </c>
      <c r="BE4339" t="str">
        <f t="shared" si="571"/>
        <v>판타지 웹소설 &gt; 현대 판타지</v>
      </c>
    </row>
    <row r="4340" spans="1:57" x14ac:dyDescent="0.3">
      <c r="A4340">
        <v>2313019331</v>
      </c>
      <c r="B4340">
        <v>2313019588</v>
      </c>
      <c r="C4340" t="str">
        <f>T("상태창빨로 천재 재벌 258화")</f>
        <v>상태창빨로 천재 재벌 258화</v>
      </c>
      <c r="D4340" t="str">
        <f>T("258")</f>
        <v>258</v>
      </c>
      <c r="E4340" t="str">
        <f t="shared" si="567"/>
        <v>리얼탄산</v>
      </c>
      <c r="H4340" t="str">
        <f t="shared" si="568"/>
        <v>스토리위즈</v>
      </c>
      <c r="I4340" t="str">
        <f t="shared" si="569"/>
        <v>상태창빨로 천재 재벌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/>
      <c r="AQ4340">
        <v>0</v>
      </c>
      <c r="AR4340">
        <v>0</v>
      </c>
      <c r="AT4340">
        <v>0</v>
      </c>
      <c r="AU4340">
        <v>0</v>
      </c>
      <c r="AW4340">
        <v>0</v>
      </c>
      <c r="AX4340">
        <v>0</v>
      </c>
      <c r="AY4340">
        <v>70</v>
      </c>
      <c r="BC4340" t="str">
        <f t="shared" si="570"/>
        <v>9791137601741</v>
      </c>
      <c r="BE4340" t="str">
        <f t="shared" si="571"/>
        <v>판타지 웹소설 &gt; 현대 판타지</v>
      </c>
    </row>
    <row r="4341" spans="1:57" x14ac:dyDescent="0.3">
      <c r="A4341">
        <v>2313019331</v>
      </c>
      <c r="B4341">
        <v>2313019589</v>
      </c>
      <c r="C4341" t="str">
        <f>T("상태창빨로 천재 재벌 259화")</f>
        <v>상태창빨로 천재 재벌 259화</v>
      </c>
      <c r="D4341" t="str">
        <f>T("259")</f>
        <v>259</v>
      </c>
      <c r="E4341" t="str">
        <f t="shared" si="567"/>
        <v>리얼탄산</v>
      </c>
      <c r="H4341" t="str">
        <f t="shared" si="568"/>
        <v>스토리위즈</v>
      </c>
      <c r="I4341" t="str">
        <f t="shared" si="569"/>
        <v>상태창빨로 천재 재벌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/>
      <c r="AQ4341">
        <v>0</v>
      </c>
      <c r="AR4341">
        <v>0</v>
      </c>
      <c r="AT4341">
        <v>0</v>
      </c>
      <c r="AU4341">
        <v>0</v>
      </c>
      <c r="AW4341">
        <v>0</v>
      </c>
      <c r="AX4341">
        <v>0</v>
      </c>
      <c r="AY4341">
        <v>70</v>
      </c>
      <c r="BC4341" t="str">
        <f t="shared" si="570"/>
        <v>9791137601741</v>
      </c>
      <c r="BE4341" t="str">
        <f t="shared" si="571"/>
        <v>판타지 웹소설 &gt; 현대 판타지</v>
      </c>
    </row>
    <row r="4342" spans="1:57" x14ac:dyDescent="0.3">
      <c r="A4342">
        <v>2313019331</v>
      </c>
      <c r="B4342">
        <v>2313019590</v>
      </c>
      <c r="C4342" t="str">
        <f>T("상태창빨로 천재 재벌 260화")</f>
        <v>상태창빨로 천재 재벌 260화</v>
      </c>
      <c r="D4342" t="str">
        <f>T("260")</f>
        <v>260</v>
      </c>
      <c r="E4342" t="str">
        <f t="shared" si="567"/>
        <v>리얼탄산</v>
      </c>
      <c r="H4342" t="str">
        <f t="shared" si="568"/>
        <v>스토리위즈</v>
      </c>
      <c r="I4342" t="str">
        <f t="shared" si="569"/>
        <v>상태창빨로 천재 재벌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/>
      <c r="AQ4342">
        <v>0</v>
      </c>
      <c r="AR4342">
        <v>0</v>
      </c>
      <c r="AT4342">
        <v>0</v>
      </c>
      <c r="AU4342">
        <v>0</v>
      </c>
      <c r="AW4342">
        <v>0</v>
      </c>
      <c r="AX4342">
        <v>0</v>
      </c>
      <c r="AY4342">
        <v>70</v>
      </c>
      <c r="BC4342" t="str">
        <f t="shared" si="570"/>
        <v>9791137601741</v>
      </c>
      <c r="BE4342" t="str">
        <f t="shared" si="571"/>
        <v>판타지 웹소설 &gt; 현대 판타지</v>
      </c>
    </row>
    <row r="4343" spans="1:57" x14ac:dyDescent="0.3">
      <c r="A4343">
        <v>2313019331</v>
      </c>
      <c r="B4343">
        <v>2313019591</v>
      </c>
      <c r="C4343" t="str">
        <f>T("상태창빨로 천재 재벌 261화")</f>
        <v>상태창빨로 천재 재벌 261화</v>
      </c>
      <c r="D4343" t="str">
        <f>T("261")</f>
        <v>261</v>
      </c>
      <c r="E4343" t="str">
        <f t="shared" si="567"/>
        <v>리얼탄산</v>
      </c>
      <c r="H4343" t="str">
        <f t="shared" si="568"/>
        <v>스토리위즈</v>
      </c>
      <c r="I4343" t="str">
        <f t="shared" si="569"/>
        <v>상태창빨로 천재 재벌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/>
      <c r="AQ4343">
        <v>0</v>
      </c>
      <c r="AR4343">
        <v>0</v>
      </c>
      <c r="AT4343">
        <v>0</v>
      </c>
      <c r="AU4343">
        <v>0</v>
      </c>
      <c r="AW4343">
        <v>0</v>
      </c>
      <c r="AX4343">
        <v>0</v>
      </c>
      <c r="AY4343">
        <v>70</v>
      </c>
      <c r="BC4343" t="str">
        <f t="shared" si="570"/>
        <v>9791137601741</v>
      </c>
      <c r="BE4343" t="str">
        <f t="shared" si="571"/>
        <v>판타지 웹소설 &gt; 현대 판타지</v>
      </c>
    </row>
    <row r="4344" spans="1:57" x14ac:dyDescent="0.3">
      <c r="A4344">
        <v>2313019331</v>
      </c>
      <c r="B4344">
        <v>2313019592</v>
      </c>
      <c r="C4344" t="str">
        <f>T("상태창빨로 천재 재벌 262화")</f>
        <v>상태창빨로 천재 재벌 262화</v>
      </c>
      <c r="D4344" t="str">
        <f>T("262")</f>
        <v>262</v>
      </c>
      <c r="E4344" t="str">
        <f t="shared" si="567"/>
        <v>리얼탄산</v>
      </c>
      <c r="H4344" t="str">
        <f t="shared" si="568"/>
        <v>스토리위즈</v>
      </c>
      <c r="I4344" t="str">
        <f t="shared" si="569"/>
        <v>상태창빨로 천재 재벌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/>
      <c r="AQ4344">
        <v>0</v>
      </c>
      <c r="AR4344">
        <v>0</v>
      </c>
      <c r="AT4344">
        <v>0</v>
      </c>
      <c r="AU4344">
        <v>0</v>
      </c>
      <c r="AW4344">
        <v>0</v>
      </c>
      <c r="AX4344">
        <v>0</v>
      </c>
      <c r="AY4344">
        <v>70</v>
      </c>
      <c r="BC4344" t="str">
        <f t="shared" si="570"/>
        <v>9791137601741</v>
      </c>
      <c r="BE4344" t="str">
        <f t="shared" si="571"/>
        <v>판타지 웹소설 &gt; 현대 판타지</v>
      </c>
    </row>
    <row r="4345" spans="1:57" x14ac:dyDescent="0.3">
      <c r="A4345">
        <v>2313019331</v>
      </c>
      <c r="B4345">
        <v>2313019593</v>
      </c>
      <c r="C4345" t="str">
        <f>T("상태창빨로 천재 재벌 263화")</f>
        <v>상태창빨로 천재 재벌 263화</v>
      </c>
      <c r="D4345" t="str">
        <f>T("263")</f>
        <v>263</v>
      </c>
      <c r="E4345" t="str">
        <f t="shared" si="567"/>
        <v>리얼탄산</v>
      </c>
      <c r="H4345" t="str">
        <f t="shared" si="568"/>
        <v>스토리위즈</v>
      </c>
      <c r="I4345" t="str">
        <f t="shared" si="569"/>
        <v>상태창빨로 천재 재벌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/>
      <c r="AQ4345">
        <v>0</v>
      </c>
      <c r="AR4345">
        <v>0</v>
      </c>
      <c r="AT4345">
        <v>0</v>
      </c>
      <c r="AU4345">
        <v>0</v>
      </c>
      <c r="AW4345">
        <v>0</v>
      </c>
      <c r="AX4345">
        <v>0</v>
      </c>
      <c r="AY4345">
        <v>70</v>
      </c>
      <c r="BC4345" t="str">
        <f t="shared" si="570"/>
        <v>9791137601741</v>
      </c>
      <c r="BE4345" t="str">
        <f t="shared" si="571"/>
        <v>판타지 웹소설 &gt; 현대 판타지</v>
      </c>
    </row>
    <row r="4346" spans="1:57" x14ac:dyDescent="0.3">
      <c r="A4346">
        <v>2313019331</v>
      </c>
      <c r="B4346">
        <v>2313019594</v>
      </c>
      <c r="C4346" t="str">
        <f>T("상태창빨로 천재 재벌 264화")</f>
        <v>상태창빨로 천재 재벌 264화</v>
      </c>
      <c r="D4346" t="str">
        <f>T("264")</f>
        <v>264</v>
      </c>
      <c r="E4346" t="str">
        <f t="shared" si="567"/>
        <v>리얼탄산</v>
      </c>
      <c r="H4346" t="str">
        <f t="shared" si="568"/>
        <v>스토리위즈</v>
      </c>
      <c r="I4346" t="str">
        <f t="shared" si="569"/>
        <v>상태창빨로 천재 재벌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/>
      <c r="AQ4346">
        <v>0</v>
      </c>
      <c r="AR4346">
        <v>0</v>
      </c>
      <c r="AT4346">
        <v>0</v>
      </c>
      <c r="AU4346">
        <v>0</v>
      </c>
      <c r="AW4346">
        <v>0</v>
      </c>
      <c r="AX4346">
        <v>0</v>
      </c>
      <c r="AY4346">
        <v>70</v>
      </c>
      <c r="BC4346" t="str">
        <f t="shared" si="570"/>
        <v>9791137601741</v>
      </c>
      <c r="BE4346" t="str">
        <f t="shared" si="571"/>
        <v>판타지 웹소설 &gt; 현대 판타지</v>
      </c>
    </row>
    <row r="4347" spans="1:57" x14ac:dyDescent="0.3">
      <c r="A4347">
        <v>2313019331</v>
      </c>
      <c r="B4347">
        <v>2313019595</v>
      </c>
      <c r="C4347" t="str">
        <f>T("상태창빨로 천재 재벌 265화")</f>
        <v>상태창빨로 천재 재벌 265화</v>
      </c>
      <c r="D4347" t="str">
        <f>T("265")</f>
        <v>265</v>
      </c>
      <c r="E4347" t="str">
        <f t="shared" si="567"/>
        <v>리얼탄산</v>
      </c>
      <c r="H4347" t="str">
        <f t="shared" si="568"/>
        <v>스토리위즈</v>
      </c>
      <c r="I4347" t="str">
        <f t="shared" si="569"/>
        <v>상태창빨로 천재 재벌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/>
      <c r="AQ4347">
        <v>0</v>
      </c>
      <c r="AR4347">
        <v>0</v>
      </c>
      <c r="AT4347">
        <v>0</v>
      </c>
      <c r="AU4347">
        <v>0</v>
      </c>
      <c r="AW4347">
        <v>0</v>
      </c>
      <c r="AX4347">
        <v>0</v>
      </c>
      <c r="AY4347">
        <v>70</v>
      </c>
      <c r="BC4347" t="str">
        <f t="shared" si="570"/>
        <v>9791137601741</v>
      </c>
      <c r="BE4347" t="str">
        <f t="shared" si="571"/>
        <v>판타지 웹소설 &gt; 현대 판타지</v>
      </c>
    </row>
    <row r="4348" spans="1:57" x14ac:dyDescent="0.3">
      <c r="A4348">
        <v>2313019331</v>
      </c>
      <c r="B4348">
        <v>2313019596</v>
      </c>
      <c r="C4348" t="str">
        <f>T("상태창빨로 천재 재벌 266화")</f>
        <v>상태창빨로 천재 재벌 266화</v>
      </c>
      <c r="D4348" t="str">
        <f>T("266")</f>
        <v>266</v>
      </c>
      <c r="E4348" t="str">
        <f t="shared" si="567"/>
        <v>리얼탄산</v>
      </c>
      <c r="H4348" t="str">
        <f t="shared" si="568"/>
        <v>스토리위즈</v>
      </c>
      <c r="I4348" t="str">
        <f t="shared" si="569"/>
        <v>상태창빨로 천재 재벌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/>
      <c r="AQ4348">
        <v>0</v>
      </c>
      <c r="AR4348">
        <v>0</v>
      </c>
      <c r="AT4348">
        <v>0</v>
      </c>
      <c r="AU4348">
        <v>0</v>
      </c>
      <c r="AW4348">
        <v>0</v>
      </c>
      <c r="AX4348">
        <v>0</v>
      </c>
      <c r="AY4348">
        <v>70</v>
      </c>
      <c r="BC4348" t="str">
        <f t="shared" si="570"/>
        <v>9791137601741</v>
      </c>
      <c r="BE4348" t="str">
        <f t="shared" si="571"/>
        <v>판타지 웹소설 &gt; 현대 판타지</v>
      </c>
    </row>
    <row r="4349" spans="1:57" x14ac:dyDescent="0.3">
      <c r="A4349">
        <v>2313019331</v>
      </c>
      <c r="B4349">
        <v>2313019597</v>
      </c>
      <c r="C4349" t="str">
        <f>T("상태창빨로 천재 재벌 267화")</f>
        <v>상태창빨로 천재 재벌 267화</v>
      </c>
      <c r="D4349" t="str">
        <f>T("267")</f>
        <v>267</v>
      </c>
      <c r="E4349" t="str">
        <f t="shared" si="567"/>
        <v>리얼탄산</v>
      </c>
      <c r="H4349" t="str">
        <f t="shared" si="568"/>
        <v>스토리위즈</v>
      </c>
      <c r="I4349" t="str">
        <f t="shared" si="569"/>
        <v>상태창빨로 천재 재벌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/>
      <c r="AQ4349">
        <v>0</v>
      </c>
      <c r="AR4349">
        <v>0</v>
      </c>
      <c r="AT4349">
        <v>0</v>
      </c>
      <c r="AU4349">
        <v>0</v>
      </c>
      <c r="AW4349">
        <v>0</v>
      </c>
      <c r="AX4349">
        <v>0</v>
      </c>
      <c r="AY4349">
        <v>70</v>
      </c>
      <c r="BC4349" t="str">
        <f t="shared" si="570"/>
        <v>9791137601741</v>
      </c>
      <c r="BE4349" t="str">
        <f t="shared" si="571"/>
        <v>판타지 웹소설 &gt; 현대 판타지</v>
      </c>
    </row>
    <row r="4350" spans="1:57" x14ac:dyDescent="0.3">
      <c r="A4350">
        <v>2313019331</v>
      </c>
      <c r="B4350">
        <v>2313019598</v>
      </c>
      <c r="C4350" t="str">
        <f>T("상태창빨로 천재 재벌 268화")</f>
        <v>상태창빨로 천재 재벌 268화</v>
      </c>
      <c r="D4350" t="str">
        <f>T("268")</f>
        <v>268</v>
      </c>
      <c r="E4350" t="str">
        <f t="shared" si="567"/>
        <v>리얼탄산</v>
      </c>
      <c r="H4350" t="str">
        <f t="shared" si="568"/>
        <v>스토리위즈</v>
      </c>
      <c r="I4350" t="str">
        <f t="shared" si="569"/>
        <v>상태창빨로 천재 재벌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/>
      <c r="AQ4350">
        <v>0</v>
      </c>
      <c r="AR4350">
        <v>0</v>
      </c>
      <c r="AT4350">
        <v>0</v>
      </c>
      <c r="AU4350">
        <v>0</v>
      </c>
      <c r="AW4350">
        <v>0</v>
      </c>
      <c r="AX4350">
        <v>0</v>
      </c>
      <c r="AY4350">
        <v>70</v>
      </c>
      <c r="BC4350" t="str">
        <f t="shared" si="570"/>
        <v>9791137601741</v>
      </c>
      <c r="BE4350" t="str">
        <f t="shared" si="571"/>
        <v>판타지 웹소설 &gt; 현대 판타지</v>
      </c>
    </row>
    <row r="4351" spans="1:57" x14ac:dyDescent="0.3">
      <c r="A4351">
        <v>2313019331</v>
      </c>
      <c r="B4351">
        <v>2313019599</v>
      </c>
      <c r="C4351" t="str">
        <f>T("상태창빨로 천재 재벌 269화")</f>
        <v>상태창빨로 천재 재벌 269화</v>
      </c>
      <c r="D4351" t="str">
        <f>T("269")</f>
        <v>269</v>
      </c>
      <c r="E4351" t="str">
        <f t="shared" si="567"/>
        <v>리얼탄산</v>
      </c>
      <c r="H4351" t="str">
        <f t="shared" si="568"/>
        <v>스토리위즈</v>
      </c>
      <c r="I4351" t="str">
        <f t="shared" si="569"/>
        <v>상태창빨로 천재 재벌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/>
      <c r="AQ4351">
        <v>0</v>
      </c>
      <c r="AR4351">
        <v>0</v>
      </c>
      <c r="AT4351">
        <v>0</v>
      </c>
      <c r="AU4351">
        <v>0</v>
      </c>
      <c r="AW4351">
        <v>0</v>
      </c>
      <c r="AX4351">
        <v>0</v>
      </c>
      <c r="AY4351">
        <v>70</v>
      </c>
      <c r="BC4351" t="str">
        <f t="shared" si="570"/>
        <v>9791137601741</v>
      </c>
      <c r="BE4351" t="str">
        <f t="shared" si="571"/>
        <v>판타지 웹소설 &gt; 현대 판타지</v>
      </c>
    </row>
    <row r="4352" spans="1:57" x14ac:dyDescent="0.3">
      <c r="A4352">
        <v>2313019331</v>
      </c>
      <c r="B4352">
        <v>2313019600</v>
      </c>
      <c r="C4352" t="str">
        <f>T("상태창빨로 천재 재벌 270화")</f>
        <v>상태창빨로 천재 재벌 270화</v>
      </c>
      <c r="D4352" t="str">
        <f>T("270")</f>
        <v>270</v>
      </c>
      <c r="E4352" t="str">
        <f t="shared" si="567"/>
        <v>리얼탄산</v>
      </c>
      <c r="H4352" t="str">
        <f t="shared" si="568"/>
        <v>스토리위즈</v>
      </c>
      <c r="I4352" t="str">
        <f t="shared" si="569"/>
        <v>상태창빨로 천재 재벌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/>
      <c r="AQ4352">
        <v>0</v>
      </c>
      <c r="AR4352">
        <v>0</v>
      </c>
      <c r="AT4352">
        <v>0</v>
      </c>
      <c r="AU4352">
        <v>0</v>
      </c>
      <c r="AW4352">
        <v>0</v>
      </c>
      <c r="AX4352">
        <v>0</v>
      </c>
      <c r="AY4352">
        <v>70</v>
      </c>
      <c r="BC4352" t="str">
        <f t="shared" si="570"/>
        <v>9791137601741</v>
      </c>
      <c r="BE4352" t="str">
        <f t="shared" si="571"/>
        <v>판타지 웹소설 &gt; 현대 판타지</v>
      </c>
    </row>
    <row r="4353" spans="1:57" x14ac:dyDescent="0.3">
      <c r="A4353">
        <v>2313019331</v>
      </c>
      <c r="B4353">
        <v>2313019602</v>
      </c>
      <c r="C4353" t="str">
        <f>T("상태창빨로 천재 재벌 272화")</f>
        <v>상태창빨로 천재 재벌 272화</v>
      </c>
      <c r="D4353" t="str">
        <f>T("272")</f>
        <v>272</v>
      </c>
      <c r="E4353" t="str">
        <f t="shared" si="567"/>
        <v>리얼탄산</v>
      </c>
      <c r="H4353" t="str">
        <f t="shared" si="568"/>
        <v>스토리위즈</v>
      </c>
      <c r="I4353" t="str">
        <f t="shared" si="569"/>
        <v>상태창빨로 천재 재벌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/>
      <c r="AQ4353">
        <v>0</v>
      </c>
      <c r="AR4353">
        <v>0</v>
      </c>
      <c r="AT4353">
        <v>0</v>
      </c>
      <c r="AU4353">
        <v>0</v>
      </c>
      <c r="AW4353">
        <v>0</v>
      </c>
      <c r="AX4353">
        <v>0</v>
      </c>
      <c r="AY4353">
        <v>70</v>
      </c>
      <c r="BC4353" t="str">
        <f t="shared" si="570"/>
        <v>9791137601741</v>
      </c>
      <c r="BE4353" t="str">
        <f t="shared" si="571"/>
        <v>판타지 웹소설 &gt; 현대 판타지</v>
      </c>
    </row>
    <row r="4354" spans="1:57" x14ac:dyDescent="0.3">
      <c r="A4354">
        <v>2313019331</v>
      </c>
      <c r="B4354">
        <v>2313019603</v>
      </c>
      <c r="C4354" t="str">
        <f>T("상태창빨로 천재 재벌 273화")</f>
        <v>상태창빨로 천재 재벌 273화</v>
      </c>
      <c r="D4354" t="str">
        <f>T("273")</f>
        <v>273</v>
      </c>
      <c r="E4354" t="str">
        <f t="shared" si="567"/>
        <v>리얼탄산</v>
      </c>
      <c r="H4354" t="str">
        <f t="shared" si="568"/>
        <v>스토리위즈</v>
      </c>
      <c r="I4354" t="str">
        <f t="shared" si="569"/>
        <v>상태창빨로 천재 재벌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/>
      <c r="AQ4354">
        <v>0</v>
      </c>
      <c r="AR4354">
        <v>0</v>
      </c>
      <c r="AT4354">
        <v>0</v>
      </c>
      <c r="AU4354">
        <v>0</v>
      </c>
      <c r="AW4354">
        <v>0</v>
      </c>
      <c r="AX4354">
        <v>0</v>
      </c>
      <c r="AY4354">
        <v>70</v>
      </c>
      <c r="BC4354" t="str">
        <f t="shared" si="570"/>
        <v>9791137601741</v>
      </c>
      <c r="BE4354" t="str">
        <f t="shared" si="571"/>
        <v>판타지 웹소설 &gt; 현대 판타지</v>
      </c>
    </row>
    <row r="4355" spans="1:57" x14ac:dyDescent="0.3">
      <c r="A4355">
        <v>2313019331</v>
      </c>
      <c r="B4355">
        <v>2313019604</v>
      </c>
      <c r="C4355" t="str">
        <f>T("상태창빨로 천재 재벌 274화")</f>
        <v>상태창빨로 천재 재벌 274화</v>
      </c>
      <c r="D4355" t="str">
        <f>T("274")</f>
        <v>274</v>
      </c>
      <c r="E4355" t="str">
        <f t="shared" si="567"/>
        <v>리얼탄산</v>
      </c>
      <c r="H4355" t="str">
        <f t="shared" si="568"/>
        <v>스토리위즈</v>
      </c>
      <c r="I4355" t="str">
        <f t="shared" si="569"/>
        <v>상태창빨로 천재 재벌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/>
      <c r="AQ4355">
        <v>0</v>
      </c>
      <c r="AR4355">
        <v>0</v>
      </c>
      <c r="AT4355">
        <v>0</v>
      </c>
      <c r="AU4355">
        <v>0</v>
      </c>
      <c r="AW4355">
        <v>0</v>
      </c>
      <c r="AX4355">
        <v>0</v>
      </c>
      <c r="AY4355">
        <v>70</v>
      </c>
      <c r="BC4355" t="str">
        <f t="shared" si="570"/>
        <v>9791137601741</v>
      </c>
      <c r="BE4355" t="str">
        <f t="shared" si="571"/>
        <v>판타지 웹소설 &gt; 현대 판타지</v>
      </c>
    </row>
    <row r="4356" spans="1:57" x14ac:dyDescent="0.3">
      <c r="A4356">
        <v>2313019331</v>
      </c>
      <c r="B4356">
        <v>2313019605</v>
      </c>
      <c r="C4356" t="str">
        <f>T("상태창빨로 천재 재벌 275화")</f>
        <v>상태창빨로 천재 재벌 275화</v>
      </c>
      <c r="D4356" t="str">
        <f>T("275")</f>
        <v>275</v>
      </c>
      <c r="E4356" t="str">
        <f t="shared" si="567"/>
        <v>리얼탄산</v>
      </c>
      <c r="H4356" t="str">
        <f t="shared" si="568"/>
        <v>스토리위즈</v>
      </c>
      <c r="I4356" t="str">
        <f t="shared" si="569"/>
        <v>상태창빨로 천재 재벌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/>
      <c r="AQ4356">
        <v>0</v>
      </c>
      <c r="AR4356">
        <v>0</v>
      </c>
      <c r="AT4356">
        <v>0</v>
      </c>
      <c r="AU4356">
        <v>0</v>
      </c>
      <c r="AW4356">
        <v>0</v>
      </c>
      <c r="AX4356">
        <v>0</v>
      </c>
      <c r="AY4356">
        <v>70</v>
      </c>
      <c r="BC4356" t="str">
        <f t="shared" si="570"/>
        <v>9791137601741</v>
      </c>
      <c r="BE4356" t="str">
        <f t="shared" si="571"/>
        <v>판타지 웹소설 &gt; 현대 판타지</v>
      </c>
    </row>
    <row r="4357" spans="1:57" x14ac:dyDescent="0.3">
      <c r="A4357">
        <v>2313019331</v>
      </c>
      <c r="B4357">
        <v>2313019606</v>
      </c>
      <c r="C4357" t="str">
        <f>T("상태창빨로 천재 재벌 276화")</f>
        <v>상태창빨로 천재 재벌 276화</v>
      </c>
      <c r="D4357" t="str">
        <f>T("276")</f>
        <v>276</v>
      </c>
      <c r="E4357" t="str">
        <f t="shared" si="567"/>
        <v>리얼탄산</v>
      </c>
      <c r="H4357" t="str">
        <f t="shared" si="568"/>
        <v>스토리위즈</v>
      </c>
      <c r="I4357" t="str">
        <f t="shared" si="569"/>
        <v>상태창빨로 천재 재벌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/>
      <c r="AQ4357">
        <v>0</v>
      </c>
      <c r="AR4357">
        <v>0</v>
      </c>
      <c r="AT4357">
        <v>0</v>
      </c>
      <c r="AU4357">
        <v>0</v>
      </c>
      <c r="AW4357">
        <v>0</v>
      </c>
      <c r="AX4357">
        <v>0</v>
      </c>
      <c r="AY4357">
        <v>70</v>
      </c>
      <c r="BC4357" t="str">
        <f t="shared" si="570"/>
        <v>9791137601741</v>
      </c>
      <c r="BE4357" t="str">
        <f t="shared" si="571"/>
        <v>판타지 웹소설 &gt; 현대 판타지</v>
      </c>
    </row>
    <row r="4358" spans="1:57" x14ac:dyDescent="0.3">
      <c r="A4358">
        <v>2313019331</v>
      </c>
      <c r="B4358">
        <v>2313019607</v>
      </c>
      <c r="C4358" t="str">
        <f>T("상태창빨로 천재 재벌 277화")</f>
        <v>상태창빨로 천재 재벌 277화</v>
      </c>
      <c r="D4358" t="str">
        <f>T("277")</f>
        <v>277</v>
      </c>
      <c r="E4358" t="str">
        <f t="shared" si="567"/>
        <v>리얼탄산</v>
      </c>
      <c r="H4358" t="str">
        <f t="shared" si="568"/>
        <v>스토리위즈</v>
      </c>
      <c r="I4358" t="str">
        <f t="shared" si="569"/>
        <v>상태창빨로 천재 재벌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/>
      <c r="AQ4358">
        <v>0</v>
      </c>
      <c r="AR4358">
        <v>0</v>
      </c>
      <c r="AT4358">
        <v>0</v>
      </c>
      <c r="AU4358">
        <v>0</v>
      </c>
      <c r="AW4358">
        <v>0</v>
      </c>
      <c r="AX4358">
        <v>0</v>
      </c>
      <c r="AY4358">
        <v>70</v>
      </c>
      <c r="BC4358" t="str">
        <f t="shared" si="570"/>
        <v>9791137601741</v>
      </c>
      <c r="BE4358" t="str">
        <f t="shared" si="571"/>
        <v>판타지 웹소설 &gt; 현대 판타지</v>
      </c>
    </row>
    <row r="4359" spans="1:57" x14ac:dyDescent="0.3">
      <c r="A4359">
        <v>2313019331</v>
      </c>
      <c r="B4359">
        <v>2313019608</v>
      </c>
      <c r="C4359" t="str">
        <f>T("상태창빨로 천재 재벌 278화")</f>
        <v>상태창빨로 천재 재벌 278화</v>
      </c>
      <c r="D4359" t="str">
        <f>T("278")</f>
        <v>278</v>
      </c>
      <c r="E4359" t="str">
        <f t="shared" si="567"/>
        <v>리얼탄산</v>
      </c>
      <c r="H4359" t="str">
        <f t="shared" si="568"/>
        <v>스토리위즈</v>
      </c>
      <c r="I4359" t="str">
        <f t="shared" si="569"/>
        <v>상태창빨로 천재 재벌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/>
      <c r="AQ4359">
        <v>0</v>
      </c>
      <c r="AR4359">
        <v>0</v>
      </c>
      <c r="AT4359">
        <v>0</v>
      </c>
      <c r="AU4359">
        <v>0</v>
      </c>
      <c r="AW4359">
        <v>0</v>
      </c>
      <c r="AX4359">
        <v>0</v>
      </c>
      <c r="AY4359">
        <v>70</v>
      </c>
      <c r="BC4359" t="str">
        <f t="shared" si="570"/>
        <v>9791137601741</v>
      </c>
      <c r="BE4359" t="str">
        <f t="shared" si="571"/>
        <v>판타지 웹소설 &gt; 현대 판타지</v>
      </c>
    </row>
    <row r="4360" spans="1:57" x14ac:dyDescent="0.3">
      <c r="A4360">
        <v>2313019331</v>
      </c>
      <c r="B4360">
        <v>2313019609</v>
      </c>
      <c r="C4360" t="str">
        <f>T("상태창빨로 천재 재벌 279화")</f>
        <v>상태창빨로 천재 재벌 279화</v>
      </c>
      <c r="D4360" t="str">
        <f>T("279")</f>
        <v>279</v>
      </c>
      <c r="E4360" t="str">
        <f t="shared" si="567"/>
        <v>리얼탄산</v>
      </c>
      <c r="H4360" t="str">
        <f t="shared" si="568"/>
        <v>스토리위즈</v>
      </c>
      <c r="I4360" t="str">
        <f t="shared" si="569"/>
        <v>상태창빨로 천재 재벌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/>
      <c r="AQ4360">
        <v>0</v>
      </c>
      <c r="AR4360">
        <v>0</v>
      </c>
      <c r="AT4360">
        <v>0</v>
      </c>
      <c r="AU4360">
        <v>0</v>
      </c>
      <c r="AW4360">
        <v>0</v>
      </c>
      <c r="AX4360">
        <v>0</v>
      </c>
      <c r="AY4360">
        <v>70</v>
      </c>
      <c r="BC4360" t="str">
        <f t="shared" si="570"/>
        <v>9791137601741</v>
      </c>
      <c r="BE4360" t="str">
        <f t="shared" si="571"/>
        <v>판타지 웹소설 &gt; 현대 판타지</v>
      </c>
    </row>
    <row r="4361" spans="1:57" x14ac:dyDescent="0.3">
      <c r="A4361">
        <v>2313019331</v>
      </c>
      <c r="B4361">
        <v>2313019610</v>
      </c>
      <c r="C4361" t="str">
        <f>T("상태창빨로 천재 재벌 280화")</f>
        <v>상태창빨로 천재 재벌 280화</v>
      </c>
      <c r="D4361" t="str">
        <f>T("280")</f>
        <v>280</v>
      </c>
      <c r="E4361" t="str">
        <f t="shared" si="567"/>
        <v>리얼탄산</v>
      </c>
      <c r="H4361" t="str">
        <f t="shared" si="568"/>
        <v>스토리위즈</v>
      </c>
      <c r="I4361" t="str">
        <f t="shared" si="569"/>
        <v>상태창빨로 천재 재벌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/>
      <c r="AQ4361">
        <v>0</v>
      </c>
      <c r="AR4361">
        <v>0</v>
      </c>
      <c r="AT4361">
        <v>0</v>
      </c>
      <c r="AU4361">
        <v>0</v>
      </c>
      <c r="AW4361">
        <v>0</v>
      </c>
      <c r="AX4361">
        <v>0</v>
      </c>
      <c r="AY4361">
        <v>70</v>
      </c>
      <c r="BC4361" t="str">
        <f t="shared" si="570"/>
        <v>9791137601741</v>
      </c>
      <c r="BE4361" t="str">
        <f t="shared" si="571"/>
        <v>판타지 웹소설 &gt; 현대 판타지</v>
      </c>
    </row>
    <row r="4362" spans="1:57" x14ac:dyDescent="0.3">
      <c r="A4362">
        <v>2313019331</v>
      </c>
      <c r="B4362">
        <v>2313019611</v>
      </c>
      <c r="C4362" t="str">
        <f>T("상태창빨로 천재 재벌 281화")</f>
        <v>상태창빨로 천재 재벌 281화</v>
      </c>
      <c r="D4362" t="str">
        <f>T("281")</f>
        <v>281</v>
      </c>
      <c r="E4362" t="str">
        <f t="shared" si="567"/>
        <v>리얼탄산</v>
      </c>
      <c r="H4362" t="str">
        <f t="shared" si="568"/>
        <v>스토리위즈</v>
      </c>
      <c r="I4362" t="str">
        <f t="shared" si="569"/>
        <v>상태창빨로 천재 재벌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/>
      <c r="AQ4362">
        <v>0</v>
      </c>
      <c r="AR4362">
        <v>0</v>
      </c>
      <c r="AT4362">
        <v>0</v>
      </c>
      <c r="AU4362">
        <v>0</v>
      </c>
      <c r="AW4362">
        <v>0</v>
      </c>
      <c r="AX4362">
        <v>0</v>
      </c>
      <c r="AY4362">
        <v>70</v>
      </c>
      <c r="BC4362" t="str">
        <f t="shared" si="570"/>
        <v>9791137601741</v>
      </c>
      <c r="BE4362" t="str">
        <f t="shared" si="571"/>
        <v>판타지 웹소설 &gt; 현대 판타지</v>
      </c>
    </row>
    <row r="4363" spans="1:57" x14ac:dyDescent="0.3">
      <c r="A4363">
        <v>2313019331</v>
      </c>
      <c r="B4363">
        <v>2313019612</v>
      </c>
      <c r="C4363" t="str">
        <f>T("상태창빨로 천재 재벌 282화")</f>
        <v>상태창빨로 천재 재벌 282화</v>
      </c>
      <c r="D4363" t="str">
        <f>T("282")</f>
        <v>282</v>
      </c>
      <c r="E4363" t="str">
        <f t="shared" si="567"/>
        <v>리얼탄산</v>
      </c>
      <c r="H4363" t="str">
        <f t="shared" si="568"/>
        <v>스토리위즈</v>
      </c>
      <c r="I4363" t="str">
        <f t="shared" si="569"/>
        <v>상태창빨로 천재 재벌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/>
      <c r="AQ4363">
        <v>0</v>
      </c>
      <c r="AR4363">
        <v>0</v>
      </c>
      <c r="AT4363">
        <v>0</v>
      </c>
      <c r="AU4363">
        <v>0</v>
      </c>
      <c r="AW4363">
        <v>0</v>
      </c>
      <c r="AX4363">
        <v>0</v>
      </c>
      <c r="AY4363">
        <v>70</v>
      </c>
      <c r="BC4363" t="str">
        <f t="shared" si="570"/>
        <v>9791137601741</v>
      </c>
      <c r="BE4363" t="str">
        <f t="shared" si="571"/>
        <v>판타지 웹소설 &gt; 현대 판타지</v>
      </c>
    </row>
    <row r="4364" spans="1:57" x14ac:dyDescent="0.3">
      <c r="A4364">
        <v>2313019331</v>
      </c>
      <c r="B4364">
        <v>2313019613</v>
      </c>
      <c r="C4364" t="str">
        <f>T("상태창빨로 천재 재벌 283화")</f>
        <v>상태창빨로 천재 재벌 283화</v>
      </c>
      <c r="D4364" t="str">
        <f>T("283")</f>
        <v>283</v>
      </c>
      <c r="E4364" t="str">
        <f t="shared" si="567"/>
        <v>리얼탄산</v>
      </c>
      <c r="H4364" t="str">
        <f t="shared" si="568"/>
        <v>스토리위즈</v>
      </c>
      <c r="I4364" t="str">
        <f t="shared" si="569"/>
        <v>상태창빨로 천재 재벌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/>
      <c r="AQ4364">
        <v>0</v>
      </c>
      <c r="AR4364">
        <v>0</v>
      </c>
      <c r="AT4364">
        <v>0</v>
      </c>
      <c r="AU4364">
        <v>0</v>
      </c>
      <c r="AW4364">
        <v>0</v>
      </c>
      <c r="AX4364">
        <v>0</v>
      </c>
      <c r="AY4364">
        <v>70</v>
      </c>
      <c r="BC4364" t="str">
        <f t="shared" si="570"/>
        <v>9791137601741</v>
      </c>
      <c r="BE4364" t="str">
        <f t="shared" si="571"/>
        <v>판타지 웹소설 &gt; 현대 판타지</v>
      </c>
    </row>
    <row r="4365" spans="1:57" x14ac:dyDescent="0.3">
      <c r="A4365">
        <v>2313019331</v>
      </c>
      <c r="B4365">
        <v>2313019614</v>
      </c>
      <c r="C4365" t="str">
        <f>T("상태창빨로 천재 재벌 284화")</f>
        <v>상태창빨로 천재 재벌 284화</v>
      </c>
      <c r="D4365" t="str">
        <f>T("284")</f>
        <v>284</v>
      </c>
      <c r="E4365" t="str">
        <f t="shared" si="567"/>
        <v>리얼탄산</v>
      </c>
      <c r="H4365" t="str">
        <f t="shared" si="568"/>
        <v>스토리위즈</v>
      </c>
      <c r="I4365" t="str">
        <f t="shared" si="569"/>
        <v>상태창빨로 천재 재벌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/>
      <c r="AQ4365">
        <v>0</v>
      </c>
      <c r="AR4365">
        <v>0</v>
      </c>
      <c r="AT4365">
        <v>0</v>
      </c>
      <c r="AU4365">
        <v>0</v>
      </c>
      <c r="AW4365">
        <v>0</v>
      </c>
      <c r="AX4365">
        <v>0</v>
      </c>
      <c r="AY4365">
        <v>70</v>
      </c>
      <c r="BC4365" t="str">
        <f t="shared" si="570"/>
        <v>9791137601741</v>
      </c>
      <c r="BE4365" t="str">
        <f t="shared" si="571"/>
        <v>판타지 웹소설 &gt; 현대 판타지</v>
      </c>
    </row>
    <row r="4366" spans="1:57" x14ac:dyDescent="0.3">
      <c r="A4366">
        <v>2313019331</v>
      </c>
      <c r="B4366">
        <v>2313019615</v>
      </c>
      <c r="C4366" t="str">
        <f>T("상태창빨로 천재 재벌 285화")</f>
        <v>상태창빨로 천재 재벌 285화</v>
      </c>
      <c r="D4366" t="str">
        <f>T("285")</f>
        <v>285</v>
      </c>
      <c r="E4366" t="str">
        <f t="shared" si="567"/>
        <v>리얼탄산</v>
      </c>
      <c r="H4366" t="str">
        <f t="shared" si="568"/>
        <v>스토리위즈</v>
      </c>
      <c r="I4366" t="str">
        <f t="shared" si="569"/>
        <v>상태창빨로 천재 재벌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/>
      <c r="AQ4366">
        <v>0</v>
      </c>
      <c r="AR4366">
        <v>0</v>
      </c>
      <c r="AT4366">
        <v>0</v>
      </c>
      <c r="AU4366">
        <v>0</v>
      </c>
      <c r="AW4366">
        <v>0</v>
      </c>
      <c r="AX4366">
        <v>0</v>
      </c>
      <c r="AY4366">
        <v>70</v>
      </c>
      <c r="BC4366" t="str">
        <f t="shared" si="570"/>
        <v>9791137601741</v>
      </c>
      <c r="BE4366" t="str">
        <f t="shared" si="571"/>
        <v>판타지 웹소설 &gt; 현대 판타지</v>
      </c>
    </row>
    <row r="4367" spans="1:57" x14ac:dyDescent="0.3">
      <c r="A4367">
        <v>2313019331</v>
      </c>
      <c r="B4367">
        <v>2313019616</v>
      </c>
      <c r="C4367" t="str">
        <f>T("상태창빨로 천재 재벌 286화")</f>
        <v>상태창빨로 천재 재벌 286화</v>
      </c>
      <c r="D4367" t="str">
        <f>T("286")</f>
        <v>286</v>
      </c>
      <c r="E4367" t="str">
        <f t="shared" si="567"/>
        <v>리얼탄산</v>
      </c>
      <c r="H4367" t="str">
        <f t="shared" si="568"/>
        <v>스토리위즈</v>
      </c>
      <c r="I4367" t="str">
        <f t="shared" si="569"/>
        <v>상태창빨로 천재 재벌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/>
      <c r="AQ4367">
        <v>0</v>
      </c>
      <c r="AR4367">
        <v>0</v>
      </c>
      <c r="AT4367">
        <v>0</v>
      </c>
      <c r="AU4367">
        <v>0</v>
      </c>
      <c r="AW4367">
        <v>0</v>
      </c>
      <c r="AX4367">
        <v>0</v>
      </c>
      <c r="AY4367">
        <v>70</v>
      </c>
      <c r="BC4367" t="str">
        <f t="shared" si="570"/>
        <v>9791137601741</v>
      </c>
      <c r="BE4367" t="str">
        <f t="shared" si="571"/>
        <v>판타지 웹소설 &gt; 현대 판타지</v>
      </c>
    </row>
    <row r="4368" spans="1:57" x14ac:dyDescent="0.3">
      <c r="A4368">
        <v>2313019331</v>
      </c>
      <c r="B4368">
        <v>2313019617</v>
      </c>
      <c r="C4368" t="str">
        <f>T("상태창빨로 천재 재벌 287화")</f>
        <v>상태창빨로 천재 재벌 287화</v>
      </c>
      <c r="D4368" t="str">
        <f>T("287")</f>
        <v>287</v>
      </c>
      <c r="E4368" t="str">
        <f t="shared" si="567"/>
        <v>리얼탄산</v>
      </c>
      <c r="H4368" t="str">
        <f t="shared" si="568"/>
        <v>스토리위즈</v>
      </c>
      <c r="I4368" t="str">
        <f t="shared" si="569"/>
        <v>상태창빨로 천재 재벌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/>
      <c r="AQ4368">
        <v>0</v>
      </c>
      <c r="AR4368">
        <v>0</v>
      </c>
      <c r="AT4368">
        <v>0</v>
      </c>
      <c r="AU4368">
        <v>0</v>
      </c>
      <c r="AW4368">
        <v>0</v>
      </c>
      <c r="AX4368">
        <v>0</v>
      </c>
      <c r="AY4368">
        <v>70</v>
      </c>
      <c r="BC4368" t="str">
        <f t="shared" si="570"/>
        <v>9791137601741</v>
      </c>
      <c r="BE4368" t="str">
        <f t="shared" si="571"/>
        <v>판타지 웹소설 &gt; 현대 판타지</v>
      </c>
    </row>
    <row r="4369" spans="1:57" x14ac:dyDescent="0.3">
      <c r="A4369">
        <v>2313019331</v>
      </c>
      <c r="B4369">
        <v>2313019618</v>
      </c>
      <c r="C4369" t="str">
        <f>T("상태창빨로 천재 재벌 288화")</f>
        <v>상태창빨로 천재 재벌 288화</v>
      </c>
      <c r="D4369" t="str">
        <f>T("288")</f>
        <v>288</v>
      </c>
      <c r="E4369" t="str">
        <f t="shared" si="567"/>
        <v>리얼탄산</v>
      </c>
      <c r="H4369" t="str">
        <f t="shared" si="568"/>
        <v>스토리위즈</v>
      </c>
      <c r="I4369" t="str">
        <f t="shared" si="569"/>
        <v>상태창빨로 천재 재벌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/>
      <c r="AQ4369">
        <v>0</v>
      </c>
      <c r="AR4369">
        <v>0</v>
      </c>
      <c r="AT4369">
        <v>0</v>
      </c>
      <c r="AU4369">
        <v>0</v>
      </c>
      <c r="AW4369">
        <v>0</v>
      </c>
      <c r="AX4369">
        <v>0</v>
      </c>
      <c r="AY4369">
        <v>70</v>
      </c>
      <c r="BC4369" t="str">
        <f t="shared" si="570"/>
        <v>9791137601741</v>
      </c>
      <c r="BE4369" t="str">
        <f t="shared" si="571"/>
        <v>판타지 웹소설 &gt; 현대 판타지</v>
      </c>
    </row>
    <row r="4370" spans="1:57" x14ac:dyDescent="0.3">
      <c r="A4370">
        <v>2313019331</v>
      </c>
      <c r="B4370">
        <v>2313019619</v>
      </c>
      <c r="C4370" t="str">
        <f>T("상태창빨로 천재 재벌 289화")</f>
        <v>상태창빨로 천재 재벌 289화</v>
      </c>
      <c r="D4370" t="str">
        <f>T("289")</f>
        <v>289</v>
      </c>
      <c r="E4370" t="str">
        <f t="shared" si="567"/>
        <v>리얼탄산</v>
      </c>
      <c r="H4370" t="str">
        <f t="shared" si="568"/>
        <v>스토리위즈</v>
      </c>
      <c r="I4370" t="str">
        <f t="shared" si="569"/>
        <v>상태창빨로 천재 재벌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/>
      <c r="AQ4370">
        <v>0</v>
      </c>
      <c r="AR4370">
        <v>0</v>
      </c>
      <c r="AT4370">
        <v>0</v>
      </c>
      <c r="AU4370">
        <v>0</v>
      </c>
      <c r="AW4370">
        <v>0</v>
      </c>
      <c r="AX4370">
        <v>0</v>
      </c>
      <c r="AY4370">
        <v>70</v>
      </c>
      <c r="BC4370" t="str">
        <f t="shared" si="570"/>
        <v>9791137601741</v>
      </c>
      <c r="BE4370" t="str">
        <f t="shared" si="571"/>
        <v>판타지 웹소설 &gt; 현대 판타지</v>
      </c>
    </row>
    <row r="4371" spans="1:57" x14ac:dyDescent="0.3">
      <c r="A4371">
        <v>2313019331</v>
      </c>
      <c r="B4371">
        <v>2313019620</v>
      </c>
      <c r="C4371" t="str">
        <f>T("상태창빨로 천재 재벌 290화")</f>
        <v>상태창빨로 천재 재벌 290화</v>
      </c>
      <c r="D4371" t="str">
        <f>T("290")</f>
        <v>290</v>
      </c>
      <c r="E4371" t="str">
        <f t="shared" si="567"/>
        <v>리얼탄산</v>
      </c>
      <c r="H4371" t="str">
        <f t="shared" si="568"/>
        <v>스토리위즈</v>
      </c>
      <c r="I4371" t="str">
        <f t="shared" si="569"/>
        <v>상태창빨로 천재 재벌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/>
      <c r="AQ4371">
        <v>0</v>
      </c>
      <c r="AR4371">
        <v>0</v>
      </c>
      <c r="AT4371">
        <v>0</v>
      </c>
      <c r="AU4371">
        <v>0</v>
      </c>
      <c r="AW4371">
        <v>0</v>
      </c>
      <c r="AX4371">
        <v>0</v>
      </c>
      <c r="AY4371">
        <v>70</v>
      </c>
      <c r="BC4371" t="str">
        <f t="shared" si="570"/>
        <v>9791137601741</v>
      </c>
      <c r="BE4371" t="str">
        <f t="shared" si="571"/>
        <v>판타지 웹소설 &gt; 현대 판타지</v>
      </c>
    </row>
    <row r="4372" spans="1:57" x14ac:dyDescent="0.3">
      <c r="A4372">
        <v>2313019331</v>
      </c>
      <c r="B4372">
        <v>2313019621</v>
      </c>
      <c r="C4372" t="str">
        <f>T("상태창빨로 천재 재벌 291화")</f>
        <v>상태창빨로 천재 재벌 291화</v>
      </c>
      <c r="D4372" t="str">
        <f>T("291")</f>
        <v>291</v>
      </c>
      <c r="E4372" t="str">
        <f t="shared" si="567"/>
        <v>리얼탄산</v>
      </c>
      <c r="H4372" t="str">
        <f t="shared" si="568"/>
        <v>스토리위즈</v>
      </c>
      <c r="I4372" t="str">
        <f t="shared" si="569"/>
        <v>상태창빨로 천재 재벌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/>
      <c r="AQ4372">
        <v>0</v>
      </c>
      <c r="AR4372">
        <v>0</v>
      </c>
      <c r="AT4372">
        <v>0</v>
      </c>
      <c r="AU4372">
        <v>0</v>
      </c>
      <c r="AW4372">
        <v>0</v>
      </c>
      <c r="AX4372">
        <v>0</v>
      </c>
      <c r="AY4372">
        <v>70</v>
      </c>
      <c r="BC4372" t="str">
        <f t="shared" si="570"/>
        <v>9791137601741</v>
      </c>
      <c r="BE4372" t="str">
        <f t="shared" si="571"/>
        <v>판타지 웹소설 &gt; 현대 판타지</v>
      </c>
    </row>
    <row r="4373" spans="1:57" x14ac:dyDescent="0.3">
      <c r="A4373">
        <v>2313019331</v>
      </c>
      <c r="B4373">
        <v>2313019622</v>
      </c>
      <c r="C4373" t="str">
        <f>T("상태창빨로 천재 재벌 292화")</f>
        <v>상태창빨로 천재 재벌 292화</v>
      </c>
      <c r="D4373" t="str">
        <f>T("292")</f>
        <v>292</v>
      </c>
      <c r="E4373" t="str">
        <f t="shared" si="567"/>
        <v>리얼탄산</v>
      </c>
      <c r="H4373" t="str">
        <f t="shared" si="568"/>
        <v>스토리위즈</v>
      </c>
      <c r="I4373" t="str">
        <f t="shared" si="569"/>
        <v>상태창빨로 천재 재벌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/>
      <c r="AQ4373">
        <v>0</v>
      </c>
      <c r="AR4373">
        <v>0</v>
      </c>
      <c r="AT4373">
        <v>0</v>
      </c>
      <c r="AU4373">
        <v>0</v>
      </c>
      <c r="AW4373">
        <v>0</v>
      </c>
      <c r="AX4373">
        <v>0</v>
      </c>
      <c r="AY4373">
        <v>70</v>
      </c>
      <c r="BC4373" t="str">
        <f t="shared" si="570"/>
        <v>9791137601741</v>
      </c>
      <c r="BE4373" t="str">
        <f t="shared" si="571"/>
        <v>판타지 웹소설 &gt; 현대 판타지</v>
      </c>
    </row>
    <row r="4374" spans="1:57" x14ac:dyDescent="0.3">
      <c r="A4374">
        <v>2313019331</v>
      </c>
      <c r="B4374">
        <v>2313019623</v>
      </c>
      <c r="C4374" t="str">
        <f>T("상태창빨로 천재 재벌 293화")</f>
        <v>상태창빨로 천재 재벌 293화</v>
      </c>
      <c r="D4374" t="str">
        <f>T("293")</f>
        <v>293</v>
      </c>
      <c r="E4374" t="str">
        <f t="shared" si="567"/>
        <v>리얼탄산</v>
      </c>
      <c r="H4374" t="str">
        <f t="shared" si="568"/>
        <v>스토리위즈</v>
      </c>
      <c r="I4374" t="str">
        <f t="shared" si="569"/>
        <v>상태창빨로 천재 재벌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/>
      <c r="AQ4374">
        <v>0</v>
      </c>
      <c r="AR4374">
        <v>0</v>
      </c>
      <c r="AT4374">
        <v>0</v>
      </c>
      <c r="AU4374">
        <v>0</v>
      </c>
      <c r="AW4374">
        <v>0</v>
      </c>
      <c r="AX4374">
        <v>0</v>
      </c>
      <c r="AY4374">
        <v>70</v>
      </c>
      <c r="BC4374" t="str">
        <f t="shared" si="570"/>
        <v>9791137601741</v>
      </c>
      <c r="BE4374" t="str">
        <f t="shared" si="571"/>
        <v>판타지 웹소설 &gt; 현대 판타지</v>
      </c>
    </row>
    <row r="4375" spans="1:57" x14ac:dyDescent="0.3">
      <c r="A4375">
        <v>2313019331</v>
      </c>
      <c r="B4375">
        <v>2313019624</v>
      </c>
      <c r="C4375" t="str">
        <f>T("상태창빨로 천재 재벌 294화")</f>
        <v>상태창빨로 천재 재벌 294화</v>
      </c>
      <c r="D4375" t="str">
        <f>T("294")</f>
        <v>294</v>
      </c>
      <c r="E4375" t="str">
        <f t="shared" si="567"/>
        <v>리얼탄산</v>
      </c>
      <c r="H4375" t="str">
        <f t="shared" si="568"/>
        <v>스토리위즈</v>
      </c>
      <c r="I4375" t="str">
        <f t="shared" si="569"/>
        <v>상태창빨로 천재 재벌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/>
      <c r="AQ4375">
        <v>0</v>
      </c>
      <c r="AR4375">
        <v>0</v>
      </c>
      <c r="AT4375">
        <v>0</v>
      </c>
      <c r="AU4375">
        <v>0</v>
      </c>
      <c r="AW4375">
        <v>0</v>
      </c>
      <c r="AX4375">
        <v>0</v>
      </c>
      <c r="AY4375">
        <v>70</v>
      </c>
      <c r="BC4375" t="str">
        <f t="shared" si="570"/>
        <v>9791137601741</v>
      </c>
      <c r="BE4375" t="str">
        <f t="shared" si="571"/>
        <v>판타지 웹소설 &gt; 현대 판타지</v>
      </c>
    </row>
    <row r="4376" spans="1:57" x14ac:dyDescent="0.3">
      <c r="A4376">
        <v>2313019331</v>
      </c>
      <c r="B4376">
        <v>2313019625</v>
      </c>
      <c r="C4376" t="str">
        <f>T("상태창빨로 천재 재벌 295화")</f>
        <v>상태창빨로 천재 재벌 295화</v>
      </c>
      <c r="D4376" t="str">
        <f>T("295")</f>
        <v>295</v>
      </c>
      <c r="E4376" t="str">
        <f t="shared" si="567"/>
        <v>리얼탄산</v>
      </c>
      <c r="H4376" t="str">
        <f t="shared" si="568"/>
        <v>스토리위즈</v>
      </c>
      <c r="I4376" t="str">
        <f t="shared" si="569"/>
        <v>상태창빨로 천재 재벌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/>
      <c r="AQ4376">
        <v>0</v>
      </c>
      <c r="AR4376">
        <v>0</v>
      </c>
      <c r="AT4376">
        <v>0</v>
      </c>
      <c r="AU4376">
        <v>0</v>
      </c>
      <c r="AW4376">
        <v>0</v>
      </c>
      <c r="AX4376">
        <v>0</v>
      </c>
      <c r="AY4376">
        <v>70</v>
      </c>
      <c r="BC4376" t="str">
        <f t="shared" si="570"/>
        <v>9791137601741</v>
      </c>
      <c r="BE4376" t="str">
        <f t="shared" si="571"/>
        <v>판타지 웹소설 &gt; 현대 판타지</v>
      </c>
    </row>
    <row r="4377" spans="1:57" x14ac:dyDescent="0.3">
      <c r="A4377">
        <v>2313019331</v>
      </c>
      <c r="B4377">
        <v>2313019626</v>
      </c>
      <c r="C4377" t="str">
        <f>T("상태창빨로 천재 재벌 296화")</f>
        <v>상태창빨로 천재 재벌 296화</v>
      </c>
      <c r="D4377" t="str">
        <f>T("296")</f>
        <v>296</v>
      </c>
      <c r="E4377" t="str">
        <f t="shared" si="567"/>
        <v>리얼탄산</v>
      </c>
      <c r="H4377" t="str">
        <f t="shared" si="568"/>
        <v>스토리위즈</v>
      </c>
      <c r="I4377" t="str">
        <f t="shared" si="569"/>
        <v>상태창빨로 천재 재벌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/>
      <c r="AQ4377">
        <v>0</v>
      </c>
      <c r="AR4377">
        <v>0</v>
      </c>
      <c r="AT4377">
        <v>0</v>
      </c>
      <c r="AU4377">
        <v>0</v>
      </c>
      <c r="AW4377">
        <v>0</v>
      </c>
      <c r="AX4377">
        <v>0</v>
      </c>
      <c r="AY4377">
        <v>70</v>
      </c>
      <c r="BC4377" t="str">
        <f t="shared" si="570"/>
        <v>9791137601741</v>
      </c>
      <c r="BE4377" t="str">
        <f t="shared" si="571"/>
        <v>판타지 웹소설 &gt; 현대 판타지</v>
      </c>
    </row>
    <row r="4378" spans="1:57" x14ac:dyDescent="0.3">
      <c r="A4378">
        <v>2313019331</v>
      </c>
      <c r="B4378">
        <v>2313019627</v>
      </c>
      <c r="C4378" t="str">
        <f>T("상태창빨로 천재 재벌 297화")</f>
        <v>상태창빨로 천재 재벌 297화</v>
      </c>
      <c r="D4378" t="str">
        <f>T("297")</f>
        <v>297</v>
      </c>
      <c r="E4378" t="str">
        <f t="shared" si="567"/>
        <v>리얼탄산</v>
      </c>
      <c r="H4378" t="str">
        <f t="shared" si="568"/>
        <v>스토리위즈</v>
      </c>
      <c r="I4378" t="str">
        <f t="shared" si="569"/>
        <v>상태창빨로 천재 재벌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/>
      <c r="AQ4378">
        <v>0</v>
      </c>
      <c r="AR4378">
        <v>0</v>
      </c>
      <c r="AT4378">
        <v>0</v>
      </c>
      <c r="AU4378">
        <v>0</v>
      </c>
      <c r="AW4378">
        <v>0</v>
      </c>
      <c r="AX4378">
        <v>0</v>
      </c>
      <c r="AY4378">
        <v>70</v>
      </c>
      <c r="BC4378" t="str">
        <f t="shared" si="570"/>
        <v>9791137601741</v>
      </c>
      <c r="BE4378" t="str">
        <f t="shared" si="571"/>
        <v>판타지 웹소설 &gt; 현대 판타지</v>
      </c>
    </row>
    <row r="4379" spans="1:57" x14ac:dyDescent="0.3">
      <c r="A4379">
        <v>2313019331</v>
      </c>
      <c r="B4379">
        <v>2313019628</v>
      </c>
      <c r="C4379" t="str">
        <f>T("상태창빨로 천재 재벌 298화")</f>
        <v>상태창빨로 천재 재벌 298화</v>
      </c>
      <c r="D4379" t="str">
        <f>T("298")</f>
        <v>298</v>
      </c>
      <c r="E4379" t="str">
        <f t="shared" si="567"/>
        <v>리얼탄산</v>
      </c>
      <c r="H4379" t="str">
        <f t="shared" si="568"/>
        <v>스토리위즈</v>
      </c>
      <c r="I4379" t="str">
        <f t="shared" si="569"/>
        <v>상태창빨로 천재 재벌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/>
      <c r="AQ4379">
        <v>0</v>
      </c>
      <c r="AR4379">
        <v>0</v>
      </c>
      <c r="AT4379">
        <v>0</v>
      </c>
      <c r="AU4379">
        <v>0</v>
      </c>
      <c r="AW4379">
        <v>0</v>
      </c>
      <c r="AX4379">
        <v>0</v>
      </c>
      <c r="AY4379">
        <v>70</v>
      </c>
      <c r="BC4379" t="str">
        <f t="shared" si="570"/>
        <v>9791137601741</v>
      </c>
      <c r="BE4379" t="str">
        <f t="shared" si="571"/>
        <v>판타지 웹소설 &gt; 현대 판타지</v>
      </c>
    </row>
    <row r="4380" spans="1:57" x14ac:dyDescent="0.3">
      <c r="A4380">
        <v>2313019331</v>
      </c>
      <c r="B4380">
        <v>2313019629</v>
      </c>
      <c r="C4380" t="str">
        <f>T("상태창빨로 천재 재벌 299화")</f>
        <v>상태창빨로 천재 재벌 299화</v>
      </c>
      <c r="D4380" t="str">
        <f>T("299")</f>
        <v>299</v>
      </c>
      <c r="E4380" t="str">
        <f t="shared" ref="E4380:E4381" si="572">T("리얼탄산")</f>
        <v>리얼탄산</v>
      </c>
      <c r="H4380" t="str">
        <f t="shared" ref="H4380:H4388" si="573">T("스토리위즈")</f>
        <v>스토리위즈</v>
      </c>
      <c r="I4380" t="str">
        <f t="shared" ref="I4380:I4381" si="574">T("상태창빨로 천재 재벌")</f>
        <v>상태창빨로 천재 재벌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/>
      <c r="AQ4380">
        <v>0</v>
      </c>
      <c r="AR4380">
        <v>0</v>
      </c>
      <c r="AT4380">
        <v>0</v>
      </c>
      <c r="AU4380">
        <v>0</v>
      </c>
      <c r="AW4380">
        <v>0</v>
      </c>
      <c r="AX4380">
        <v>0</v>
      </c>
      <c r="AY4380">
        <v>70</v>
      </c>
      <c r="BC4380" t="str">
        <f t="shared" ref="BC4380:BC4381" si="575">T("9791137601741")</f>
        <v>9791137601741</v>
      </c>
      <c r="BE4380" t="str">
        <f t="shared" ref="BE4380:BE4388" si="576">T("판타지 웹소설 &gt; 현대 판타지")</f>
        <v>판타지 웹소설 &gt; 현대 판타지</v>
      </c>
    </row>
    <row r="4381" spans="1:57" x14ac:dyDescent="0.3">
      <c r="A4381">
        <v>2313019331</v>
      </c>
      <c r="B4381">
        <v>2313019630</v>
      </c>
      <c r="C4381" t="str">
        <f>T("상태창빨로 천재 재벌 300화 (완결)")</f>
        <v>상태창빨로 천재 재벌 300화 (완결)</v>
      </c>
      <c r="D4381" t="str">
        <f>T("300")</f>
        <v>300</v>
      </c>
      <c r="E4381" t="str">
        <f t="shared" si="572"/>
        <v>리얼탄산</v>
      </c>
      <c r="H4381" t="str">
        <f t="shared" si="573"/>
        <v>스토리위즈</v>
      </c>
      <c r="I4381" t="str">
        <f t="shared" si="574"/>
        <v>상태창빨로 천재 재벌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/>
      <c r="AQ4381">
        <v>0</v>
      </c>
      <c r="AR4381">
        <v>0</v>
      </c>
      <c r="AT4381">
        <v>0</v>
      </c>
      <c r="AU4381">
        <v>0</v>
      </c>
      <c r="AW4381">
        <v>0</v>
      </c>
      <c r="AX4381">
        <v>0</v>
      </c>
      <c r="AY4381">
        <v>70</v>
      </c>
      <c r="BC4381" t="str">
        <f t="shared" si="575"/>
        <v>9791137601741</v>
      </c>
      <c r="BE4381" t="str">
        <f t="shared" si="576"/>
        <v>판타지 웹소설 &gt; 현대 판타지</v>
      </c>
    </row>
    <row r="4382" spans="1:57" x14ac:dyDescent="0.3">
      <c r="A4382">
        <v>2313019631</v>
      </c>
      <c r="B4382">
        <v>2313019657</v>
      </c>
      <c r="C4382" t="str">
        <f>T("망생부터 시작하는 천재작가의 회귀 27화")</f>
        <v>망생부터 시작하는 천재작가의 회귀 27화</v>
      </c>
      <c r="D4382" t="str">
        <f>T("27")</f>
        <v>27</v>
      </c>
      <c r="E4382" t="str">
        <f t="shared" ref="E4382:E4388" si="577">T("알랙스")</f>
        <v>알랙스</v>
      </c>
      <c r="H4382" t="str">
        <f t="shared" si="573"/>
        <v>스토리위즈</v>
      </c>
      <c r="I4382" t="str">
        <f t="shared" ref="I4382:I4388" si="578">T("망생부터 시작하는 천재작가의 회귀")</f>
        <v>망생부터 시작하는 천재작가의 회귀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/>
      <c r="AQ4382">
        <v>0</v>
      </c>
      <c r="AR4382">
        <v>0</v>
      </c>
      <c r="AT4382">
        <v>0</v>
      </c>
      <c r="AU4382">
        <v>0</v>
      </c>
      <c r="AW4382">
        <v>0</v>
      </c>
      <c r="AX4382">
        <v>0</v>
      </c>
      <c r="AY4382">
        <v>70</v>
      </c>
      <c r="BC4382" t="str">
        <f t="shared" ref="BC4382:BC4388" si="579">T("9791137603097")</f>
        <v>9791137603097</v>
      </c>
      <c r="BE4382" t="str">
        <f t="shared" si="576"/>
        <v>판타지 웹소설 &gt; 현대 판타지</v>
      </c>
    </row>
    <row r="4383" spans="1:57" x14ac:dyDescent="0.3">
      <c r="A4383">
        <v>2313019631</v>
      </c>
      <c r="B4383">
        <v>2313019658</v>
      </c>
      <c r="C4383" t="str">
        <f>T("망생부터 시작하는 천재작가의 회귀 28화")</f>
        <v>망생부터 시작하는 천재작가의 회귀 28화</v>
      </c>
      <c r="D4383" t="str">
        <f>T("28")</f>
        <v>28</v>
      </c>
      <c r="E4383" t="str">
        <f t="shared" si="577"/>
        <v>알랙스</v>
      </c>
      <c r="H4383" t="str">
        <f t="shared" si="573"/>
        <v>스토리위즈</v>
      </c>
      <c r="I4383" t="str">
        <f t="shared" si="578"/>
        <v>망생부터 시작하는 천재작가의 회귀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/>
      <c r="AQ4383">
        <v>0</v>
      </c>
      <c r="AR4383">
        <v>0</v>
      </c>
      <c r="AT4383">
        <v>0</v>
      </c>
      <c r="AU4383">
        <v>0</v>
      </c>
      <c r="AW4383">
        <v>0</v>
      </c>
      <c r="AX4383">
        <v>0</v>
      </c>
      <c r="AY4383">
        <v>70</v>
      </c>
      <c r="BC4383" t="str">
        <f t="shared" si="579"/>
        <v>9791137603097</v>
      </c>
      <c r="BE4383" t="str">
        <f t="shared" si="576"/>
        <v>판타지 웹소설 &gt; 현대 판타지</v>
      </c>
    </row>
    <row r="4384" spans="1:57" x14ac:dyDescent="0.3">
      <c r="A4384">
        <v>2313019631</v>
      </c>
      <c r="B4384">
        <v>2313019659</v>
      </c>
      <c r="C4384" t="str">
        <f>T("망생부터 시작하는 천재작가의 회귀 29화")</f>
        <v>망생부터 시작하는 천재작가의 회귀 29화</v>
      </c>
      <c r="D4384" t="str">
        <f>T("29")</f>
        <v>29</v>
      </c>
      <c r="E4384" t="str">
        <f t="shared" si="577"/>
        <v>알랙스</v>
      </c>
      <c r="H4384" t="str">
        <f t="shared" si="573"/>
        <v>스토리위즈</v>
      </c>
      <c r="I4384" t="str">
        <f t="shared" si="578"/>
        <v>망생부터 시작하는 천재작가의 회귀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/>
      <c r="AQ4384">
        <v>0</v>
      </c>
      <c r="AR4384">
        <v>0</v>
      </c>
      <c r="AT4384">
        <v>0</v>
      </c>
      <c r="AU4384">
        <v>0</v>
      </c>
      <c r="AW4384">
        <v>0</v>
      </c>
      <c r="AX4384">
        <v>0</v>
      </c>
      <c r="AY4384">
        <v>70</v>
      </c>
      <c r="BC4384" t="str">
        <f t="shared" si="579"/>
        <v>9791137603097</v>
      </c>
      <c r="BE4384" t="str">
        <f t="shared" si="576"/>
        <v>판타지 웹소설 &gt; 현대 판타지</v>
      </c>
    </row>
    <row r="4385" spans="1:57" x14ac:dyDescent="0.3">
      <c r="A4385">
        <v>2313019631</v>
      </c>
      <c r="B4385">
        <v>2313019660</v>
      </c>
      <c r="C4385" t="str">
        <f>T("망생부터 시작하는 천재작가의 회귀 30화")</f>
        <v>망생부터 시작하는 천재작가의 회귀 30화</v>
      </c>
      <c r="D4385" t="str">
        <f>T("30")</f>
        <v>30</v>
      </c>
      <c r="E4385" t="str">
        <f t="shared" si="577"/>
        <v>알랙스</v>
      </c>
      <c r="H4385" t="str">
        <f t="shared" si="573"/>
        <v>스토리위즈</v>
      </c>
      <c r="I4385" t="str">
        <f t="shared" si="578"/>
        <v>망생부터 시작하는 천재작가의 회귀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/>
      <c r="AQ4385">
        <v>0</v>
      </c>
      <c r="AR4385">
        <v>0</v>
      </c>
      <c r="AT4385">
        <v>0</v>
      </c>
      <c r="AU4385">
        <v>0</v>
      </c>
      <c r="AW4385">
        <v>0</v>
      </c>
      <c r="AX4385">
        <v>0</v>
      </c>
      <c r="AY4385">
        <v>70</v>
      </c>
      <c r="BC4385" t="str">
        <f t="shared" si="579"/>
        <v>9791137603097</v>
      </c>
      <c r="BE4385" t="str">
        <f t="shared" si="576"/>
        <v>판타지 웹소설 &gt; 현대 판타지</v>
      </c>
    </row>
    <row r="4386" spans="1:57" x14ac:dyDescent="0.3">
      <c r="A4386">
        <v>2313019631</v>
      </c>
      <c r="B4386">
        <v>2313019662</v>
      </c>
      <c r="C4386" t="str">
        <f>T("망생부터 시작하는 천재작가의 회귀 32화")</f>
        <v>망생부터 시작하는 천재작가의 회귀 32화</v>
      </c>
      <c r="D4386" t="str">
        <f>T("32")</f>
        <v>32</v>
      </c>
      <c r="E4386" t="str">
        <f t="shared" si="577"/>
        <v>알랙스</v>
      </c>
      <c r="H4386" t="str">
        <f t="shared" si="573"/>
        <v>스토리위즈</v>
      </c>
      <c r="I4386" t="str">
        <f t="shared" si="578"/>
        <v>망생부터 시작하는 천재작가의 회귀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1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/>
      <c r="AQ4386">
        <v>0</v>
      </c>
      <c r="AR4386">
        <v>0</v>
      </c>
      <c r="AT4386">
        <v>0</v>
      </c>
      <c r="AU4386">
        <v>0</v>
      </c>
      <c r="AW4386">
        <v>0</v>
      </c>
      <c r="AX4386">
        <v>0</v>
      </c>
      <c r="AY4386">
        <v>70</v>
      </c>
      <c r="BC4386" t="str">
        <f t="shared" si="579"/>
        <v>9791137603097</v>
      </c>
      <c r="BE4386" t="str">
        <f t="shared" si="576"/>
        <v>판타지 웹소설 &gt; 현대 판타지</v>
      </c>
    </row>
    <row r="4387" spans="1:57" x14ac:dyDescent="0.3">
      <c r="A4387">
        <v>2313019631</v>
      </c>
      <c r="B4387">
        <v>2313019663</v>
      </c>
      <c r="C4387" t="str">
        <f>T("망생부터 시작하는 천재작가의 회귀 33화")</f>
        <v>망생부터 시작하는 천재작가의 회귀 33화</v>
      </c>
      <c r="D4387" t="str">
        <f>T("33")</f>
        <v>33</v>
      </c>
      <c r="E4387" t="str">
        <f t="shared" si="577"/>
        <v>알랙스</v>
      </c>
      <c r="H4387" t="str">
        <f t="shared" si="573"/>
        <v>스토리위즈</v>
      </c>
      <c r="I4387" t="str">
        <f t="shared" si="578"/>
        <v>망생부터 시작하는 천재작가의 회귀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/>
      <c r="AQ4387">
        <v>0</v>
      </c>
      <c r="AR4387">
        <v>0</v>
      </c>
      <c r="AT4387">
        <v>0</v>
      </c>
      <c r="AU4387">
        <v>0</v>
      </c>
      <c r="AW4387">
        <v>0</v>
      </c>
      <c r="AX4387">
        <v>0</v>
      </c>
      <c r="AY4387">
        <v>70</v>
      </c>
      <c r="BC4387" t="str">
        <f t="shared" si="579"/>
        <v>9791137603097</v>
      </c>
      <c r="BE4387" t="str">
        <f t="shared" si="576"/>
        <v>판타지 웹소설 &gt; 현대 판타지</v>
      </c>
    </row>
    <row r="4388" spans="1:57" x14ac:dyDescent="0.3">
      <c r="A4388">
        <v>2313019631</v>
      </c>
      <c r="B4388">
        <v>2313019792</v>
      </c>
      <c r="C4388" t="str">
        <f>T("망생부터 시작하는 천재작가의 회귀 162화 (완결)")</f>
        <v>망생부터 시작하는 천재작가의 회귀 162화 (완결)</v>
      </c>
      <c r="D4388" t="str">
        <f>T("162")</f>
        <v>162</v>
      </c>
      <c r="E4388" t="str">
        <f t="shared" si="577"/>
        <v>알랙스</v>
      </c>
      <c r="H4388" t="str">
        <f t="shared" si="573"/>
        <v>스토리위즈</v>
      </c>
      <c r="I4388" t="str">
        <f t="shared" si="578"/>
        <v>망생부터 시작하는 천재작가의 회귀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</v>
      </c>
      <c r="AI4388">
        <v>0</v>
      </c>
      <c r="AJ4388">
        <v>0</v>
      </c>
      <c r="AK4388">
        <v>0</v>
      </c>
      <c r="AL4388">
        <v>0</v>
      </c>
      <c r="AM4388">
        <v>120</v>
      </c>
      <c r="AN4388">
        <v>-12</v>
      </c>
      <c r="AO4388">
        <v>0</v>
      </c>
      <c r="AP4388"/>
      <c r="AQ4388">
        <v>0</v>
      </c>
      <c r="AR4388">
        <v>0</v>
      </c>
      <c r="AS4388">
        <v>120</v>
      </c>
      <c r="AT4388">
        <v>-12</v>
      </c>
      <c r="AU4388">
        <v>0</v>
      </c>
      <c r="AW4388">
        <v>0</v>
      </c>
      <c r="AX4388">
        <v>0</v>
      </c>
      <c r="AY4388">
        <v>75.599999999999994</v>
      </c>
      <c r="BC4388" t="str">
        <f t="shared" si="579"/>
        <v>9791137603097</v>
      </c>
      <c r="BE4388" t="str">
        <f t="shared" si="576"/>
        <v>판타지 웹소설 &gt; 현대 판타지</v>
      </c>
    </row>
    <row r="4389" spans="1:57" x14ac:dyDescent="0.3">
      <c r="A4389">
        <v>2313019814</v>
      </c>
      <c r="B4389">
        <v>2313019838</v>
      </c>
      <c r="C4389" t="str">
        <f>T("친구 졸업 12화")</f>
        <v>친구 졸업 12화</v>
      </c>
      <c r="D4389" t="str">
        <f>T("12")</f>
        <v>12</v>
      </c>
      <c r="E4389" t="str">
        <f t="shared" ref="E4389:E4404" si="580">T("세상")</f>
        <v>세상</v>
      </c>
      <c r="H4389" t="str">
        <f t="shared" ref="H4389:H4404" si="581">T("앰퍼샌드B")</f>
        <v>앰퍼샌드B</v>
      </c>
      <c r="I4389" t="str">
        <f t="shared" ref="I4389:I4404" si="582">T("친구 졸업")</f>
        <v>친구 졸업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</v>
      </c>
      <c r="AI4389">
        <v>0</v>
      </c>
      <c r="AJ4389">
        <v>0</v>
      </c>
      <c r="AK4389">
        <v>0</v>
      </c>
      <c r="AL4389">
        <v>0</v>
      </c>
      <c r="AM4389">
        <v>120</v>
      </c>
      <c r="AN4389">
        <v>-12</v>
      </c>
      <c r="AO4389">
        <v>0</v>
      </c>
      <c r="AP4389"/>
      <c r="AQ4389">
        <v>0</v>
      </c>
      <c r="AR4389">
        <v>0</v>
      </c>
      <c r="AS4389">
        <v>120</v>
      </c>
      <c r="AT4389">
        <v>-12</v>
      </c>
      <c r="AU4389">
        <v>0</v>
      </c>
      <c r="AW4389">
        <v>0</v>
      </c>
      <c r="AX4389">
        <v>0</v>
      </c>
      <c r="AY4389">
        <v>75.599999999999994</v>
      </c>
      <c r="BC4389" t="str">
        <f t="shared" ref="BC4389:BC4404" si="583">T("9791137606975")</f>
        <v>9791137606975</v>
      </c>
      <c r="BE4389" t="str">
        <f t="shared" ref="BE4389:BE4404" si="584">T("BL 웹소설 &gt; 현대물")</f>
        <v>BL 웹소설 &gt; 현대물</v>
      </c>
    </row>
    <row r="4390" spans="1:57" x14ac:dyDescent="0.3">
      <c r="A4390">
        <v>2313019814</v>
      </c>
      <c r="B4390">
        <v>2313019839</v>
      </c>
      <c r="C4390" t="str">
        <f>T("친구 졸업 13화")</f>
        <v>친구 졸업 13화</v>
      </c>
      <c r="D4390" t="str">
        <f>T("13")</f>
        <v>13</v>
      </c>
      <c r="E4390" t="str">
        <f t="shared" si="580"/>
        <v>세상</v>
      </c>
      <c r="H4390" t="str">
        <f t="shared" si="581"/>
        <v>앰퍼샌드B</v>
      </c>
      <c r="I4390" t="str">
        <f t="shared" si="582"/>
        <v>친구 졸업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</v>
      </c>
      <c r="AI4390">
        <v>0</v>
      </c>
      <c r="AJ4390">
        <v>0</v>
      </c>
      <c r="AK4390">
        <v>90</v>
      </c>
      <c r="AL4390">
        <v>0</v>
      </c>
      <c r="AM4390">
        <v>12</v>
      </c>
      <c r="AN4390">
        <v>-1.2</v>
      </c>
      <c r="AO4390">
        <v>0</v>
      </c>
      <c r="AP4390"/>
      <c r="AQ4390">
        <v>0</v>
      </c>
      <c r="AR4390">
        <v>0</v>
      </c>
      <c r="AS4390">
        <v>12</v>
      </c>
      <c r="AT4390">
        <v>-1.2</v>
      </c>
      <c r="AU4390">
        <v>0</v>
      </c>
      <c r="AW4390">
        <v>0</v>
      </c>
      <c r="AX4390">
        <v>0</v>
      </c>
      <c r="AY4390">
        <v>70.56</v>
      </c>
      <c r="BC4390" t="str">
        <f t="shared" si="583"/>
        <v>9791137606975</v>
      </c>
      <c r="BE4390" t="str">
        <f t="shared" si="584"/>
        <v>BL 웹소설 &gt; 현대물</v>
      </c>
    </row>
    <row r="4391" spans="1:57" x14ac:dyDescent="0.3">
      <c r="A4391">
        <v>2313019814</v>
      </c>
      <c r="B4391">
        <v>2313019840</v>
      </c>
      <c r="C4391" t="str">
        <f>T("친구 졸업 14화")</f>
        <v>친구 졸업 14화</v>
      </c>
      <c r="D4391" t="str">
        <f>T("14")</f>
        <v>14</v>
      </c>
      <c r="E4391" t="str">
        <f t="shared" si="580"/>
        <v>세상</v>
      </c>
      <c r="H4391" t="str">
        <f t="shared" si="581"/>
        <v>앰퍼샌드B</v>
      </c>
      <c r="I4391" t="str">
        <f t="shared" si="582"/>
        <v>친구 졸업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</v>
      </c>
      <c r="AI4391">
        <v>0</v>
      </c>
      <c r="AJ4391">
        <v>0</v>
      </c>
      <c r="AK4391">
        <v>0</v>
      </c>
      <c r="AL4391">
        <v>0</v>
      </c>
      <c r="AM4391">
        <v>120</v>
      </c>
      <c r="AN4391">
        <v>-12</v>
      </c>
      <c r="AO4391">
        <v>0</v>
      </c>
      <c r="AP4391"/>
      <c r="AQ4391">
        <v>0</v>
      </c>
      <c r="AR4391">
        <v>0</v>
      </c>
      <c r="AS4391">
        <v>120</v>
      </c>
      <c r="AT4391">
        <v>-12</v>
      </c>
      <c r="AU4391">
        <v>0</v>
      </c>
      <c r="AW4391">
        <v>0</v>
      </c>
      <c r="AX4391">
        <v>0</v>
      </c>
      <c r="AY4391">
        <v>75.599999999999994</v>
      </c>
      <c r="BC4391" t="str">
        <f t="shared" si="583"/>
        <v>9791137606975</v>
      </c>
      <c r="BE4391" t="str">
        <f t="shared" si="584"/>
        <v>BL 웹소설 &gt; 현대물</v>
      </c>
    </row>
    <row r="4392" spans="1:57" x14ac:dyDescent="0.3">
      <c r="A4392">
        <v>2313019814</v>
      </c>
      <c r="B4392">
        <v>2313019841</v>
      </c>
      <c r="C4392" t="str">
        <f>T("친구 졸업 15화")</f>
        <v>친구 졸업 15화</v>
      </c>
      <c r="D4392" t="str">
        <f>T("15")</f>
        <v>15</v>
      </c>
      <c r="E4392" t="str">
        <f t="shared" si="580"/>
        <v>세상</v>
      </c>
      <c r="H4392" t="str">
        <f t="shared" si="581"/>
        <v>앰퍼샌드B</v>
      </c>
      <c r="I4392" t="str">
        <f t="shared" si="582"/>
        <v>친구 졸업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</v>
      </c>
      <c r="AI4392">
        <v>0</v>
      </c>
      <c r="AJ4392">
        <v>0</v>
      </c>
      <c r="AK4392">
        <v>0</v>
      </c>
      <c r="AL4392">
        <v>0</v>
      </c>
      <c r="AM4392">
        <v>120</v>
      </c>
      <c r="AN4392">
        <v>-12</v>
      </c>
      <c r="AO4392">
        <v>0</v>
      </c>
      <c r="AP4392"/>
      <c r="AQ4392">
        <v>0</v>
      </c>
      <c r="AR4392">
        <v>0</v>
      </c>
      <c r="AS4392">
        <v>120</v>
      </c>
      <c r="AT4392">
        <v>-12</v>
      </c>
      <c r="AU4392">
        <v>0</v>
      </c>
      <c r="AW4392">
        <v>0</v>
      </c>
      <c r="AX4392">
        <v>0</v>
      </c>
      <c r="AY4392">
        <v>75.599999999999994</v>
      </c>
      <c r="BC4392" t="str">
        <f t="shared" si="583"/>
        <v>9791137606975</v>
      </c>
      <c r="BE4392" t="str">
        <f t="shared" si="584"/>
        <v>BL 웹소설 &gt; 현대물</v>
      </c>
    </row>
    <row r="4393" spans="1:57" x14ac:dyDescent="0.3">
      <c r="A4393">
        <v>2313019814</v>
      </c>
      <c r="B4393">
        <v>2313019843</v>
      </c>
      <c r="C4393" t="str">
        <f>T("친구 졸업 17화")</f>
        <v>친구 졸업 17화</v>
      </c>
      <c r="D4393" t="str">
        <f>T("17")</f>
        <v>17</v>
      </c>
      <c r="E4393" t="str">
        <f t="shared" si="580"/>
        <v>세상</v>
      </c>
      <c r="H4393" t="str">
        <f t="shared" si="581"/>
        <v>앰퍼샌드B</v>
      </c>
      <c r="I4393" t="str">
        <f t="shared" si="582"/>
        <v>친구 졸업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</v>
      </c>
      <c r="AI4393">
        <v>0</v>
      </c>
      <c r="AJ4393">
        <v>0</v>
      </c>
      <c r="AK4393">
        <v>0</v>
      </c>
      <c r="AL4393">
        <v>0</v>
      </c>
      <c r="AM4393">
        <v>120</v>
      </c>
      <c r="AN4393">
        <v>-12</v>
      </c>
      <c r="AO4393">
        <v>0</v>
      </c>
      <c r="AP4393"/>
      <c r="AQ4393">
        <v>0</v>
      </c>
      <c r="AR4393">
        <v>0</v>
      </c>
      <c r="AS4393">
        <v>120</v>
      </c>
      <c r="AT4393">
        <v>-12</v>
      </c>
      <c r="AU4393">
        <v>0</v>
      </c>
      <c r="AW4393">
        <v>0</v>
      </c>
      <c r="AX4393">
        <v>0</v>
      </c>
      <c r="AY4393">
        <v>75.599999999999994</v>
      </c>
      <c r="BC4393" t="str">
        <f t="shared" si="583"/>
        <v>9791137606975</v>
      </c>
      <c r="BE4393" t="str">
        <f t="shared" si="584"/>
        <v>BL 웹소설 &gt; 현대물</v>
      </c>
    </row>
    <row r="4394" spans="1:57" x14ac:dyDescent="0.3">
      <c r="A4394">
        <v>2313019814</v>
      </c>
      <c r="B4394">
        <v>2313019844</v>
      </c>
      <c r="C4394" t="str">
        <f>T("친구 졸업 18화")</f>
        <v>친구 졸업 18화</v>
      </c>
      <c r="D4394" t="str">
        <f>T("18")</f>
        <v>18</v>
      </c>
      <c r="E4394" t="str">
        <f t="shared" si="580"/>
        <v>세상</v>
      </c>
      <c r="H4394" t="str">
        <f t="shared" si="581"/>
        <v>앰퍼샌드B</v>
      </c>
      <c r="I4394" t="str">
        <f t="shared" si="582"/>
        <v>친구 졸업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</v>
      </c>
      <c r="AI4394">
        <v>0</v>
      </c>
      <c r="AJ4394">
        <v>0</v>
      </c>
      <c r="AK4394">
        <v>0</v>
      </c>
      <c r="AL4394">
        <v>0</v>
      </c>
      <c r="AM4394">
        <v>120</v>
      </c>
      <c r="AN4394">
        <v>-12</v>
      </c>
      <c r="AO4394">
        <v>0</v>
      </c>
      <c r="AP4394"/>
      <c r="AQ4394">
        <v>0</v>
      </c>
      <c r="AR4394">
        <v>0</v>
      </c>
      <c r="AS4394">
        <v>120</v>
      </c>
      <c r="AT4394">
        <v>-12</v>
      </c>
      <c r="AU4394">
        <v>0</v>
      </c>
      <c r="AW4394">
        <v>0</v>
      </c>
      <c r="AX4394">
        <v>0</v>
      </c>
      <c r="AY4394">
        <v>75.599999999999994</v>
      </c>
      <c r="BC4394" t="str">
        <f t="shared" si="583"/>
        <v>9791137606975</v>
      </c>
      <c r="BE4394" t="str">
        <f t="shared" si="584"/>
        <v>BL 웹소설 &gt; 현대물</v>
      </c>
    </row>
    <row r="4395" spans="1:57" x14ac:dyDescent="0.3">
      <c r="A4395">
        <v>2313019814</v>
      </c>
      <c r="B4395">
        <v>2313019845</v>
      </c>
      <c r="C4395" t="str">
        <f>T("친구 졸업 19화")</f>
        <v>친구 졸업 19화</v>
      </c>
      <c r="D4395" t="str">
        <f>T("19")</f>
        <v>19</v>
      </c>
      <c r="E4395" t="str">
        <f t="shared" si="580"/>
        <v>세상</v>
      </c>
      <c r="H4395" t="str">
        <f t="shared" si="581"/>
        <v>앰퍼샌드B</v>
      </c>
      <c r="I4395" t="str">
        <f t="shared" si="582"/>
        <v>친구 졸업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</v>
      </c>
      <c r="AI4395">
        <v>0</v>
      </c>
      <c r="AJ4395">
        <v>0</v>
      </c>
      <c r="AK4395">
        <v>0</v>
      </c>
      <c r="AL4395">
        <v>0</v>
      </c>
      <c r="AM4395">
        <v>120</v>
      </c>
      <c r="AN4395">
        <v>-12</v>
      </c>
      <c r="AO4395">
        <v>0</v>
      </c>
      <c r="AP4395"/>
      <c r="AQ4395">
        <v>0</v>
      </c>
      <c r="AR4395">
        <v>0</v>
      </c>
      <c r="AS4395">
        <v>120</v>
      </c>
      <c r="AT4395">
        <v>-12</v>
      </c>
      <c r="AU4395">
        <v>0</v>
      </c>
      <c r="AW4395">
        <v>0</v>
      </c>
      <c r="AX4395">
        <v>0</v>
      </c>
      <c r="AY4395">
        <v>75.599999999999994</v>
      </c>
      <c r="BC4395" t="str">
        <f t="shared" si="583"/>
        <v>9791137606975</v>
      </c>
      <c r="BE4395" t="str">
        <f t="shared" si="584"/>
        <v>BL 웹소설 &gt; 현대물</v>
      </c>
    </row>
    <row r="4396" spans="1:57" x14ac:dyDescent="0.3">
      <c r="A4396">
        <v>2313019814</v>
      </c>
      <c r="B4396">
        <v>2313019848</v>
      </c>
      <c r="C4396" t="str">
        <f>T("친구 졸업 22화")</f>
        <v>친구 졸업 22화</v>
      </c>
      <c r="D4396" t="str">
        <f>T("22")</f>
        <v>22</v>
      </c>
      <c r="E4396" t="str">
        <f t="shared" si="580"/>
        <v>세상</v>
      </c>
      <c r="H4396" t="str">
        <f t="shared" si="581"/>
        <v>앰퍼샌드B</v>
      </c>
      <c r="I4396" t="str">
        <f t="shared" si="582"/>
        <v>친구 졸업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120</v>
      </c>
      <c r="AN4396">
        <v>-12</v>
      </c>
      <c r="AO4396">
        <v>0</v>
      </c>
      <c r="AP4396"/>
      <c r="AQ4396">
        <v>0</v>
      </c>
      <c r="AR4396">
        <v>0</v>
      </c>
      <c r="AS4396">
        <v>120</v>
      </c>
      <c r="AT4396">
        <v>-12</v>
      </c>
      <c r="AU4396">
        <v>0</v>
      </c>
      <c r="AW4396">
        <v>0</v>
      </c>
      <c r="AX4396">
        <v>0</v>
      </c>
      <c r="AY4396">
        <v>75.599999999999994</v>
      </c>
      <c r="BC4396" t="str">
        <f t="shared" si="583"/>
        <v>9791137606975</v>
      </c>
      <c r="BE4396" t="str">
        <f t="shared" si="584"/>
        <v>BL 웹소설 &gt; 현대물</v>
      </c>
    </row>
    <row r="4397" spans="1:57" x14ac:dyDescent="0.3">
      <c r="A4397">
        <v>2313019814</v>
      </c>
      <c r="B4397">
        <v>2313019849</v>
      </c>
      <c r="C4397" t="str">
        <f>T("친구 졸업 23화")</f>
        <v>친구 졸업 23화</v>
      </c>
      <c r="D4397" t="str">
        <f>T("23")</f>
        <v>23</v>
      </c>
      <c r="E4397" t="str">
        <f t="shared" si="580"/>
        <v>세상</v>
      </c>
      <c r="H4397" t="str">
        <f t="shared" si="581"/>
        <v>앰퍼샌드B</v>
      </c>
      <c r="I4397" t="str">
        <f t="shared" si="582"/>
        <v>친구 졸업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</v>
      </c>
      <c r="AI4397">
        <v>0</v>
      </c>
      <c r="AJ4397">
        <v>0</v>
      </c>
      <c r="AK4397">
        <v>0</v>
      </c>
      <c r="AL4397">
        <v>0</v>
      </c>
      <c r="AM4397">
        <v>120</v>
      </c>
      <c r="AN4397">
        <v>-12</v>
      </c>
      <c r="AO4397">
        <v>0</v>
      </c>
      <c r="AP4397"/>
      <c r="AQ4397">
        <v>0</v>
      </c>
      <c r="AR4397">
        <v>0</v>
      </c>
      <c r="AS4397">
        <v>120</v>
      </c>
      <c r="AT4397">
        <v>-12</v>
      </c>
      <c r="AU4397">
        <v>0</v>
      </c>
      <c r="AW4397">
        <v>0</v>
      </c>
      <c r="AX4397">
        <v>0</v>
      </c>
      <c r="AY4397">
        <v>75.599999999999994</v>
      </c>
      <c r="BC4397" t="str">
        <f t="shared" si="583"/>
        <v>9791137606975</v>
      </c>
      <c r="BE4397" t="str">
        <f t="shared" si="584"/>
        <v>BL 웹소설 &gt; 현대물</v>
      </c>
    </row>
    <row r="4398" spans="1:57" x14ac:dyDescent="0.3">
      <c r="A4398">
        <v>2313019814</v>
      </c>
      <c r="B4398">
        <v>2313019865</v>
      </c>
      <c r="C4398" t="str">
        <f>T("친구 졸업 39화")</f>
        <v>친구 졸업 39화</v>
      </c>
      <c r="D4398" t="str">
        <f>T("39")</f>
        <v>39</v>
      </c>
      <c r="E4398" t="str">
        <f t="shared" si="580"/>
        <v>세상</v>
      </c>
      <c r="H4398" t="str">
        <f t="shared" si="581"/>
        <v>앰퍼샌드B</v>
      </c>
      <c r="I4398" t="str">
        <f t="shared" si="582"/>
        <v>친구 졸업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/>
      <c r="AQ4398">
        <v>0</v>
      </c>
      <c r="AR4398">
        <v>0</v>
      </c>
      <c r="AT4398">
        <v>0</v>
      </c>
      <c r="AU4398">
        <v>0</v>
      </c>
      <c r="AW4398">
        <v>0</v>
      </c>
      <c r="AX4398">
        <v>0</v>
      </c>
      <c r="AY4398">
        <v>70</v>
      </c>
      <c r="BC4398" t="str">
        <f t="shared" si="583"/>
        <v>9791137606975</v>
      </c>
      <c r="BE4398" t="str">
        <f t="shared" si="584"/>
        <v>BL 웹소설 &gt; 현대물</v>
      </c>
    </row>
    <row r="4399" spans="1:57" x14ac:dyDescent="0.3">
      <c r="A4399">
        <v>2313019814</v>
      </c>
      <c r="B4399">
        <v>2313019867</v>
      </c>
      <c r="C4399" t="str">
        <f>T("친구 졸업 41화")</f>
        <v>친구 졸업 41화</v>
      </c>
      <c r="D4399" t="str">
        <f>T("41")</f>
        <v>41</v>
      </c>
      <c r="E4399" t="str">
        <f t="shared" si="580"/>
        <v>세상</v>
      </c>
      <c r="H4399" t="str">
        <f t="shared" si="581"/>
        <v>앰퍼샌드B</v>
      </c>
      <c r="I4399" t="str">
        <f t="shared" si="582"/>
        <v>친구 졸업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/>
      <c r="AQ4399">
        <v>0</v>
      </c>
      <c r="AR4399">
        <v>0</v>
      </c>
      <c r="AT4399">
        <v>0</v>
      </c>
      <c r="AU4399">
        <v>0</v>
      </c>
      <c r="AW4399">
        <v>0</v>
      </c>
      <c r="AX4399">
        <v>0</v>
      </c>
      <c r="AY4399">
        <v>70</v>
      </c>
      <c r="BC4399" t="str">
        <f t="shared" si="583"/>
        <v>9791137606975</v>
      </c>
      <c r="BE4399" t="str">
        <f t="shared" si="584"/>
        <v>BL 웹소설 &gt; 현대물</v>
      </c>
    </row>
    <row r="4400" spans="1:57" x14ac:dyDescent="0.3">
      <c r="A4400">
        <v>2313019814</v>
      </c>
      <c r="B4400">
        <v>2313019880</v>
      </c>
      <c r="C4400" t="str">
        <f>T("친구 졸업 54화")</f>
        <v>친구 졸업 54화</v>
      </c>
      <c r="D4400" t="str">
        <f>T("54")</f>
        <v>54</v>
      </c>
      <c r="E4400" t="str">
        <f t="shared" si="580"/>
        <v>세상</v>
      </c>
      <c r="H4400" t="str">
        <f t="shared" si="581"/>
        <v>앰퍼샌드B</v>
      </c>
      <c r="I4400" t="str">
        <f t="shared" si="582"/>
        <v>친구 졸업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/>
      <c r="AQ4400">
        <v>0</v>
      </c>
      <c r="AR4400">
        <v>0</v>
      </c>
      <c r="AT4400">
        <v>0</v>
      </c>
      <c r="AU4400">
        <v>0</v>
      </c>
      <c r="AW4400">
        <v>0</v>
      </c>
      <c r="AX4400">
        <v>0</v>
      </c>
      <c r="AY4400">
        <v>70</v>
      </c>
      <c r="BC4400" t="str">
        <f t="shared" si="583"/>
        <v>9791137606975</v>
      </c>
      <c r="BE4400" t="str">
        <f t="shared" si="584"/>
        <v>BL 웹소설 &gt; 현대물</v>
      </c>
    </row>
    <row r="4401" spans="1:57" x14ac:dyDescent="0.3">
      <c r="A4401">
        <v>2313019814</v>
      </c>
      <c r="B4401">
        <v>2313019891</v>
      </c>
      <c r="C4401" t="str">
        <f>T("친구 졸업 65화")</f>
        <v>친구 졸업 65화</v>
      </c>
      <c r="D4401" t="str">
        <f>T("65")</f>
        <v>65</v>
      </c>
      <c r="E4401" t="str">
        <f t="shared" si="580"/>
        <v>세상</v>
      </c>
      <c r="H4401" t="str">
        <f t="shared" si="581"/>
        <v>앰퍼샌드B</v>
      </c>
      <c r="I4401" t="str">
        <f t="shared" si="582"/>
        <v>친구 졸업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/>
      <c r="AQ4401">
        <v>0</v>
      </c>
      <c r="AR4401">
        <v>0</v>
      </c>
      <c r="AT4401">
        <v>0</v>
      </c>
      <c r="AU4401">
        <v>0</v>
      </c>
      <c r="AW4401">
        <v>0</v>
      </c>
      <c r="AX4401">
        <v>0</v>
      </c>
      <c r="AY4401">
        <v>70</v>
      </c>
      <c r="BC4401" t="str">
        <f t="shared" si="583"/>
        <v>9791137606975</v>
      </c>
      <c r="BE4401" t="str">
        <f t="shared" si="584"/>
        <v>BL 웹소설 &gt; 현대물</v>
      </c>
    </row>
    <row r="4402" spans="1:57" x14ac:dyDescent="0.3">
      <c r="A4402">
        <v>2313019814</v>
      </c>
      <c r="B4402">
        <v>2313019892</v>
      </c>
      <c r="C4402" t="str">
        <f>T("친구 졸업 66화")</f>
        <v>친구 졸업 66화</v>
      </c>
      <c r="D4402" t="str">
        <f>T("66")</f>
        <v>66</v>
      </c>
      <c r="E4402" t="str">
        <f t="shared" si="580"/>
        <v>세상</v>
      </c>
      <c r="H4402" t="str">
        <f t="shared" si="581"/>
        <v>앰퍼샌드B</v>
      </c>
      <c r="I4402" t="str">
        <f t="shared" si="582"/>
        <v>친구 졸업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1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/>
      <c r="AQ4402">
        <v>0</v>
      </c>
      <c r="AR4402">
        <v>0</v>
      </c>
      <c r="AT4402">
        <v>0</v>
      </c>
      <c r="AU4402">
        <v>0</v>
      </c>
      <c r="AW4402">
        <v>0</v>
      </c>
      <c r="AX4402">
        <v>0</v>
      </c>
      <c r="AY4402">
        <v>70</v>
      </c>
      <c r="BC4402" t="str">
        <f t="shared" si="583"/>
        <v>9791137606975</v>
      </c>
      <c r="BE4402" t="str">
        <f t="shared" si="584"/>
        <v>BL 웹소설 &gt; 현대물</v>
      </c>
    </row>
    <row r="4403" spans="1:57" x14ac:dyDescent="0.3">
      <c r="A4403">
        <v>2313019814</v>
      </c>
      <c r="B4403">
        <v>2313019893</v>
      </c>
      <c r="C4403" t="str">
        <f>T("친구 졸업 67화")</f>
        <v>친구 졸업 67화</v>
      </c>
      <c r="D4403" t="str">
        <f>T("67")</f>
        <v>67</v>
      </c>
      <c r="E4403" t="str">
        <f t="shared" si="580"/>
        <v>세상</v>
      </c>
      <c r="H4403" t="str">
        <f t="shared" si="581"/>
        <v>앰퍼샌드B</v>
      </c>
      <c r="I4403" t="str">
        <f t="shared" si="582"/>
        <v>친구 졸업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/>
      <c r="AQ4403">
        <v>0</v>
      </c>
      <c r="AR4403">
        <v>0</v>
      </c>
      <c r="AT4403">
        <v>0</v>
      </c>
      <c r="AU4403">
        <v>0</v>
      </c>
      <c r="AW4403">
        <v>0</v>
      </c>
      <c r="AX4403">
        <v>0</v>
      </c>
      <c r="AY4403">
        <v>70</v>
      </c>
      <c r="BC4403" t="str">
        <f t="shared" si="583"/>
        <v>9791137606975</v>
      </c>
      <c r="BE4403" t="str">
        <f t="shared" si="584"/>
        <v>BL 웹소설 &gt; 현대물</v>
      </c>
    </row>
    <row r="4404" spans="1:57" x14ac:dyDescent="0.3">
      <c r="A4404">
        <v>2313019814</v>
      </c>
      <c r="B4404">
        <v>2313019894</v>
      </c>
      <c r="C4404" t="str">
        <f>T("친구 졸업 68화")</f>
        <v>친구 졸업 68화</v>
      </c>
      <c r="D4404" t="str">
        <f>T("68")</f>
        <v>68</v>
      </c>
      <c r="E4404" t="str">
        <f t="shared" si="580"/>
        <v>세상</v>
      </c>
      <c r="H4404" t="str">
        <f t="shared" si="581"/>
        <v>앰퍼샌드B</v>
      </c>
      <c r="I4404" t="str">
        <f t="shared" si="582"/>
        <v>친구 졸업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/>
      <c r="AQ4404">
        <v>0</v>
      </c>
      <c r="AR4404">
        <v>0</v>
      </c>
      <c r="AT4404">
        <v>0</v>
      </c>
      <c r="AU4404">
        <v>0</v>
      </c>
      <c r="AW4404">
        <v>0</v>
      </c>
      <c r="AX4404">
        <v>0</v>
      </c>
      <c r="AY4404">
        <v>70</v>
      </c>
      <c r="BC4404" t="str">
        <f t="shared" si="583"/>
        <v>9791137606975</v>
      </c>
      <c r="BE4404" t="str">
        <f t="shared" si="584"/>
        <v>BL 웹소설 &gt; 현대물</v>
      </c>
    </row>
    <row r="4405" spans="1:57" x14ac:dyDescent="0.3">
      <c r="A4405">
        <v>2313019895</v>
      </c>
      <c r="B4405">
        <v>2313019949</v>
      </c>
      <c r="C4405" t="str">
        <f>T("골 넣는 수비수 55화")</f>
        <v>골 넣는 수비수 55화</v>
      </c>
      <c r="D4405" t="str">
        <f>T("55")</f>
        <v>55</v>
      </c>
      <c r="E4405" t="str">
        <f>T("muscleup")</f>
        <v>muscleup</v>
      </c>
      <c r="H4405" t="str">
        <f>T("스토리위즈")</f>
        <v>스토리위즈</v>
      </c>
      <c r="I4405" t="str">
        <f>T("골 넣는 수비수")</f>
        <v>골 넣는 수비수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/>
      <c r="AQ4405">
        <v>0</v>
      </c>
      <c r="AR4405">
        <v>0</v>
      </c>
      <c r="AT4405">
        <v>0</v>
      </c>
      <c r="AU4405">
        <v>0</v>
      </c>
      <c r="AW4405">
        <v>0</v>
      </c>
      <c r="AX4405">
        <v>0</v>
      </c>
      <c r="AY4405">
        <v>70</v>
      </c>
      <c r="BC4405" t="str">
        <f>T("9791137604476")</f>
        <v>9791137604476</v>
      </c>
      <c r="BE4405" t="str">
        <f>T("판타지 웹소설 &gt; 현대 판타지")</f>
        <v>판타지 웹소설 &gt; 현대 판타지</v>
      </c>
    </row>
    <row r="4406" spans="1:57" x14ac:dyDescent="0.3">
      <c r="A4406">
        <v>2313019895</v>
      </c>
      <c r="B4406">
        <v>2313019950</v>
      </c>
      <c r="C4406" t="str">
        <f>T("골 넣는 수비수 56화")</f>
        <v>골 넣는 수비수 56화</v>
      </c>
      <c r="D4406" t="str">
        <f>T("56")</f>
        <v>56</v>
      </c>
      <c r="E4406" t="str">
        <f>T("muscleup")</f>
        <v>muscleup</v>
      </c>
      <c r="H4406" t="str">
        <f>T("스토리위즈")</f>
        <v>스토리위즈</v>
      </c>
      <c r="I4406" t="str">
        <f>T("골 넣는 수비수")</f>
        <v>골 넣는 수비수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/>
      <c r="AQ4406">
        <v>0</v>
      </c>
      <c r="AR4406">
        <v>0</v>
      </c>
      <c r="AT4406">
        <v>0</v>
      </c>
      <c r="AU4406">
        <v>0</v>
      </c>
      <c r="AW4406">
        <v>0</v>
      </c>
      <c r="AX4406">
        <v>0</v>
      </c>
      <c r="AY4406">
        <v>70</v>
      </c>
      <c r="BC4406" t="str">
        <f>T("9791137604476")</f>
        <v>9791137604476</v>
      </c>
      <c r="BE4406" t="str">
        <f>T("판타지 웹소설 &gt; 현대 판타지")</f>
        <v>판타지 웹소설 &gt; 현대 판타지</v>
      </c>
    </row>
    <row r="4407" spans="1:57" x14ac:dyDescent="0.3">
      <c r="A4407">
        <v>2313019814</v>
      </c>
      <c r="B4407">
        <v>2313020056</v>
      </c>
      <c r="C4407" t="str">
        <f>T("친구 졸업 69화")</f>
        <v>친구 졸업 69화</v>
      </c>
      <c r="D4407" t="str">
        <f>T("69")</f>
        <v>69</v>
      </c>
      <c r="E4407" t="str">
        <f t="shared" ref="E4407:E4429" si="585">T("세상")</f>
        <v>세상</v>
      </c>
      <c r="H4407" t="str">
        <f t="shared" ref="H4407:H4429" si="586">T("앰퍼샌드B")</f>
        <v>앰퍼샌드B</v>
      </c>
      <c r="I4407" t="str">
        <f t="shared" ref="I4407:I4429" si="587">T("친구 졸업")</f>
        <v>친구 졸업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/>
      <c r="AQ4407">
        <v>0</v>
      </c>
      <c r="AR4407">
        <v>0</v>
      </c>
      <c r="AT4407">
        <v>0</v>
      </c>
      <c r="AU4407">
        <v>0</v>
      </c>
      <c r="AW4407">
        <v>0</v>
      </c>
      <c r="AX4407">
        <v>0</v>
      </c>
      <c r="AY4407">
        <v>70</v>
      </c>
      <c r="BC4407" t="str">
        <f t="shared" ref="BC4407:BC4429" si="588">T("9791137606975")</f>
        <v>9791137606975</v>
      </c>
      <c r="BE4407" t="str">
        <f t="shared" ref="BE4407:BE4429" si="589">T("BL 웹소설 &gt; 현대물")</f>
        <v>BL 웹소설 &gt; 현대물</v>
      </c>
    </row>
    <row r="4408" spans="1:57" x14ac:dyDescent="0.3">
      <c r="A4408">
        <v>2313019814</v>
      </c>
      <c r="B4408">
        <v>2313020057</v>
      </c>
      <c r="C4408" t="str">
        <f>T("친구 졸업 70화")</f>
        <v>친구 졸업 70화</v>
      </c>
      <c r="D4408" t="str">
        <f>T("70")</f>
        <v>70</v>
      </c>
      <c r="E4408" t="str">
        <f t="shared" si="585"/>
        <v>세상</v>
      </c>
      <c r="H4408" t="str">
        <f t="shared" si="586"/>
        <v>앰퍼샌드B</v>
      </c>
      <c r="I4408" t="str">
        <f t="shared" si="587"/>
        <v>친구 졸업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/>
      <c r="AQ4408">
        <v>0</v>
      </c>
      <c r="AR4408">
        <v>0</v>
      </c>
      <c r="AT4408">
        <v>0</v>
      </c>
      <c r="AU4408">
        <v>0</v>
      </c>
      <c r="AW4408">
        <v>0</v>
      </c>
      <c r="AX4408">
        <v>0</v>
      </c>
      <c r="AY4408">
        <v>70</v>
      </c>
      <c r="BC4408" t="str">
        <f t="shared" si="588"/>
        <v>9791137606975</v>
      </c>
      <c r="BE4408" t="str">
        <f t="shared" si="589"/>
        <v>BL 웹소설 &gt; 현대물</v>
      </c>
    </row>
    <row r="4409" spans="1:57" x14ac:dyDescent="0.3">
      <c r="A4409">
        <v>2313019814</v>
      </c>
      <c r="B4409">
        <v>2313020058</v>
      </c>
      <c r="C4409" t="str">
        <f>T("친구 졸업 71화")</f>
        <v>친구 졸업 71화</v>
      </c>
      <c r="D4409" t="str">
        <f>T("71")</f>
        <v>71</v>
      </c>
      <c r="E4409" t="str">
        <f t="shared" si="585"/>
        <v>세상</v>
      </c>
      <c r="H4409" t="str">
        <f t="shared" si="586"/>
        <v>앰퍼샌드B</v>
      </c>
      <c r="I4409" t="str">
        <f t="shared" si="587"/>
        <v>친구 졸업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/>
      <c r="AQ4409">
        <v>0</v>
      </c>
      <c r="AR4409">
        <v>0</v>
      </c>
      <c r="AT4409">
        <v>0</v>
      </c>
      <c r="AU4409">
        <v>0</v>
      </c>
      <c r="AW4409">
        <v>0</v>
      </c>
      <c r="AX4409">
        <v>0</v>
      </c>
      <c r="AY4409">
        <v>70</v>
      </c>
      <c r="BC4409" t="str">
        <f t="shared" si="588"/>
        <v>9791137606975</v>
      </c>
      <c r="BE4409" t="str">
        <f t="shared" si="589"/>
        <v>BL 웹소설 &gt; 현대물</v>
      </c>
    </row>
    <row r="4410" spans="1:57" x14ac:dyDescent="0.3">
      <c r="A4410">
        <v>2313019814</v>
      </c>
      <c r="B4410">
        <v>2313020059</v>
      </c>
      <c r="C4410" t="str">
        <f>T("친구 졸업 72화")</f>
        <v>친구 졸업 72화</v>
      </c>
      <c r="D4410" t="str">
        <f>T("72")</f>
        <v>72</v>
      </c>
      <c r="E4410" t="str">
        <f t="shared" si="585"/>
        <v>세상</v>
      </c>
      <c r="H4410" t="str">
        <f t="shared" si="586"/>
        <v>앰퍼샌드B</v>
      </c>
      <c r="I4410" t="str">
        <f t="shared" si="587"/>
        <v>친구 졸업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/>
      <c r="AQ4410">
        <v>0</v>
      </c>
      <c r="AR4410">
        <v>0</v>
      </c>
      <c r="AT4410">
        <v>0</v>
      </c>
      <c r="AU4410">
        <v>0</v>
      </c>
      <c r="AW4410">
        <v>0</v>
      </c>
      <c r="AX4410">
        <v>0</v>
      </c>
      <c r="AY4410">
        <v>70</v>
      </c>
      <c r="BC4410" t="str">
        <f t="shared" si="588"/>
        <v>9791137606975</v>
      </c>
      <c r="BE4410" t="str">
        <f t="shared" si="589"/>
        <v>BL 웹소설 &gt; 현대물</v>
      </c>
    </row>
    <row r="4411" spans="1:57" x14ac:dyDescent="0.3">
      <c r="A4411">
        <v>2313019814</v>
      </c>
      <c r="B4411">
        <v>2313020060</v>
      </c>
      <c r="C4411" t="str">
        <f>T("친구 졸업 73화")</f>
        <v>친구 졸업 73화</v>
      </c>
      <c r="D4411" t="str">
        <f>T("73")</f>
        <v>73</v>
      </c>
      <c r="E4411" t="str">
        <f t="shared" si="585"/>
        <v>세상</v>
      </c>
      <c r="H4411" t="str">
        <f t="shared" si="586"/>
        <v>앰퍼샌드B</v>
      </c>
      <c r="I4411" t="str">
        <f t="shared" si="587"/>
        <v>친구 졸업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/>
      <c r="AQ4411">
        <v>0</v>
      </c>
      <c r="AR4411">
        <v>0</v>
      </c>
      <c r="AT4411">
        <v>0</v>
      </c>
      <c r="AU4411">
        <v>0</v>
      </c>
      <c r="AW4411">
        <v>0</v>
      </c>
      <c r="AX4411">
        <v>0</v>
      </c>
      <c r="AY4411">
        <v>70</v>
      </c>
      <c r="BC4411" t="str">
        <f t="shared" si="588"/>
        <v>9791137606975</v>
      </c>
      <c r="BE4411" t="str">
        <f t="shared" si="589"/>
        <v>BL 웹소설 &gt; 현대물</v>
      </c>
    </row>
    <row r="4412" spans="1:57" x14ac:dyDescent="0.3">
      <c r="A4412">
        <v>2313019814</v>
      </c>
      <c r="B4412">
        <v>2313020061</v>
      </c>
      <c r="C4412" t="str">
        <f>T("친구 졸업 74화")</f>
        <v>친구 졸업 74화</v>
      </c>
      <c r="D4412" t="str">
        <f>T("74")</f>
        <v>74</v>
      </c>
      <c r="E4412" t="str">
        <f t="shared" si="585"/>
        <v>세상</v>
      </c>
      <c r="H4412" t="str">
        <f t="shared" si="586"/>
        <v>앰퍼샌드B</v>
      </c>
      <c r="I4412" t="str">
        <f t="shared" si="587"/>
        <v>친구 졸업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/>
      <c r="AQ4412">
        <v>0</v>
      </c>
      <c r="AR4412">
        <v>0</v>
      </c>
      <c r="AT4412">
        <v>0</v>
      </c>
      <c r="AU4412">
        <v>0</v>
      </c>
      <c r="AW4412">
        <v>0</v>
      </c>
      <c r="AX4412">
        <v>0</v>
      </c>
      <c r="AY4412">
        <v>70</v>
      </c>
      <c r="BC4412" t="str">
        <f t="shared" si="588"/>
        <v>9791137606975</v>
      </c>
      <c r="BE4412" t="str">
        <f t="shared" si="589"/>
        <v>BL 웹소설 &gt; 현대물</v>
      </c>
    </row>
    <row r="4413" spans="1:57" x14ac:dyDescent="0.3">
      <c r="A4413">
        <v>2313019814</v>
      </c>
      <c r="B4413">
        <v>2313020062</v>
      </c>
      <c r="C4413" t="str">
        <f>T("친구 졸업 75화")</f>
        <v>친구 졸업 75화</v>
      </c>
      <c r="D4413" t="str">
        <f>T("75")</f>
        <v>75</v>
      </c>
      <c r="E4413" t="str">
        <f t="shared" si="585"/>
        <v>세상</v>
      </c>
      <c r="H4413" t="str">
        <f t="shared" si="586"/>
        <v>앰퍼샌드B</v>
      </c>
      <c r="I4413" t="str">
        <f t="shared" si="587"/>
        <v>친구 졸업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/>
      <c r="AQ4413">
        <v>0</v>
      </c>
      <c r="AR4413">
        <v>0</v>
      </c>
      <c r="AT4413">
        <v>0</v>
      </c>
      <c r="AU4413">
        <v>0</v>
      </c>
      <c r="AW4413">
        <v>0</v>
      </c>
      <c r="AX4413">
        <v>0</v>
      </c>
      <c r="AY4413">
        <v>70</v>
      </c>
      <c r="BC4413" t="str">
        <f t="shared" si="588"/>
        <v>9791137606975</v>
      </c>
      <c r="BE4413" t="str">
        <f t="shared" si="589"/>
        <v>BL 웹소설 &gt; 현대물</v>
      </c>
    </row>
    <row r="4414" spans="1:57" x14ac:dyDescent="0.3">
      <c r="A4414">
        <v>2313019814</v>
      </c>
      <c r="B4414">
        <v>2313020063</v>
      </c>
      <c r="C4414" t="str">
        <f>T("친구 졸업 76화")</f>
        <v>친구 졸업 76화</v>
      </c>
      <c r="D4414" t="str">
        <f>T("76")</f>
        <v>76</v>
      </c>
      <c r="E4414" t="str">
        <f t="shared" si="585"/>
        <v>세상</v>
      </c>
      <c r="H4414" t="str">
        <f t="shared" si="586"/>
        <v>앰퍼샌드B</v>
      </c>
      <c r="I4414" t="str">
        <f t="shared" si="587"/>
        <v>친구 졸업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/>
      <c r="AQ4414">
        <v>0</v>
      </c>
      <c r="AR4414">
        <v>0</v>
      </c>
      <c r="AT4414">
        <v>0</v>
      </c>
      <c r="AU4414">
        <v>0</v>
      </c>
      <c r="AW4414">
        <v>0</v>
      </c>
      <c r="AX4414">
        <v>0</v>
      </c>
      <c r="AY4414">
        <v>70</v>
      </c>
      <c r="BC4414" t="str">
        <f t="shared" si="588"/>
        <v>9791137606975</v>
      </c>
      <c r="BE4414" t="str">
        <f t="shared" si="589"/>
        <v>BL 웹소설 &gt; 현대물</v>
      </c>
    </row>
    <row r="4415" spans="1:57" x14ac:dyDescent="0.3">
      <c r="A4415">
        <v>2313019814</v>
      </c>
      <c r="B4415">
        <v>2313020064</v>
      </c>
      <c r="C4415" t="str">
        <f>T("친구 졸업 77화")</f>
        <v>친구 졸업 77화</v>
      </c>
      <c r="D4415" t="str">
        <f>T("77")</f>
        <v>77</v>
      </c>
      <c r="E4415" t="str">
        <f t="shared" si="585"/>
        <v>세상</v>
      </c>
      <c r="H4415" t="str">
        <f t="shared" si="586"/>
        <v>앰퍼샌드B</v>
      </c>
      <c r="I4415" t="str">
        <f t="shared" si="587"/>
        <v>친구 졸업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/>
      <c r="AQ4415">
        <v>0</v>
      </c>
      <c r="AR4415">
        <v>0</v>
      </c>
      <c r="AT4415">
        <v>0</v>
      </c>
      <c r="AU4415">
        <v>0</v>
      </c>
      <c r="AW4415">
        <v>0</v>
      </c>
      <c r="AX4415">
        <v>0</v>
      </c>
      <c r="AY4415">
        <v>70</v>
      </c>
      <c r="BC4415" t="str">
        <f t="shared" si="588"/>
        <v>9791137606975</v>
      </c>
      <c r="BE4415" t="str">
        <f t="shared" si="589"/>
        <v>BL 웹소설 &gt; 현대물</v>
      </c>
    </row>
    <row r="4416" spans="1:57" x14ac:dyDescent="0.3">
      <c r="A4416">
        <v>2313019814</v>
      </c>
      <c r="B4416">
        <v>2313020065</v>
      </c>
      <c r="C4416" t="str">
        <f>T("친구 졸업 78화")</f>
        <v>친구 졸업 78화</v>
      </c>
      <c r="D4416" t="str">
        <f>T("78")</f>
        <v>78</v>
      </c>
      <c r="E4416" t="str">
        <f t="shared" si="585"/>
        <v>세상</v>
      </c>
      <c r="H4416" t="str">
        <f t="shared" si="586"/>
        <v>앰퍼샌드B</v>
      </c>
      <c r="I4416" t="str">
        <f t="shared" si="587"/>
        <v>친구 졸업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/>
      <c r="AQ4416">
        <v>0</v>
      </c>
      <c r="AR4416">
        <v>0</v>
      </c>
      <c r="AT4416">
        <v>0</v>
      </c>
      <c r="AU4416">
        <v>0</v>
      </c>
      <c r="AW4416">
        <v>0</v>
      </c>
      <c r="AX4416">
        <v>0</v>
      </c>
      <c r="AY4416">
        <v>70</v>
      </c>
      <c r="BC4416" t="str">
        <f t="shared" si="588"/>
        <v>9791137606975</v>
      </c>
      <c r="BE4416" t="str">
        <f t="shared" si="589"/>
        <v>BL 웹소설 &gt; 현대물</v>
      </c>
    </row>
    <row r="4417" spans="1:57" x14ac:dyDescent="0.3">
      <c r="A4417">
        <v>2313019814</v>
      </c>
      <c r="B4417">
        <v>2313020066</v>
      </c>
      <c r="C4417" t="str">
        <f>T("친구 졸업 79화")</f>
        <v>친구 졸업 79화</v>
      </c>
      <c r="D4417" t="str">
        <f>T("79")</f>
        <v>79</v>
      </c>
      <c r="E4417" t="str">
        <f t="shared" si="585"/>
        <v>세상</v>
      </c>
      <c r="H4417" t="str">
        <f t="shared" si="586"/>
        <v>앰퍼샌드B</v>
      </c>
      <c r="I4417" t="str">
        <f t="shared" si="587"/>
        <v>친구 졸업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/>
      <c r="AQ4417">
        <v>0</v>
      </c>
      <c r="AR4417">
        <v>0</v>
      </c>
      <c r="AT4417">
        <v>0</v>
      </c>
      <c r="AU4417">
        <v>0</v>
      </c>
      <c r="AW4417">
        <v>0</v>
      </c>
      <c r="AX4417">
        <v>0</v>
      </c>
      <c r="AY4417">
        <v>70</v>
      </c>
      <c r="BC4417" t="str">
        <f t="shared" si="588"/>
        <v>9791137606975</v>
      </c>
      <c r="BE4417" t="str">
        <f t="shared" si="589"/>
        <v>BL 웹소설 &gt; 현대물</v>
      </c>
    </row>
    <row r="4418" spans="1:57" x14ac:dyDescent="0.3">
      <c r="A4418">
        <v>2313019814</v>
      </c>
      <c r="B4418">
        <v>2313020067</v>
      </c>
      <c r="C4418" t="str">
        <f>T("친구 졸업 80화")</f>
        <v>친구 졸업 80화</v>
      </c>
      <c r="D4418" t="str">
        <f>T("80")</f>
        <v>80</v>
      </c>
      <c r="E4418" t="str">
        <f t="shared" si="585"/>
        <v>세상</v>
      </c>
      <c r="H4418" t="str">
        <f t="shared" si="586"/>
        <v>앰퍼샌드B</v>
      </c>
      <c r="I4418" t="str">
        <f t="shared" si="587"/>
        <v>친구 졸업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1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/>
      <c r="AQ4418">
        <v>0</v>
      </c>
      <c r="AR4418">
        <v>0</v>
      </c>
      <c r="AT4418">
        <v>0</v>
      </c>
      <c r="AU4418">
        <v>0</v>
      </c>
      <c r="AW4418">
        <v>0</v>
      </c>
      <c r="AX4418">
        <v>0</v>
      </c>
      <c r="AY4418">
        <v>70</v>
      </c>
      <c r="BC4418" t="str">
        <f t="shared" si="588"/>
        <v>9791137606975</v>
      </c>
      <c r="BE4418" t="str">
        <f t="shared" si="589"/>
        <v>BL 웹소설 &gt; 현대물</v>
      </c>
    </row>
    <row r="4419" spans="1:57" x14ac:dyDescent="0.3">
      <c r="A4419">
        <v>2313019814</v>
      </c>
      <c r="B4419">
        <v>2313020068</v>
      </c>
      <c r="C4419" t="str">
        <f>T("친구 졸업 81화")</f>
        <v>친구 졸업 81화</v>
      </c>
      <c r="D4419" t="str">
        <f>T("81")</f>
        <v>81</v>
      </c>
      <c r="E4419" t="str">
        <f t="shared" si="585"/>
        <v>세상</v>
      </c>
      <c r="H4419" t="str">
        <f t="shared" si="586"/>
        <v>앰퍼샌드B</v>
      </c>
      <c r="I4419" t="str">
        <f t="shared" si="587"/>
        <v>친구 졸업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1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/>
      <c r="AQ4419">
        <v>0</v>
      </c>
      <c r="AR4419">
        <v>0</v>
      </c>
      <c r="AT4419">
        <v>0</v>
      </c>
      <c r="AU4419">
        <v>0</v>
      </c>
      <c r="AW4419">
        <v>0</v>
      </c>
      <c r="AX4419">
        <v>0</v>
      </c>
      <c r="AY4419">
        <v>70</v>
      </c>
      <c r="BC4419" t="str">
        <f t="shared" si="588"/>
        <v>9791137606975</v>
      </c>
      <c r="BE4419" t="str">
        <f t="shared" si="589"/>
        <v>BL 웹소설 &gt; 현대물</v>
      </c>
    </row>
    <row r="4420" spans="1:57" x14ac:dyDescent="0.3">
      <c r="A4420">
        <v>2313019814</v>
      </c>
      <c r="B4420">
        <v>2313020069</v>
      </c>
      <c r="C4420" t="str">
        <f>T("친구 졸업 82화")</f>
        <v>친구 졸업 82화</v>
      </c>
      <c r="D4420" t="str">
        <f>T("82")</f>
        <v>82</v>
      </c>
      <c r="E4420" t="str">
        <f t="shared" si="585"/>
        <v>세상</v>
      </c>
      <c r="H4420" t="str">
        <f t="shared" si="586"/>
        <v>앰퍼샌드B</v>
      </c>
      <c r="I4420" t="str">
        <f t="shared" si="587"/>
        <v>친구 졸업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/>
      <c r="AQ4420">
        <v>0</v>
      </c>
      <c r="AR4420">
        <v>0</v>
      </c>
      <c r="AT4420">
        <v>0</v>
      </c>
      <c r="AU4420">
        <v>0</v>
      </c>
      <c r="AW4420">
        <v>0</v>
      </c>
      <c r="AX4420">
        <v>0</v>
      </c>
      <c r="AY4420">
        <v>70</v>
      </c>
      <c r="BC4420" t="str">
        <f t="shared" si="588"/>
        <v>9791137606975</v>
      </c>
      <c r="BE4420" t="str">
        <f t="shared" si="589"/>
        <v>BL 웹소설 &gt; 현대물</v>
      </c>
    </row>
    <row r="4421" spans="1:57" x14ac:dyDescent="0.3">
      <c r="A4421">
        <v>2313019814</v>
      </c>
      <c r="B4421">
        <v>2313020070</v>
      </c>
      <c r="C4421" t="str">
        <f>T("친구 졸업 83화")</f>
        <v>친구 졸업 83화</v>
      </c>
      <c r="D4421" t="str">
        <f>T("83")</f>
        <v>83</v>
      </c>
      <c r="E4421" t="str">
        <f t="shared" si="585"/>
        <v>세상</v>
      </c>
      <c r="H4421" t="str">
        <f t="shared" si="586"/>
        <v>앰퍼샌드B</v>
      </c>
      <c r="I4421" t="str">
        <f t="shared" si="587"/>
        <v>친구 졸업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/>
      <c r="AQ4421">
        <v>0</v>
      </c>
      <c r="AR4421">
        <v>0</v>
      </c>
      <c r="AT4421">
        <v>0</v>
      </c>
      <c r="AU4421">
        <v>0</v>
      </c>
      <c r="AW4421">
        <v>0</v>
      </c>
      <c r="AX4421">
        <v>0</v>
      </c>
      <c r="AY4421">
        <v>70</v>
      </c>
      <c r="BC4421" t="str">
        <f t="shared" si="588"/>
        <v>9791137606975</v>
      </c>
      <c r="BE4421" t="str">
        <f t="shared" si="589"/>
        <v>BL 웹소설 &gt; 현대물</v>
      </c>
    </row>
    <row r="4422" spans="1:57" x14ac:dyDescent="0.3">
      <c r="A4422">
        <v>2313019814</v>
      </c>
      <c r="B4422">
        <v>2313020071</v>
      </c>
      <c r="C4422" t="str">
        <f>T("친구 졸업 84화")</f>
        <v>친구 졸업 84화</v>
      </c>
      <c r="D4422" t="str">
        <f>T("84")</f>
        <v>84</v>
      </c>
      <c r="E4422" t="str">
        <f t="shared" si="585"/>
        <v>세상</v>
      </c>
      <c r="H4422" t="str">
        <f t="shared" si="586"/>
        <v>앰퍼샌드B</v>
      </c>
      <c r="I4422" t="str">
        <f t="shared" si="587"/>
        <v>친구 졸업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/>
      <c r="AQ4422">
        <v>0</v>
      </c>
      <c r="AR4422">
        <v>0</v>
      </c>
      <c r="AT4422">
        <v>0</v>
      </c>
      <c r="AU4422">
        <v>0</v>
      </c>
      <c r="AW4422">
        <v>0</v>
      </c>
      <c r="AX4422">
        <v>0</v>
      </c>
      <c r="AY4422">
        <v>70</v>
      </c>
      <c r="BC4422" t="str">
        <f t="shared" si="588"/>
        <v>9791137606975</v>
      </c>
      <c r="BE4422" t="str">
        <f t="shared" si="589"/>
        <v>BL 웹소설 &gt; 현대물</v>
      </c>
    </row>
    <row r="4423" spans="1:57" x14ac:dyDescent="0.3">
      <c r="A4423">
        <v>2313019814</v>
      </c>
      <c r="B4423">
        <v>2313020072</v>
      </c>
      <c r="C4423" t="str">
        <f>T("친구 졸업 85화")</f>
        <v>친구 졸업 85화</v>
      </c>
      <c r="D4423" t="str">
        <f>T("85")</f>
        <v>85</v>
      </c>
      <c r="E4423" t="str">
        <f t="shared" si="585"/>
        <v>세상</v>
      </c>
      <c r="H4423" t="str">
        <f t="shared" si="586"/>
        <v>앰퍼샌드B</v>
      </c>
      <c r="I4423" t="str">
        <f t="shared" si="587"/>
        <v>친구 졸업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1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/>
      <c r="AQ4423">
        <v>0</v>
      </c>
      <c r="AR4423">
        <v>0</v>
      </c>
      <c r="AT4423">
        <v>0</v>
      </c>
      <c r="AU4423">
        <v>0</v>
      </c>
      <c r="AW4423">
        <v>0</v>
      </c>
      <c r="AX4423">
        <v>0</v>
      </c>
      <c r="AY4423">
        <v>70</v>
      </c>
      <c r="BC4423" t="str">
        <f t="shared" si="588"/>
        <v>9791137606975</v>
      </c>
      <c r="BE4423" t="str">
        <f t="shared" si="589"/>
        <v>BL 웹소설 &gt; 현대물</v>
      </c>
    </row>
    <row r="4424" spans="1:57" x14ac:dyDescent="0.3">
      <c r="A4424">
        <v>2313019814</v>
      </c>
      <c r="B4424">
        <v>2313020073</v>
      </c>
      <c r="C4424" t="str">
        <f>T("친구 졸업 86화")</f>
        <v>친구 졸업 86화</v>
      </c>
      <c r="D4424" t="str">
        <f>T("86")</f>
        <v>86</v>
      </c>
      <c r="E4424" t="str">
        <f t="shared" si="585"/>
        <v>세상</v>
      </c>
      <c r="H4424" t="str">
        <f t="shared" si="586"/>
        <v>앰퍼샌드B</v>
      </c>
      <c r="I4424" t="str">
        <f t="shared" si="587"/>
        <v>친구 졸업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/>
      <c r="AQ4424">
        <v>0</v>
      </c>
      <c r="AR4424">
        <v>0</v>
      </c>
      <c r="AT4424">
        <v>0</v>
      </c>
      <c r="AU4424">
        <v>0</v>
      </c>
      <c r="AW4424">
        <v>0</v>
      </c>
      <c r="AX4424">
        <v>0</v>
      </c>
      <c r="AY4424">
        <v>70</v>
      </c>
      <c r="BC4424" t="str">
        <f t="shared" si="588"/>
        <v>9791137606975</v>
      </c>
      <c r="BE4424" t="str">
        <f t="shared" si="589"/>
        <v>BL 웹소설 &gt; 현대물</v>
      </c>
    </row>
    <row r="4425" spans="1:57" x14ac:dyDescent="0.3">
      <c r="A4425">
        <v>2313019814</v>
      </c>
      <c r="B4425">
        <v>2313020074</v>
      </c>
      <c r="C4425" t="str">
        <f>T("친구 졸업 87화")</f>
        <v>친구 졸업 87화</v>
      </c>
      <c r="D4425" t="str">
        <f>T("87")</f>
        <v>87</v>
      </c>
      <c r="E4425" t="str">
        <f t="shared" si="585"/>
        <v>세상</v>
      </c>
      <c r="H4425" t="str">
        <f t="shared" si="586"/>
        <v>앰퍼샌드B</v>
      </c>
      <c r="I4425" t="str">
        <f t="shared" si="587"/>
        <v>친구 졸업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/>
      <c r="AQ4425">
        <v>0</v>
      </c>
      <c r="AR4425">
        <v>0</v>
      </c>
      <c r="AT4425">
        <v>0</v>
      </c>
      <c r="AU4425">
        <v>0</v>
      </c>
      <c r="AW4425">
        <v>0</v>
      </c>
      <c r="AX4425">
        <v>0</v>
      </c>
      <c r="AY4425">
        <v>70</v>
      </c>
      <c r="BC4425" t="str">
        <f t="shared" si="588"/>
        <v>9791137606975</v>
      </c>
      <c r="BE4425" t="str">
        <f t="shared" si="589"/>
        <v>BL 웹소설 &gt; 현대물</v>
      </c>
    </row>
    <row r="4426" spans="1:57" x14ac:dyDescent="0.3">
      <c r="A4426">
        <v>2313019814</v>
      </c>
      <c r="B4426">
        <v>2313020075</v>
      </c>
      <c r="C4426" t="str">
        <f>T("친구 졸업 88화")</f>
        <v>친구 졸업 88화</v>
      </c>
      <c r="D4426" t="str">
        <f>T("88")</f>
        <v>88</v>
      </c>
      <c r="E4426" t="str">
        <f t="shared" si="585"/>
        <v>세상</v>
      </c>
      <c r="H4426" t="str">
        <f t="shared" si="586"/>
        <v>앰퍼샌드B</v>
      </c>
      <c r="I4426" t="str">
        <f t="shared" si="587"/>
        <v>친구 졸업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/>
      <c r="AQ4426">
        <v>0</v>
      </c>
      <c r="AR4426">
        <v>0</v>
      </c>
      <c r="AT4426">
        <v>0</v>
      </c>
      <c r="AU4426">
        <v>0</v>
      </c>
      <c r="AW4426">
        <v>0</v>
      </c>
      <c r="AX4426">
        <v>0</v>
      </c>
      <c r="AY4426">
        <v>70</v>
      </c>
      <c r="BC4426" t="str">
        <f t="shared" si="588"/>
        <v>9791137606975</v>
      </c>
      <c r="BE4426" t="str">
        <f t="shared" si="589"/>
        <v>BL 웹소설 &gt; 현대물</v>
      </c>
    </row>
    <row r="4427" spans="1:57" x14ac:dyDescent="0.3">
      <c r="A4427">
        <v>2313019814</v>
      </c>
      <c r="B4427">
        <v>2313020077</v>
      </c>
      <c r="C4427" t="str">
        <f>T("친구 졸업 90화")</f>
        <v>친구 졸업 90화</v>
      </c>
      <c r="D4427" t="str">
        <f>T("90")</f>
        <v>90</v>
      </c>
      <c r="E4427" t="str">
        <f t="shared" si="585"/>
        <v>세상</v>
      </c>
      <c r="H4427" t="str">
        <f t="shared" si="586"/>
        <v>앰퍼샌드B</v>
      </c>
      <c r="I4427" t="str">
        <f t="shared" si="587"/>
        <v>친구 졸업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/>
      <c r="AQ4427">
        <v>0</v>
      </c>
      <c r="AR4427">
        <v>0</v>
      </c>
      <c r="AT4427">
        <v>0</v>
      </c>
      <c r="AU4427">
        <v>0</v>
      </c>
      <c r="AW4427">
        <v>0</v>
      </c>
      <c r="AX4427">
        <v>0</v>
      </c>
      <c r="AY4427">
        <v>70</v>
      </c>
      <c r="BC4427" t="str">
        <f t="shared" si="588"/>
        <v>9791137606975</v>
      </c>
      <c r="BE4427" t="str">
        <f t="shared" si="589"/>
        <v>BL 웹소설 &gt; 현대물</v>
      </c>
    </row>
    <row r="4428" spans="1:57" x14ac:dyDescent="0.3">
      <c r="A4428">
        <v>2313019814</v>
      </c>
      <c r="B4428">
        <v>2313020078</v>
      </c>
      <c r="C4428" t="str">
        <f>T("친구 졸업 91화")</f>
        <v>친구 졸업 91화</v>
      </c>
      <c r="D4428" t="str">
        <f>T("91")</f>
        <v>91</v>
      </c>
      <c r="E4428" t="str">
        <f t="shared" si="585"/>
        <v>세상</v>
      </c>
      <c r="H4428" t="str">
        <f t="shared" si="586"/>
        <v>앰퍼샌드B</v>
      </c>
      <c r="I4428" t="str">
        <f t="shared" si="587"/>
        <v>친구 졸업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/>
      <c r="AQ4428">
        <v>0</v>
      </c>
      <c r="AR4428">
        <v>0</v>
      </c>
      <c r="AT4428">
        <v>0</v>
      </c>
      <c r="AU4428">
        <v>0</v>
      </c>
      <c r="AW4428">
        <v>0</v>
      </c>
      <c r="AX4428">
        <v>0</v>
      </c>
      <c r="AY4428">
        <v>70</v>
      </c>
      <c r="BC4428" t="str">
        <f t="shared" si="588"/>
        <v>9791137606975</v>
      </c>
      <c r="BE4428" t="str">
        <f t="shared" si="589"/>
        <v>BL 웹소설 &gt; 현대물</v>
      </c>
    </row>
    <row r="4429" spans="1:57" x14ac:dyDescent="0.3">
      <c r="A4429">
        <v>2313019814</v>
      </c>
      <c r="B4429">
        <v>2313020079</v>
      </c>
      <c r="C4429" t="str">
        <f>T("친구 졸업 92화")</f>
        <v>친구 졸업 92화</v>
      </c>
      <c r="D4429" t="str">
        <f>T("92")</f>
        <v>92</v>
      </c>
      <c r="E4429" t="str">
        <f t="shared" si="585"/>
        <v>세상</v>
      </c>
      <c r="H4429" t="str">
        <f t="shared" si="586"/>
        <v>앰퍼샌드B</v>
      </c>
      <c r="I4429" t="str">
        <f t="shared" si="587"/>
        <v>친구 졸업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/>
      <c r="AQ4429">
        <v>0</v>
      </c>
      <c r="AR4429">
        <v>0</v>
      </c>
      <c r="AT4429">
        <v>0</v>
      </c>
      <c r="AU4429">
        <v>0</v>
      </c>
      <c r="AW4429">
        <v>0</v>
      </c>
      <c r="AX4429">
        <v>0</v>
      </c>
      <c r="AY4429">
        <v>70</v>
      </c>
      <c r="BC4429" t="str">
        <f t="shared" si="588"/>
        <v>9791137606975</v>
      </c>
      <c r="BE4429" t="str">
        <f t="shared" si="589"/>
        <v>BL 웹소설 &gt; 현대물</v>
      </c>
    </row>
    <row r="4430" spans="1:57" x14ac:dyDescent="0.3">
      <c r="A4430">
        <v>2313020594</v>
      </c>
      <c r="B4430">
        <v>2313020620</v>
      </c>
      <c r="C4430" t="str">
        <f>T("아카데미 속 궁술천재 27화")</f>
        <v>아카데미 속 궁술천재 27화</v>
      </c>
      <c r="D4430" t="str">
        <f>T("27")</f>
        <v>27</v>
      </c>
      <c r="E4430" t="str">
        <f t="shared" ref="E4430:E4455" si="590">T("깡펀치")</f>
        <v>깡펀치</v>
      </c>
      <c r="H4430" t="str">
        <f t="shared" ref="H4430:H4493" si="591">T("스토리위즈")</f>
        <v>스토리위즈</v>
      </c>
      <c r="I4430" t="str">
        <f t="shared" ref="I4430:I4455" si="592">T("아카데미 속 궁술천재")</f>
        <v>아카데미 속 궁술천재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119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120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/>
      <c r="AQ4430">
        <v>0</v>
      </c>
      <c r="AR4430">
        <v>0</v>
      </c>
      <c r="AT4430">
        <v>0</v>
      </c>
      <c r="AU4430">
        <v>0</v>
      </c>
      <c r="AW4430">
        <v>0</v>
      </c>
      <c r="AX4430">
        <v>0</v>
      </c>
      <c r="AY4430">
        <v>70</v>
      </c>
      <c r="BC4430" t="str">
        <f t="shared" ref="BC4430:BC4455" si="593">T("9791137602915")</f>
        <v>9791137602915</v>
      </c>
      <c r="BE4430" t="str">
        <f t="shared" ref="BE4430:BE4493" si="594">T("판타지 웹소설 &gt; 퓨전 판타지")</f>
        <v>판타지 웹소설 &gt; 퓨전 판타지</v>
      </c>
    </row>
    <row r="4431" spans="1:57" x14ac:dyDescent="0.3">
      <c r="A4431">
        <v>2313020594</v>
      </c>
      <c r="B4431">
        <v>2313020624</v>
      </c>
      <c r="C4431" t="str">
        <f>T("아카데미 속 궁술천재 31화")</f>
        <v>아카데미 속 궁술천재 31화</v>
      </c>
      <c r="D4431" t="str">
        <f>T("31")</f>
        <v>31</v>
      </c>
      <c r="E4431" t="str">
        <f t="shared" si="590"/>
        <v>깡펀치</v>
      </c>
      <c r="H4431" t="str">
        <f t="shared" si="591"/>
        <v>스토리위즈</v>
      </c>
      <c r="I4431" t="str">
        <f t="shared" si="592"/>
        <v>아카데미 속 궁술천재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109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110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/>
      <c r="AQ4431">
        <v>0</v>
      </c>
      <c r="AR4431">
        <v>0</v>
      </c>
      <c r="AT4431">
        <v>0</v>
      </c>
      <c r="AU4431">
        <v>0</v>
      </c>
      <c r="AW4431">
        <v>0</v>
      </c>
      <c r="AX4431">
        <v>0</v>
      </c>
      <c r="AY4431">
        <v>70</v>
      </c>
      <c r="BC4431" t="str">
        <f t="shared" si="593"/>
        <v>9791137602915</v>
      </c>
      <c r="BE4431" t="str">
        <f t="shared" si="594"/>
        <v>판타지 웹소설 &gt; 퓨전 판타지</v>
      </c>
    </row>
    <row r="4432" spans="1:57" x14ac:dyDescent="0.3">
      <c r="A4432">
        <v>2313020594</v>
      </c>
      <c r="B4432">
        <v>2313020625</v>
      </c>
      <c r="C4432" t="str">
        <f>T("아카데미 속 궁술천재 32화")</f>
        <v>아카데미 속 궁술천재 32화</v>
      </c>
      <c r="D4432" t="str">
        <f>T("32")</f>
        <v>32</v>
      </c>
      <c r="E4432" t="str">
        <f t="shared" si="590"/>
        <v>깡펀치</v>
      </c>
      <c r="H4432" t="str">
        <f t="shared" si="591"/>
        <v>스토리위즈</v>
      </c>
      <c r="I4432" t="str">
        <f t="shared" si="592"/>
        <v>아카데미 속 궁술천재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109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110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/>
      <c r="AQ4432">
        <v>0</v>
      </c>
      <c r="AR4432">
        <v>0</v>
      </c>
      <c r="AT4432">
        <v>0</v>
      </c>
      <c r="AU4432">
        <v>0</v>
      </c>
      <c r="AW4432">
        <v>0</v>
      </c>
      <c r="AX4432">
        <v>0</v>
      </c>
      <c r="AY4432">
        <v>70</v>
      </c>
      <c r="BC4432" t="str">
        <f t="shared" si="593"/>
        <v>9791137602915</v>
      </c>
      <c r="BE4432" t="str">
        <f t="shared" si="594"/>
        <v>판타지 웹소설 &gt; 퓨전 판타지</v>
      </c>
    </row>
    <row r="4433" spans="1:57" x14ac:dyDescent="0.3">
      <c r="A4433">
        <v>2313020594</v>
      </c>
      <c r="B4433">
        <v>2313020626</v>
      </c>
      <c r="C4433" t="str">
        <f>T("아카데미 속 궁술천재 33화")</f>
        <v>아카데미 속 궁술천재 33화</v>
      </c>
      <c r="D4433" t="str">
        <f>T("33")</f>
        <v>33</v>
      </c>
      <c r="E4433" t="str">
        <f t="shared" si="590"/>
        <v>깡펀치</v>
      </c>
      <c r="H4433" t="str">
        <f t="shared" si="591"/>
        <v>스토리위즈</v>
      </c>
      <c r="I4433" t="str">
        <f t="shared" si="592"/>
        <v>아카데미 속 궁술천재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109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110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/>
      <c r="AQ4433">
        <v>0</v>
      </c>
      <c r="AR4433">
        <v>0</v>
      </c>
      <c r="AT4433">
        <v>0</v>
      </c>
      <c r="AU4433">
        <v>0</v>
      </c>
      <c r="AW4433">
        <v>0</v>
      </c>
      <c r="AX4433">
        <v>0</v>
      </c>
      <c r="AY4433">
        <v>70</v>
      </c>
      <c r="BC4433" t="str">
        <f t="shared" si="593"/>
        <v>9791137602915</v>
      </c>
      <c r="BE4433" t="str">
        <f t="shared" si="594"/>
        <v>판타지 웹소설 &gt; 퓨전 판타지</v>
      </c>
    </row>
    <row r="4434" spans="1:57" x14ac:dyDescent="0.3">
      <c r="A4434">
        <v>2313020594</v>
      </c>
      <c r="B4434">
        <v>2313020627</v>
      </c>
      <c r="C4434" t="str">
        <f>T("아카데미 속 궁술천재 34화")</f>
        <v>아카데미 속 궁술천재 34화</v>
      </c>
      <c r="D4434" t="str">
        <f>T("34")</f>
        <v>34</v>
      </c>
      <c r="E4434" t="str">
        <f t="shared" si="590"/>
        <v>깡펀치</v>
      </c>
      <c r="H4434" t="str">
        <f t="shared" si="591"/>
        <v>스토리위즈</v>
      </c>
      <c r="I4434" t="str">
        <f t="shared" si="592"/>
        <v>아카데미 속 궁술천재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107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108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/>
      <c r="AQ4434">
        <v>0</v>
      </c>
      <c r="AR4434">
        <v>0</v>
      </c>
      <c r="AT4434">
        <v>0</v>
      </c>
      <c r="AU4434">
        <v>0</v>
      </c>
      <c r="AW4434">
        <v>0</v>
      </c>
      <c r="AX4434">
        <v>0</v>
      </c>
      <c r="AY4434">
        <v>70</v>
      </c>
      <c r="BC4434" t="str">
        <f t="shared" si="593"/>
        <v>9791137602915</v>
      </c>
      <c r="BE4434" t="str">
        <f t="shared" si="594"/>
        <v>판타지 웹소설 &gt; 퓨전 판타지</v>
      </c>
    </row>
    <row r="4435" spans="1:57" x14ac:dyDescent="0.3">
      <c r="A4435">
        <v>2313020594</v>
      </c>
      <c r="B4435">
        <v>2313020628</v>
      </c>
      <c r="C4435" t="str">
        <f>T("아카데미 속 궁술천재 35화")</f>
        <v>아카데미 속 궁술천재 35화</v>
      </c>
      <c r="D4435" t="str">
        <f>T("35")</f>
        <v>35</v>
      </c>
      <c r="E4435" t="str">
        <f t="shared" si="590"/>
        <v>깡펀치</v>
      </c>
      <c r="H4435" t="str">
        <f t="shared" si="591"/>
        <v>스토리위즈</v>
      </c>
      <c r="I4435" t="str">
        <f t="shared" si="592"/>
        <v>아카데미 속 궁술천재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107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108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/>
      <c r="AQ4435">
        <v>0</v>
      </c>
      <c r="AR4435">
        <v>0</v>
      </c>
      <c r="AT4435">
        <v>0</v>
      </c>
      <c r="AU4435">
        <v>0</v>
      </c>
      <c r="AW4435">
        <v>0</v>
      </c>
      <c r="AX4435">
        <v>0</v>
      </c>
      <c r="AY4435">
        <v>70</v>
      </c>
      <c r="BC4435" t="str">
        <f t="shared" si="593"/>
        <v>9791137602915</v>
      </c>
      <c r="BE4435" t="str">
        <f t="shared" si="594"/>
        <v>판타지 웹소설 &gt; 퓨전 판타지</v>
      </c>
    </row>
    <row r="4436" spans="1:57" x14ac:dyDescent="0.3">
      <c r="A4436">
        <v>2313020594</v>
      </c>
      <c r="B4436">
        <v>2313020629</v>
      </c>
      <c r="C4436" t="str">
        <f>T("아카데미 속 궁술천재 36화")</f>
        <v>아카데미 속 궁술천재 36화</v>
      </c>
      <c r="D4436" t="str">
        <f>T("36")</f>
        <v>36</v>
      </c>
      <c r="E4436" t="str">
        <f t="shared" si="590"/>
        <v>깡펀치</v>
      </c>
      <c r="H4436" t="str">
        <f t="shared" si="591"/>
        <v>스토리위즈</v>
      </c>
      <c r="I4436" t="str">
        <f t="shared" si="592"/>
        <v>아카데미 속 궁술천재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106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107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/>
      <c r="AQ4436">
        <v>0</v>
      </c>
      <c r="AR4436">
        <v>0</v>
      </c>
      <c r="AT4436">
        <v>0</v>
      </c>
      <c r="AU4436">
        <v>0</v>
      </c>
      <c r="AW4436">
        <v>0</v>
      </c>
      <c r="AX4436">
        <v>0</v>
      </c>
      <c r="AY4436">
        <v>70</v>
      </c>
      <c r="BC4436" t="str">
        <f t="shared" si="593"/>
        <v>9791137602915</v>
      </c>
      <c r="BE4436" t="str">
        <f t="shared" si="594"/>
        <v>판타지 웹소설 &gt; 퓨전 판타지</v>
      </c>
    </row>
    <row r="4437" spans="1:57" x14ac:dyDescent="0.3">
      <c r="A4437">
        <v>2313020594</v>
      </c>
      <c r="B4437">
        <v>2313020630</v>
      </c>
      <c r="C4437" t="str">
        <f>T("아카데미 속 궁술천재 37화")</f>
        <v>아카데미 속 궁술천재 37화</v>
      </c>
      <c r="D4437" t="str">
        <f>T("37")</f>
        <v>37</v>
      </c>
      <c r="E4437" t="str">
        <f t="shared" si="590"/>
        <v>깡펀치</v>
      </c>
      <c r="H4437" t="str">
        <f t="shared" si="591"/>
        <v>스토리위즈</v>
      </c>
      <c r="I4437" t="str">
        <f t="shared" si="592"/>
        <v>아카데미 속 궁술천재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108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109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/>
      <c r="AQ4437">
        <v>0</v>
      </c>
      <c r="AR4437">
        <v>0</v>
      </c>
      <c r="AT4437">
        <v>0</v>
      </c>
      <c r="AU4437">
        <v>0</v>
      </c>
      <c r="AW4437">
        <v>0</v>
      </c>
      <c r="AX4437">
        <v>0</v>
      </c>
      <c r="AY4437">
        <v>70</v>
      </c>
      <c r="BC4437" t="str">
        <f t="shared" si="593"/>
        <v>9791137602915</v>
      </c>
      <c r="BE4437" t="str">
        <f t="shared" si="594"/>
        <v>판타지 웹소설 &gt; 퓨전 판타지</v>
      </c>
    </row>
    <row r="4438" spans="1:57" x14ac:dyDescent="0.3">
      <c r="A4438">
        <v>2313020594</v>
      </c>
      <c r="B4438">
        <v>2313020631</v>
      </c>
      <c r="C4438" t="str">
        <f>T("아카데미 속 궁술천재 38화")</f>
        <v>아카데미 속 궁술천재 38화</v>
      </c>
      <c r="D4438" t="str">
        <f>T("38")</f>
        <v>38</v>
      </c>
      <c r="E4438" t="str">
        <f t="shared" si="590"/>
        <v>깡펀치</v>
      </c>
      <c r="H4438" t="str">
        <f t="shared" si="591"/>
        <v>스토리위즈</v>
      </c>
      <c r="I4438" t="str">
        <f t="shared" si="592"/>
        <v>아카데미 속 궁술천재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107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108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/>
      <c r="AQ4438">
        <v>0</v>
      </c>
      <c r="AR4438">
        <v>0</v>
      </c>
      <c r="AT4438">
        <v>0</v>
      </c>
      <c r="AU4438">
        <v>0</v>
      </c>
      <c r="AW4438">
        <v>0</v>
      </c>
      <c r="AX4438">
        <v>0</v>
      </c>
      <c r="AY4438">
        <v>70</v>
      </c>
      <c r="BC4438" t="str">
        <f t="shared" si="593"/>
        <v>9791137602915</v>
      </c>
      <c r="BE4438" t="str">
        <f t="shared" si="594"/>
        <v>판타지 웹소설 &gt; 퓨전 판타지</v>
      </c>
    </row>
    <row r="4439" spans="1:57" x14ac:dyDescent="0.3">
      <c r="A4439">
        <v>2313020594</v>
      </c>
      <c r="B4439">
        <v>2313020632</v>
      </c>
      <c r="C4439" t="str">
        <f>T("아카데미 속 궁술천재 39화")</f>
        <v>아카데미 속 궁술천재 39화</v>
      </c>
      <c r="D4439" t="str">
        <f>T("39")</f>
        <v>39</v>
      </c>
      <c r="E4439" t="str">
        <f t="shared" si="590"/>
        <v>깡펀치</v>
      </c>
      <c r="H4439" t="str">
        <f t="shared" si="591"/>
        <v>스토리위즈</v>
      </c>
      <c r="I4439" t="str">
        <f t="shared" si="592"/>
        <v>아카데미 속 궁술천재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107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108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/>
      <c r="AQ4439">
        <v>0</v>
      </c>
      <c r="AR4439">
        <v>0</v>
      </c>
      <c r="AT4439">
        <v>0</v>
      </c>
      <c r="AU4439">
        <v>0</v>
      </c>
      <c r="AW4439">
        <v>0</v>
      </c>
      <c r="AX4439">
        <v>0</v>
      </c>
      <c r="AY4439">
        <v>70</v>
      </c>
      <c r="BC4439" t="str">
        <f t="shared" si="593"/>
        <v>9791137602915</v>
      </c>
      <c r="BE4439" t="str">
        <f t="shared" si="594"/>
        <v>판타지 웹소설 &gt; 퓨전 판타지</v>
      </c>
    </row>
    <row r="4440" spans="1:57" x14ac:dyDescent="0.3">
      <c r="A4440">
        <v>2313020594</v>
      </c>
      <c r="B4440">
        <v>2313020633</v>
      </c>
      <c r="C4440" t="str">
        <f>T("아카데미 속 궁술천재 40화")</f>
        <v>아카데미 속 궁술천재 40화</v>
      </c>
      <c r="D4440" t="str">
        <f>T("40")</f>
        <v>40</v>
      </c>
      <c r="E4440" t="str">
        <f t="shared" si="590"/>
        <v>깡펀치</v>
      </c>
      <c r="H4440" t="str">
        <f t="shared" si="591"/>
        <v>스토리위즈</v>
      </c>
      <c r="I4440" t="str">
        <f t="shared" si="592"/>
        <v>아카데미 속 궁술천재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105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106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/>
      <c r="AQ4440">
        <v>0</v>
      </c>
      <c r="AR4440">
        <v>0</v>
      </c>
      <c r="AT4440">
        <v>0</v>
      </c>
      <c r="AU4440">
        <v>0</v>
      </c>
      <c r="AW4440">
        <v>0</v>
      </c>
      <c r="AX4440">
        <v>0</v>
      </c>
      <c r="AY4440">
        <v>70</v>
      </c>
      <c r="BC4440" t="str">
        <f t="shared" si="593"/>
        <v>9791137602915</v>
      </c>
      <c r="BE4440" t="str">
        <f t="shared" si="594"/>
        <v>판타지 웹소설 &gt; 퓨전 판타지</v>
      </c>
    </row>
    <row r="4441" spans="1:57" x14ac:dyDescent="0.3">
      <c r="A4441">
        <v>2313020594</v>
      </c>
      <c r="B4441">
        <v>2313020634</v>
      </c>
      <c r="C4441" t="str">
        <f>T("아카데미 속 궁술천재 41화")</f>
        <v>아카데미 속 궁술천재 41화</v>
      </c>
      <c r="D4441" t="str">
        <f>T("41")</f>
        <v>41</v>
      </c>
      <c r="E4441" t="str">
        <f t="shared" si="590"/>
        <v>깡펀치</v>
      </c>
      <c r="H4441" t="str">
        <f t="shared" si="591"/>
        <v>스토리위즈</v>
      </c>
      <c r="I4441" t="str">
        <f t="shared" si="592"/>
        <v>아카데미 속 궁술천재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106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107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/>
      <c r="AQ4441">
        <v>0</v>
      </c>
      <c r="AR4441">
        <v>0</v>
      </c>
      <c r="AT4441">
        <v>0</v>
      </c>
      <c r="AU4441">
        <v>0</v>
      </c>
      <c r="AW4441">
        <v>0</v>
      </c>
      <c r="AX4441">
        <v>0</v>
      </c>
      <c r="AY4441">
        <v>70</v>
      </c>
      <c r="BC4441" t="str">
        <f t="shared" si="593"/>
        <v>9791137602915</v>
      </c>
      <c r="BE4441" t="str">
        <f t="shared" si="594"/>
        <v>판타지 웹소설 &gt; 퓨전 판타지</v>
      </c>
    </row>
    <row r="4442" spans="1:57" x14ac:dyDescent="0.3">
      <c r="A4442">
        <v>2313020594</v>
      </c>
      <c r="B4442">
        <v>2313020757</v>
      </c>
      <c r="C4442" t="str">
        <f>T("아카데미 속 궁술천재 164화")</f>
        <v>아카데미 속 궁술천재 164화</v>
      </c>
      <c r="D4442" t="str">
        <f>T("164")</f>
        <v>164</v>
      </c>
      <c r="E4442" t="str">
        <f t="shared" si="590"/>
        <v>깡펀치</v>
      </c>
      <c r="H4442" t="str">
        <f t="shared" si="591"/>
        <v>스토리위즈</v>
      </c>
      <c r="I4442" t="str">
        <f t="shared" si="592"/>
        <v>아카데미 속 궁술천재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/>
      <c r="AQ4442">
        <v>0</v>
      </c>
      <c r="AR4442">
        <v>0</v>
      </c>
      <c r="AT4442">
        <v>0</v>
      </c>
      <c r="AU4442">
        <v>0</v>
      </c>
      <c r="AW4442">
        <v>0</v>
      </c>
      <c r="AX4442">
        <v>0</v>
      </c>
      <c r="AY4442">
        <v>70</v>
      </c>
      <c r="BC4442" t="str">
        <f t="shared" si="593"/>
        <v>9791137602915</v>
      </c>
      <c r="BE4442" t="str">
        <f t="shared" si="594"/>
        <v>판타지 웹소설 &gt; 퓨전 판타지</v>
      </c>
    </row>
    <row r="4443" spans="1:57" x14ac:dyDescent="0.3">
      <c r="A4443">
        <v>2313020594</v>
      </c>
      <c r="B4443">
        <v>2313020773</v>
      </c>
      <c r="C4443" t="str">
        <f>T("아카데미 속 궁술천재 180화")</f>
        <v>아카데미 속 궁술천재 180화</v>
      </c>
      <c r="D4443" t="str">
        <f>T("180")</f>
        <v>180</v>
      </c>
      <c r="E4443" t="str">
        <f t="shared" si="590"/>
        <v>깡펀치</v>
      </c>
      <c r="H4443" t="str">
        <f t="shared" si="591"/>
        <v>스토리위즈</v>
      </c>
      <c r="I4443" t="str">
        <f t="shared" si="592"/>
        <v>아카데미 속 궁술천재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/>
      <c r="AQ4443">
        <v>0</v>
      </c>
      <c r="AR4443">
        <v>0</v>
      </c>
      <c r="AT4443">
        <v>0</v>
      </c>
      <c r="AU4443">
        <v>0</v>
      </c>
      <c r="AW4443">
        <v>0</v>
      </c>
      <c r="AX4443">
        <v>0</v>
      </c>
      <c r="AY4443">
        <v>70</v>
      </c>
      <c r="BC4443" t="str">
        <f t="shared" si="593"/>
        <v>9791137602915</v>
      </c>
      <c r="BE4443" t="str">
        <f t="shared" si="594"/>
        <v>판타지 웹소설 &gt; 퓨전 판타지</v>
      </c>
    </row>
    <row r="4444" spans="1:57" x14ac:dyDescent="0.3">
      <c r="A4444">
        <v>2313020594</v>
      </c>
      <c r="B4444">
        <v>2313020774</v>
      </c>
      <c r="C4444" t="str">
        <f>T("아카데미 속 궁술천재 181화")</f>
        <v>아카데미 속 궁술천재 181화</v>
      </c>
      <c r="D4444" t="str">
        <f>T("181")</f>
        <v>181</v>
      </c>
      <c r="E4444" t="str">
        <f t="shared" si="590"/>
        <v>깡펀치</v>
      </c>
      <c r="H4444" t="str">
        <f t="shared" si="591"/>
        <v>스토리위즈</v>
      </c>
      <c r="I4444" t="str">
        <f t="shared" si="592"/>
        <v>아카데미 속 궁술천재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/>
      <c r="AQ4444">
        <v>0</v>
      </c>
      <c r="AR4444">
        <v>0</v>
      </c>
      <c r="AT4444">
        <v>0</v>
      </c>
      <c r="AU4444">
        <v>0</v>
      </c>
      <c r="AW4444">
        <v>0</v>
      </c>
      <c r="AX4444">
        <v>0</v>
      </c>
      <c r="AY4444">
        <v>70</v>
      </c>
      <c r="BC4444" t="str">
        <f t="shared" si="593"/>
        <v>9791137602915</v>
      </c>
      <c r="BE4444" t="str">
        <f t="shared" si="594"/>
        <v>판타지 웹소설 &gt; 퓨전 판타지</v>
      </c>
    </row>
    <row r="4445" spans="1:57" x14ac:dyDescent="0.3">
      <c r="A4445">
        <v>2313020594</v>
      </c>
      <c r="B4445">
        <v>2313020783</v>
      </c>
      <c r="C4445" t="str">
        <f>T("아카데미 속 궁술천재 190화 (외전 3화)")</f>
        <v>아카데미 속 궁술천재 190화 (외전 3화)</v>
      </c>
      <c r="D4445" t="str">
        <f>T("190")</f>
        <v>190</v>
      </c>
      <c r="E4445" t="str">
        <f t="shared" si="590"/>
        <v>깡펀치</v>
      </c>
      <c r="H4445" t="str">
        <f t="shared" si="591"/>
        <v>스토리위즈</v>
      </c>
      <c r="I4445" t="str">
        <f t="shared" si="592"/>
        <v>아카데미 속 궁술천재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/>
      <c r="AQ4445">
        <v>0</v>
      </c>
      <c r="AR4445">
        <v>0</v>
      </c>
      <c r="AT4445">
        <v>0</v>
      </c>
      <c r="AU4445">
        <v>0</v>
      </c>
      <c r="AW4445">
        <v>0</v>
      </c>
      <c r="AX4445">
        <v>0</v>
      </c>
      <c r="AY4445">
        <v>70</v>
      </c>
      <c r="BC4445" t="str">
        <f t="shared" si="593"/>
        <v>9791137602915</v>
      </c>
      <c r="BE4445" t="str">
        <f t="shared" si="594"/>
        <v>판타지 웹소설 &gt; 퓨전 판타지</v>
      </c>
    </row>
    <row r="4446" spans="1:57" x14ac:dyDescent="0.3">
      <c r="A4446">
        <v>2313020594</v>
      </c>
      <c r="B4446">
        <v>2313020784</v>
      </c>
      <c r="C4446" t="str">
        <f>T("아카데미 속 궁술천재 191화 (외전 4화)")</f>
        <v>아카데미 속 궁술천재 191화 (외전 4화)</v>
      </c>
      <c r="D4446" t="str">
        <f>T("191")</f>
        <v>191</v>
      </c>
      <c r="E4446" t="str">
        <f t="shared" si="590"/>
        <v>깡펀치</v>
      </c>
      <c r="H4446" t="str">
        <f t="shared" si="591"/>
        <v>스토리위즈</v>
      </c>
      <c r="I4446" t="str">
        <f t="shared" si="592"/>
        <v>아카데미 속 궁술천재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/>
      <c r="AQ4446">
        <v>0</v>
      </c>
      <c r="AR4446">
        <v>0</v>
      </c>
      <c r="AT4446">
        <v>0</v>
      </c>
      <c r="AU4446">
        <v>0</v>
      </c>
      <c r="AW4446">
        <v>0</v>
      </c>
      <c r="AX4446">
        <v>0</v>
      </c>
      <c r="AY4446">
        <v>70</v>
      </c>
      <c r="BC4446" t="str">
        <f t="shared" si="593"/>
        <v>9791137602915</v>
      </c>
      <c r="BE4446" t="str">
        <f t="shared" si="594"/>
        <v>판타지 웹소설 &gt; 퓨전 판타지</v>
      </c>
    </row>
    <row r="4447" spans="1:57" x14ac:dyDescent="0.3">
      <c r="A4447">
        <v>2313020594</v>
      </c>
      <c r="B4447">
        <v>2313020785</v>
      </c>
      <c r="C4447" t="str">
        <f>T("아카데미 속 궁술천재 192화 (외전 5화)")</f>
        <v>아카데미 속 궁술천재 192화 (외전 5화)</v>
      </c>
      <c r="D4447" t="str">
        <f>T("192")</f>
        <v>192</v>
      </c>
      <c r="E4447" t="str">
        <f t="shared" si="590"/>
        <v>깡펀치</v>
      </c>
      <c r="H4447" t="str">
        <f t="shared" si="591"/>
        <v>스토리위즈</v>
      </c>
      <c r="I4447" t="str">
        <f t="shared" si="592"/>
        <v>아카데미 속 궁술천재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/>
      <c r="AQ4447">
        <v>0</v>
      </c>
      <c r="AR4447">
        <v>0</v>
      </c>
      <c r="AT4447">
        <v>0</v>
      </c>
      <c r="AU4447">
        <v>0</v>
      </c>
      <c r="AW4447">
        <v>0</v>
      </c>
      <c r="AX4447">
        <v>0</v>
      </c>
      <c r="AY4447">
        <v>70</v>
      </c>
      <c r="BC4447" t="str">
        <f t="shared" si="593"/>
        <v>9791137602915</v>
      </c>
      <c r="BE4447" t="str">
        <f t="shared" si="594"/>
        <v>판타지 웹소설 &gt; 퓨전 판타지</v>
      </c>
    </row>
    <row r="4448" spans="1:57" x14ac:dyDescent="0.3">
      <c r="A4448">
        <v>2313020594</v>
      </c>
      <c r="B4448">
        <v>2313020786</v>
      </c>
      <c r="C4448" t="str">
        <f>T("아카데미 속 궁술천재 193화 (외전 6화)")</f>
        <v>아카데미 속 궁술천재 193화 (외전 6화)</v>
      </c>
      <c r="D4448" t="str">
        <f>T("193")</f>
        <v>193</v>
      </c>
      <c r="E4448" t="str">
        <f t="shared" si="590"/>
        <v>깡펀치</v>
      </c>
      <c r="H4448" t="str">
        <f t="shared" si="591"/>
        <v>스토리위즈</v>
      </c>
      <c r="I4448" t="str">
        <f t="shared" si="592"/>
        <v>아카데미 속 궁술천재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/>
      <c r="AQ4448">
        <v>0</v>
      </c>
      <c r="AR4448">
        <v>0</v>
      </c>
      <c r="AT4448">
        <v>0</v>
      </c>
      <c r="AU4448">
        <v>0</v>
      </c>
      <c r="AW4448">
        <v>0</v>
      </c>
      <c r="AX4448">
        <v>0</v>
      </c>
      <c r="AY4448">
        <v>70</v>
      </c>
      <c r="BC4448" t="str">
        <f t="shared" si="593"/>
        <v>9791137602915</v>
      </c>
      <c r="BE4448" t="str">
        <f t="shared" si="594"/>
        <v>판타지 웹소설 &gt; 퓨전 판타지</v>
      </c>
    </row>
    <row r="4449" spans="1:57" x14ac:dyDescent="0.3">
      <c r="A4449">
        <v>2313020594</v>
      </c>
      <c r="B4449">
        <v>2313020787</v>
      </c>
      <c r="C4449" t="str">
        <f>T("아카데미 속 궁술천재 194화 (외전 7화)")</f>
        <v>아카데미 속 궁술천재 194화 (외전 7화)</v>
      </c>
      <c r="D4449" t="str">
        <f>T("194")</f>
        <v>194</v>
      </c>
      <c r="E4449" t="str">
        <f t="shared" si="590"/>
        <v>깡펀치</v>
      </c>
      <c r="H4449" t="str">
        <f t="shared" si="591"/>
        <v>스토리위즈</v>
      </c>
      <c r="I4449" t="str">
        <f t="shared" si="592"/>
        <v>아카데미 속 궁술천재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100</v>
      </c>
      <c r="AH4449">
        <v>1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/>
      <c r="AQ4449">
        <v>0</v>
      </c>
      <c r="AR4449">
        <v>0</v>
      </c>
      <c r="AT4449">
        <v>0</v>
      </c>
      <c r="AU4449">
        <v>0</v>
      </c>
      <c r="AW4449">
        <v>0</v>
      </c>
      <c r="AX4449">
        <v>0</v>
      </c>
      <c r="AY4449">
        <v>70</v>
      </c>
      <c r="BC4449" t="str">
        <f t="shared" si="593"/>
        <v>9791137602915</v>
      </c>
      <c r="BE4449" t="str">
        <f t="shared" si="594"/>
        <v>판타지 웹소설 &gt; 퓨전 판타지</v>
      </c>
    </row>
    <row r="4450" spans="1:57" x14ac:dyDescent="0.3">
      <c r="A4450">
        <v>2313020594</v>
      </c>
      <c r="B4450">
        <v>2313020788</v>
      </c>
      <c r="C4450" t="str">
        <f>T("아카데미 속 궁술천재 195화 (외전 8화)")</f>
        <v>아카데미 속 궁술천재 195화 (외전 8화)</v>
      </c>
      <c r="D4450" t="str">
        <f>T("195")</f>
        <v>195</v>
      </c>
      <c r="E4450" t="str">
        <f t="shared" si="590"/>
        <v>깡펀치</v>
      </c>
      <c r="H4450" t="str">
        <f t="shared" si="591"/>
        <v>스토리위즈</v>
      </c>
      <c r="I4450" t="str">
        <f t="shared" si="592"/>
        <v>아카데미 속 궁술천재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100</v>
      </c>
      <c r="AH4450">
        <v>1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/>
      <c r="AQ4450">
        <v>0</v>
      </c>
      <c r="AR4450">
        <v>0</v>
      </c>
      <c r="AT4450">
        <v>0</v>
      </c>
      <c r="AU4450">
        <v>0</v>
      </c>
      <c r="AW4450">
        <v>0</v>
      </c>
      <c r="AX4450">
        <v>0</v>
      </c>
      <c r="AY4450">
        <v>70</v>
      </c>
      <c r="BC4450" t="str">
        <f t="shared" si="593"/>
        <v>9791137602915</v>
      </c>
      <c r="BE4450" t="str">
        <f t="shared" si="594"/>
        <v>판타지 웹소설 &gt; 퓨전 판타지</v>
      </c>
    </row>
    <row r="4451" spans="1:57" x14ac:dyDescent="0.3">
      <c r="A4451">
        <v>2313020594</v>
      </c>
      <c r="B4451">
        <v>2313020789</v>
      </c>
      <c r="C4451" t="str">
        <f>T("아카데미 속 궁술천재 196화 (외전 9화)")</f>
        <v>아카데미 속 궁술천재 196화 (외전 9화)</v>
      </c>
      <c r="D4451" t="str">
        <f>T("196")</f>
        <v>196</v>
      </c>
      <c r="E4451" t="str">
        <f t="shared" si="590"/>
        <v>깡펀치</v>
      </c>
      <c r="H4451" t="str">
        <f t="shared" si="591"/>
        <v>스토리위즈</v>
      </c>
      <c r="I4451" t="str">
        <f t="shared" si="592"/>
        <v>아카데미 속 궁술천재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</v>
      </c>
      <c r="AH4451">
        <v>1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/>
      <c r="AQ4451">
        <v>0</v>
      </c>
      <c r="AR4451">
        <v>0</v>
      </c>
      <c r="AT4451">
        <v>0</v>
      </c>
      <c r="AU4451">
        <v>0</v>
      </c>
      <c r="AW4451">
        <v>0</v>
      </c>
      <c r="AX4451">
        <v>0</v>
      </c>
      <c r="AY4451">
        <v>70</v>
      </c>
      <c r="BC4451" t="str">
        <f t="shared" si="593"/>
        <v>9791137602915</v>
      </c>
      <c r="BE4451" t="str">
        <f t="shared" si="594"/>
        <v>판타지 웹소설 &gt; 퓨전 판타지</v>
      </c>
    </row>
    <row r="4452" spans="1:57" x14ac:dyDescent="0.3">
      <c r="A4452">
        <v>2313020594</v>
      </c>
      <c r="B4452">
        <v>2313020790</v>
      </c>
      <c r="C4452" t="str">
        <f>T("아카데미 속 궁술천재 197화 (외전 10화)")</f>
        <v>아카데미 속 궁술천재 197화 (외전 10화)</v>
      </c>
      <c r="D4452" t="str">
        <f>T("197")</f>
        <v>197</v>
      </c>
      <c r="E4452" t="str">
        <f t="shared" si="590"/>
        <v>깡펀치</v>
      </c>
      <c r="H4452" t="str">
        <f t="shared" si="591"/>
        <v>스토리위즈</v>
      </c>
      <c r="I4452" t="str">
        <f t="shared" si="592"/>
        <v>아카데미 속 궁술천재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100</v>
      </c>
      <c r="AH4452">
        <v>1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/>
      <c r="AQ4452">
        <v>0</v>
      </c>
      <c r="AR4452">
        <v>0</v>
      </c>
      <c r="AT4452">
        <v>0</v>
      </c>
      <c r="AU4452">
        <v>0</v>
      </c>
      <c r="AW4452">
        <v>0</v>
      </c>
      <c r="AX4452">
        <v>0</v>
      </c>
      <c r="AY4452">
        <v>70</v>
      </c>
      <c r="BC4452" t="str">
        <f t="shared" si="593"/>
        <v>9791137602915</v>
      </c>
      <c r="BE4452" t="str">
        <f t="shared" si="594"/>
        <v>판타지 웹소설 &gt; 퓨전 판타지</v>
      </c>
    </row>
    <row r="4453" spans="1:57" x14ac:dyDescent="0.3">
      <c r="A4453">
        <v>2313020594</v>
      </c>
      <c r="B4453">
        <v>2313020791</v>
      </c>
      <c r="C4453" t="str">
        <f>T("아카데미 속 궁술천재 198화 (외전 11화)")</f>
        <v>아카데미 속 궁술천재 198화 (외전 11화)</v>
      </c>
      <c r="D4453" t="str">
        <f>T("198")</f>
        <v>198</v>
      </c>
      <c r="E4453" t="str">
        <f t="shared" si="590"/>
        <v>깡펀치</v>
      </c>
      <c r="H4453" t="str">
        <f t="shared" si="591"/>
        <v>스토리위즈</v>
      </c>
      <c r="I4453" t="str">
        <f t="shared" si="592"/>
        <v>아카데미 속 궁술천재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100</v>
      </c>
      <c r="AH4453">
        <v>1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/>
      <c r="AQ4453">
        <v>0</v>
      </c>
      <c r="AR4453">
        <v>0</v>
      </c>
      <c r="AT4453">
        <v>0</v>
      </c>
      <c r="AU4453">
        <v>0</v>
      </c>
      <c r="AW4453">
        <v>0</v>
      </c>
      <c r="AX4453">
        <v>0</v>
      </c>
      <c r="AY4453">
        <v>70</v>
      </c>
      <c r="BC4453" t="str">
        <f t="shared" si="593"/>
        <v>9791137602915</v>
      </c>
      <c r="BE4453" t="str">
        <f t="shared" si="594"/>
        <v>판타지 웹소설 &gt; 퓨전 판타지</v>
      </c>
    </row>
    <row r="4454" spans="1:57" x14ac:dyDescent="0.3">
      <c r="A4454">
        <v>2313020594</v>
      </c>
      <c r="B4454">
        <v>2313020792</v>
      </c>
      <c r="C4454" t="str">
        <f>T("아카데미 속 궁술천재 199화 (외전 12화)")</f>
        <v>아카데미 속 궁술천재 199화 (외전 12화)</v>
      </c>
      <c r="D4454" t="str">
        <f>T("199")</f>
        <v>199</v>
      </c>
      <c r="E4454" t="str">
        <f t="shared" si="590"/>
        <v>깡펀치</v>
      </c>
      <c r="H4454" t="str">
        <f t="shared" si="591"/>
        <v>스토리위즈</v>
      </c>
      <c r="I4454" t="str">
        <f t="shared" si="592"/>
        <v>아카데미 속 궁술천재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100</v>
      </c>
      <c r="AH4454">
        <v>1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/>
      <c r="AQ4454">
        <v>0</v>
      </c>
      <c r="AR4454">
        <v>0</v>
      </c>
      <c r="AT4454">
        <v>0</v>
      </c>
      <c r="AU4454">
        <v>0</v>
      </c>
      <c r="AW4454">
        <v>0</v>
      </c>
      <c r="AX4454">
        <v>0</v>
      </c>
      <c r="AY4454">
        <v>70</v>
      </c>
      <c r="BC4454" t="str">
        <f t="shared" si="593"/>
        <v>9791137602915</v>
      </c>
      <c r="BE4454" t="str">
        <f t="shared" si="594"/>
        <v>판타지 웹소설 &gt; 퓨전 판타지</v>
      </c>
    </row>
    <row r="4455" spans="1:57" x14ac:dyDescent="0.3">
      <c r="A4455">
        <v>2313020594</v>
      </c>
      <c r="B4455">
        <v>2313020793</v>
      </c>
      <c r="C4455" t="str">
        <f>T("아카데미 속 궁술천재 200화 (외전 13화)")</f>
        <v>아카데미 속 궁술천재 200화 (외전 13화)</v>
      </c>
      <c r="D4455" t="str">
        <f>T("200")</f>
        <v>200</v>
      </c>
      <c r="E4455" t="str">
        <f t="shared" si="590"/>
        <v>깡펀치</v>
      </c>
      <c r="H4455" t="str">
        <f t="shared" si="591"/>
        <v>스토리위즈</v>
      </c>
      <c r="I4455" t="str">
        <f t="shared" si="592"/>
        <v>아카데미 속 궁술천재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100</v>
      </c>
      <c r="AH4455">
        <v>1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/>
      <c r="AQ4455">
        <v>0</v>
      </c>
      <c r="AR4455">
        <v>0</v>
      </c>
      <c r="AT4455">
        <v>0</v>
      </c>
      <c r="AU4455">
        <v>0</v>
      </c>
      <c r="AW4455">
        <v>0</v>
      </c>
      <c r="AX4455">
        <v>0</v>
      </c>
      <c r="AY4455">
        <v>70</v>
      </c>
      <c r="BC4455" t="str">
        <f t="shared" si="593"/>
        <v>9791137602915</v>
      </c>
      <c r="BE4455" t="str">
        <f t="shared" si="594"/>
        <v>판타지 웹소설 &gt; 퓨전 판타지</v>
      </c>
    </row>
    <row r="4456" spans="1:57" x14ac:dyDescent="0.3">
      <c r="A4456">
        <v>2313020884</v>
      </c>
      <c r="B4456">
        <v>2313020927</v>
      </c>
      <c r="C4456" t="str">
        <f>T("회귀한 헌터가 너무 강함 44화")</f>
        <v>회귀한 헌터가 너무 강함 44화</v>
      </c>
      <c r="D4456" t="str">
        <f>T("44")</f>
        <v>44</v>
      </c>
      <c r="E4456" t="str">
        <f t="shared" ref="E4456:E4519" si="595">T("왕십리글쟁이")</f>
        <v>왕십리글쟁이</v>
      </c>
      <c r="H4456" t="str">
        <f t="shared" si="591"/>
        <v>스토리위즈</v>
      </c>
      <c r="I4456" t="str">
        <f t="shared" ref="I4456:I4519" si="596">T("회귀한 헌터가 너무 강함")</f>
        <v>회귀한 헌터가 너무 강함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100</v>
      </c>
      <c r="AH4456">
        <v>1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/>
      <c r="AQ4456">
        <v>0</v>
      </c>
      <c r="AR4456">
        <v>0</v>
      </c>
      <c r="AT4456">
        <v>0</v>
      </c>
      <c r="AU4456">
        <v>0</v>
      </c>
      <c r="AW4456">
        <v>0</v>
      </c>
      <c r="AX4456">
        <v>0</v>
      </c>
      <c r="AY4456">
        <v>70</v>
      </c>
      <c r="BC4456" t="str">
        <f t="shared" ref="BC4456:BC4519" si="597">T("9791197332272")</f>
        <v>9791197332272</v>
      </c>
      <c r="BE4456" t="str">
        <f t="shared" si="594"/>
        <v>판타지 웹소설 &gt; 퓨전 판타지</v>
      </c>
    </row>
    <row r="4457" spans="1:57" x14ac:dyDescent="0.3">
      <c r="A4457">
        <v>2313020884</v>
      </c>
      <c r="B4457">
        <v>2313020928</v>
      </c>
      <c r="C4457" t="str">
        <f>T("회귀한 헌터가 너무 강함 45화")</f>
        <v>회귀한 헌터가 너무 강함 45화</v>
      </c>
      <c r="D4457" t="str">
        <f>T("45")</f>
        <v>45</v>
      </c>
      <c r="E4457" t="str">
        <f t="shared" si="595"/>
        <v>왕십리글쟁이</v>
      </c>
      <c r="H4457" t="str">
        <f t="shared" si="591"/>
        <v>스토리위즈</v>
      </c>
      <c r="I4457" t="str">
        <f t="shared" si="596"/>
        <v>회귀한 헌터가 너무 강함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100</v>
      </c>
      <c r="AH4457">
        <v>1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/>
      <c r="AQ4457">
        <v>0</v>
      </c>
      <c r="AR4457">
        <v>0</v>
      </c>
      <c r="AT4457">
        <v>0</v>
      </c>
      <c r="AU4457">
        <v>0</v>
      </c>
      <c r="AW4457">
        <v>0</v>
      </c>
      <c r="AX4457">
        <v>0</v>
      </c>
      <c r="AY4457">
        <v>70</v>
      </c>
      <c r="BC4457" t="str">
        <f t="shared" si="597"/>
        <v>9791197332272</v>
      </c>
      <c r="BE4457" t="str">
        <f t="shared" si="594"/>
        <v>판타지 웹소설 &gt; 퓨전 판타지</v>
      </c>
    </row>
    <row r="4458" spans="1:57" x14ac:dyDescent="0.3">
      <c r="A4458">
        <v>2313020884</v>
      </c>
      <c r="B4458">
        <v>2313020929</v>
      </c>
      <c r="C4458" t="str">
        <f>T("회귀한 헌터가 너무 강함 46화")</f>
        <v>회귀한 헌터가 너무 강함 46화</v>
      </c>
      <c r="D4458" t="str">
        <f>T("46")</f>
        <v>46</v>
      </c>
      <c r="E4458" t="str">
        <f t="shared" si="595"/>
        <v>왕십리글쟁이</v>
      </c>
      <c r="H4458" t="str">
        <f t="shared" si="591"/>
        <v>스토리위즈</v>
      </c>
      <c r="I4458" t="str">
        <f t="shared" si="596"/>
        <v>회귀한 헌터가 너무 강함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100</v>
      </c>
      <c r="AH4458">
        <v>1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/>
      <c r="AQ4458">
        <v>0</v>
      </c>
      <c r="AR4458">
        <v>0</v>
      </c>
      <c r="AT4458">
        <v>0</v>
      </c>
      <c r="AU4458">
        <v>0</v>
      </c>
      <c r="AW4458">
        <v>0</v>
      </c>
      <c r="AX4458">
        <v>0</v>
      </c>
      <c r="AY4458">
        <v>70</v>
      </c>
      <c r="BC4458" t="str">
        <f t="shared" si="597"/>
        <v>9791197332272</v>
      </c>
      <c r="BE4458" t="str">
        <f t="shared" si="594"/>
        <v>판타지 웹소설 &gt; 퓨전 판타지</v>
      </c>
    </row>
    <row r="4459" spans="1:57" x14ac:dyDescent="0.3">
      <c r="A4459">
        <v>2313020884</v>
      </c>
      <c r="B4459">
        <v>2313020937</v>
      </c>
      <c r="C4459" t="str">
        <f>T("회귀한 헌터가 너무 강함 54화")</f>
        <v>회귀한 헌터가 너무 강함 54화</v>
      </c>
      <c r="D4459" t="str">
        <f>T("54")</f>
        <v>54</v>
      </c>
      <c r="E4459" t="str">
        <f t="shared" si="595"/>
        <v>왕십리글쟁이</v>
      </c>
      <c r="H4459" t="str">
        <f t="shared" si="591"/>
        <v>스토리위즈</v>
      </c>
      <c r="I4459" t="str">
        <f t="shared" si="596"/>
        <v>회귀한 헌터가 너무 강함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100</v>
      </c>
      <c r="AH4459">
        <v>1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/>
      <c r="AQ4459">
        <v>0</v>
      </c>
      <c r="AR4459">
        <v>0</v>
      </c>
      <c r="AT4459">
        <v>0</v>
      </c>
      <c r="AU4459">
        <v>0</v>
      </c>
      <c r="AW4459">
        <v>0</v>
      </c>
      <c r="AX4459">
        <v>0</v>
      </c>
      <c r="AY4459">
        <v>70</v>
      </c>
      <c r="BC4459" t="str">
        <f t="shared" si="597"/>
        <v>9791197332272</v>
      </c>
      <c r="BE4459" t="str">
        <f t="shared" si="594"/>
        <v>판타지 웹소설 &gt; 퓨전 판타지</v>
      </c>
    </row>
    <row r="4460" spans="1:57" x14ac:dyDescent="0.3">
      <c r="A4460">
        <v>2313020884</v>
      </c>
      <c r="B4460">
        <v>2313020938</v>
      </c>
      <c r="C4460" t="str">
        <f>T("회귀한 헌터가 너무 강함 55화")</f>
        <v>회귀한 헌터가 너무 강함 55화</v>
      </c>
      <c r="D4460" t="str">
        <f>T("55")</f>
        <v>55</v>
      </c>
      <c r="E4460" t="str">
        <f t="shared" si="595"/>
        <v>왕십리글쟁이</v>
      </c>
      <c r="H4460" t="str">
        <f t="shared" si="591"/>
        <v>스토리위즈</v>
      </c>
      <c r="I4460" t="str">
        <f t="shared" si="596"/>
        <v>회귀한 헌터가 너무 강함</v>
      </c>
      <c r="J4460">
        <v>100</v>
      </c>
      <c r="K4460">
        <v>100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100</v>
      </c>
      <c r="AH4460">
        <v>1</v>
      </c>
      <c r="AI4460">
        <v>0</v>
      </c>
      <c r="AJ4460">
        <v>0</v>
      </c>
      <c r="AK4460">
        <v>100</v>
      </c>
      <c r="AL4460">
        <v>0</v>
      </c>
      <c r="AM4460">
        <v>0</v>
      </c>
      <c r="AN4460">
        <v>0</v>
      </c>
      <c r="AO4460">
        <v>0</v>
      </c>
      <c r="AP4460"/>
      <c r="AQ4460">
        <v>0</v>
      </c>
      <c r="AR4460">
        <v>0</v>
      </c>
      <c r="AT4460">
        <v>0</v>
      </c>
      <c r="AU4460">
        <v>0</v>
      </c>
      <c r="AW4460">
        <v>0</v>
      </c>
      <c r="AX4460">
        <v>0</v>
      </c>
      <c r="AY4460">
        <v>70</v>
      </c>
      <c r="BC4460" t="str">
        <f t="shared" si="597"/>
        <v>9791197332272</v>
      </c>
      <c r="BE4460" t="str">
        <f t="shared" si="594"/>
        <v>판타지 웹소설 &gt; 퓨전 판타지</v>
      </c>
    </row>
    <row r="4461" spans="1:57" x14ac:dyDescent="0.3">
      <c r="A4461">
        <v>2313020884</v>
      </c>
      <c r="B4461">
        <v>2313020939</v>
      </c>
      <c r="C4461" t="str">
        <f>T("회귀한 헌터가 너무 강함 56화")</f>
        <v>회귀한 헌터가 너무 강함 56화</v>
      </c>
      <c r="D4461" t="str">
        <f>T("56")</f>
        <v>56</v>
      </c>
      <c r="E4461" t="str">
        <f t="shared" si="595"/>
        <v>왕십리글쟁이</v>
      </c>
      <c r="H4461" t="str">
        <f t="shared" si="591"/>
        <v>스토리위즈</v>
      </c>
      <c r="I4461" t="str">
        <f t="shared" si="596"/>
        <v>회귀한 헌터가 너무 강함</v>
      </c>
      <c r="J4461">
        <v>100</v>
      </c>
      <c r="K4461">
        <v>100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100</v>
      </c>
      <c r="AH4461">
        <v>1</v>
      </c>
      <c r="AI4461">
        <v>0</v>
      </c>
      <c r="AJ4461">
        <v>0</v>
      </c>
      <c r="AK4461">
        <v>100</v>
      </c>
      <c r="AL4461">
        <v>0</v>
      </c>
      <c r="AM4461">
        <v>0</v>
      </c>
      <c r="AN4461">
        <v>0</v>
      </c>
      <c r="AO4461">
        <v>0</v>
      </c>
      <c r="AP4461"/>
      <c r="AQ4461">
        <v>0</v>
      </c>
      <c r="AR4461">
        <v>0</v>
      </c>
      <c r="AT4461">
        <v>0</v>
      </c>
      <c r="AU4461">
        <v>0</v>
      </c>
      <c r="AW4461">
        <v>0</v>
      </c>
      <c r="AX4461">
        <v>0</v>
      </c>
      <c r="AY4461">
        <v>70</v>
      </c>
      <c r="BC4461" t="str">
        <f t="shared" si="597"/>
        <v>9791197332272</v>
      </c>
      <c r="BE4461" t="str">
        <f t="shared" si="594"/>
        <v>판타지 웹소설 &gt; 퓨전 판타지</v>
      </c>
    </row>
    <row r="4462" spans="1:57" x14ac:dyDescent="0.3">
      <c r="A4462">
        <v>2313020884</v>
      </c>
      <c r="B4462">
        <v>2313020940</v>
      </c>
      <c r="C4462" t="str">
        <f>T("회귀한 헌터가 너무 강함 57화")</f>
        <v>회귀한 헌터가 너무 강함 57화</v>
      </c>
      <c r="D4462" t="str">
        <f>T("57")</f>
        <v>57</v>
      </c>
      <c r="E4462" t="str">
        <f t="shared" si="595"/>
        <v>왕십리글쟁이</v>
      </c>
      <c r="H4462" t="str">
        <f t="shared" si="591"/>
        <v>스토리위즈</v>
      </c>
      <c r="I4462" t="str">
        <f t="shared" si="596"/>
        <v>회귀한 헌터가 너무 강함</v>
      </c>
      <c r="J4462">
        <v>100</v>
      </c>
      <c r="K4462">
        <v>100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100</v>
      </c>
      <c r="AH4462">
        <v>1</v>
      </c>
      <c r="AI4462">
        <v>0</v>
      </c>
      <c r="AJ4462">
        <v>0</v>
      </c>
      <c r="AK4462">
        <v>100</v>
      </c>
      <c r="AL4462">
        <v>0</v>
      </c>
      <c r="AM4462">
        <v>0</v>
      </c>
      <c r="AN4462">
        <v>0</v>
      </c>
      <c r="AO4462">
        <v>0</v>
      </c>
      <c r="AP4462"/>
      <c r="AQ4462">
        <v>0</v>
      </c>
      <c r="AR4462">
        <v>0</v>
      </c>
      <c r="AT4462">
        <v>0</v>
      </c>
      <c r="AU4462">
        <v>0</v>
      </c>
      <c r="AW4462">
        <v>0</v>
      </c>
      <c r="AX4462">
        <v>0</v>
      </c>
      <c r="AY4462">
        <v>70</v>
      </c>
      <c r="BC4462" t="str">
        <f t="shared" si="597"/>
        <v>9791197332272</v>
      </c>
      <c r="BE4462" t="str">
        <f t="shared" si="594"/>
        <v>판타지 웹소설 &gt; 퓨전 판타지</v>
      </c>
    </row>
    <row r="4463" spans="1:57" x14ac:dyDescent="0.3">
      <c r="A4463">
        <v>2313020884</v>
      </c>
      <c r="B4463">
        <v>2313020941</v>
      </c>
      <c r="C4463" t="str">
        <f>T("회귀한 헌터가 너무 강함 58화")</f>
        <v>회귀한 헌터가 너무 강함 58화</v>
      </c>
      <c r="D4463" t="str">
        <f>T("58")</f>
        <v>58</v>
      </c>
      <c r="E4463" t="str">
        <f t="shared" si="595"/>
        <v>왕십리글쟁이</v>
      </c>
      <c r="H4463" t="str">
        <f t="shared" si="591"/>
        <v>스토리위즈</v>
      </c>
      <c r="I4463" t="str">
        <f t="shared" si="596"/>
        <v>회귀한 헌터가 너무 강함</v>
      </c>
      <c r="J4463">
        <v>100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100</v>
      </c>
      <c r="AH4463">
        <v>1</v>
      </c>
      <c r="AI4463">
        <v>0</v>
      </c>
      <c r="AJ4463">
        <v>0</v>
      </c>
      <c r="AK4463">
        <v>100</v>
      </c>
      <c r="AL4463">
        <v>0</v>
      </c>
      <c r="AM4463">
        <v>0</v>
      </c>
      <c r="AN4463">
        <v>0</v>
      </c>
      <c r="AO4463">
        <v>0</v>
      </c>
      <c r="AP4463"/>
      <c r="AQ4463">
        <v>0</v>
      </c>
      <c r="AR4463">
        <v>0</v>
      </c>
      <c r="AT4463">
        <v>0</v>
      </c>
      <c r="AU4463">
        <v>0</v>
      </c>
      <c r="AW4463">
        <v>0</v>
      </c>
      <c r="AX4463">
        <v>0</v>
      </c>
      <c r="AY4463">
        <v>70</v>
      </c>
      <c r="BC4463" t="str">
        <f t="shared" si="597"/>
        <v>9791197332272</v>
      </c>
      <c r="BE4463" t="str">
        <f t="shared" si="594"/>
        <v>판타지 웹소설 &gt; 퓨전 판타지</v>
      </c>
    </row>
    <row r="4464" spans="1:57" x14ac:dyDescent="0.3">
      <c r="A4464">
        <v>2313020884</v>
      </c>
      <c r="B4464">
        <v>2313020942</v>
      </c>
      <c r="C4464" t="str">
        <f>T("회귀한 헌터가 너무 강함 59화")</f>
        <v>회귀한 헌터가 너무 강함 59화</v>
      </c>
      <c r="D4464" t="str">
        <f>T("59")</f>
        <v>59</v>
      </c>
      <c r="E4464" t="str">
        <f t="shared" si="595"/>
        <v>왕십리글쟁이</v>
      </c>
      <c r="H4464" t="str">
        <f t="shared" si="591"/>
        <v>스토리위즈</v>
      </c>
      <c r="I4464" t="str">
        <f t="shared" si="596"/>
        <v>회귀한 헌터가 너무 강함</v>
      </c>
      <c r="J4464">
        <v>100</v>
      </c>
      <c r="K4464">
        <v>100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100</v>
      </c>
      <c r="AH4464">
        <v>1</v>
      </c>
      <c r="AI4464">
        <v>0</v>
      </c>
      <c r="AJ4464">
        <v>0</v>
      </c>
      <c r="AK4464">
        <v>100</v>
      </c>
      <c r="AL4464">
        <v>0</v>
      </c>
      <c r="AM4464">
        <v>0</v>
      </c>
      <c r="AN4464">
        <v>0</v>
      </c>
      <c r="AO4464">
        <v>0</v>
      </c>
      <c r="AP4464"/>
      <c r="AQ4464">
        <v>0</v>
      </c>
      <c r="AR4464">
        <v>0</v>
      </c>
      <c r="AT4464">
        <v>0</v>
      </c>
      <c r="AU4464">
        <v>0</v>
      </c>
      <c r="AW4464">
        <v>0</v>
      </c>
      <c r="AX4464">
        <v>0</v>
      </c>
      <c r="AY4464">
        <v>70</v>
      </c>
      <c r="BC4464" t="str">
        <f t="shared" si="597"/>
        <v>9791197332272</v>
      </c>
      <c r="BE4464" t="str">
        <f t="shared" si="594"/>
        <v>판타지 웹소설 &gt; 퓨전 판타지</v>
      </c>
    </row>
    <row r="4465" spans="1:57" x14ac:dyDescent="0.3">
      <c r="A4465">
        <v>2313020884</v>
      </c>
      <c r="B4465">
        <v>2313020943</v>
      </c>
      <c r="C4465" t="str">
        <f>T("회귀한 헌터가 너무 강함 60화")</f>
        <v>회귀한 헌터가 너무 강함 60화</v>
      </c>
      <c r="D4465" t="str">
        <f>T("60")</f>
        <v>60</v>
      </c>
      <c r="E4465" t="str">
        <f t="shared" si="595"/>
        <v>왕십리글쟁이</v>
      </c>
      <c r="H4465" t="str">
        <f t="shared" si="591"/>
        <v>스토리위즈</v>
      </c>
      <c r="I4465" t="str">
        <f t="shared" si="596"/>
        <v>회귀한 헌터가 너무 강함</v>
      </c>
      <c r="J4465">
        <v>100</v>
      </c>
      <c r="K4465">
        <v>100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100</v>
      </c>
      <c r="AH4465">
        <v>1</v>
      </c>
      <c r="AI4465">
        <v>0</v>
      </c>
      <c r="AJ4465">
        <v>0</v>
      </c>
      <c r="AK4465">
        <v>100</v>
      </c>
      <c r="AL4465">
        <v>0</v>
      </c>
      <c r="AM4465">
        <v>0</v>
      </c>
      <c r="AN4465">
        <v>0</v>
      </c>
      <c r="AO4465">
        <v>0</v>
      </c>
      <c r="AP4465"/>
      <c r="AQ4465">
        <v>0</v>
      </c>
      <c r="AR4465">
        <v>0</v>
      </c>
      <c r="AT4465">
        <v>0</v>
      </c>
      <c r="AU4465">
        <v>0</v>
      </c>
      <c r="AW4465">
        <v>0</v>
      </c>
      <c r="AX4465">
        <v>0</v>
      </c>
      <c r="AY4465">
        <v>70</v>
      </c>
      <c r="BC4465" t="str">
        <f t="shared" si="597"/>
        <v>9791197332272</v>
      </c>
      <c r="BE4465" t="str">
        <f t="shared" si="594"/>
        <v>판타지 웹소설 &gt; 퓨전 판타지</v>
      </c>
    </row>
    <row r="4466" spans="1:57" x14ac:dyDescent="0.3">
      <c r="A4466">
        <v>2313020884</v>
      </c>
      <c r="B4466">
        <v>2313020944</v>
      </c>
      <c r="C4466" t="str">
        <f>T("회귀한 헌터가 너무 강함 61화")</f>
        <v>회귀한 헌터가 너무 강함 61화</v>
      </c>
      <c r="D4466" t="str">
        <f>T("61")</f>
        <v>61</v>
      </c>
      <c r="E4466" t="str">
        <f t="shared" si="595"/>
        <v>왕십리글쟁이</v>
      </c>
      <c r="H4466" t="str">
        <f t="shared" si="591"/>
        <v>스토리위즈</v>
      </c>
      <c r="I4466" t="str">
        <f t="shared" si="596"/>
        <v>회귀한 헌터가 너무 강함</v>
      </c>
      <c r="J4466">
        <v>100</v>
      </c>
      <c r="K4466">
        <v>100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100</v>
      </c>
      <c r="AH4466">
        <v>1</v>
      </c>
      <c r="AI4466">
        <v>0</v>
      </c>
      <c r="AJ4466">
        <v>0</v>
      </c>
      <c r="AK4466">
        <v>100</v>
      </c>
      <c r="AL4466">
        <v>0</v>
      </c>
      <c r="AM4466">
        <v>0</v>
      </c>
      <c r="AN4466">
        <v>0</v>
      </c>
      <c r="AO4466">
        <v>0</v>
      </c>
      <c r="AP4466"/>
      <c r="AQ4466">
        <v>0</v>
      </c>
      <c r="AR4466">
        <v>0</v>
      </c>
      <c r="AT4466">
        <v>0</v>
      </c>
      <c r="AU4466">
        <v>0</v>
      </c>
      <c r="AW4466">
        <v>0</v>
      </c>
      <c r="AX4466">
        <v>0</v>
      </c>
      <c r="AY4466">
        <v>70</v>
      </c>
      <c r="BC4466" t="str">
        <f t="shared" si="597"/>
        <v>9791197332272</v>
      </c>
      <c r="BE4466" t="str">
        <f t="shared" si="594"/>
        <v>판타지 웹소설 &gt; 퓨전 판타지</v>
      </c>
    </row>
    <row r="4467" spans="1:57" x14ac:dyDescent="0.3">
      <c r="A4467">
        <v>2313020884</v>
      </c>
      <c r="B4467">
        <v>2313020945</v>
      </c>
      <c r="C4467" t="str">
        <f>T("회귀한 헌터가 너무 강함 62화")</f>
        <v>회귀한 헌터가 너무 강함 62화</v>
      </c>
      <c r="D4467" t="str">
        <f>T("62")</f>
        <v>62</v>
      </c>
      <c r="E4467" t="str">
        <f t="shared" si="595"/>
        <v>왕십리글쟁이</v>
      </c>
      <c r="H4467" t="str">
        <f t="shared" si="591"/>
        <v>스토리위즈</v>
      </c>
      <c r="I4467" t="str">
        <f t="shared" si="596"/>
        <v>회귀한 헌터가 너무 강함</v>
      </c>
      <c r="J4467">
        <v>100</v>
      </c>
      <c r="K4467">
        <v>100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100</v>
      </c>
      <c r="AH4467">
        <v>1</v>
      </c>
      <c r="AI4467">
        <v>0</v>
      </c>
      <c r="AJ4467">
        <v>0</v>
      </c>
      <c r="AK4467">
        <v>100</v>
      </c>
      <c r="AL4467">
        <v>0</v>
      </c>
      <c r="AM4467">
        <v>0</v>
      </c>
      <c r="AN4467">
        <v>0</v>
      </c>
      <c r="AO4467">
        <v>0</v>
      </c>
      <c r="AP4467"/>
      <c r="AQ4467">
        <v>0</v>
      </c>
      <c r="AR4467">
        <v>0</v>
      </c>
      <c r="AT4467">
        <v>0</v>
      </c>
      <c r="AU4467">
        <v>0</v>
      </c>
      <c r="AW4467">
        <v>0</v>
      </c>
      <c r="AX4467">
        <v>0</v>
      </c>
      <c r="AY4467">
        <v>70</v>
      </c>
      <c r="BC4467" t="str">
        <f t="shared" si="597"/>
        <v>9791197332272</v>
      </c>
      <c r="BE4467" t="str">
        <f t="shared" si="594"/>
        <v>판타지 웹소설 &gt; 퓨전 판타지</v>
      </c>
    </row>
    <row r="4468" spans="1:57" x14ac:dyDescent="0.3">
      <c r="A4468">
        <v>2313020884</v>
      </c>
      <c r="B4468">
        <v>2313020946</v>
      </c>
      <c r="C4468" t="str">
        <f>T("회귀한 헌터가 너무 강함 63화")</f>
        <v>회귀한 헌터가 너무 강함 63화</v>
      </c>
      <c r="D4468" t="str">
        <f>T("63")</f>
        <v>63</v>
      </c>
      <c r="E4468" t="str">
        <f t="shared" si="595"/>
        <v>왕십리글쟁이</v>
      </c>
      <c r="H4468" t="str">
        <f t="shared" si="591"/>
        <v>스토리위즈</v>
      </c>
      <c r="I4468" t="str">
        <f t="shared" si="596"/>
        <v>회귀한 헌터가 너무 강함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100</v>
      </c>
      <c r="AH4468">
        <v>1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/>
      <c r="AQ4468">
        <v>0</v>
      </c>
      <c r="AR4468">
        <v>0</v>
      </c>
      <c r="AT4468">
        <v>0</v>
      </c>
      <c r="AU4468">
        <v>0</v>
      </c>
      <c r="AW4468">
        <v>0</v>
      </c>
      <c r="AX4468">
        <v>0</v>
      </c>
      <c r="AY4468">
        <v>70</v>
      </c>
      <c r="BC4468" t="str">
        <f t="shared" si="597"/>
        <v>9791197332272</v>
      </c>
      <c r="BE4468" t="str">
        <f t="shared" si="594"/>
        <v>판타지 웹소설 &gt; 퓨전 판타지</v>
      </c>
    </row>
    <row r="4469" spans="1:57" x14ac:dyDescent="0.3">
      <c r="A4469">
        <v>2313020884</v>
      </c>
      <c r="B4469">
        <v>2313020947</v>
      </c>
      <c r="C4469" t="str">
        <f>T("회귀한 헌터가 너무 강함 64화")</f>
        <v>회귀한 헌터가 너무 강함 64화</v>
      </c>
      <c r="D4469" t="str">
        <f>T("64")</f>
        <v>64</v>
      </c>
      <c r="E4469" t="str">
        <f t="shared" si="595"/>
        <v>왕십리글쟁이</v>
      </c>
      <c r="H4469" t="str">
        <f t="shared" si="591"/>
        <v>스토리위즈</v>
      </c>
      <c r="I4469" t="str">
        <f t="shared" si="596"/>
        <v>회귀한 헌터가 너무 강함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100</v>
      </c>
      <c r="AH4469">
        <v>1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/>
      <c r="AQ4469">
        <v>0</v>
      </c>
      <c r="AR4469">
        <v>0</v>
      </c>
      <c r="AT4469">
        <v>0</v>
      </c>
      <c r="AU4469">
        <v>0</v>
      </c>
      <c r="AW4469">
        <v>0</v>
      </c>
      <c r="AX4469">
        <v>0</v>
      </c>
      <c r="AY4469">
        <v>70</v>
      </c>
      <c r="BC4469" t="str">
        <f t="shared" si="597"/>
        <v>9791197332272</v>
      </c>
      <c r="BE4469" t="str">
        <f t="shared" si="594"/>
        <v>판타지 웹소설 &gt; 퓨전 판타지</v>
      </c>
    </row>
    <row r="4470" spans="1:57" x14ac:dyDescent="0.3">
      <c r="A4470">
        <v>2313020884</v>
      </c>
      <c r="B4470">
        <v>2313020948</v>
      </c>
      <c r="C4470" t="str">
        <f>T("회귀한 헌터가 너무 강함 65화")</f>
        <v>회귀한 헌터가 너무 강함 65화</v>
      </c>
      <c r="D4470" t="str">
        <f>T("65")</f>
        <v>65</v>
      </c>
      <c r="E4470" t="str">
        <f t="shared" si="595"/>
        <v>왕십리글쟁이</v>
      </c>
      <c r="H4470" t="str">
        <f t="shared" si="591"/>
        <v>스토리위즈</v>
      </c>
      <c r="I4470" t="str">
        <f t="shared" si="596"/>
        <v>회귀한 헌터가 너무 강함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100</v>
      </c>
      <c r="AH4470">
        <v>1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/>
      <c r="AQ4470">
        <v>0</v>
      </c>
      <c r="AR4470">
        <v>0</v>
      </c>
      <c r="AT4470">
        <v>0</v>
      </c>
      <c r="AU4470">
        <v>0</v>
      </c>
      <c r="AW4470">
        <v>0</v>
      </c>
      <c r="AX4470">
        <v>0</v>
      </c>
      <c r="AY4470">
        <v>70</v>
      </c>
      <c r="BC4470" t="str">
        <f t="shared" si="597"/>
        <v>9791197332272</v>
      </c>
      <c r="BE4470" t="str">
        <f t="shared" si="594"/>
        <v>판타지 웹소설 &gt; 퓨전 판타지</v>
      </c>
    </row>
    <row r="4471" spans="1:57" x14ac:dyDescent="0.3">
      <c r="A4471">
        <v>2313020884</v>
      </c>
      <c r="B4471">
        <v>2313020949</v>
      </c>
      <c r="C4471" t="str">
        <f>T("회귀한 헌터가 너무 강함 66화")</f>
        <v>회귀한 헌터가 너무 강함 66화</v>
      </c>
      <c r="D4471" t="str">
        <f>T("66")</f>
        <v>66</v>
      </c>
      <c r="E4471" t="str">
        <f t="shared" si="595"/>
        <v>왕십리글쟁이</v>
      </c>
      <c r="H4471" t="str">
        <f t="shared" si="591"/>
        <v>스토리위즈</v>
      </c>
      <c r="I4471" t="str">
        <f t="shared" si="596"/>
        <v>회귀한 헌터가 너무 강함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100</v>
      </c>
      <c r="AH4471">
        <v>1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/>
      <c r="AQ4471">
        <v>0</v>
      </c>
      <c r="AR4471">
        <v>0</v>
      </c>
      <c r="AT4471">
        <v>0</v>
      </c>
      <c r="AU4471">
        <v>0</v>
      </c>
      <c r="AW4471">
        <v>0</v>
      </c>
      <c r="AX4471">
        <v>0</v>
      </c>
      <c r="AY4471">
        <v>70</v>
      </c>
      <c r="BC4471" t="str">
        <f t="shared" si="597"/>
        <v>9791197332272</v>
      </c>
      <c r="BE4471" t="str">
        <f t="shared" si="594"/>
        <v>판타지 웹소설 &gt; 퓨전 판타지</v>
      </c>
    </row>
    <row r="4472" spans="1:57" x14ac:dyDescent="0.3">
      <c r="A4472">
        <v>2313020884</v>
      </c>
      <c r="B4472">
        <v>2313020950</v>
      </c>
      <c r="C4472" t="str">
        <f>T("회귀한 헌터가 너무 강함 67화")</f>
        <v>회귀한 헌터가 너무 강함 67화</v>
      </c>
      <c r="D4472" t="str">
        <f>T("67")</f>
        <v>67</v>
      </c>
      <c r="E4472" t="str">
        <f t="shared" si="595"/>
        <v>왕십리글쟁이</v>
      </c>
      <c r="H4472" t="str">
        <f t="shared" si="591"/>
        <v>스토리위즈</v>
      </c>
      <c r="I4472" t="str">
        <f t="shared" si="596"/>
        <v>회귀한 헌터가 너무 강함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100</v>
      </c>
      <c r="AH4472">
        <v>1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/>
      <c r="AQ4472">
        <v>0</v>
      </c>
      <c r="AR4472">
        <v>0</v>
      </c>
      <c r="AT4472">
        <v>0</v>
      </c>
      <c r="AU4472">
        <v>0</v>
      </c>
      <c r="AW4472">
        <v>0</v>
      </c>
      <c r="AX4472">
        <v>0</v>
      </c>
      <c r="AY4472">
        <v>70</v>
      </c>
      <c r="BC4472" t="str">
        <f t="shared" si="597"/>
        <v>9791197332272</v>
      </c>
      <c r="BE4472" t="str">
        <f t="shared" si="594"/>
        <v>판타지 웹소설 &gt; 퓨전 판타지</v>
      </c>
    </row>
    <row r="4473" spans="1:57" x14ac:dyDescent="0.3">
      <c r="A4473">
        <v>2313020884</v>
      </c>
      <c r="B4473">
        <v>2313020951</v>
      </c>
      <c r="C4473" t="str">
        <f>T("회귀한 헌터가 너무 강함 68화")</f>
        <v>회귀한 헌터가 너무 강함 68화</v>
      </c>
      <c r="D4473" t="str">
        <f>T("68")</f>
        <v>68</v>
      </c>
      <c r="E4473" t="str">
        <f t="shared" si="595"/>
        <v>왕십리글쟁이</v>
      </c>
      <c r="H4473" t="str">
        <f t="shared" si="591"/>
        <v>스토리위즈</v>
      </c>
      <c r="I4473" t="str">
        <f t="shared" si="596"/>
        <v>회귀한 헌터가 너무 강함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100</v>
      </c>
      <c r="AH4473">
        <v>1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/>
      <c r="AQ4473">
        <v>0</v>
      </c>
      <c r="AR4473">
        <v>0</v>
      </c>
      <c r="AT4473">
        <v>0</v>
      </c>
      <c r="AU4473">
        <v>0</v>
      </c>
      <c r="AW4473">
        <v>0</v>
      </c>
      <c r="AX4473">
        <v>0</v>
      </c>
      <c r="AY4473">
        <v>70</v>
      </c>
      <c r="BC4473" t="str">
        <f t="shared" si="597"/>
        <v>9791197332272</v>
      </c>
      <c r="BE4473" t="str">
        <f t="shared" si="594"/>
        <v>판타지 웹소설 &gt; 퓨전 판타지</v>
      </c>
    </row>
    <row r="4474" spans="1:57" x14ac:dyDescent="0.3">
      <c r="A4474">
        <v>2313020884</v>
      </c>
      <c r="B4474">
        <v>2313020952</v>
      </c>
      <c r="C4474" t="str">
        <f>T("회귀한 헌터가 너무 강함 69화")</f>
        <v>회귀한 헌터가 너무 강함 69화</v>
      </c>
      <c r="D4474" t="str">
        <f>T("69")</f>
        <v>69</v>
      </c>
      <c r="E4474" t="str">
        <f t="shared" si="595"/>
        <v>왕십리글쟁이</v>
      </c>
      <c r="H4474" t="str">
        <f t="shared" si="591"/>
        <v>스토리위즈</v>
      </c>
      <c r="I4474" t="str">
        <f t="shared" si="596"/>
        <v>회귀한 헌터가 너무 강함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100</v>
      </c>
      <c r="AH4474">
        <v>1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/>
      <c r="AQ4474">
        <v>0</v>
      </c>
      <c r="AR4474">
        <v>0</v>
      </c>
      <c r="AT4474">
        <v>0</v>
      </c>
      <c r="AU4474">
        <v>0</v>
      </c>
      <c r="AW4474">
        <v>0</v>
      </c>
      <c r="AX4474">
        <v>0</v>
      </c>
      <c r="AY4474">
        <v>70</v>
      </c>
      <c r="BC4474" t="str">
        <f t="shared" si="597"/>
        <v>9791197332272</v>
      </c>
      <c r="BE4474" t="str">
        <f t="shared" si="594"/>
        <v>판타지 웹소설 &gt; 퓨전 판타지</v>
      </c>
    </row>
    <row r="4475" spans="1:57" x14ac:dyDescent="0.3">
      <c r="A4475">
        <v>2313020884</v>
      </c>
      <c r="B4475">
        <v>2313020953</v>
      </c>
      <c r="C4475" t="str">
        <f>T("회귀한 헌터가 너무 강함 70화")</f>
        <v>회귀한 헌터가 너무 강함 70화</v>
      </c>
      <c r="D4475" t="str">
        <f>T("70")</f>
        <v>70</v>
      </c>
      <c r="E4475" t="str">
        <f t="shared" si="595"/>
        <v>왕십리글쟁이</v>
      </c>
      <c r="H4475" t="str">
        <f t="shared" si="591"/>
        <v>스토리위즈</v>
      </c>
      <c r="I4475" t="str">
        <f t="shared" si="596"/>
        <v>회귀한 헌터가 너무 강함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100</v>
      </c>
      <c r="AH4475">
        <v>1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/>
      <c r="AQ4475">
        <v>0</v>
      </c>
      <c r="AR4475">
        <v>0</v>
      </c>
      <c r="AT4475">
        <v>0</v>
      </c>
      <c r="AU4475">
        <v>0</v>
      </c>
      <c r="AW4475">
        <v>0</v>
      </c>
      <c r="AX4475">
        <v>0</v>
      </c>
      <c r="AY4475">
        <v>70</v>
      </c>
      <c r="BC4475" t="str">
        <f t="shared" si="597"/>
        <v>9791197332272</v>
      </c>
      <c r="BE4475" t="str">
        <f t="shared" si="594"/>
        <v>판타지 웹소설 &gt; 퓨전 판타지</v>
      </c>
    </row>
    <row r="4476" spans="1:57" x14ac:dyDescent="0.3">
      <c r="A4476">
        <v>2313020884</v>
      </c>
      <c r="B4476">
        <v>2313020954</v>
      </c>
      <c r="C4476" t="str">
        <f>T("회귀한 헌터가 너무 강함 71화")</f>
        <v>회귀한 헌터가 너무 강함 71화</v>
      </c>
      <c r="D4476" t="str">
        <f>T("71")</f>
        <v>71</v>
      </c>
      <c r="E4476" t="str">
        <f t="shared" si="595"/>
        <v>왕십리글쟁이</v>
      </c>
      <c r="H4476" t="str">
        <f t="shared" si="591"/>
        <v>스토리위즈</v>
      </c>
      <c r="I4476" t="str">
        <f t="shared" si="596"/>
        <v>회귀한 헌터가 너무 강함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100</v>
      </c>
      <c r="AH4476">
        <v>1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/>
      <c r="AQ4476">
        <v>0</v>
      </c>
      <c r="AR4476">
        <v>0</v>
      </c>
      <c r="AT4476">
        <v>0</v>
      </c>
      <c r="AU4476">
        <v>0</v>
      </c>
      <c r="AW4476">
        <v>0</v>
      </c>
      <c r="AX4476">
        <v>0</v>
      </c>
      <c r="AY4476">
        <v>70</v>
      </c>
      <c r="BC4476" t="str">
        <f t="shared" si="597"/>
        <v>9791197332272</v>
      </c>
      <c r="BE4476" t="str">
        <f t="shared" si="594"/>
        <v>판타지 웹소설 &gt; 퓨전 판타지</v>
      </c>
    </row>
    <row r="4477" spans="1:57" x14ac:dyDescent="0.3">
      <c r="A4477">
        <v>2313020884</v>
      </c>
      <c r="B4477">
        <v>2313020955</v>
      </c>
      <c r="C4477" t="str">
        <f>T("회귀한 헌터가 너무 강함 72화")</f>
        <v>회귀한 헌터가 너무 강함 72화</v>
      </c>
      <c r="D4477" t="str">
        <f>T("72")</f>
        <v>72</v>
      </c>
      <c r="E4477" t="str">
        <f t="shared" si="595"/>
        <v>왕십리글쟁이</v>
      </c>
      <c r="H4477" t="str">
        <f t="shared" si="591"/>
        <v>스토리위즈</v>
      </c>
      <c r="I4477" t="str">
        <f t="shared" si="596"/>
        <v>회귀한 헌터가 너무 강함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100</v>
      </c>
      <c r="AH4477">
        <v>1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/>
      <c r="AQ4477">
        <v>0</v>
      </c>
      <c r="AR4477">
        <v>0</v>
      </c>
      <c r="AT4477">
        <v>0</v>
      </c>
      <c r="AU4477">
        <v>0</v>
      </c>
      <c r="AW4477">
        <v>0</v>
      </c>
      <c r="AX4477">
        <v>0</v>
      </c>
      <c r="AY4477">
        <v>70</v>
      </c>
      <c r="BC4477" t="str">
        <f t="shared" si="597"/>
        <v>9791197332272</v>
      </c>
      <c r="BE4477" t="str">
        <f t="shared" si="594"/>
        <v>판타지 웹소설 &gt; 퓨전 판타지</v>
      </c>
    </row>
    <row r="4478" spans="1:57" x14ac:dyDescent="0.3">
      <c r="A4478">
        <v>2313020884</v>
      </c>
      <c r="B4478">
        <v>2313020956</v>
      </c>
      <c r="C4478" t="str">
        <f>T("회귀한 헌터가 너무 강함 73화")</f>
        <v>회귀한 헌터가 너무 강함 73화</v>
      </c>
      <c r="D4478" t="str">
        <f>T("73")</f>
        <v>73</v>
      </c>
      <c r="E4478" t="str">
        <f t="shared" si="595"/>
        <v>왕십리글쟁이</v>
      </c>
      <c r="H4478" t="str">
        <f t="shared" si="591"/>
        <v>스토리위즈</v>
      </c>
      <c r="I4478" t="str">
        <f t="shared" si="596"/>
        <v>회귀한 헌터가 너무 강함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100</v>
      </c>
      <c r="AH4478">
        <v>1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/>
      <c r="AQ4478">
        <v>0</v>
      </c>
      <c r="AR4478">
        <v>0</v>
      </c>
      <c r="AT4478">
        <v>0</v>
      </c>
      <c r="AU4478">
        <v>0</v>
      </c>
      <c r="AW4478">
        <v>0</v>
      </c>
      <c r="AX4478">
        <v>0</v>
      </c>
      <c r="AY4478">
        <v>70</v>
      </c>
      <c r="BC4478" t="str">
        <f t="shared" si="597"/>
        <v>9791197332272</v>
      </c>
      <c r="BE4478" t="str">
        <f t="shared" si="594"/>
        <v>판타지 웹소설 &gt; 퓨전 판타지</v>
      </c>
    </row>
    <row r="4479" spans="1:57" x14ac:dyDescent="0.3">
      <c r="A4479">
        <v>2313020884</v>
      </c>
      <c r="B4479">
        <v>2313020957</v>
      </c>
      <c r="C4479" t="str">
        <f>T("회귀한 헌터가 너무 강함 74화")</f>
        <v>회귀한 헌터가 너무 강함 74화</v>
      </c>
      <c r="D4479" t="str">
        <f>T("74")</f>
        <v>74</v>
      </c>
      <c r="E4479" t="str">
        <f t="shared" si="595"/>
        <v>왕십리글쟁이</v>
      </c>
      <c r="H4479" t="str">
        <f t="shared" si="591"/>
        <v>스토리위즈</v>
      </c>
      <c r="I4479" t="str">
        <f t="shared" si="596"/>
        <v>회귀한 헌터가 너무 강함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100</v>
      </c>
      <c r="AH4479">
        <v>1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/>
      <c r="AQ4479">
        <v>0</v>
      </c>
      <c r="AR4479">
        <v>0</v>
      </c>
      <c r="AT4479">
        <v>0</v>
      </c>
      <c r="AU4479">
        <v>0</v>
      </c>
      <c r="AW4479">
        <v>0</v>
      </c>
      <c r="AX4479">
        <v>0</v>
      </c>
      <c r="AY4479">
        <v>70</v>
      </c>
      <c r="BC4479" t="str">
        <f t="shared" si="597"/>
        <v>9791197332272</v>
      </c>
      <c r="BE4479" t="str">
        <f t="shared" si="594"/>
        <v>판타지 웹소설 &gt; 퓨전 판타지</v>
      </c>
    </row>
    <row r="4480" spans="1:57" x14ac:dyDescent="0.3">
      <c r="A4480">
        <v>2313020884</v>
      </c>
      <c r="B4480">
        <v>2313020958</v>
      </c>
      <c r="C4480" t="str">
        <f>T("회귀한 헌터가 너무 강함 75화")</f>
        <v>회귀한 헌터가 너무 강함 75화</v>
      </c>
      <c r="D4480" t="str">
        <f>T("75")</f>
        <v>75</v>
      </c>
      <c r="E4480" t="str">
        <f t="shared" si="595"/>
        <v>왕십리글쟁이</v>
      </c>
      <c r="H4480" t="str">
        <f t="shared" si="591"/>
        <v>스토리위즈</v>
      </c>
      <c r="I4480" t="str">
        <f t="shared" si="596"/>
        <v>회귀한 헌터가 너무 강함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</v>
      </c>
      <c r="AH4480">
        <v>1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/>
      <c r="AQ4480">
        <v>0</v>
      </c>
      <c r="AR4480">
        <v>0</v>
      </c>
      <c r="AT4480">
        <v>0</v>
      </c>
      <c r="AU4480">
        <v>0</v>
      </c>
      <c r="AW4480">
        <v>0</v>
      </c>
      <c r="AX4480">
        <v>0</v>
      </c>
      <c r="AY4480">
        <v>70</v>
      </c>
      <c r="BC4480" t="str">
        <f t="shared" si="597"/>
        <v>9791197332272</v>
      </c>
      <c r="BE4480" t="str">
        <f t="shared" si="594"/>
        <v>판타지 웹소설 &gt; 퓨전 판타지</v>
      </c>
    </row>
    <row r="4481" spans="1:57" x14ac:dyDescent="0.3">
      <c r="A4481">
        <v>2313020884</v>
      </c>
      <c r="B4481">
        <v>2313020959</v>
      </c>
      <c r="C4481" t="str">
        <f>T("회귀한 헌터가 너무 강함 76화")</f>
        <v>회귀한 헌터가 너무 강함 76화</v>
      </c>
      <c r="D4481" t="str">
        <f>T("76")</f>
        <v>76</v>
      </c>
      <c r="E4481" t="str">
        <f t="shared" si="595"/>
        <v>왕십리글쟁이</v>
      </c>
      <c r="H4481" t="str">
        <f t="shared" si="591"/>
        <v>스토리위즈</v>
      </c>
      <c r="I4481" t="str">
        <f t="shared" si="596"/>
        <v>회귀한 헌터가 너무 강함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100</v>
      </c>
      <c r="AH4481">
        <v>1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/>
      <c r="AQ4481">
        <v>0</v>
      </c>
      <c r="AR4481">
        <v>0</v>
      </c>
      <c r="AT4481">
        <v>0</v>
      </c>
      <c r="AU4481">
        <v>0</v>
      </c>
      <c r="AW4481">
        <v>0</v>
      </c>
      <c r="AX4481">
        <v>0</v>
      </c>
      <c r="AY4481">
        <v>70</v>
      </c>
      <c r="BC4481" t="str">
        <f t="shared" si="597"/>
        <v>9791197332272</v>
      </c>
      <c r="BE4481" t="str">
        <f t="shared" si="594"/>
        <v>판타지 웹소설 &gt; 퓨전 판타지</v>
      </c>
    </row>
    <row r="4482" spans="1:57" x14ac:dyDescent="0.3">
      <c r="A4482">
        <v>2313020884</v>
      </c>
      <c r="B4482">
        <v>2313020960</v>
      </c>
      <c r="C4482" t="str">
        <f>T("회귀한 헌터가 너무 강함 77화")</f>
        <v>회귀한 헌터가 너무 강함 77화</v>
      </c>
      <c r="D4482" t="str">
        <f>T("77")</f>
        <v>77</v>
      </c>
      <c r="E4482" t="str">
        <f t="shared" si="595"/>
        <v>왕십리글쟁이</v>
      </c>
      <c r="H4482" t="str">
        <f t="shared" si="591"/>
        <v>스토리위즈</v>
      </c>
      <c r="I4482" t="str">
        <f t="shared" si="596"/>
        <v>회귀한 헌터가 너무 강함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100</v>
      </c>
      <c r="AH4482">
        <v>1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/>
      <c r="AQ4482">
        <v>0</v>
      </c>
      <c r="AR4482">
        <v>0</v>
      </c>
      <c r="AT4482">
        <v>0</v>
      </c>
      <c r="AU4482">
        <v>0</v>
      </c>
      <c r="AW4482">
        <v>0</v>
      </c>
      <c r="AX4482">
        <v>0</v>
      </c>
      <c r="AY4482">
        <v>70</v>
      </c>
      <c r="BC4482" t="str">
        <f t="shared" si="597"/>
        <v>9791197332272</v>
      </c>
      <c r="BE4482" t="str">
        <f t="shared" si="594"/>
        <v>판타지 웹소설 &gt; 퓨전 판타지</v>
      </c>
    </row>
    <row r="4483" spans="1:57" x14ac:dyDescent="0.3">
      <c r="A4483">
        <v>2313020884</v>
      </c>
      <c r="B4483">
        <v>2313020961</v>
      </c>
      <c r="C4483" t="str">
        <f>T("회귀한 헌터가 너무 강함 78화")</f>
        <v>회귀한 헌터가 너무 강함 78화</v>
      </c>
      <c r="D4483" t="str">
        <f>T("78")</f>
        <v>78</v>
      </c>
      <c r="E4483" t="str">
        <f t="shared" si="595"/>
        <v>왕십리글쟁이</v>
      </c>
      <c r="H4483" t="str">
        <f t="shared" si="591"/>
        <v>스토리위즈</v>
      </c>
      <c r="I4483" t="str">
        <f t="shared" si="596"/>
        <v>회귀한 헌터가 너무 강함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100</v>
      </c>
      <c r="AH4483">
        <v>1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/>
      <c r="AQ4483">
        <v>0</v>
      </c>
      <c r="AR4483">
        <v>0</v>
      </c>
      <c r="AT4483">
        <v>0</v>
      </c>
      <c r="AU4483">
        <v>0</v>
      </c>
      <c r="AW4483">
        <v>0</v>
      </c>
      <c r="AX4483">
        <v>0</v>
      </c>
      <c r="AY4483">
        <v>70</v>
      </c>
      <c r="BC4483" t="str">
        <f t="shared" si="597"/>
        <v>9791197332272</v>
      </c>
      <c r="BE4483" t="str">
        <f t="shared" si="594"/>
        <v>판타지 웹소설 &gt; 퓨전 판타지</v>
      </c>
    </row>
    <row r="4484" spans="1:57" x14ac:dyDescent="0.3">
      <c r="A4484">
        <v>2313020884</v>
      </c>
      <c r="B4484">
        <v>2313020962</v>
      </c>
      <c r="C4484" t="str">
        <f>T("회귀한 헌터가 너무 강함 79화")</f>
        <v>회귀한 헌터가 너무 강함 79화</v>
      </c>
      <c r="D4484" t="str">
        <f>T("79")</f>
        <v>79</v>
      </c>
      <c r="E4484" t="str">
        <f t="shared" si="595"/>
        <v>왕십리글쟁이</v>
      </c>
      <c r="H4484" t="str">
        <f t="shared" si="591"/>
        <v>스토리위즈</v>
      </c>
      <c r="I4484" t="str">
        <f t="shared" si="596"/>
        <v>회귀한 헌터가 너무 강함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100</v>
      </c>
      <c r="AH4484">
        <v>1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/>
      <c r="AQ4484">
        <v>0</v>
      </c>
      <c r="AR4484">
        <v>0</v>
      </c>
      <c r="AT4484">
        <v>0</v>
      </c>
      <c r="AU4484">
        <v>0</v>
      </c>
      <c r="AW4484">
        <v>0</v>
      </c>
      <c r="AX4484">
        <v>0</v>
      </c>
      <c r="AY4484">
        <v>70</v>
      </c>
      <c r="BC4484" t="str">
        <f t="shared" si="597"/>
        <v>9791197332272</v>
      </c>
      <c r="BE4484" t="str">
        <f t="shared" si="594"/>
        <v>판타지 웹소설 &gt; 퓨전 판타지</v>
      </c>
    </row>
    <row r="4485" spans="1:57" x14ac:dyDescent="0.3">
      <c r="A4485">
        <v>2313020884</v>
      </c>
      <c r="B4485">
        <v>2313020963</v>
      </c>
      <c r="C4485" t="str">
        <f>T("회귀한 헌터가 너무 강함 80화")</f>
        <v>회귀한 헌터가 너무 강함 80화</v>
      </c>
      <c r="D4485" t="str">
        <f>T("80")</f>
        <v>80</v>
      </c>
      <c r="E4485" t="str">
        <f t="shared" si="595"/>
        <v>왕십리글쟁이</v>
      </c>
      <c r="H4485" t="str">
        <f t="shared" si="591"/>
        <v>스토리위즈</v>
      </c>
      <c r="I4485" t="str">
        <f t="shared" si="596"/>
        <v>회귀한 헌터가 너무 강함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100</v>
      </c>
      <c r="AH4485">
        <v>1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/>
      <c r="AQ4485">
        <v>0</v>
      </c>
      <c r="AR4485">
        <v>0</v>
      </c>
      <c r="AT4485">
        <v>0</v>
      </c>
      <c r="AU4485">
        <v>0</v>
      </c>
      <c r="AW4485">
        <v>0</v>
      </c>
      <c r="AX4485">
        <v>0</v>
      </c>
      <c r="AY4485">
        <v>70</v>
      </c>
      <c r="BC4485" t="str">
        <f t="shared" si="597"/>
        <v>9791197332272</v>
      </c>
      <c r="BE4485" t="str">
        <f t="shared" si="594"/>
        <v>판타지 웹소설 &gt; 퓨전 판타지</v>
      </c>
    </row>
    <row r="4486" spans="1:57" x14ac:dyDescent="0.3">
      <c r="A4486">
        <v>2313020884</v>
      </c>
      <c r="B4486">
        <v>2313020964</v>
      </c>
      <c r="C4486" t="str">
        <f>T("회귀한 헌터가 너무 강함 81화")</f>
        <v>회귀한 헌터가 너무 강함 81화</v>
      </c>
      <c r="D4486" t="str">
        <f>T("81")</f>
        <v>81</v>
      </c>
      <c r="E4486" t="str">
        <f t="shared" si="595"/>
        <v>왕십리글쟁이</v>
      </c>
      <c r="H4486" t="str">
        <f t="shared" si="591"/>
        <v>스토리위즈</v>
      </c>
      <c r="I4486" t="str">
        <f t="shared" si="596"/>
        <v>회귀한 헌터가 너무 강함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</v>
      </c>
      <c r="AH4486">
        <v>1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/>
      <c r="AQ4486">
        <v>0</v>
      </c>
      <c r="AR4486">
        <v>0</v>
      </c>
      <c r="AT4486">
        <v>0</v>
      </c>
      <c r="AU4486">
        <v>0</v>
      </c>
      <c r="AW4486">
        <v>0</v>
      </c>
      <c r="AX4486">
        <v>0</v>
      </c>
      <c r="AY4486">
        <v>70</v>
      </c>
      <c r="BC4486" t="str">
        <f t="shared" si="597"/>
        <v>9791197332272</v>
      </c>
      <c r="BE4486" t="str">
        <f t="shared" si="594"/>
        <v>판타지 웹소설 &gt; 퓨전 판타지</v>
      </c>
    </row>
    <row r="4487" spans="1:57" x14ac:dyDescent="0.3">
      <c r="A4487">
        <v>2313020884</v>
      </c>
      <c r="B4487">
        <v>2313020965</v>
      </c>
      <c r="C4487" t="str">
        <f>T("회귀한 헌터가 너무 강함 82화")</f>
        <v>회귀한 헌터가 너무 강함 82화</v>
      </c>
      <c r="D4487" t="str">
        <f>T("82")</f>
        <v>82</v>
      </c>
      <c r="E4487" t="str">
        <f t="shared" si="595"/>
        <v>왕십리글쟁이</v>
      </c>
      <c r="H4487" t="str">
        <f t="shared" si="591"/>
        <v>스토리위즈</v>
      </c>
      <c r="I4487" t="str">
        <f t="shared" si="596"/>
        <v>회귀한 헌터가 너무 강함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100</v>
      </c>
      <c r="AH4487">
        <v>1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/>
      <c r="AQ4487">
        <v>0</v>
      </c>
      <c r="AR4487">
        <v>0</v>
      </c>
      <c r="AT4487">
        <v>0</v>
      </c>
      <c r="AU4487">
        <v>0</v>
      </c>
      <c r="AW4487">
        <v>0</v>
      </c>
      <c r="AX4487">
        <v>0</v>
      </c>
      <c r="AY4487">
        <v>70</v>
      </c>
      <c r="BC4487" t="str">
        <f t="shared" si="597"/>
        <v>9791197332272</v>
      </c>
      <c r="BE4487" t="str">
        <f t="shared" si="594"/>
        <v>판타지 웹소설 &gt; 퓨전 판타지</v>
      </c>
    </row>
    <row r="4488" spans="1:57" x14ac:dyDescent="0.3">
      <c r="A4488">
        <v>2313020884</v>
      </c>
      <c r="B4488">
        <v>2313020966</v>
      </c>
      <c r="C4488" t="str">
        <f>T("회귀한 헌터가 너무 강함 83화")</f>
        <v>회귀한 헌터가 너무 강함 83화</v>
      </c>
      <c r="D4488" t="str">
        <f>T("83")</f>
        <v>83</v>
      </c>
      <c r="E4488" t="str">
        <f t="shared" si="595"/>
        <v>왕십리글쟁이</v>
      </c>
      <c r="H4488" t="str">
        <f t="shared" si="591"/>
        <v>스토리위즈</v>
      </c>
      <c r="I4488" t="str">
        <f t="shared" si="596"/>
        <v>회귀한 헌터가 너무 강함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100</v>
      </c>
      <c r="AH4488">
        <v>1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/>
      <c r="AQ4488">
        <v>0</v>
      </c>
      <c r="AR4488">
        <v>0</v>
      </c>
      <c r="AT4488">
        <v>0</v>
      </c>
      <c r="AU4488">
        <v>0</v>
      </c>
      <c r="AW4488">
        <v>0</v>
      </c>
      <c r="AX4488">
        <v>0</v>
      </c>
      <c r="AY4488">
        <v>70</v>
      </c>
      <c r="BC4488" t="str">
        <f t="shared" si="597"/>
        <v>9791197332272</v>
      </c>
      <c r="BE4488" t="str">
        <f t="shared" si="594"/>
        <v>판타지 웹소설 &gt; 퓨전 판타지</v>
      </c>
    </row>
    <row r="4489" spans="1:57" x14ac:dyDescent="0.3">
      <c r="A4489">
        <v>2313020884</v>
      </c>
      <c r="B4489">
        <v>2313020967</v>
      </c>
      <c r="C4489" t="str">
        <f>T("회귀한 헌터가 너무 강함 84화")</f>
        <v>회귀한 헌터가 너무 강함 84화</v>
      </c>
      <c r="D4489" t="str">
        <f>T("84")</f>
        <v>84</v>
      </c>
      <c r="E4489" t="str">
        <f t="shared" si="595"/>
        <v>왕십리글쟁이</v>
      </c>
      <c r="H4489" t="str">
        <f t="shared" si="591"/>
        <v>스토리위즈</v>
      </c>
      <c r="I4489" t="str">
        <f t="shared" si="596"/>
        <v>회귀한 헌터가 너무 강함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100</v>
      </c>
      <c r="AH4489">
        <v>1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/>
      <c r="AQ4489">
        <v>0</v>
      </c>
      <c r="AR4489">
        <v>0</v>
      </c>
      <c r="AT4489">
        <v>0</v>
      </c>
      <c r="AU4489">
        <v>0</v>
      </c>
      <c r="AW4489">
        <v>0</v>
      </c>
      <c r="AX4489">
        <v>0</v>
      </c>
      <c r="AY4489">
        <v>70</v>
      </c>
      <c r="BC4489" t="str">
        <f t="shared" si="597"/>
        <v>9791197332272</v>
      </c>
      <c r="BE4489" t="str">
        <f t="shared" si="594"/>
        <v>판타지 웹소설 &gt; 퓨전 판타지</v>
      </c>
    </row>
    <row r="4490" spans="1:57" x14ac:dyDescent="0.3">
      <c r="A4490">
        <v>2313020884</v>
      </c>
      <c r="B4490">
        <v>2313020968</v>
      </c>
      <c r="C4490" t="str">
        <f>T("회귀한 헌터가 너무 강함 85화")</f>
        <v>회귀한 헌터가 너무 강함 85화</v>
      </c>
      <c r="D4490" t="str">
        <f>T("85")</f>
        <v>85</v>
      </c>
      <c r="E4490" t="str">
        <f t="shared" si="595"/>
        <v>왕십리글쟁이</v>
      </c>
      <c r="H4490" t="str">
        <f t="shared" si="591"/>
        <v>스토리위즈</v>
      </c>
      <c r="I4490" t="str">
        <f t="shared" si="596"/>
        <v>회귀한 헌터가 너무 강함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100</v>
      </c>
      <c r="AH4490">
        <v>1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/>
      <c r="AQ4490">
        <v>0</v>
      </c>
      <c r="AR4490">
        <v>0</v>
      </c>
      <c r="AT4490">
        <v>0</v>
      </c>
      <c r="AU4490">
        <v>0</v>
      </c>
      <c r="AW4490">
        <v>0</v>
      </c>
      <c r="AX4490">
        <v>0</v>
      </c>
      <c r="AY4490">
        <v>70</v>
      </c>
      <c r="BC4490" t="str">
        <f t="shared" si="597"/>
        <v>9791197332272</v>
      </c>
      <c r="BE4490" t="str">
        <f t="shared" si="594"/>
        <v>판타지 웹소설 &gt; 퓨전 판타지</v>
      </c>
    </row>
    <row r="4491" spans="1:57" x14ac:dyDescent="0.3">
      <c r="A4491">
        <v>2313020884</v>
      </c>
      <c r="B4491">
        <v>2313020969</v>
      </c>
      <c r="C4491" t="str">
        <f>T("회귀한 헌터가 너무 강함 86화")</f>
        <v>회귀한 헌터가 너무 강함 86화</v>
      </c>
      <c r="D4491" t="str">
        <f>T("86")</f>
        <v>86</v>
      </c>
      <c r="E4491" t="str">
        <f t="shared" si="595"/>
        <v>왕십리글쟁이</v>
      </c>
      <c r="H4491" t="str">
        <f t="shared" si="591"/>
        <v>스토리위즈</v>
      </c>
      <c r="I4491" t="str">
        <f t="shared" si="596"/>
        <v>회귀한 헌터가 너무 강함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100</v>
      </c>
      <c r="AH4491">
        <v>1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/>
      <c r="AQ4491">
        <v>0</v>
      </c>
      <c r="AR4491">
        <v>0</v>
      </c>
      <c r="AT4491">
        <v>0</v>
      </c>
      <c r="AU4491">
        <v>0</v>
      </c>
      <c r="AW4491">
        <v>0</v>
      </c>
      <c r="AX4491">
        <v>0</v>
      </c>
      <c r="AY4491">
        <v>70</v>
      </c>
      <c r="BC4491" t="str">
        <f t="shared" si="597"/>
        <v>9791197332272</v>
      </c>
      <c r="BE4491" t="str">
        <f t="shared" si="594"/>
        <v>판타지 웹소설 &gt; 퓨전 판타지</v>
      </c>
    </row>
    <row r="4492" spans="1:57" x14ac:dyDescent="0.3">
      <c r="A4492">
        <v>2313020884</v>
      </c>
      <c r="B4492">
        <v>2313020970</v>
      </c>
      <c r="C4492" t="str">
        <f>T("회귀한 헌터가 너무 강함 87화")</f>
        <v>회귀한 헌터가 너무 강함 87화</v>
      </c>
      <c r="D4492" t="str">
        <f>T("87")</f>
        <v>87</v>
      </c>
      <c r="E4492" t="str">
        <f t="shared" si="595"/>
        <v>왕십리글쟁이</v>
      </c>
      <c r="H4492" t="str">
        <f t="shared" si="591"/>
        <v>스토리위즈</v>
      </c>
      <c r="I4492" t="str">
        <f t="shared" si="596"/>
        <v>회귀한 헌터가 너무 강함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100</v>
      </c>
      <c r="AH4492">
        <v>1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/>
      <c r="AQ4492">
        <v>0</v>
      </c>
      <c r="AR4492">
        <v>0</v>
      </c>
      <c r="AT4492">
        <v>0</v>
      </c>
      <c r="AU4492">
        <v>0</v>
      </c>
      <c r="AW4492">
        <v>0</v>
      </c>
      <c r="AX4492">
        <v>0</v>
      </c>
      <c r="AY4492">
        <v>70</v>
      </c>
      <c r="BC4492" t="str">
        <f t="shared" si="597"/>
        <v>9791197332272</v>
      </c>
      <c r="BE4492" t="str">
        <f t="shared" si="594"/>
        <v>판타지 웹소설 &gt; 퓨전 판타지</v>
      </c>
    </row>
    <row r="4493" spans="1:57" x14ac:dyDescent="0.3">
      <c r="A4493">
        <v>2313020884</v>
      </c>
      <c r="B4493">
        <v>2313020971</v>
      </c>
      <c r="C4493" t="str">
        <f>T("회귀한 헌터가 너무 강함 88화")</f>
        <v>회귀한 헌터가 너무 강함 88화</v>
      </c>
      <c r="D4493" t="str">
        <f>T("88")</f>
        <v>88</v>
      </c>
      <c r="E4493" t="str">
        <f t="shared" si="595"/>
        <v>왕십리글쟁이</v>
      </c>
      <c r="H4493" t="str">
        <f t="shared" si="591"/>
        <v>스토리위즈</v>
      </c>
      <c r="I4493" t="str">
        <f t="shared" si="596"/>
        <v>회귀한 헌터가 너무 강함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100</v>
      </c>
      <c r="AH4493">
        <v>1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/>
      <c r="AQ4493">
        <v>0</v>
      </c>
      <c r="AR4493">
        <v>0</v>
      </c>
      <c r="AT4493">
        <v>0</v>
      </c>
      <c r="AU4493">
        <v>0</v>
      </c>
      <c r="AW4493">
        <v>0</v>
      </c>
      <c r="AX4493">
        <v>0</v>
      </c>
      <c r="AY4493">
        <v>70</v>
      </c>
      <c r="BC4493" t="str">
        <f t="shared" si="597"/>
        <v>9791197332272</v>
      </c>
      <c r="BE4493" t="str">
        <f t="shared" si="594"/>
        <v>판타지 웹소설 &gt; 퓨전 판타지</v>
      </c>
    </row>
    <row r="4494" spans="1:57" x14ac:dyDescent="0.3">
      <c r="A4494">
        <v>2313020884</v>
      </c>
      <c r="B4494">
        <v>2313020972</v>
      </c>
      <c r="C4494" t="str">
        <f>T("회귀한 헌터가 너무 강함 89화")</f>
        <v>회귀한 헌터가 너무 강함 89화</v>
      </c>
      <c r="D4494" t="str">
        <f>T("89")</f>
        <v>89</v>
      </c>
      <c r="E4494" t="str">
        <f t="shared" si="595"/>
        <v>왕십리글쟁이</v>
      </c>
      <c r="H4494" t="str">
        <f t="shared" ref="H4494:H4557" si="598">T("스토리위즈")</f>
        <v>스토리위즈</v>
      </c>
      <c r="I4494" t="str">
        <f t="shared" si="596"/>
        <v>회귀한 헌터가 너무 강함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100</v>
      </c>
      <c r="AH4494">
        <v>1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/>
      <c r="AQ4494">
        <v>0</v>
      </c>
      <c r="AR4494">
        <v>0</v>
      </c>
      <c r="AT4494">
        <v>0</v>
      </c>
      <c r="AU4494">
        <v>0</v>
      </c>
      <c r="AW4494">
        <v>0</v>
      </c>
      <c r="AX4494">
        <v>0</v>
      </c>
      <c r="AY4494">
        <v>70</v>
      </c>
      <c r="BC4494" t="str">
        <f t="shared" si="597"/>
        <v>9791197332272</v>
      </c>
      <c r="BE4494" t="str">
        <f t="shared" ref="BE4494:BE4539" si="599">T("판타지 웹소설 &gt; 퓨전 판타지")</f>
        <v>판타지 웹소설 &gt; 퓨전 판타지</v>
      </c>
    </row>
    <row r="4495" spans="1:57" x14ac:dyDescent="0.3">
      <c r="A4495">
        <v>2313020884</v>
      </c>
      <c r="B4495">
        <v>2313020973</v>
      </c>
      <c r="C4495" t="str">
        <f>T("회귀한 헌터가 너무 강함 90화")</f>
        <v>회귀한 헌터가 너무 강함 90화</v>
      </c>
      <c r="D4495" t="str">
        <f>T("90")</f>
        <v>90</v>
      </c>
      <c r="E4495" t="str">
        <f t="shared" si="595"/>
        <v>왕십리글쟁이</v>
      </c>
      <c r="H4495" t="str">
        <f t="shared" si="598"/>
        <v>스토리위즈</v>
      </c>
      <c r="I4495" t="str">
        <f t="shared" si="596"/>
        <v>회귀한 헌터가 너무 강함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100</v>
      </c>
      <c r="AH4495">
        <v>1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/>
      <c r="AQ4495">
        <v>0</v>
      </c>
      <c r="AR4495">
        <v>0</v>
      </c>
      <c r="AT4495">
        <v>0</v>
      </c>
      <c r="AU4495">
        <v>0</v>
      </c>
      <c r="AW4495">
        <v>0</v>
      </c>
      <c r="AX4495">
        <v>0</v>
      </c>
      <c r="AY4495">
        <v>70</v>
      </c>
      <c r="BC4495" t="str">
        <f t="shared" si="597"/>
        <v>9791197332272</v>
      </c>
      <c r="BE4495" t="str">
        <f t="shared" si="599"/>
        <v>판타지 웹소설 &gt; 퓨전 판타지</v>
      </c>
    </row>
    <row r="4496" spans="1:57" x14ac:dyDescent="0.3">
      <c r="A4496">
        <v>2313020884</v>
      </c>
      <c r="B4496">
        <v>2313020974</v>
      </c>
      <c r="C4496" t="str">
        <f>T("회귀한 헌터가 너무 강함 91화")</f>
        <v>회귀한 헌터가 너무 강함 91화</v>
      </c>
      <c r="D4496" t="str">
        <f>T("91")</f>
        <v>91</v>
      </c>
      <c r="E4496" t="str">
        <f t="shared" si="595"/>
        <v>왕십리글쟁이</v>
      </c>
      <c r="H4496" t="str">
        <f t="shared" si="598"/>
        <v>스토리위즈</v>
      </c>
      <c r="I4496" t="str">
        <f t="shared" si="596"/>
        <v>회귀한 헌터가 너무 강함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100</v>
      </c>
      <c r="AH4496">
        <v>1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/>
      <c r="AQ4496">
        <v>0</v>
      </c>
      <c r="AR4496">
        <v>0</v>
      </c>
      <c r="AT4496">
        <v>0</v>
      </c>
      <c r="AU4496">
        <v>0</v>
      </c>
      <c r="AW4496">
        <v>0</v>
      </c>
      <c r="AX4496">
        <v>0</v>
      </c>
      <c r="AY4496">
        <v>70</v>
      </c>
      <c r="BC4496" t="str">
        <f t="shared" si="597"/>
        <v>9791197332272</v>
      </c>
      <c r="BE4496" t="str">
        <f t="shared" si="599"/>
        <v>판타지 웹소설 &gt; 퓨전 판타지</v>
      </c>
    </row>
    <row r="4497" spans="1:57" x14ac:dyDescent="0.3">
      <c r="A4497">
        <v>2313020884</v>
      </c>
      <c r="B4497">
        <v>2313020975</v>
      </c>
      <c r="C4497" t="str">
        <f>T("회귀한 헌터가 너무 강함 92화")</f>
        <v>회귀한 헌터가 너무 강함 92화</v>
      </c>
      <c r="D4497" t="str">
        <f>T("92")</f>
        <v>92</v>
      </c>
      <c r="E4497" t="str">
        <f t="shared" si="595"/>
        <v>왕십리글쟁이</v>
      </c>
      <c r="H4497" t="str">
        <f t="shared" si="598"/>
        <v>스토리위즈</v>
      </c>
      <c r="I4497" t="str">
        <f t="shared" si="596"/>
        <v>회귀한 헌터가 너무 강함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100</v>
      </c>
      <c r="AH4497">
        <v>1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/>
      <c r="AQ4497">
        <v>0</v>
      </c>
      <c r="AR4497">
        <v>0</v>
      </c>
      <c r="AT4497">
        <v>0</v>
      </c>
      <c r="AU4497">
        <v>0</v>
      </c>
      <c r="AW4497">
        <v>0</v>
      </c>
      <c r="AX4497">
        <v>0</v>
      </c>
      <c r="AY4497">
        <v>70</v>
      </c>
      <c r="BC4497" t="str">
        <f t="shared" si="597"/>
        <v>9791197332272</v>
      </c>
      <c r="BE4497" t="str">
        <f t="shared" si="599"/>
        <v>판타지 웹소설 &gt; 퓨전 판타지</v>
      </c>
    </row>
    <row r="4498" spans="1:57" x14ac:dyDescent="0.3">
      <c r="A4498">
        <v>2313020884</v>
      </c>
      <c r="B4498">
        <v>2313020976</v>
      </c>
      <c r="C4498" t="str">
        <f>T("회귀한 헌터가 너무 강함 93화")</f>
        <v>회귀한 헌터가 너무 강함 93화</v>
      </c>
      <c r="D4498" t="str">
        <f>T("93")</f>
        <v>93</v>
      </c>
      <c r="E4498" t="str">
        <f t="shared" si="595"/>
        <v>왕십리글쟁이</v>
      </c>
      <c r="H4498" t="str">
        <f t="shared" si="598"/>
        <v>스토리위즈</v>
      </c>
      <c r="I4498" t="str">
        <f t="shared" si="596"/>
        <v>회귀한 헌터가 너무 강함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100</v>
      </c>
      <c r="AH4498">
        <v>1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/>
      <c r="AQ4498">
        <v>0</v>
      </c>
      <c r="AR4498">
        <v>0</v>
      </c>
      <c r="AT4498">
        <v>0</v>
      </c>
      <c r="AU4498">
        <v>0</v>
      </c>
      <c r="AW4498">
        <v>0</v>
      </c>
      <c r="AX4498">
        <v>0</v>
      </c>
      <c r="AY4498">
        <v>70</v>
      </c>
      <c r="BC4498" t="str">
        <f t="shared" si="597"/>
        <v>9791197332272</v>
      </c>
      <c r="BE4498" t="str">
        <f t="shared" si="599"/>
        <v>판타지 웹소설 &gt; 퓨전 판타지</v>
      </c>
    </row>
    <row r="4499" spans="1:57" x14ac:dyDescent="0.3">
      <c r="A4499">
        <v>2313020884</v>
      </c>
      <c r="B4499">
        <v>2313020977</v>
      </c>
      <c r="C4499" t="str">
        <f>T("회귀한 헌터가 너무 강함 94화")</f>
        <v>회귀한 헌터가 너무 강함 94화</v>
      </c>
      <c r="D4499" t="str">
        <f>T("94")</f>
        <v>94</v>
      </c>
      <c r="E4499" t="str">
        <f t="shared" si="595"/>
        <v>왕십리글쟁이</v>
      </c>
      <c r="H4499" t="str">
        <f t="shared" si="598"/>
        <v>스토리위즈</v>
      </c>
      <c r="I4499" t="str">
        <f t="shared" si="596"/>
        <v>회귀한 헌터가 너무 강함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100</v>
      </c>
      <c r="AH4499">
        <v>1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/>
      <c r="AQ4499">
        <v>0</v>
      </c>
      <c r="AR4499">
        <v>0</v>
      </c>
      <c r="AT4499">
        <v>0</v>
      </c>
      <c r="AU4499">
        <v>0</v>
      </c>
      <c r="AW4499">
        <v>0</v>
      </c>
      <c r="AX4499">
        <v>0</v>
      </c>
      <c r="AY4499">
        <v>70</v>
      </c>
      <c r="BC4499" t="str">
        <f t="shared" si="597"/>
        <v>9791197332272</v>
      </c>
      <c r="BE4499" t="str">
        <f t="shared" si="599"/>
        <v>판타지 웹소설 &gt; 퓨전 판타지</v>
      </c>
    </row>
    <row r="4500" spans="1:57" x14ac:dyDescent="0.3">
      <c r="A4500">
        <v>2313020884</v>
      </c>
      <c r="B4500">
        <v>2313020978</v>
      </c>
      <c r="C4500" t="str">
        <f>T("회귀한 헌터가 너무 강함 95화")</f>
        <v>회귀한 헌터가 너무 강함 95화</v>
      </c>
      <c r="D4500" t="str">
        <f>T("95")</f>
        <v>95</v>
      </c>
      <c r="E4500" t="str">
        <f t="shared" si="595"/>
        <v>왕십리글쟁이</v>
      </c>
      <c r="H4500" t="str">
        <f t="shared" si="598"/>
        <v>스토리위즈</v>
      </c>
      <c r="I4500" t="str">
        <f t="shared" si="596"/>
        <v>회귀한 헌터가 너무 강함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100</v>
      </c>
      <c r="AH4500">
        <v>1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/>
      <c r="AQ4500">
        <v>0</v>
      </c>
      <c r="AR4500">
        <v>0</v>
      </c>
      <c r="AT4500">
        <v>0</v>
      </c>
      <c r="AU4500">
        <v>0</v>
      </c>
      <c r="AW4500">
        <v>0</v>
      </c>
      <c r="AX4500">
        <v>0</v>
      </c>
      <c r="AY4500">
        <v>70</v>
      </c>
      <c r="BC4500" t="str">
        <f t="shared" si="597"/>
        <v>9791197332272</v>
      </c>
      <c r="BE4500" t="str">
        <f t="shared" si="599"/>
        <v>판타지 웹소설 &gt; 퓨전 판타지</v>
      </c>
    </row>
    <row r="4501" spans="1:57" x14ac:dyDescent="0.3">
      <c r="A4501">
        <v>2313020884</v>
      </c>
      <c r="B4501">
        <v>2313020979</v>
      </c>
      <c r="C4501" t="str">
        <f>T("회귀한 헌터가 너무 강함 96화")</f>
        <v>회귀한 헌터가 너무 강함 96화</v>
      </c>
      <c r="D4501" t="str">
        <f>T("96")</f>
        <v>96</v>
      </c>
      <c r="E4501" t="str">
        <f t="shared" si="595"/>
        <v>왕십리글쟁이</v>
      </c>
      <c r="H4501" t="str">
        <f t="shared" si="598"/>
        <v>스토리위즈</v>
      </c>
      <c r="I4501" t="str">
        <f t="shared" si="596"/>
        <v>회귀한 헌터가 너무 강함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100</v>
      </c>
      <c r="AH4501">
        <v>1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/>
      <c r="AQ4501">
        <v>0</v>
      </c>
      <c r="AR4501">
        <v>0</v>
      </c>
      <c r="AT4501">
        <v>0</v>
      </c>
      <c r="AU4501">
        <v>0</v>
      </c>
      <c r="AW4501">
        <v>0</v>
      </c>
      <c r="AX4501">
        <v>0</v>
      </c>
      <c r="AY4501">
        <v>70</v>
      </c>
      <c r="BC4501" t="str">
        <f t="shared" si="597"/>
        <v>9791197332272</v>
      </c>
      <c r="BE4501" t="str">
        <f t="shared" si="599"/>
        <v>판타지 웹소설 &gt; 퓨전 판타지</v>
      </c>
    </row>
    <row r="4502" spans="1:57" x14ac:dyDescent="0.3">
      <c r="A4502">
        <v>2313020884</v>
      </c>
      <c r="B4502">
        <v>2313020980</v>
      </c>
      <c r="C4502" t="str">
        <f>T("회귀한 헌터가 너무 강함 97화")</f>
        <v>회귀한 헌터가 너무 강함 97화</v>
      </c>
      <c r="D4502" t="str">
        <f>T("97")</f>
        <v>97</v>
      </c>
      <c r="E4502" t="str">
        <f t="shared" si="595"/>
        <v>왕십리글쟁이</v>
      </c>
      <c r="H4502" t="str">
        <f t="shared" si="598"/>
        <v>스토리위즈</v>
      </c>
      <c r="I4502" t="str">
        <f t="shared" si="596"/>
        <v>회귀한 헌터가 너무 강함</v>
      </c>
      <c r="J4502">
        <v>100</v>
      </c>
      <c r="K4502">
        <v>100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100</v>
      </c>
      <c r="AH4502">
        <v>1</v>
      </c>
      <c r="AI4502">
        <v>0</v>
      </c>
      <c r="AJ4502">
        <v>0</v>
      </c>
      <c r="AK4502">
        <v>100</v>
      </c>
      <c r="AL4502">
        <v>0</v>
      </c>
      <c r="AM4502">
        <v>0</v>
      </c>
      <c r="AN4502">
        <v>0</v>
      </c>
      <c r="AO4502">
        <v>0</v>
      </c>
      <c r="AP4502"/>
      <c r="AQ4502">
        <v>0</v>
      </c>
      <c r="AR4502">
        <v>0</v>
      </c>
      <c r="AT4502">
        <v>0</v>
      </c>
      <c r="AU4502">
        <v>0</v>
      </c>
      <c r="AW4502">
        <v>0</v>
      </c>
      <c r="AX4502">
        <v>0</v>
      </c>
      <c r="AY4502">
        <v>70</v>
      </c>
      <c r="BC4502" t="str">
        <f t="shared" si="597"/>
        <v>9791197332272</v>
      </c>
      <c r="BE4502" t="str">
        <f t="shared" si="599"/>
        <v>판타지 웹소설 &gt; 퓨전 판타지</v>
      </c>
    </row>
    <row r="4503" spans="1:57" x14ac:dyDescent="0.3">
      <c r="A4503">
        <v>2313020884</v>
      </c>
      <c r="B4503">
        <v>2313020981</v>
      </c>
      <c r="C4503" t="str">
        <f>T("회귀한 헌터가 너무 강함 98화")</f>
        <v>회귀한 헌터가 너무 강함 98화</v>
      </c>
      <c r="D4503" t="str">
        <f>T("98")</f>
        <v>98</v>
      </c>
      <c r="E4503" t="str">
        <f t="shared" si="595"/>
        <v>왕십리글쟁이</v>
      </c>
      <c r="H4503" t="str">
        <f t="shared" si="598"/>
        <v>스토리위즈</v>
      </c>
      <c r="I4503" t="str">
        <f t="shared" si="596"/>
        <v>회귀한 헌터가 너무 강함</v>
      </c>
      <c r="J4503">
        <v>100</v>
      </c>
      <c r="K4503">
        <v>100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100</v>
      </c>
      <c r="AH4503">
        <v>1</v>
      </c>
      <c r="AI4503">
        <v>0</v>
      </c>
      <c r="AJ4503">
        <v>0</v>
      </c>
      <c r="AK4503">
        <v>100</v>
      </c>
      <c r="AL4503">
        <v>0</v>
      </c>
      <c r="AM4503">
        <v>0</v>
      </c>
      <c r="AN4503">
        <v>0</v>
      </c>
      <c r="AO4503">
        <v>0</v>
      </c>
      <c r="AP4503"/>
      <c r="AQ4503">
        <v>0</v>
      </c>
      <c r="AR4503">
        <v>0</v>
      </c>
      <c r="AT4503">
        <v>0</v>
      </c>
      <c r="AU4503">
        <v>0</v>
      </c>
      <c r="AW4503">
        <v>0</v>
      </c>
      <c r="AX4503">
        <v>0</v>
      </c>
      <c r="AY4503">
        <v>70</v>
      </c>
      <c r="BC4503" t="str">
        <f t="shared" si="597"/>
        <v>9791197332272</v>
      </c>
      <c r="BE4503" t="str">
        <f t="shared" si="599"/>
        <v>판타지 웹소설 &gt; 퓨전 판타지</v>
      </c>
    </row>
    <row r="4504" spans="1:57" x14ac:dyDescent="0.3">
      <c r="A4504">
        <v>2313020884</v>
      </c>
      <c r="B4504">
        <v>2313020982</v>
      </c>
      <c r="C4504" t="str">
        <f>T("회귀한 헌터가 너무 강함 99화")</f>
        <v>회귀한 헌터가 너무 강함 99화</v>
      </c>
      <c r="D4504" t="str">
        <f>T("99")</f>
        <v>99</v>
      </c>
      <c r="E4504" t="str">
        <f t="shared" si="595"/>
        <v>왕십리글쟁이</v>
      </c>
      <c r="H4504" t="str">
        <f t="shared" si="598"/>
        <v>스토리위즈</v>
      </c>
      <c r="I4504" t="str">
        <f t="shared" si="596"/>
        <v>회귀한 헌터가 너무 강함</v>
      </c>
      <c r="J4504">
        <v>100</v>
      </c>
      <c r="K4504">
        <v>100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100</v>
      </c>
      <c r="AH4504">
        <v>1</v>
      </c>
      <c r="AI4504">
        <v>0</v>
      </c>
      <c r="AJ4504">
        <v>0</v>
      </c>
      <c r="AK4504">
        <v>100</v>
      </c>
      <c r="AL4504">
        <v>0</v>
      </c>
      <c r="AM4504">
        <v>0</v>
      </c>
      <c r="AN4504">
        <v>0</v>
      </c>
      <c r="AO4504">
        <v>0</v>
      </c>
      <c r="AP4504"/>
      <c r="AQ4504">
        <v>0</v>
      </c>
      <c r="AR4504">
        <v>0</v>
      </c>
      <c r="AT4504">
        <v>0</v>
      </c>
      <c r="AU4504">
        <v>0</v>
      </c>
      <c r="AW4504">
        <v>0</v>
      </c>
      <c r="AX4504">
        <v>0</v>
      </c>
      <c r="AY4504">
        <v>70</v>
      </c>
      <c r="BC4504" t="str">
        <f t="shared" si="597"/>
        <v>9791197332272</v>
      </c>
      <c r="BE4504" t="str">
        <f t="shared" si="599"/>
        <v>판타지 웹소설 &gt; 퓨전 판타지</v>
      </c>
    </row>
    <row r="4505" spans="1:57" x14ac:dyDescent="0.3">
      <c r="A4505">
        <v>2313020884</v>
      </c>
      <c r="B4505">
        <v>2313020983</v>
      </c>
      <c r="C4505" t="str">
        <f>T("회귀한 헌터가 너무 강함 100화")</f>
        <v>회귀한 헌터가 너무 강함 100화</v>
      </c>
      <c r="D4505" t="str">
        <f>T("100")</f>
        <v>100</v>
      </c>
      <c r="E4505" t="str">
        <f t="shared" si="595"/>
        <v>왕십리글쟁이</v>
      </c>
      <c r="H4505" t="str">
        <f t="shared" si="598"/>
        <v>스토리위즈</v>
      </c>
      <c r="I4505" t="str">
        <f t="shared" si="596"/>
        <v>회귀한 헌터가 너무 강함</v>
      </c>
      <c r="J4505">
        <v>100</v>
      </c>
      <c r="K4505">
        <v>100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100</v>
      </c>
      <c r="AH4505">
        <v>1</v>
      </c>
      <c r="AI4505">
        <v>0</v>
      </c>
      <c r="AJ4505">
        <v>0</v>
      </c>
      <c r="AK4505">
        <v>100</v>
      </c>
      <c r="AL4505">
        <v>0</v>
      </c>
      <c r="AM4505">
        <v>0</v>
      </c>
      <c r="AN4505">
        <v>0</v>
      </c>
      <c r="AO4505">
        <v>0</v>
      </c>
      <c r="AP4505"/>
      <c r="AQ4505">
        <v>0</v>
      </c>
      <c r="AR4505">
        <v>0</v>
      </c>
      <c r="AT4505">
        <v>0</v>
      </c>
      <c r="AU4505">
        <v>0</v>
      </c>
      <c r="AW4505">
        <v>0</v>
      </c>
      <c r="AX4505">
        <v>0</v>
      </c>
      <c r="AY4505">
        <v>70</v>
      </c>
      <c r="BC4505" t="str">
        <f t="shared" si="597"/>
        <v>9791197332272</v>
      </c>
      <c r="BE4505" t="str">
        <f t="shared" si="599"/>
        <v>판타지 웹소설 &gt; 퓨전 판타지</v>
      </c>
    </row>
    <row r="4506" spans="1:57" x14ac:dyDescent="0.3">
      <c r="A4506">
        <v>2313020884</v>
      </c>
      <c r="B4506">
        <v>2313020984</v>
      </c>
      <c r="C4506" t="str">
        <f>T("회귀한 헌터가 너무 강함 101화")</f>
        <v>회귀한 헌터가 너무 강함 101화</v>
      </c>
      <c r="D4506" t="str">
        <f>T("101")</f>
        <v>101</v>
      </c>
      <c r="E4506" t="str">
        <f t="shared" si="595"/>
        <v>왕십리글쟁이</v>
      </c>
      <c r="H4506" t="str">
        <f t="shared" si="598"/>
        <v>스토리위즈</v>
      </c>
      <c r="I4506" t="str">
        <f t="shared" si="596"/>
        <v>회귀한 헌터가 너무 강함</v>
      </c>
      <c r="J4506">
        <v>100</v>
      </c>
      <c r="K4506">
        <v>100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100</v>
      </c>
      <c r="AH4506">
        <v>1</v>
      </c>
      <c r="AI4506">
        <v>0</v>
      </c>
      <c r="AJ4506">
        <v>0</v>
      </c>
      <c r="AK4506">
        <v>100</v>
      </c>
      <c r="AL4506">
        <v>0</v>
      </c>
      <c r="AM4506">
        <v>0</v>
      </c>
      <c r="AN4506">
        <v>0</v>
      </c>
      <c r="AO4506">
        <v>0</v>
      </c>
      <c r="AP4506"/>
      <c r="AQ4506">
        <v>0</v>
      </c>
      <c r="AR4506">
        <v>0</v>
      </c>
      <c r="AT4506">
        <v>0</v>
      </c>
      <c r="AU4506">
        <v>0</v>
      </c>
      <c r="AW4506">
        <v>0</v>
      </c>
      <c r="AX4506">
        <v>0</v>
      </c>
      <c r="AY4506">
        <v>70</v>
      </c>
      <c r="BC4506" t="str">
        <f t="shared" si="597"/>
        <v>9791197332272</v>
      </c>
      <c r="BE4506" t="str">
        <f t="shared" si="599"/>
        <v>판타지 웹소설 &gt; 퓨전 판타지</v>
      </c>
    </row>
    <row r="4507" spans="1:57" x14ac:dyDescent="0.3">
      <c r="A4507">
        <v>2313020884</v>
      </c>
      <c r="B4507">
        <v>2313020985</v>
      </c>
      <c r="C4507" t="str">
        <f>T("회귀한 헌터가 너무 강함 102화")</f>
        <v>회귀한 헌터가 너무 강함 102화</v>
      </c>
      <c r="D4507" t="str">
        <f>T("102")</f>
        <v>102</v>
      </c>
      <c r="E4507" t="str">
        <f t="shared" si="595"/>
        <v>왕십리글쟁이</v>
      </c>
      <c r="H4507" t="str">
        <f t="shared" si="598"/>
        <v>스토리위즈</v>
      </c>
      <c r="I4507" t="str">
        <f t="shared" si="596"/>
        <v>회귀한 헌터가 너무 강함</v>
      </c>
      <c r="J4507">
        <v>100</v>
      </c>
      <c r="K4507">
        <v>100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100</v>
      </c>
      <c r="AH4507">
        <v>1</v>
      </c>
      <c r="AI4507">
        <v>0</v>
      </c>
      <c r="AJ4507">
        <v>0</v>
      </c>
      <c r="AK4507">
        <v>100</v>
      </c>
      <c r="AL4507">
        <v>0</v>
      </c>
      <c r="AM4507">
        <v>0</v>
      </c>
      <c r="AN4507">
        <v>0</v>
      </c>
      <c r="AO4507">
        <v>0</v>
      </c>
      <c r="AP4507"/>
      <c r="AQ4507">
        <v>0</v>
      </c>
      <c r="AR4507">
        <v>0</v>
      </c>
      <c r="AT4507">
        <v>0</v>
      </c>
      <c r="AU4507">
        <v>0</v>
      </c>
      <c r="AW4507">
        <v>0</v>
      </c>
      <c r="AX4507">
        <v>0</v>
      </c>
      <c r="AY4507">
        <v>70</v>
      </c>
      <c r="BC4507" t="str">
        <f t="shared" si="597"/>
        <v>9791197332272</v>
      </c>
      <c r="BE4507" t="str">
        <f t="shared" si="599"/>
        <v>판타지 웹소설 &gt; 퓨전 판타지</v>
      </c>
    </row>
    <row r="4508" spans="1:57" x14ac:dyDescent="0.3">
      <c r="A4508">
        <v>2313020884</v>
      </c>
      <c r="B4508">
        <v>2313020986</v>
      </c>
      <c r="C4508" t="str">
        <f>T("회귀한 헌터가 너무 강함 103화")</f>
        <v>회귀한 헌터가 너무 강함 103화</v>
      </c>
      <c r="D4508" t="str">
        <f>T("103")</f>
        <v>103</v>
      </c>
      <c r="E4508" t="str">
        <f t="shared" si="595"/>
        <v>왕십리글쟁이</v>
      </c>
      <c r="H4508" t="str">
        <f t="shared" si="598"/>
        <v>스토리위즈</v>
      </c>
      <c r="I4508" t="str">
        <f t="shared" si="596"/>
        <v>회귀한 헌터가 너무 강함</v>
      </c>
      <c r="J4508">
        <v>100</v>
      </c>
      <c r="K4508">
        <v>100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100</v>
      </c>
      <c r="AH4508">
        <v>1</v>
      </c>
      <c r="AI4508">
        <v>0</v>
      </c>
      <c r="AJ4508">
        <v>0</v>
      </c>
      <c r="AK4508">
        <v>100</v>
      </c>
      <c r="AL4508">
        <v>0</v>
      </c>
      <c r="AM4508">
        <v>0</v>
      </c>
      <c r="AN4508">
        <v>0</v>
      </c>
      <c r="AO4508">
        <v>0</v>
      </c>
      <c r="AP4508"/>
      <c r="AQ4508">
        <v>0</v>
      </c>
      <c r="AR4508">
        <v>0</v>
      </c>
      <c r="AT4508">
        <v>0</v>
      </c>
      <c r="AU4508">
        <v>0</v>
      </c>
      <c r="AW4508">
        <v>0</v>
      </c>
      <c r="AX4508">
        <v>0</v>
      </c>
      <c r="AY4508">
        <v>70</v>
      </c>
      <c r="BC4508" t="str">
        <f t="shared" si="597"/>
        <v>9791197332272</v>
      </c>
      <c r="BE4508" t="str">
        <f t="shared" si="599"/>
        <v>판타지 웹소설 &gt; 퓨전 판타지</v>
      </c>
    </row>
    <row r="4509" spans="1:57" x14ac:dyDescent="0.3">
      <c r="A4509">
        <v>2313020884</v>
      </c>
      <c r="B4509">
        <v>2313020987</v>
      </c>
      <c r="C4509" t="str">
        <f>T("회귀한 헌터가 너무 강함 104화")</f>
        <v>회귀한 헌터가 너무 강함 104화</v>
      </c>
      <c r="D4509" t="str">
        <f>T("104")</f>
        <v>104</v>
      </c>
      <c r="E4509" t="str">
        <f t="shared" si="595"/>
        <v>왕십리글쟁이</v>
      </c>
      <c r="H4509" t="str">
        <f t="shared" si="598"/>
        <v>스토리위즈</v>
      </c>
      <c r="I4509" t="str">
        <f t="shared" si="596"/>
        <v>회귀한 헌터가 너무 강함</v>
      </c>
      <c r="J4509">
        <v>100</v>
      </c>
      <c r="K4509">
        <v>100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100</v>
      </c>
      <c r="AH4509">
        <v>1</v>
      </c>
      <c r="AI4509">
        <v>0</v>
      </c>
      <c r="AJ4509">
        <v>0</v>
      </c>
      <c r="AK4509">
        <v>100</v>
      </c>
      <c r="AL4509">
        <v>0</v>
      </c>
      <c r="AM4509">
        <v>0</v>
      </c>
      <c r="AN4509">
        <v>0</v>
      </c>
      <c r="AO4509">
        <v>0</v>
      </c>
      <c r="AP4509"/>
      <c r="AQ4509">
        <v>0</v>
      </c>
      <c r="AR4509">
        <v>0</v>
      </c>
      <c r="AT4509">
        <v>0</v>
      </c>
      <c r="AU4509">
        <v>0</v>
      </c>
      <c r="AW4509">
        <v>0</v>
      </c>
      <c r="AX4509">
        <v>0</v>
      </c>
      <c r="AY4509">
        <v>70</v>
      </c>
      <c r="BC4509" t="str">
        <f t="shared" si="597"/>
        <v>9791197332272</v>
      </c>
      <c r="BE4509" t="str">
        <f t="shared" si="599"/>
        <v>판타지 웹소설 &gt; 퓨전 판타지</v>
      </c>
    </row>
    <row r="4510" spans="1:57" x14ac:dyDescent="0.3">
      <c r="A4510">
        <v>2313020884</v>
      </c>
      <c r="B4510">
        <v>2313020988</v>
      </c>
      <c r="C4510" t="str">
        <f>T("회귀한 헌터가 너무 강함 105화")</f>
        <v>회귀한 헌터가 너무 강함 105화</v>
      </c>
      <c r="D4510" t="str">
        <f>T("105")</f>
        <v>105</v>
      </c>
      <c r="E4510" t="str">
        <f t="shared" si="595"/>
        <v>왕십리글쟁이</v>
      </c>
      <c r="H4510" t="str">
        <f t="shared" si="598"/>
        <v>스토리위즈</v>
      </c>
      <c r="I4510" t="str">
        <f t="shared" si="596"/>
        <v>회귀한 헌터가 너무 강함</v>
      </c>
      <c r="J4510">
        <v>100</v>
      </c>
      <c r="K4510">
        <v>100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100</v>
      </c>
      <c r="AH4510">
        <v>1</v>
      </c>
      <c r="AI4510">
        <v>0</v>
      </c>
      <c r="AJ4510">
        <v>0</v>
      </c>
      <c r="AK4510">
        <v>100</v>
      </c>
      <c r="AL4510">
        <v>0</v>
      </c>
      <c r="AM4510">
        <v>0</v>
      </c>
      <c r="AN4510">
        <v>0</v>
      </c>
      <c r="AO4510">
        <v>0</v>
      </c>
      <c r="AP4510"/>
      <c r="AQ4510">
        <v>0</v>
      </c>
      <c r="AR4510">
        <v>0</v>
      </c>
      <c r="AT4510">
        <v>0</v>
      </c>
      <c r="AU4510">
        <v>0</v>
      </c>
      <c r="AW4510">
        <v>0</v>
      </c>
      <c r="AX4510">
        <v>0</v>
      </c>
      <c r="AY4510">
        <v>70</v>
      </c>
      <c r="BC4510" t="str">
        <f t="shared" si="597"/>
        <v>9791197332272</v>
      </c>
      <c r="BE4510" t="str">
        <f t="shared" si="599"/>
        <v>판타지 웹소설 &gt; 퓨전 판타지</v>
      </c>
    </row>
    <row r="4511" spans="1:57" x14ac:dyDescent="0.3">
      <c r="A4511">
        <v>2313020884</v>
      </c>
      <c r="B4511">
        <v>2313020989</v>
      </c>
      <c r="C4511" t="str">
        <f>T("회귀한 헌터가 너무 강함 106화")</f>
        <v>회귀한 헌터가 너무 강함 106화</v>
      </c>
      <c r="D4511" t="str">
        <f>T("106")</f>
        <v>106</v>
      </c>
      <c r="E4511" t="str">
        <f t="shared" si="595"/>
        <v>왕십리글쟁이</v>
      </c>
      <c r="H4511" t="str">
        <f t="shared" si="598"/>
        <v>스토리위즈</v>
      </c>
      <c r="I4511" t="str">
        <f t="shared" si="596"/>
        <v>회귀한 헌터가 너무 강함</v>
      </c>
      <c r="J4511">
        <v>100</v>
      </c>
      <c r="K4511">
        <v>100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100</v>
      </c>
      <c r="AH4511">
        <v>1</v>
      </c>
      <c r="AI4511">
        <v>0</v>
      </c>
      <c r="AJ4511">
        <v>0</v>
      </c>
      <c r="AK4511">
        <v>100</v>
      </c>
      <c r="AL4511">
        <v>0</v>
      </c>
      <c r="AM4511">
        <v>0</v>
      </c>
      <c r="AN4511">
        <v>0</v>
      </c>
      <c r="AO4511">
        <v>0</v>
      </c>
      <c r="AP4511"/>
      <c r="AQ4511">
        <v>0</v>
      </c>
      <c r="AR4511">
        <v>0</v>
      </c>
      <c r="AT4511">
        <v>0</v>
      </c>
      <c r="AU4511">
        <v>0</v>
      </c>
      <c r="AW4511">
        <v>0</v>
      </c>
      <c r="AX4511">
        <v>0</v>
      </c>
      <c r="AY4511">
        <v>70</v>
      </c>
      <c r="BC4511" t="str">
        <f t="shared" si="597"/>
        <v>9791197332272</v>
      </c>
      <c r="BE4511" t="str">
        <f t="shared" si="599"/>
        <v>판타지 웹소설 &gt; 퓨전 판타지</v>
      </c>
    </row>
    <row r="4512" spans="1:57" x14ac:dyDescent="0.3">
      <c r="A4512">
        <v>2313020884</v>
      </c>
      <c r="B4512">
        <v>2313020990</v>
      </c>
      <c r="C4512" t="str">
        <f>T("회귀한 헌터가 너무 강함 107화")</f>
        <v>회귀한 헌터가 너무 강함 107화</v>
      </c>
      <c r="D4512" t="str">
        <f>T("107")</f>
        <v>107</v>
      </c>
      <c r="E4512" t="str">
        <f t="shared" si="595"/>
        <v>왕십리글쟁이</v>
      </c>
      <c r="H4512" t="str">
        <f t="shared" si="598"/>
        <v>스토리위즈</v>
      </c>
      <c r="I4512" t="str">
        <f t="shared" si="596"/>
        <v>회귀한 헌터가 너무 강함</v>
      </c>
      <c r="J4512">
        <v>100</v>
      </c>
      <c r="K4512">
        <v>100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100</v>
      </c>
      <c r="AH4512">
        <v>1</v>
      </c>
      <c r="AI4512">
        <v>0</v>
      </c>
      <c r="AJ4512">
        <v>0</v>
      </c>
      <c r="AK4512">
        <v>100</v>
      </c>
      <c r="AL4512">
        <v>0</v>
      </c>
      <c r="AM4512">
        <v>0</v>
      </c>
      <c r="AN4512">
        <v>0</v>
      </c>
      <c r="AO4512">
        <v>0</v>
      </c>
      <c r="AP4512"/>
      <c r="AQ4512">
        <v>0</v>
      </c>
      <c r="AR4512">
        <v>0</v>
      </c>
      <c r="AT4512">
        <v>0</v>
      </c>
      <c r="AU4512">
        <v>0</v>
      </c>
      <c r="AW4512">
        <v>0</v>
      </c>
      <c r="AX4512">
        <v>0</v>
      </c>
      <c r="AY4512">
        <v>70</v>
      </c>
      <c r="BC4512" t="str">
        <f t="shared" si="597"/>
        <v>9791197332272</v>
      </c>
      <c r="BE4512" t="str">
        <f t="shared" si="599"/>
        <v>판타지 웹소설 &gt; 퓨전 판타지</v>
      </c>
    </row>
    <row r="4513" spans="1:57" x14ac:dyDescent="0.3">
      <c r="A4513">
        <v>2313020884</v>
      </c>
      <c r="B4513">
        <v>2313020991</v>
      </c>
      <c r="C4513" t="str">
        <f>T("회귀한 헌터가 너무 강함 108화")</f>
        <v>회귀한 헌터가 너무 강함 108화</v>
      </c>
      <c r="D4513" t="str">
        <f>T("108")</f>
        <v>108</v>
      </c>
      <c r="E4513" t="str">
        <f t="shared" si="595"/>
        <v>왕십리글쟁이</v>
      </c>
      <c r="H4513" t="str">
        <f t="shared" si="598"/>
        <v>스토리위즈</v>
      </c>
      <c r="I4513" t="str">
        <f t="shared" si="596"/>
        <v>회귀한 헌터가 너무 강함</v>
      </c>
      <c r="J4513">
        <v>100</v>
      </c>
      <c r="K4513">
        <v>100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100</v>
      </c>
      <c r="AH4513">
        <v>1</v>
      </c>
      <c r="AI4513">
        <v>0</v>
      </c>
      <c r="AJ4513">
        <v>0</v>
      </c>
      <c r="AK4513">
        <v>100</v>
      </c>
      <c r="AL4513">
        <v>0</v>
      </c>
      <c r="AM4513">
        <v>0</v>
      </c>
      <c r="AN4513">
        <v>0</v>
      </c>
      <c r="AO4513">
        <v>0</v>
      </c>
      <c r="AP4513"/>
      <c r="AQ4513">
        <v>0</v>
      </c>
      <c r="AR4513">
        <v>0</v>
      </c>
      <c r="AT4513">
        <v>0</v>
      </c>
      <c r="AU4513">
        <v>0</v>
      </c>
      <c r="AW4513">
        <v>0</v>
      </c>
      <c r="AX4513">
        <v>0</v>
      </c>
      <c r="AY4513">
        <v>70</v>
      </c>
      <c r="BC4513" t="str">
        <f t="shared" si="597"/>
        <v>9791197332272</v>
      </c>
      <c r="BE4513" t="str">
        <f t="shared" si="599"/>
        <v>판타지 웹소설 &gt; 퓨전 판타지</v>
      </c>
    </row>
    <row r="4514" spans="1:57" x14ac:dyDescent="0.3">
      <c r="A4514">
        <v>2313020884</v>
      </c>
      <c r="B4514">
        <v>2313020992</v>
      </c>
      <c r="C4514" t="str">
        <f>T("회귀한 헌터가 너무 강함 109화")</f>
        <v>회귀한 헌터가 너무 강함 109화</v>
      </c>
      <c r="D4514" t="str">
        <f>T("109")</f>
        <v>109</v>
      </c>
      <c r="E4514" t="str">
        <f t="shared" si="595"/>
        <v>왕십리글쟁이</v>
      </c>
      <c r="H4514" t="str">
        <f t="shared" si="598"/>
        <v>스토리위즈</v>
      </c>
      <c r="I4514" t="str">
        <f t="shared" si="596"/>
        <v>회귀한 헌터가 너무 강함</v>
      </c>
      <c r="J4514">
        <v>100</v>
      </c>
      <c r="K4514">
        <v>100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100</v>
      </c>
      <c r="AH4514">
        <v>1</v>
      </c>
      <c r="AI4514">
        <v>0</v>
      </c>
      <c r="AJ4514">
        <v>0</v>
      </c>
      <c r="AK4514">
        <v>100</v>
      </c>
      <c r="AL4514">
        <v>0</v>
      </c>
      <c r="AM4514">
        <v>0</v>
      </c>
      <c r="AN4514">
        <v>0</v>
      </c>
      <c r="AO4514">
        <v>0</v>
      </c>
      <c r="AP4514"/>
      <c r="AQ4514">
        <v>0</v>
      </c>
      <c r="AR4514">
        <v>0</v>
      </c>
      <c r="AT4514">
        <v>0</v>
      </c>
      <c r="AU4514">
        <v>0</v>
      </c>
      <c r="AW4514">
        <v>0</v>
      </c>
      <c r="AX4514">
        <v>0</v>
      </c>
      <c r="AY4514">
        <v>70</v>
      </c>
      <c r="BC4514" t="str">
        <f t="shared" si="597"/>
        <v>9791197332272</v>
      </c>
      <c r="BE4514" t="str">
        <f t="shared" si="599"/>
        <v>판타지 웹소설 &gt; 퓨전 판타지</v>
      </c>
    </row>
    <row r="4515" spans="1:57" x14ac:dyDescent="0.3">
      <c r="A4515">
        <v>2313020884</v>
      </c>
      <c r="B4515">
        <v>2313020993</v>
      </c>
      <c r="C4515" t="str">
        <f>T("회귀한 헌터가 너무 강함 110화")</f>
        <v>회귀한 헌터가 너무 강함 110화</v>
      </c>
      <c r="D4515" t="str">
        <f>T("110")</f>
        <v>110</v>
      </c>
      <c r="E4515" t="str">
        <f t="shared" si="595"/>
        <v>왕십리글쟁이</v>
      </c>
      <c r="H4515" t="str">
        <f t="shared" si="598"/>
        <v>스토리위즈</v>
      </c>
      <c r="I4515" t="str">
        <f t="shared" si="596"/>
        <v>회귀한 헌터가 너무 강함</v>
      </c>
      <c r="J4515">
        <v>100</v>
      </c>
      <c r="K4515">
        <v>100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100</v>
      </c>
      <c r="AH4515">
        <v>1</v>
      </c>
      <c r="AI4515">
        <v>0</v>
      </c>
      <c r="AJ4515">
        <v>0</v>
      </c>
      <c r="AK4515">
        <v>100</v>
      </c>
      <c r="AL4515">
        <v>0</v>
      </c>
      <c r="AM4515">
        <v>0</v>
      </c>
      <c r="AN4515">
        <v>0</v>
      </c>
      <c r="AO4515">
        <v>0</v>
      </c>
      <c r="AP4515"/>
      <c r="AQ4515">
        <v>0</v>
      </c>
      <c r="AR4515">
        <v>0</v>
      </c>
      <c r="AT4515">
        <v>0</v>
      </c>
      <c r="AU4515">
        <v>0</v>
      </c>
      <c r="AW4515">
        <v>0</v>
      </c>
      <c r="AX4515">
        <v>0</v>
      </c>
      <c r="AY4515">
        <v>70</v>
      </c>
      <c r="BC4515" t="str">
        <f t="shared" si="597"/>
        <v>9791197332272</v>
      </c>
      <c r="BE4515" t="str">
        <f t="shared" si="599"/>
        <v>판타지 웹소설 &gt; 퓨전 판타지</v>
      </c>
    </row>
    <row r="4516" spans="1:57" x14ac:dyDescent="0.3">
      <c r="A4516">
        <v>2313020884</v>
      </c>
      <c r="B4516">
        <v>2313020994</v>
      </c>
      <c r="C4516" t="str">
        <f>T("회귀한 헌터가 너무 강함 111화")</f>
        <v>회귀한 헌터가 너무 강함 111화</v>
      </c>
      <c r="D4516" t="str">
        <f>T("111")</f>
        <v>111</v>
      </c>
      <c r="E4516" t="str">
        <f t="shared" si="595"/>
        <v>왕십리글쟁이</v>
      </c>
      <c r="H4516" t="str">
        <f t="shared" si="598"/>
        <v>스토리위즈</v>
      </c>
      <c r="I4516" t="str">
        <f t="shared" si="596"/>
        <v>회귀한 헌터가 너무 강함</v>
      </c>
      <c r="J4516">
        <v>100</v>
      </c>
      <c r="K4516">
        <v>100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100</v>
      </c>
      <c r="AH4516">
        <v>1</v>
      </c>
      <c r="AI4516">
        <v>0</v>
      </c>
      <c r="AJ4516">
        <v>0</v>
      </c>
      <c r="AK4516">
        <v>100</v>
      </c>
      <c r="AL4516">
        <v>0</v>
      </c>
      <c r="AM4516">
        <v>0</v>
      </c>
      <c r="AN4516">
        <v>0</v>
      </c>
      <c r="AO4516">
        <v>0</v>
      </c>
      <c r="AP4516"/>
      <c r="AQ4516">
        <v>0</v>
      </c>
      <c r="AR4516">
        <v>0</v>
      </c>
      <c r="AT4516">
        <v>0</v>
      </c>
      <c r="AU4516">
        <v>0</v>
      </c>
      <c r="AW4516">
        <v>0</v>
      </c>
      <c r="AX4516">
        <v>0</v>
      </c>
      <c r="AY4516">
        <v>70</v>
      </c>
      <c r="BC4516" t="str">
        <f t="shared" si="597"/>
        <v>9791197332272</v>
      </c>
      <c r="BE4516" t="str">
        <f t="shared" si="599"/>
        <v>판타지 웹소설 &gt; 퓨전 판타지</v>
      </c>
    </row>
    <row r="4517" spans="1:57" x14ac:dyDescent="0.3">
      <c r="A4517">
        <v>2313020884</v>
      </c>
      <c r="B4517">
        <v>2313020995</v>
      </c>
      <c r="C4517" t="str">
        <f>T("회귀한 헌터가 너무 강함 112화")</f>
        <v>회귀한 헌터가 너무 강함 112화</v>
      </c>
      <c r="D4517" t="str">
        <f>T("112")</f>
        <v>112</v>
      </c>
      <c r="E4517" t="str">
        <f t="shared" si="595"/>
        <v>왕십리글쟁이</v>
      </c>
      <c r="H4517" t="str">
        <f t="shared" si="598"/>
        <v>스토리위즈</v>
      </c>
      <c r="I4517" t="str">
        <f t="shared" si="596"/>
        <v>회귀한 헌터가 너무 강함</v>
      </c>
      <c r="J4517">
        <v>100</v>
      </c>
      <c r="K4517">
        <v>100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100</v>
      </c>
      <c r="AH4517">
        <v>1</v>
      </c>
      <c r="AI4517">
        <v>0</v>
      </c>
      <c r="AJ4517">
        <v>0</v>
      </c>
      <c r="AK4517">
        <v>100</v>
      </c>
      <c r="AL4517">
        <v>0</v>
      </c>
      <c r="AM4517">
        <v>0</v>
      </c>
      <c r="AN4517">
        <v>0</v>
      </c>
      <c r="AO4517">
        <v>0</v>
      </c>
      <c r="AP4517"/>
      <c r="AQ4517">
        <v>0</v>
      </c>
      <c r="AR4517">
        <v>0</v>
      </c>
      <c r="AT4517">
        <v>0</v>
      </c>
      <c r="AU4517">
        <v>0</v>
      </c>
      <c r="AW4517">
        <v>0</v>
      </c>
      <c r="AX4517">
        <v>0</v>
      </c>
      <c r="AY4517">
        <v>70</v>
      </c>
      <c r="BC4517" t="str">
        <f t="shared" si="597"/>
        <v>9791197332272</v>
      </c>
      <c r="BE4517" t="str">
        <f t="shared" si="599"/>
        <v>판타지 웹소설 &gt; 퓨전 판타지</v>
      </c>
    </row>
    <row r="4518" spans="1:57" x14ac:dyDescent="0.3">
      <c r="A4518">
        <v>2313020884</v>
      </c>
      <c r="B4518">
        <v>2313020996</v>
      </c>
      <c r="C4518" t="str">
        <f>T("회귀한 헌터가 너무 강함 113화")</f>
        <v>회귀한 헌터가 너무 강함 113화</v>
      </c>
      <c r="D4518" t="str">
        <f>T("113")</f>
        <v>113</v>
      </c>
      <c r="E4518" t="str">
        <f t="shared" si="595"/>
        <v>왕십리글쟁이</v>
      </c>
      <c r="H4518" t="str">
        <f t="shared" si="598"/>
        <v>스토리위즈</v>
      </c>
      <c r="I4518" t="str">
        <f t="shared" si="596"/>
        <v>회귀한 헌터가 너무 강함</v>
      </c>
      <c r="J4518">
        <v>100</v>
      </c>
      <c r="K4518">
        <v>100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100</v>
      </c>
      <c r="AH4518">
        <v>1</v>
      </c>
      <c r="AI4518">
        <v>0</v>
      </c>
      <c r="AJ4518">
        <v>0</v>
      </c>
      <c r="AK4518">
        <v>100</v>
      </c>
      <c r="AL4518">
        <v>0</v>
      </c>
      <c r="AM4518">
        <v>0</v>
      </c>
      <c r="AN4518">
        <v>0</v>
      </c>
      <c r="AO4518">
        <v>0</v>
      </c>
      <c r="AP4518"/>
      <c r="AQ4518">
        <v>0</v>
      </c>
      <c r="AR4518">
        <v>0</v>
      </c>
      <c r="AT4518">
        <v>0</v>
      </c>
      <c r="AU4518">
        <v>0</v>
      </c>
      <c r="AW4518">
        <v>0</v>
      </c>
      <c r="AX4518">
        <v>0</v>
      </c>
      <c r="AY4518">
        <v>70</v>
      </c>
      <c r="BC4518" t="str">
        <f t="shared" si="597"/>
        <v>9791197332272</v>
      </c>
      <c r="BE4518" t="str">
        <f t="shared" si="599"/>
        <v>판타지 웹소설 &gt; 퓨전 판타지</v>
      </c>
    </row>
    <row r="4519" spans="1:57" x14ac:dyDescent="0.3">
      <c r="A4519">
        <v>2313020884</v>
      </c>
      <c r="B4519">
        <v>2313020997</v>
      </c>
      <c r="C4519" t="str">
        <f>T("회귀한 헌터가 너무 강함 114화")</f>
        <v>회귀한 헌터가 너무 강함 114화</v>
      </c>
      <c r="D4519" t="str">
        <f>T("114")</f>
        <v>114</v>
      </c>
      <c r="E4519" t="str">
        <f t="shared" si="595"/>
        <v>왕십리글쟁이</v>
      </c>
      <c r="H4519" t="str">
        <f t="shared" si="598"/>
        <v>스토리위즈</v>
      </c>
      <c r="I4519" t="str">
        <f t="shared" si="596"/>
        <v>회귀한 헌터가 너무 강함</v>
      </c>
      <c r="J4519">
        <v>100</v>
      </c>
      <c r="K4519">
        <v>100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100</v>
      </c>
      <c r="AH4519">
        <v>1</v>
      </c>
      <c r="AI4519">
        <v>0</v>
      </c>
      <c r="AJ4519">
        <v>0</v>
      </c>
      <c r="AK4519">
        <v>100</v>
      </c>
      <c r="AL4519">
        <v>0</v>
      </c>
      <c r="AM4519">
        <v>0</v>
      </c>
      <c r="AN4519">
        <v>0</v>
      </c>
      <c r="AO4519">
        <v>0</v>
      </c>
      <c r="AP4519"/>
      <c r="AQ4519">
        <v>0</v>
      </c>
      <c r="AR4519">
        <v>0</v>
      </c>
      <c r="AT4519">
        <v>0</v>
      </c>
      <c r="AU4519">
        <v>0</v>
      </c>
      <c r="AW4519">
        <v>0</v>
      </c>
      <c r="AX4519">
        <v>0</v>
      </c>
      <c r="AY4519">
        <v>70</v>
      </c>
      <c r="BC4519" t="str">
        <f t="shared" si="597"/>
        <v>9791197332272</v>
      </c>
      <c r="BE4519" t="str">
        <f t="shared" si="599"/>
        <v>판타지 웹소설 &gt; 퓨전 판타지</v>
      </c>
    </row>
    <row r="4520" spans="1:57" x14ac:dyDescent="0.3">
      <c r="A4520">
        <v>2313020884</v>
      </c>
      <c r="B4520">
        <v>2313020998</v>
      </c>
      <c r="C4520" t="str">
        <f>T("회귀한 헌터가 너무 강함 115화")</f>
        <v>회귀한 헌터가 너무 강함 115화</v>
      </c>
      <c r="D4520" t="str">
        <f>T("115")</f>
        <v>115</v>
      </c>
      <c r="E4520" t="str">
        <f t="shared" ref="E4520:E4539" si="600">T("왕십리글쟁이")</f>
        <v>왕십리글쟁이</v>
      </c>
      <c r="H4520" t="str">
        <f t="shared" si="598"/>
        <v>스토리위즈</v>
      </c>
      <c r="I4520" t="str">
        <f t="shared" ref="I4520:I4539" si="601">T("회귀한 헌터가 너무 강함")</f>
        <v>회귀한 헌터가 너무 강함</v>
      </c>
      <c r="J4520">
        <v>100</v>
      </c>
      <c r="K4520">
        <v>100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100</v>
      </c>
      <c r="AH4520">
        <v>1</v>
      </c>
      <c r="AI4520">
        <v>0</v>
      </c>
      <c r="AJ4520">
        <v>0</v>
      </c>
      <c r="AK4520">
        <v>100</v>
      </c>
      <c r="AL4520">
        <v>0</v>
      </c>
      <c r="AM4520">
        <v>0</v>
      </c>
      <c r="AN4520">
        <v>0</v>
      </c>
      <c r="AO4520">
        <v>0</v>
      </c>
      <c r="AP4520"/>
      <c r="AQ4520">
        <v>0</v>
      </c>
      <c r="AR4520">
        <v>0</v>
      </c>
      <c r="AT4520">
        <v>0</v>
      </c>
      <c r="AU4520">
        <v>0</v>
      </c>
      <c r="AW4520">
        <v>0</v>
      </c>
      <c r="AX4520">
        <v>0</v>
      </c>
      <c r="AY4520">
        <v>70</v>
      </c>
      <c r="BC4520" t="str">
        <f t="shared" ref="BC4520:BC4539" si="602">T("9791197332272")</f>
        <v>9791197332272</v>
      </c>
      <c r="BE4520" t="str">
        <f t="shared" si="599"/>
        <v>판타지 웹소설 &gt; 퓨전 판타지</v>
      </c>
    </row>
    <row r="4521" spans="1:57" x14ac:dyDescent="0.3">
      <c r="A4521">
        <v>2313020884</v>
      </c>
      <c r="B4521">
        <v>2313020999</v>
      </c>
      <c r="C4521" t="str">
        <f>T("회귀한 헌터가 너무 강함 116화")</f>
        <v>회귀한 헌터가 너무 강함 116화</v>
      </c>
      <c r="D4521" t="str">
        <f>T("116")</f>
        <v>116</v>
      </c>
      <c r="E4521" t="str">
        <f t="shared" si="600"/>
        <v>왕십리글쟁이</v>
      </c>
      <c r="H4521" t="str">
        <f t="shared" si="598"/>
        <v>스토리위즈</v>
      </c>
      <c r="I4521" t="str">
        <f t="shared" si="601"/>
        <v>회귀한 헌터가 너무 강함</v>
      </c>
      <c r="J4521">
        <v>100</v>
      </c>
      <c r="K4521">
        <v>100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100</v>
      </c>
      <c r="AH4521">
        <v>1</v>
      </c>
      <c r="AI4521">
        <v>0</v>
      </c>
      <c r="AJ4521">
        <v>0</v>
      </c>
      <c r="AK4521">
        <v>100</v>
      </c>
      <c r="AL4521">
        <v>0</v>
      </c>
      <c r="AM4521">
        <v>0</v>
      </c>
      <c r="AN4521">
        <v>0</v>
      </c>
      <c r="AO4521">
        <v>0</v>
      </c>
      <c r="AP4521"/>
      <c r="AQ4521">
        <v>0</v>
      </c>
      <c r="AR4521">
        <v>0</v>
      </c>
      <c r="AT4521">
        <v>0</v>
      </c>
      <c r="AU4521">
        <v>0</v>
      </c>
      <c r="AW4521">
        <v>0</v>
      </c>
      <c r="AX4521">
        <v>0</v>
      </c>
      <c r="AY4521">
        <v>70</v>
      </c>
      <c r="BC4521" t="str">
        <f t="shared" si="602"/>
        <v>9791197332272</v>
      </c>
      <c r="BE4521" t="str">
        <f t="shared" si="599"/>
        <v>판타지 웹소설 &gt; 퓨전 판타지</v>
      </c>
    </row>
    <row r="4522" spans="1:57" x14ac:dyDescent="0.3">
      <c r="A4522">
        <v>2313020884</v>
      </c>
      <c r="B4522">
        <v>2313021000</v>
      </c>
      <c r="C4522" t="str">
        <f>T("회귀한 헌터가 너무 강함 117화")</f>
        <v>회귀한 헌터가 너무 강함 117화</v>
      </c>
      <c r="D4522" t="str">
        <f>T("117")</f>
        <v>117</v>
      </c>
      <c r="E4522" t="str">
        <f t="shared" si="600"/>
        <v>왕십리글쟁이</v>
      </c>
      <c r="H4522" t="str">
        <f t="shared" si="598"/>
        <v>스토리위즈</v>
      </c>
      <c r="I4522" t="str">
        <f t="shared" si="601"/>
        <v>회귀한 헌터가 너무 강함</v>
      </c>
      <c r="J4522">
        <v>100</v>
      </c>
      <c r="K4522">
        <v>100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100</v>
      </c>
      <c r="AH4522">
        <v>1</v>
      </c>
      <c r="AI4522">
        <v>0</v>
      </c>
      <c r="AJ4522">
        <v>0</v>
      </c>
      <c r="AK4522">
        <v>100</v>
      </c>
      <c r="AL4522">
        <v>0</v>
      </c>
      <c r="AM4522">
        <v>0</v>
      </c>
      <c r="AN4522">
        <v>0</v>
      </c>
      <c r="AO4522">
        <v>0</v>
      </c>
      <c r="AP4522"/>
      <c r="AQ4522">
        <v>0</v>
      </c>
      <c r="AR4522">
        <v>0</v>
      </c>
      <c r="AT4522">
        <v>0</v>
      </c>
      <c r="AU4522">
        <v>0</v>
      </c>
      <c r="AW4522">
        <v>0</v>
      </c>
      <c r="AX4522">
        <v>0</v>
      </c>
      <c r="AY4522">
        <v>70</v>
      </c>
      <c r="BC4522" t="str">
        <f t="shared" si="602"/>
        <v>9791197332272</v>
      </c>
      <c r="BE4522" t="str">
        <f t="shared" si="599"/>
        <v>판타지 웹소설 &gt; 퓨전 판타지</v>
      </c>
    </row>
    <row r="4523" spans="1:57" x14ac:dyDescent="0.3">
      <c r="A4523">
        <v>2313020884</v>
      </c>
      <c r="B4523">
        <v>2313021001</v>
      </c>
      <c r="C4523" t="str">
        <f>T("회귀한 헌터가 너무 강함 118화")</f>
        <v>회귀한 헌터가 너무 강함 118화</v>
      </c>
      <c r="D4523" t="str">
        <f>T("118")</f>
        <v>118</v>
      </c>
      <c r="E4523" t="str">
        <f t="shared" si="600"/>
        <v>왕십리글쟁이</v>
      </c>
      <c r="H4523" t="str">
        <f t="shared" si="598"/>
        <v>스토리위즈</v>
      </c>
      <c r="I4523" t="str">
        <f t="shared" si="601"/>
        <v>회귀한 헌터가 너무 강함</v>
      </c>
      <c r="J4523">
        <v>100</v>
      </c>
      <c r="K4523">
        <v>100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100</v>
      </c>
      <c r="AH4523">
        <v>1</v>
      </c>
      <c r="AI4523">
        <v>0</v>
      </c>
      <c r="AJ4523">
        <v>0</v>
      </c>
      <c r="AK4523">
        <v>100</v>
      </c>
      <c r="AL4523">
        <v>0</v>
      </c>
      <c r="AM4523">
        <v>0</v>
      </c>
      <c r="AN4523">
        <v>0</v>
      </c>
      <c r="AO4523">
        <v>0</v>
      </c>
      <c r="AP4523"/>
      <c r="AQ4523">
        <v>0</v>
      </c>
      <c r="AR4523">
        <v>0</v>
      </c>
      <c r="AT4523">
        <v>0</v>
      </c>
      <c r="AU4523">
        <v>0</v>
      </c>
      <c r="AW4523">
        <v>0</v>
      </c>
      <c r="AX4523">
        <v>0</v>
      </c>
      <c r="AY4523">
        <v>70</v>
      </c>
      <c r="BC4523" t="str">
        <f t="shared" si="602"/>
        <v>9791197332272</v>
      </c>
      <c r="BE4523" t="str">
        <f t="shared" si="599"/>
        <v>판타지 웹소설 &gt; 퓨전 판타지</v>
      </c>
    </row>
    <row r="4524" spans="1:57" x14ac:dyDescent="0.3">
      <c r="A4524">
        <v>2313020884</v>
      </c>
      <c r="B4524">
        <v>2313021002</v>
      </c>
      <c r="C4524" t="str">
        <f>T("회귀한 헌터가 너무 강함 119화")</f>
        <v>회귀한 헌터가 너무 강함 119화</v>
      </c>
      <c r="D4524" t="str">
        <f>T("119")</f>
        <v>119</v>
      </c>
      <c r="E4524" t="str">
        <f t="shared" si="600"/>
        <v>왕십리글쟁이</v>
      </c>
      <c r="H4524" t="str">
        <f t="shared" si="598"/>
        <v>스토리위즈</v>
      </c>
      <c r="I4524" t="str">
        <f t="shared" si="601"/>
        <v>회귀한 헌터가 너무 강함</v>
      </c>
      <c r="J4524">
        <v>100</v>
      </c>
      <c r="K4524">
        <v>100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100</v>
      </c>
      <c r="AH4524">
        <v>1</v>
      </c>
      <c r="AI4524">
        <v>0</v>
      </c>
      <c r="AJ4524">
        <v>0</v>
      </c>
      <c r="AK4524">
        <v>100</v>
      </c>
      <c r="AL4524">
        <v>0</v>
      </c>
      <c r="AM4524">
        <v>0</v>
      </c>
      <c r="AN4524">
        <v>0</v>
      </c>
      <c r="AO4524">
        <v>0</v>
      </c>
      <c r="AP4524"/>
      <c r="AQ4524">
        <v>0</v>
      </c>
      <c r="AR4524">
        <v>0</v>
      </c>
      <c r="AT4524">
        <v>0</v>
      </c>
      <c r="AU4524">
        <v>0</v>
      </c>
      <c r="AW4524">
        <v>0</v>
      </c>
      <c r="AX4524">
        <v>0</v>
      </c>
      <c r="AY4524">
        <v>70</v>
      </c>
      <c r="BC4524" t="str">
        <f t="shared" si="602"/>
        <v>9791197332272</v>
      </c>
      <c r="BE4524" t="str">
        <f t="shared" si="599"/>
        <v>판타지 웹소설 &gt; 퓨전 판타지</v>
      </c>
    </row>
    <row r="4525" spans="1:57" x14ac:dyDescent="0.3">
      <c r="A4525">
        <v>2313020884</v>
      </c>
      <c r="B4525">
        <v>2313021003</v>
      </c>
      <c r="C4525" t="str">
        <f>T("회귀한 헌터가 너무 강함 120화")</f>
        <v>회귀한 헌터가 너무 강함 120화</v>
      </c>
      <c r="D4525" t="str">
        <f>T("120")</f>
        <v>120</v>
      </c>
      <c r="E4525" t="str">
        <f t="shared" si="600"/>
        <v>왕십리글쟁이</v>
      </c>
      <c r="H4525" t="str">
        <f t="shared" si="598"/>
        <v>스토리위즈</v>
      </c>
      <c r="I4525" t="str">
        <f t="shared" si="601"/>
        <v>회귀한 헌터가 너무 강함</v>
      </c>
      <c r="J4525">
        <v>100</v>
      </c>
      <c r="K4525">
        <v>100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100</v>
      </c>
      <c r="AH4525">
        <v>1</v>
      </c>
      <c r="AI4525">
        <v>0</v>
      </c>
      <c r="AJ4525">
        <v>0</v>
      </c>
      <c r="AK4525">
        <v>100</v>
      </c>
      <c r="AL4525">
        <v>0</v>
      </c>
      <c r="AM4525">
        <v>0</v>
      </c>
      <c r="AN4525">
        <v>0</v>
      </c>
      <c r="AO4525">
        <v>0</v>
      </c>
      <c r="AP4525"/>
      <c r="AQ4525">
        <v>0</v>
      </c>
      <c r="AR4525">
        <v>0</v>
      </c>
      <c r="AT4525">
        <v>0</v>
      </c>
      <c r="AU4525">
        <v>0</v>
      </c>
      <c r="AW4525">
        <v>0</v>
      </c>
      <c r="AX4525">
        <v>0</v>
      </c>
      <c r="AY4525">
        <v>70</v>
      </c>
      <c r="BC4525" t="str">
        <f t="shared" si="602"/>
        <v>9791197332272</v>
      </c>
      <c r="BE4525" t="str">
        <f t="shared" si="599"/>
        <v>판타지 웹소설 &gt; 퓨전 판타지</v>
      </c>
    </row>
    <row r="4526" spans="1:57" x14ac:dyDescent="0.3">
      <c r="A4526">
        <v>2313020884</v>
      </c>
      <c r="B4526">
        <v>2313021004</v>
      </c>
      <c r="C4526" t="str">
        <f>T("회귀한 헌터가 너무 강함 121화")</f>
        <v>회귀한 헌터가 너무 강함 121화</v>
      </c>
      <c r="D4526" t="str">
        <f>T("121")</f>
        <v>121</v>
      </c>
      <c r="E4526" t="str">
        <f t="shared" si="600"/>
        <v>왕십리글쟁이</v>
      </c>
      <c r="H4526" t="str">
        <f t="shared" si="598"/>
        <v>스토리위즈</v>
      </c>
      <c r="I4526" t="str">
        <f t="shared" si="601"/>
        <v>회귀한 헌터가 너무 강함</v>
      </c>
      <c r="J4526">
        <v>100</v>
      </c>
      <c r="K4526">
        <v>100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100</v>
      </c>
      <c r="AH4526">
        <v>1</v>
      </c>
      <c r="AI4526">
        <v>0</v>
      </c>
      <c r="AJ4526">
        <v>0</v>
      </c>
      <c r="AK4526">
        <v>100</v>
      </c>
      <c r="AL4526">
        <v>0</v>
      </c>
      <c r="AM4526">
        <v>0</v>
      </c>
      <c r="AN4526">
        <v>0</v>
      </c>
      <c r="AO4526">
        <v>0</v>
      </c>
      <c r="AP4526"/>
      <c r="AQ4526">
        <v>0</v>
      </c>
      <c r="AR4526">
        <v>0</v>
      </c>
      <c r="AT4526">
        <v>0</v>
      </c>
      <c r="AU4526">
        <v>0</v>
      </c>
      <c r="AW4526">
        <v>0</v>
      </c>
      <c r="AX4526">
        <v>0</v>
      </c>
      <c r="AY4526">
        <v>70</v>
      </c>
      <c r="BC4526" t="str">
        <f t="shared" si="602"/>
        <v>9791197332272</v>
      </c>
      <c r="BE4526" t="str">
        <f t="shared" si="599"/>
        <v>판타지 웹소설 &gt; 퓨전 판타지</v>
      </c>
    </row>
    <row r="4527" spans="1:57" x14ac:dyDescent="0.3">
      <c r="A4527">
        <v>2313020884</v>
      </c>
      <c r="B4527">
        <v>2313021005</v>
      </c>
      <c r="C4527" t="str">
        <f>T("회귀한 헌터가 너무 강함 122화")</f>
        <v>회귀한 헌터가 너무 강함 122화</v>
      </c>
      <c r="D4527" t="str">
        <f>T("122")</f>
        <v>122</v>
      </c>
      <c r="E4527" t="str">
        <f t="shared" si="600"/>
        <v>왕십리글쟁이</v>
      </c>
      <c r="H4527" t="str">
        <f t="shared" si="598"/>
        <v>스토리위즈</v>
      </c>
      <c r="I4527" t="str">
        <f t="shared" si="601"/>
        <v>회귀한 헌터가 너무 강함</v>
      </c>
      <c r="J4527">
        <v>100</v>
      </c>
      <c r="K4527">
        <v>100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100</v>
      </c>
      <c r="AH4527">
        <v>1</v>
      </c>
      <c r="AI4527">
        <v>0</v>
      </c>
      <c r="AJ4527">
        <v>0</v>
      </c>
      <c r="AK4527">
        <v>100</v>
      </c>
      <c r="AL4527">
        <v>0</v>
      </c>
      <c r="AM4527">
        <v>0</v>
      </c>
      <c r="AN4527">
        <v>0</v>
      </c>
      <c r="AO4527">
        <v>0</v>
      </c>
      <c r="AP4527"/>
      <c r="AQ4527">
        <v>0</v>
      </c>
      <c r="AR4527">
        <v>0</v>
      </c>
      <c r="AT4527">
        <v>0</v>
      </c>
      <c r="AU4527">
        <v>0</v>
      </c>
      <c r="AW4527">
        <v>0</v>
      </c>
      <c r="AX4527">
        <v>0</v>
      </c>
      <c r="AY4527">
        <v>70</v>
      </c>
      <c r="BC4527" t="str">
        <f t="shared" si="602"/>
        <v>9791197332272</v>
      </c>
      <c r="BE4527" t="str">
        <f t="shared" si="599"/>
        <v>판타지 웹소설 &gt; 퓨전 판타지</v>
      </c>
    </row>
    <row r="4528" spans="1:57" x14ac:dyDescent="0.3">
      <c r="A4528">
        <v>2313020884</v>
      </c>
      <c r="B4528">
        <v>2313021006</v>
      </c>
      <c r="C4528" t="str">
        <f>T("회귀한 헌터가 너무 강함 123화")</f>
        <v>회귀한 헌터가 너무 강함 123화</v>
      </c>
      <c r="D4528" t="str">
        <f>T("123")</f>
        <v>123</v>
      </c>
      <c r="E4528" t="str">
        <f t="shared" si="600"/>
        <v>왕십리글쟁이</v>
      </c>
      <c r="H4528" t="str">
        <f t="shared" si="598"/>
        <v>스토리위즈</v>
      </c>
      <c r="I4528" t="str">
        <f t="shared" si="601"/>
        <v>회귀한 헌터가 너무 강함</v>
      </c>
      <c r="J4528">
        <v>100</v>
      </c>
      <c r="K4528">
        <v>100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100</v>
      </c>
      <c r="AH4528">
        <v>1</v>
      </c>
      <c r="AI4528">
        <v>0</v>
      </c>
      <c r="AJ4528">
        <v>0</v>
      </c>
      <c r="AK4528">
        <v>100</v>
      </c>
      <c r="AL4528">
        <v>0</v>
      </c>
      <c r="AM4528">
        <v>0</v>
      </c>
      <c r="AN4528">
        <v>0</v>
      </c>
      <c r="AO4528">
        <v>0</v>
      </c>
      <c r="AP4528"/>
      <c r="AQ4528">
        <v>0</v>
      </c>
      <c r="AR4528">
        <v>0</v>
      </c>
      <c r="AT4528">
        <v>0</v>
      </c>
      <c r="AU4528">
        <v>0</v>
      </c>
      <c r="AW4528">
        <v>0</v>
      </c>
      <c r="AX4528">
        <v>0</v>
      </c>
      <c r="AY4528">
        <v>70</v>
      </c>
      <c r="BC4528" t="str">
        <f t="shared" si="602"/>
        <v>9791197332272</v>
      </c>
      <c r="BE4528" t="str">
        <f t="shared" si="599"/>
        <v>판타지 웹소설 &gt; 퓨전 판타지</v>
      </c>
    </row>
    <row r="4529" spans="1:57" x14ac:dyDescent="0.3">
      <c r="A4529">
        <v>2313020884</v>
      </c>
      <c r="B4529">
        <v>2313021007</v>
      </c>
      <c r="C4529" t="str">
        <f>T("회귀한 헌터가 너무 강함 124화")</f>
        <v>회귀한 헌터가 너무 강함 124화</v>
      </c>
      <c r="D4529" t="str">
        <f>T("124")</f>
        <v>124</v>
      </c>
      <c r="E4529" t="str">
        <f t="shared" si="600"/>
        <v>왕십리글쟁이</v>
      </c>
      <c r="H4529" t="str">
        <f t="shared" si="598"/>
        <v>스토리위즈</v>
      </c>
      <c r="I4529" t="str">
        <f t="shared" si="601"/>
        <v>회귀한 헌터가 너무 강함</v>
      </c>
      <c r="J4529">
        <v>100</v>
      </c>
      <c r="K4529">
        <v>100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100</v>
      </c>
      <c r="AH4529">
        <v>1</v>
      </c>
      <c r="AI4529">
        <v>0</v>
      </c>
      <c r="AJ4529">
        <v>0</v>
      </c>
      <c r="AK4529">
        <v>100</v>
      </c>
      <c r="AL4529">
        <v>0</v>
      </c>
      <c r="AM4529">
        <v>0</v>
      </c>
      <c r="AN4529">
        <v>0</v>
      </c>
      <c r="AO4529">
        <v>0</v>
      </c>
      <c r="AP4529"/>
      <c r="AQ4529">
        <v>0</v>
      </c>
      <c r="AR4529">
        <v>0</v>
      </c>
      <c r="AT4529">
        <v>0</v>
      </c>
      <c r="AU4529">
        <v>0</v>
      </c>
      <c r="AW4529">
        <v>0</v>
      </c>
      <c r="AX4529">
        <v>0</v>
      </c>
      <c r="AY4529">
        <v>70</v>
      </c>
      <c r="BC4529" t="str">
        <f t="shared" si="602"/>
        <v>9791197332272</v>
      </c>
      <c r="BE4529" t="str">
        <f t="shared" si="599"/>
        <v>판타지 웹소설 &gt; 퓨전 판타지</v>
      </c>
    </row>
    <row r="4530" spans="1:57" x14ac:dyDescent="0.3">
      <c r="A4530">
        <v>2313020884</v>
      </c>
      <c r="B4530">
        <v>2313021008</v>
      </c>
      <c r="C4530" t="str">
        <f>T("회귀한 헌터가 너무 강함 125화")</f>
        <v>회귀한 헌터가 너무 강함 125화</v>
      </c>
      <c r="D4530" t="str">
        <f>T("125")</f>
        <v>125</v>
      </c>
      <c r="E4530" t="str">
        <f t="shared" si="600"/>
        <v>왕십리글쟁이</v>
      </c>
      <c r="H4530" t="str">
        <f t="shared" si="598"/>
        <v>스토리위즈</v>
      </c>
      <c r="I4530" t="str">
        <f t="shared" si="601"/>
        <v>회귀한 헌터가 너무 강함</v>
      </c>
      <c r="J4530">
        <v>100</v>
      </c>
      <c r="K4530">
        <v>100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100</v>
      </c>
      <c r="AH4530">
        <v>1</v>
      </c>
      <c r="AI4530">
        <v>0</v>
      </c>
      <c r="AJ4530">
        <v>0</v>
      </c>
      <c r="AK4530">
        <v>100</v>
      </c>
      <c r="AL4530">
        <v>0</v>
      </c>
      <c r="AM4530">
        <v>0</v>
      </c>
      <c r="AN4530">
        <v>0</v>
      </c>
      <c r="AO4530">
        <v>0</v>
      </c>
      <c r="AP4530"/>
      <c r="AQ4530">
        <v>0</v>
      </c>
      <c r="AR4530">
        <v>0</v>
      </c>
      <c r="AT4530">
        <v>0</v>
      </c>
      <c r="AU4530">
        <v>0</v>
      </c>
      <c r="AW4530">
        <v>0</v>
      </c>
      <c r="AX4530">
        <v>0</v>
      </c>
      <c r="AY4530">
        <v>70</v>
      </c>
      <c r="BC4530" t="str">
        <f t="shared" si="602"/>
        <v>9791197332272</v>
      </c>
      <c r="BE4530" t="str">
        <f t="shared" si="599"/>
        <v>판타지 웹소설 &gt; 퓨전 판타지</v>
      </c>
    </row>
    <row r="4531" spans="1:57" x14ac:dyDescent="0.3">
      <c r="A4531">
        <v>2313020884</v>
      </c>
      <c r="B4531">
        <v>2313021009</v>
      </c>
      <c r="C4531" t="str">
        <f>T("회귀한 헌터가 너무 강함 126화")</f>
        <v>회귀한 헌터가 너무 강함 126화</v>
      </c>
      <c r="D4531" t="str">
        <f>T("126")</f>
        <v>126</v>
      </c>
      <c r="E4531" t="str">
        <f t="shared" si="600"/>
        <v>왕십리글쟁이</v>
      </c>
      <c r="H4531" t="str">
        <f t="shared" si="598"/>
        <v>스토리위즈</v>
      </c>
      <c r="I4531" t="str">
        <f t="shared" si="601"/>
        <v>회귀한 헌터가 너무 강함</v>
      </c>
      <c r="J4531">
        <v>100</v>
      </c>
      <c r="K4531">
        <v>100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100</v>
      </c>
      <c r="AH4531">
        <v>1</v>
      </c>
      <c r="AI4531">
        <v>0</v>
      </c>
      <c r="AJ4531">
        <v>0</v>
      </c>
      <c r="AK4531">
        <v>100</v>
      </c>
      <c r="AL4531">
        <v>0</v>
      </c>
      <c r="AM4531">
        <v>0</v>
      </c>
      <c r="AN4531">
        <v>0</v>
      </c>
      <c r="AO4531">
        <v>0</v>
      </c>
      <c r="AP4531"/>
      <c r="AQ4531">
        <v>0</v>
      </c>
      <c r="AR4531">
        <v>0</v>
      </c>
      <c r="AT4531">
        <v>0</v>
      </c>
      <c r="AU4531">
        <v>0</v>
      </c>
      <c r="AW4531">
        <v>0</v>
      </c>
      <c r="AX4531">
        <v>0</v>
      </c>
      <c r="AY4531">
        <v>70</v>
      </c>
      <c r="BC4531" t="str">
        <f t="shared" si="602"/>
        <v>9791197332272</v>
      </c>
      <c r="BE4531" t="str">
        <f t="shared" si="599"/>
        <v>판타지 웹소설 &gt; 퓨전 판타지</v>
      </c>
    </row>
    <row r="4532" spans="1:57" x14ac:dyDescent="0.3">
      <c r="A4532">
        <v>2313020884</v>
      </c>
      <c r="B4532">
        <v>2313021010</v>
      </c>
      <c r="C4532" t="str">
        <f>T("회귀한 헌터가 너무 강함 127화")</f>
        <v>회귀한 헌터가 너무 강함 127화</v>
      </c>
      <c r="D4532" t="str">
        <f>T("127")</f>
        <v>127</v>
      </c>
      <c r="E4532" t="str">
        <f t="shared" si="600"/>
        <v>왕십리글쟁이</v>
      </c>
      <c r="H4532" t="str">
        <f t="shared" si="598"/>
        <v>스토리위즈</v>
      </c>
      <c r="I4532" t="str">
        <f t="shared" si="601"/>
        <v>회귀한 헌터가 너무 강함</v>
      </c>
      <c r="J4532">
        <v>100</v>
      </c>
      <c r="K4532">
        <v>100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100</v>
      </c>
      <c r="AH4532">
        <v>1</v>
      </c>
      <c r="AI4532">
        <v>0</v>
      </c>
      <c r="AJ4532">
        <v>0</v>
      </c>
      <c r="AK4532">
        <v>100</v>
      </c>
      <c r="AL4532">
        <v>0</v>
      </c>
      <c r="AM4532">
        <v>0</v>
      </c>
      <c r="AN4532">
        <v>0</v>
      </c>
      <c r="AO4532">
        <v>0</v>
      </c>
      <c r="AP4532"/>
      <c r="AQ4532">
        <v>0</v>
      </c>
      <c r="AR4532">
        <v>0</v>
      </c>
      <c r="AT4532">
        <v>0</v>
      </c>
      <c r="AU4532">
        <v>0</v>
      </c>
      <c r="AW4532">
        <v>0</v>
      </c>
      <c r="AX4532">
        <v>0</v>
      </c>
      <c r="AY4532">
        <v>70</v>
      </c>
      <c r="BC4532" t="str">
        <f t="shared" si="602"/>
        <v>9791197332272</v>
      </c>
      <c r="BE4532" t="str">
        <f t="shared" si="599"/>
        <v>판타지 웹소설 &gt; 퓨전 판타지</v>
      </c>
    </row>
    <row r="4533" spans="1:57" x14ac:dyDescent="0.3">
      <c r="A4533">
        <v>2313020884</v>
      </c>
      <c r="B4533">
        <v>2313021011</v>
      </c>
      <c r="C4533" t="str">
        <f>T("회귀한 헌터가 너무 강함 128화")</f>
        <v>회귀한 헌터가 너무 강함 128화</v>
      </c>
      <c r="D4533" t="str">
        <f>T("128")</f>
        <v>128</v>
      </c>
      <c r="E4533" t="str">
        <f t="shared" si="600"/>
        <v>왕십리글쟁이</v>
      </c>
      <c r="H4533" t="str">
        <f t="shared" si="598"/>
        <v>스토리위즈</v>
      </c>
      <c r="I4533" t="str">
        <f t="shared" si="601"/>
        <v>회귀한 헌터가 너무 강함</v>
      </c>
      <c r="J4533">
        <v>100</v>
      </c>
      <c r="K4533">
        <v>100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100</v>
      </c>
      <c r="AH4533">
        <v>1</v>
      </c>
      <c r="AI4533">
        <v>0</v>
      </c>
      <c r="AJ4533">
        <v>0</v>
      </c>
      <c r="AK4533">
        <v>100</v>
      </c>
      <c r="AL4533">
        <v>0</v>
      </c>
      <c r="AM4533">
        <v>0</v>
      </c>
      <c r="AN4533">
        <v>0</v>
      </c>
      <c r="AO4533">
        <v>0</v>
      </c>
      <c r="AP4533"/>
      <c r="AQ4533">
        <v>0</v>
      </c>
      <c r="AR4533">
        <v>0</v>
      </c>
      <c r="AT4533">
        <v>0</v>
      </c>
      <c r="AU4533">
        <v>0</v>
      </c>
      <c r="AW4533">
        <v>0</v>
      </c>
      <c r="AX4533">
        <v>0</v>
      </c>
      <c r="AY4533">
        <v>70</v>
      </c>
      <c r="BC4533" t="str">
        <f t="shared" si="602"/>
        <v>9791197332272</v>
      </c>
      <c r="BE4533" t="str">
        <f t="shared" si="599"/>
        <v>판타지 웹소설 &gt; 퓨전 판타지</v>
      </c>
    </row>
    <row r="4534" spans="1:57" x14ac:dyDescent="0.3">
      <c r="A4534">
        <v>2313020884</v>
      </c>
      <c r="B4534">
        <v>2313021012</v>
      </c>
      <c r="C4534" t="str">
        <f>T("회귀한 헌터가 너무 강함 129화")</f>
        <v>회귀한 헌터가 너무 강함 129화</v>
      </c>
      <c r="D4534" t="str">
        <f>T("129")</f>
        <v>129</v>
      </c>
      <c r="E4534" t="str">
        <f t="shared" si="600"/>
        <v>왕십리글쟁이</v>
      </c>
      <c r="H4534" t="str">
        <f t="shared" si="598"/>
        <v>스토리위즈</v>
      </c>
      <c r="I4534" t="str">
        <f t="shared" si="601"/>
        <v>회귀한 헌터가 너무 강함</v>
      </c>
      <c r="J4534">
        <v>100</v>
      </c>
      <c r="K4534">
        <v>100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100</v>
      </c>
      <c r="AH4534">
        <v>1</v>
      </c>
      <c r="AI4534">
        <v>0</v>
      </c>
      <c r="AJ4534">
        <v>0</v>
      </c>
      <c r="AK4534">
        <v>100</v>
      </c>
      <c r="AL4534">
        <v>0</v>
      </c>
      <c r="AM4534">
        <v>0</v>
      </c>
      <c r="AN4534">
        <v>0</v>
      </c>
      <c r="AO4534">
        <v>0</v>
      </c>
      <c r="AP4534"/>
      <c r="AQ4534">
        <v>0</v>
      </c>
      <c r="AR4534">
        <v>0</v>
      </c>
      <c r="AT4534">
        <v>0</v>
      </c>
      <c r="AU4534">
        <v>0</v>
      </c>
      <c r="AW4534">
        <v>0</v>
      </c>
      <c r="AX4534">
        <v>0</v>
      </c>
      <c r="AY4534">
        <v>70</v>
      </c>
      <c r="BC4534" t="str">
        <f t="shared" si="602"/>
        <v>9791197332272</v>
      </c>
      <c r="BE4534" t="str">
        <f t="shared" si="599"/>
        <v>판타지 웹소설 &gt; 퓨전 판타지</v>
      </c>
    </row>
    <row r="4535" spans="1:57" x14ac:dyDescent="0.3">
      <c r="A4535">
        <v>2313020884</v>
      </c>
      <c r="B4535">
        <v>2313021013</v>
      </c>
      <c r="C4535" t="str">
        <f>T("회귀한 헌터가 너무 강함 130화")</f>
        <v>회귀한 헌터가 너무 강함 130화</v>
      </c>
      <c r="D4535" t="str">
        <f>T("130")</f>
        <v>130</v>
      </c>
      <c r="E4535" t="str">
        <f t="shared" si="600"/>
        <v>왕십리글쟁이</v>
      </c>
      <c r="H4535" t="str">
        <f t="shared" si="598"/>
        <v>스토리위즈</v>
      </c>
      <c r="I4535" t="str">
        <f t="shared" si="601"/>
        <v>회귀한 헌터가 너무 강함</v>
      </c>
      <c r="J4535">
        <v>100</v>
      </c>
      <c r="K4535">
        <v>100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100</v>
      </c>
      <c r="AH4535">
        <v>1</v>
      </c>
      <c r="AI4535">
        <v>0</v>
      </c>
      <c r="AJ4535">
        <v>0</v>
      </c>
      <c r="AK4535">
        <v>100</v>
      </c>
      <c r="AL4535">
        <v>0</v>
      </c>
      <c r="AM4535">
        <v>0</v>
      </c>
      <c r="AN4535">
        <v>0</v>
      </c>
      <c r="AO4535">
        <v>0</v>
      </c>
      <c r="AP4535"/>
      <c r="AQ4535">
        <v>0</v>
      </c>
      <c r="AR4535">
        <v>0</v>
      </c>
      <c r="AT4535">
        <v>0</v>
      </c>
      <c r="AU4535">
        <v>0</v>
      </c>
      <c r="AW4535">
        <v>0</v>
      </c>
      <c r="AX4535">
        <v>0</v>
      </c>
      <c r="AY4535">
        <v>70</v>
      </c>
      <c r="BC4535" t="str">
        <f t="shared" si="602"/>
        <v>9791197332272</v>
      </c>
      <c r="BE4535" t="str">
        <f t="shared" si="599"/>
        <v>판타지 웹소설 &gt; 퓨전 판타지</v>
      </c>
    </row>
    <row r="4536" spans="1:57" x14ac:dyDescent="0.3">
      <c r="A4536">
        <v>2313020884</v>
      </c>
      <c r="B4536">
        <v>2313021014</v>
      </c>
      <c r="C4536" t="str">
        <f>T("회귀한 헌터가 너무 강함 131화")</f>
        <v>회귀한 헌터가 너무 강함 131화</v>
      </c>
      <c r="D4536" t="str">
        <f>T("131")</f>
        <v>131</v>
      </c>
      <c r="E4536" t="str">
        <f t="shared" si="600"/>
        <v>왕십리글쟁이</v>
      </c>
      <c r="H4536" t="str">
        <f t="shared" si="598"/>
        <v>스토리위즈</v>
      </c>
      <c r="I4536" t="str">
        <f t="shared" si="601"/>
        <v>회귀한 헌터가 너무 강함</v>
      </c>
      <c r="J4536">
        <v>100</v>
      </c>
      <c r="K4536">
        <v>100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100</v>
      </c>
      <c r="AH4536">
        <v>1</v>
      </c>
      <c r="AI4536">
        <v>0</v>
      </c>
      <c r="AJ4536">
        <v>0</v>
      </c>
      <c r="AK4536">
        <v>100</v>
      </c>
      <c r="AL4536">
        <v>0</v>
      </c>
      <c r="AM4536">
        <v>0</v>
      </c>
      <c r="AN4536">
        <v>0</v>
      </c>
      <c r="AO4536">
        <v>0</v>
      </c>
      <c r="AP4536"/>
      <c r="AQ4536">
        <v>0</v>
      </c>
      <c r="AR4536">
        <v>0</v>
      </c>
      <c r="AT4536">
        <v>0</v>
      </c>
      <c r="AU4536">
        <v>0</v>
      </c>
      <c r="AW4536">
        <v>0</v>
      </c>
      <c r="AX4536">
        <v>0</v>
      </c>
      <c r="AY4536">
        <v>70</v>
      </c>
      <c r="BC4536" t="str">
        <f t="shared" si="602"/>
        <v>9791197332272</v>
      </c>
      <c r="BE4536" t="str">
        <f t="shared" si="599"/>
        <v>판타지 웹소설 &gt; 퓨전 판타지</v>
      </c>
    </row>
    <row r="4537" spans="1:57" x14ac:dyDescent="0.3">
      <c r="A4537">
        <v>2313020884</v>
      </c>
      <c r="B4537">
        <v>2313021015</v>
      </c>
      <c r="C4537" t="str">
        <f>T("회귀한 헌터가 너무 강함 132화")</f>
        <v>회귀한 헌터가 너무 강함 132화</v>
      </c>
      <c r="D4537" t="str">
        <f>T("132")</f>
        <v>132</v>
      </c>
      <c r="E4537" t="str">
        <f t="shared" si="600"/>
        <v>왕십리글쟁이</v>
      </c>
      <c r="H4537" t="str">
        <f t="shared" si="598"/>
        <v>스토리위즈</v>
      </c>
      <c r="I4537" t="str">
        <f t="shared" si="601"/>
        <v>회귀한 헌터가 너무 강함</v>
      </c>
      <c r="J4537">
        <v>100</v>
      </c>
      <c r="K4537">
        <v>100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100</v>
      </c>
      <c r="AH4537">
        <v>1</v>
      </c>
      <c r="AI4537">
        <v>0</v>
      </c>
      <c r="AJ4537">
        <v>0</v>
      </c>
      <c r="AK4537">
        <v>100</v>
      </c>
      <c r="AL4537">
        <v>0</v>
      </c>
      <c r="AM4537">
        <v>0</v>
      </c>
      <c r="AN4537">
        <v>0</v>
      </c>
      <c r="AO4537">
        <v>0</v>
      </c>
      <c r="AP4537"/>
      <c r="AQ4537">
        <v>0</v>
      </c>
      <c r="AR4537">
        <v>0</v>
      </c>
      <c r="AT4537">
        <v>0</v>
      </c>
      <c r="AU4537">
        <v>0</v>
      </c>
      <c r="AW4537">
        <v>0</v>
      </c>
      <c r="AX4537">
        <v>0</v>
      </c>
      <c r="AY4537">
        <v>70</v>
      </c>
      <c r="BC4537" t="str">
        <f t="shared" si="602"/>
        <v>9791197332272</v>
      </c>
      <c r="BE4537" t="str">
        <f t="shared" si="599"/>
        <v>판타지 웹소설 &gt; 퓨전 판타지</v>
      </c>
    </row>
    <row r="4538" spans="1:57" x14ac:dyDescent="0.3">
      <c r="A4538">
        <v>2313020884</v>
      </c>
      <c r="B4538">
        <v>2313021016</v>
      </c>
      <c r="C4538" t="str">
        <f>T("회귀한 헌터가 너무 강함 133화")</f>
        <v>회귀한 헌터가 너무 강함 133화</v>
      </c>
      <c r="D4538" t="str">
        <f>T("133")</f>
        <v>133</v>
      </c>
      <c r="E4538" t="str">
        <f t="shared" si="600"/>
        <v>왕십리글쟁이</v>
      </c>
      <c r="H4538" t="str">
        <f t="shared" si="598"/>
        <v>스토리위즈</v>
      </c>
      <c r="I4538" t="str">
        <f t="shared" si="601"/>
        <v>회귀한 헌터가 너무 강함</v>
      </c>
      <c r="J4538">
        <v>100</v>
      </c>
      <c r="K4538">
        <v>100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100</v>
      </c>
      <c r="AH4538">
        <v>1</v>
      </c>
      <c r="AI4538">
        <v>0</v>
      </c>
      <c r="AJ4538">
        <v>0</v>
      </c>
      <c r="AK4538">
        <v>100</v>
      </c>
      <c r="AL4538">
        <v>0</v>
      </c>
      <c r="AM4538">
        <v>0</v>
      </c>
      <c r="AN4538">
        <v>0</v>
      </c>
      <c r="AO4538">
        <v>0</v>
      </c>
      <c r="AP4538"/>
      <c r="AQ4538">
        <v>0</v>
      </c>
      <c r="AR4538">
        <v>0</v>
      </c>
      <c r="AT4538">
        <v>0</v>
      </c>
      <c r="AU4538">
        <v>0</v>
      </c>
      <c r="AW4538">
        <v>0</v>
      </c>
      <c r="AX4538">
        <v>0</v>
      </c>
      <c r="AY4538">
        <v>70</v>
      </c>
      <c r="BC4538" t="str">
        <f t="shared" si="602"/>
        <v>9791197332272</v>
      </c>
      <c r="BE4538" t="str">
        <f t="shared" si="599"/>
        <v>판타지 웹소설 &gt; 퓨전 판타지</v>
      </c>
    </row>
    <row r="4539" spans="1:57" x14ac:dyDescent="0.3">
      <c r="A4539">
        <v>2313020884</v>
      </c>
      <c r="B4539">
        <v>2313021017</v>
      </c>
      <c r="C4539" t="str">
        <f>T("회귀한 헌터가 너무 강함 134화")</f>
        <v>회귀한 헌터가 너무 강함 134화</v>
      </c>
      <c r="D4539" t="str">
        <f>T("134")</f>
        <v>134</v>
      </c>
      <c r="E4539" t="str">
        <f t="shared" si="600"/>
        <v>왕십리글쟁이</v>
      </c>
      <c r="H4539" t="str">
        <f t="shared" si="598"/>
        <v>스토리위즈</v>
      </c>
      <c r="I4539" t="str">
        <f t="shared" si="601"/>
        <v>회귀한 헌터가 너무 강함</v>
      </c>
      <c r="J4539">
        <v>100</v>
      </c>
      <c r="K4539">
        <v>100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100</v>
      </c>
      <c r="AH4539">
        <v>1</v>
      </c>
      <c r="AI4539">
        <v>0</v>
      </c>
      <c r="AJ4539">
        <v>0</v>
      </c>
      <c r="AK4539">
        <v>100</v>
      </c>
      <c r="AL4539">
        <v>0</v>
      </c>
      <c r="AM4539">
        <v>0</v>
      </c>
      <c r="AN4539">
        <v>0</v>
      </c>
      <c r="AO4539">
        <v>0</v>
      </c>
      <c r="AP4539"/>
      <c r="AQ4539">
        <v>0</v>
      </c>
      <c r="AR4539">
        <v>0</v>
      </c>
      <c r="AT4539">
        <v>0</v>
      </c>
      <c r="AU4539">
        <v>0</v>
      </c>
      <c r="AW4539">
        <v>0</v>
      </c>
      <c r="AX4539">
        <v>0</v>
      </c>
      <c r="AY4539">
        <v>70</v>
      </c>
      <c r="BC4539" t="str">
        <f t="shared" si="602"/>
        <v>9791197332272</v>
      </c>
      <c r="BE4539" t="str">
        <f t="shared" si="599"/>
        <v>판타지 웹소설 &gt; 퓨전 판타지</v>
      </c>
    </row>
    <row r="4540" spans="1:57" x14ac:dyDescent="0.3">
      <c r="A4540">
        <v>2313000001</v>
      </c>
      <c r="B4540">
        <v>2313000001</v>
      </c>
      <c r="C4540" t="str">
        <f>T("던전 공략 LIVE 1화")</f>
        <v>던전 공략 LIVE 1화</v>
      </c>
      <c r="D4540" t="str">
        <f>T("1")</f>
        <v>1</v>
      </c>
      <c r="E4540" t="str">
        <f>T("이동열")</f>
        <v>이동열</v>
      </c>
      <c r="H4540" t="str">
        <f t="shared" si="598"/>
        <v>스토리위즈</v>
      </c>
      <c r="I4540" t="str">
        <f>T("던전 공략 LIVE")</f>
        <v>던전 공략 LIVE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1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/>
      <c r="AQ4540">
        <v>0</v>
      </c>
      <c r="AR4540">
        <v>0</v>
      </c>
      <c r="AT4540">
        <v>0</v>
      </c>
      <c r="AU4540">
        <v>0</v>
      </c>
      <c r="AW4540">
        <v>0</v>
      </c>
      <c r="AX4540">
        <v>0</v>
      </c>
      <c r="AY4540">
        <v>0</v>
      </c>
      <c r="BC4540" t="str">
        <f>T("9791159283307")</f>
        <v>9791159283307</v>
      </c>
      <c r="BD4540" t="str">
        <f>T("10281429451")</f>
        <v>10281429451</v>
      </c>
      <c r="BE4540" t="str">
        <f t="shared" ref="BE4540:BE4548" si="603">T("판타지 웹소설 &gt; 현대 판타지")</f>
        <v>판타지 웹소설 &gt; 현대 판타지</v>
      </c>
    </row>
    <row r="4541" spans="1:57" x14ac:dyDescent="0.3">
      <c r="A4541">
        <v>2313000185</v>
      </c>
      <c r="B4541">
        <v>2313000186</v>
      </c>
      <c r="C4541" t="str">
        <f>T("형사의 게임 2화")</f>
        <v>형사의 게임 2화</v>
      </c>
      <c r="D4541" t="str">
        <f>T("2")</f>
        <v>2</v>
      </c>
      <c r="E4541" t="str">
        <f t="shared" ref="E4541:E4548" si="604">T("무장")</f>
        <v>무장</v>
      </c>
      <c r="H4541" t="str">
        <f t="shared" si="598"/>
        <v>스토리위즈</v>
      </c>
      <c r="I4541" t="str">
        <f t="shared" ref="I4541:I4548" si="605">T("형사의 게임")</f>
        <v>형사의 게임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1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/>
      <c r="AQ4541">
        <v>0</v>
      </c>
      <c r="AR4541">
        <v>0</v>
      </c>
      <c r="AT4541">
        <v>0</v>
      </c>
      <c r="AU4541">
        <v>0</v>
      </c>
      <c r="AW4541">
        <v>0</v>
      </c>
      <c r="AX4541">
        <v>0</v>
      </c>
      <c r="AY4541">
        <v>0</v>
      </c>
      <c r="BC4541" t="str">
        <f t="shared" ref="BC4541:BC4548" si="606">T("9791195863006")</f>
        <v>9791195863006</v>
      </c>
      <c r="BE4541" t="str">
        <f t="shared" si="603"/>
        <v>판타지 웹소설 &gt; 현대 판타지</v>
      </c>
    </row>
    <row r="4542" spans="1:57" x14ac:dyDescent="0.3">
      <c r="A4542">
        <v>2313000185</v>
      </c>
      <c r="B4542">
        <v>2313000187</v>
      </c>
      <c r="C4542" t="str">
        <f>T("형사의 게임 3화")</f>
        <v>형사의 게임 3화</v>
      </c>
      <c r="D4542" t="str">
        <f>T("3")</f>
        <v>3</v>
      </c>
      <c r="E4542" t="str">
        <f t="shared" si="604"/>
        <v>무장</v>
      </c>
      <c r="H4542" t="str">
        <f t="shared" si="598"/>
        <v>스토리위즈</v>
      </c>
      <c r="I4542" t="str">
        <f t="shared" si="605"/>
        <v>형사의 게임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/>
      <c r="AQ4542">
        <v>0</v>
      </c>
      <c r="AR4542">
        <v>0</v>
      </c>
      <c r="AT4542">
        <v>0</v>
      </c>
      <c r="AU4542">
        <v>0</v>
      </c>
      <c r="AW4542">
        <v>0</v>
      </c>
      <c r="AX4542">
        <v>0</v>
      </c>
      <c r="AY4542">
        <v>0</v>
      </c>
      <c r="BC4542" t="str">
        <f t="shared" si="606"/>
        <v>9791195863006</v>
      </c>
      <c r="BE4542" t="str">
        <f t="shared" si="603"/>
        <v>판타지 웹소설 &gt; 현대 판타지</v>
      </c>
    </row>
    <row r="4543" spans="1:57" x14ac:dyDescent="0.3">
      <c r="A4543">
        <v>2313000185</v>
      </c>
      <c r="B4543">
        <v>2313000188</v>
      </c>
      <c r="C4543" t="str">
        <f>T("형사의 게임 4화")</f>
        <v>형사의 게임 4화</v>
      </c>
      <c r="D4543" t="str">
        <f>T("4")</f>
        <v>4</v>
      </c>
      <c r="E4543" t="str">
        <f t="shared" si="604"/>
        <v>무장</v>
      </c>
      <c r="H4543" t="str">
        <f t="shared" si="598"/>
        <v>스토리위즈</v>
      </c>
      <c r="I4543" t="str">
        <f t="shared" si="605"/>
        <v>형사의 게임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/>
      <c r="AQ4543">
        <v>0</v>
      </c>
      <c r="AR4543">
        <v>0</v>
      </c>
      <c r="AT4543">
        <v>0</v>
      </c>
      <c r="AU4543">
        <v>0</v>
      </c>
      <c r="AW4543">
        <v>0</v>
      </c>
      <c r="AX4543">
        <v>0</v>
      </c>
      <c r="AY4543">
        <v>0</v>
      </c>
      <c r="BC4543" t="str">
        <f t="shared" si="606"/>
        <v>9791195863006</v>
      </c>
      <c r="BE4543" t="str">
        <f t="shared" si="603"/>
        <v>판타지 웹소설 &gt; 현대 판타지</v>
      </c>
    </row>
    <row r="4544" spans="1:57" x14ac:dyDescent="0.3">
      <c r="A4544">
        <v>2313000185</v>
      </c>
      <c r="B4544">
        <v>2313000189</v>
      </c>
      <c r="C4544" t="str">
        <f>T("형사의 게임 5화")</f>
        <v>형사의 게임 5화</v>
      </c>
      <c r="D4544" t="str">
        <f>T("5")</f>
        <v>5</v>
      </c>
      <c r="E4544" t="str">
        <f t="shared" si="604"/>
        <v>무장</v>
      </c>
      <c r="H4544" t="str">
        <f t="shared" si="598"/>
        <v>스토리위즈</v>
      </c>
      <c r="I4544" t="str">
        <f t="shared" si="605"/>
        <v>형사의 게임</v>
      </c>
      <c r="J4544">
        <v>0</v>
      </c>
      <c r="K4544">
        <v>0</v>
      </c>
      <c r="L4544">
        <v>0</v>
      </c>
      <c r="M4544">
        <v>2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2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/>
      <c r="AQ4544">
        <v>0</v>
      </c>
      <c r="AR4544">
        <v>0</v>
      </c>
      <c r="AT4544">
        <v>0</v>
      </c>
      <c r="AU4544">
        <v>0</v>
      </c>
      <c r="AW4544">
        <v>0</v>
      </c>
      <c r="AX4544">
        <v>0</v>
      </c>
      <c r="AY4544">
        <v>0</v>
      </c>
      <c r="BC4544" t="str">
        <f t="shared" si="606"/>
        <v>9791195863006</v>
      </c>
      <c r="BE4544" t="str">
        <f t="shared" si="603"/>
        <v>판타지 웹소설 &gt; 현대 판타지</v>
      </c>
    </row>
    <row r="4545" spans="1:57" x14ac:dyDescent="0.3">
      <c r="A4545">
        <v>2313000185</v>
      </c>
      <c r="B4545">
        <v>2313000190</v>
      </c>
      <c r="C4545" t="str">
        <f>T("형사의 게임 6화")</f>
        <v>형사의 게임 6화</v>
      </c>
      <c r="D4545" t="str">
        <f>T("6")</f>
        <v>6</v>
      </c>
      <c r="E4545" t="str">
        <f t="shared" si="604"/>
        <v>무장</v>
      </c>
      <c r="H4545" t="str">
        <f t="shared" si="598"/>
        <v>스토리위즈</v>
      </c>
      <c r="I4545" t="str">
        <f t="shared" si="605"/>
        <v>형사의 게임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/>
      <c r="AQ4545">
        <v>0</v>
      </c>
      <c r="AR4545">
        <v>0</v>
      </c>
      <c r="AT4545">
        <v>0</v>
      </c>
      <c r="AU4545">
        <v>0</v>
      </c>
      <c r="AW4545">
        <v>0</v>
      </c>
      <c r="AX4545">
        <v>0</v>
      </c>
      <c r="AY4545">
        <v>0</v>
      </c>
      <c r="BC4545" t="str">
        <f t="shared" si="606"/>
        <v>9791195863006</v>
      </c>
      <c r="BE4545" t="str">
        <f t="shared" si="603"/>
        <v>판타지 웹소설 &gt; 현대 판타지</v>
      </c>
    </row>
    <row r="4546" spans="1:57" x14ac:dyDescent="0.3">
      <c r="A4546">
        <v>2313000185</v>
      </c>
      <c r="B4546">
        <v>2313000191</v>
      </c>
      <c r="C4546" t="str">
        <f>T("형사의 게임 7화")</f>
        <v>형사의 게임 7화</v>
      </c>
      <c r="D4546" t="str">
        <f>T("7")</f>
        <v>7</v>
      </c>
      <c r="E4546" t="str">
        <f t="shared" si="604"/>
        <v>무장</v>
      </c>
      <c r="H4546" t="str">
        <f t="shared" si="598"/>
        <v>스토리위즈</v>
      </c>
      <c r="I4546" t="str">
        <f t="shared" si="605"/>
        <v>형사의 게임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/>
      <c r="AQ4546">
        <v>0</v>
      </c>
      <c r="AR4546">
        <v>0</v>
      </c>
      <c r="AT4546">
        <v>0</v>
      </c>
      <c r="AU4546">
        <v>0</v>
      </c>
      <c r="AW4546">
        <v>0</v>
      </c>
      <c r="AX4546">
        <v>0</v>
      </c>
      <c r="AY4546">
        <v>0</v>
      </c>
      <c r="BC4546" t="str">
        <f t="shared" si="606"/>
        <v>9791195863006</v>
      </c>
      <c r="BE4546" t="str">
        <f t="shared" si="603"/>
        <v>판타지 웹소설 &gt; 현대 판타지</v>
      </c>
    </row>
    <row r="4547" spans="1:57" x14ac:dyDescent="0.3">
      <c r="A4547">
        <v>2313000185</v>
      </c>
      <c r="B4547">
        <v>2313000192</v>
      </c>
      <c r="C4547" t="str">
        <f>T("형사의 게임 8화")</f>
        <v>형사의 게임 8화</v>
      </c>
      <c r="D4547" t="str">
        <f>T("8")</f>
        <v>8</v>
      </c>
      <c r="E4547" t="str">
        <f t="shared" si="604"/>
        <v>무장</v>
      </c>
      <c r="H4547" t="str">
        <f t="shared" si="598"/>
        <v>스토리위즈</v>
      </c>
      <c r="I4547" t="str">
        <f t="shared" si="605"/>
        <v>형사의 게임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1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/>
      <c r="AQ4547">
        <v>0</v>
      </c>
      <c r="AR4547">
        <v>0</v>
      </c>
      <c r="AT4547">
        <v>0</v>
      </c>
      <c r="AU4547">
        <v>0</v>
      </c>
      <c r="AW4547">
        <v>0</v>
      </c>
      <c r="AX4547">
        <v>0</v>
      </c>
      <c r="AY4547">
        <v>0</v>
      </c>
      <c r="BC4547" t="str">
        <f t="shared" si="606"/>
        <v>9791195863006</v>
      </c>
      <c r="BE4547" t="str">
        <f t="shared" si="603"/>
        <v>판타지 웹소설 &gt; 현대 판타지</v>
      </c>
    </row>
    <row r="4548" spans="1:57" x14ac:dyDescent="0.3">
      <c r="A4548">
        <v>2313000185</v>
      </c>
      <c r="B4548">
        <v>2313000193</v>
      </c>
      <c r="C4548" t="str">
        <f>T("형사의 게임 9화")</f>
        <v>형사의 게임 9화</v>
      </c>
      <c r="D4548" t="str">
        <f>T("9")</f>
        <v>9</v>
      </c>
      <c r="E4548" t="str">
        <f t="shared" si="604"/>
        <v>무장</v>
      </c>
      <c r="H4548" t="str">
        <f t="shared" si="598"/>
        <v>스토리위즈</v>
      </c>
      <c r="I4548" t="str">
        <f t="shared" si="605"/>
        <v>형사의 게임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/>
      <c r="AQ4548">
        <v>0</v>
      </c>
      <c r="AR4548">
        <v>0</v>
      </c>
      <c r="AT4548">
        <v>0</v>
      </c>
      <c r="AU4548">
        <v>0</v>
      </c>
      <c r="AW4548">
        <v>0</v>
      </c>
      <c r="AX4548">
        <v>0</v>
      </c>
      <c r="AY4548">
        <v>0</v>
      </c>
      <c r="BC4548" t="str">
        <f t="shared" si="606"/>
        <v>9791195863006</v>
      </c>
      <c r="BE4548" t="str">
        <f t="shared" si="603"/>
        <v>판타지 웹소설 &gt; 현대 판타지</v>
      </c>
    </row>
    <row r="4549" spans="1:57" x14ac:dyDescent="0.3">
      <c r="A4549">
        <v>2313000685</v>
      </c>
      <c r="B4549">
        <v>2313000685</v>
      </c>
      <c r="C4549" t="str">
        <f>T("라지에르의 서 1~2화")</f>
        <v>라지에르의 서 1~2화</v>
      </c>
      <c r="D4549" t="str">
        <f>T("1")</f>
        <v>1</v>
      </c>
      <c r="E4549" t="str">
        <f t="shared" ref="E4549:E4582" si="607">T("공든탑")</f>
        <v>공든탑</v>
      </c>
      <c r="H4549" t="str">
        <f t="shared" si="598"/>
        <v>스토리위즈</v>
      </c>
      <c r="I4549" t="str">
        <f t="shared" ref="I4549:I4574" si="608">T("라지에르의 서")</f>
        <v>라지에르의 서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/>
      <c r="AQ4549">
        <v>0</v>
      </c>
      <c r="AR4549">
        <v>0</v>
      </c>
      <c r="AT4549">
        <v>0</v>
      </c>
      <c r="AU4549">
        <v>0</v>
      </c>
      <c r="AW4549">
        <v>0</v>
      </c>
      <c r="AX4549">
        <v>0</v>
      </c>
      <c r="AY4549">
        <v>0</v>
      </c>
      <c r="BC4549" t="str">
        <f t="shared" ref="BC4549:BC4574" si="609">T("9791159285783")</f>
        <v>9791159285783</v>
      </c>
      <c r="BE4549" t="str">
        <f t="shared" ref="BE4549:BE4574" si="610">T("판타지 웹소설 &gt; 퓨전 판타지")</f>
        <v>판타지 웹소설 &gt; 퓨전 판타지</v>
      </c>
    </row>
    <row r="4550" spans="1:57" x14ac:dyDescent="0.3">
      <c r="A4550">
        <v>2313000685</v>
      </c>
      <c r="B4550">
        <v>2313000686</v>
      </c>
      <c r="C4550" t="str">
        <f>T("라지에르의 서 3화")</f>
        <v>라지에르의 서 3화</v>
      </c>
      <c r="D4550" t="str">
        <f>T("2")</f>
        <v>2</v>
      </c>
      <c r="E4550" t="str">
        <f t="shared" si="607"/>
        <v>공든탑</v>
      </c>
      <c r="H4550" t="str">
        <f t="shared" si="598"/>
        <v>스토리위즈</v>
      </c>
      <c r="I4550" t="str">
        <f t="shared" si="608"/>
        <v>라지에르의 서</v>
      </c>
      <c r="J4550">
        <v>0</v>
      </c>
      <c r="K4550">
        <v>0</v>
      </c>
      <c r="L4550">
        <v>0</v>
      </c>
      <c r="M4550">
        <v>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2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/>
      <c r="AQ4550">
        <v>0</v>
      </c>
      <c r="AR4550">
        <v>0</v>
      </c>
      <c r="AT4550">
        <v>0</v>
      </c>
      <c r="AU4550">
        <v>0</v>
      </c>
      <c r="AW4550">
        <v>0</v>
      </c>
      <c r="AX4550">
        <v>0</v>
      </c>
      <c r="AY4550">
        <v>0</v>
      </c>
      <c r="BC4550" t="str">
        <f t="shared" si="609"/>
        <v>9791159285783</v>
      </c>
      <c r="BE4550" t="str">
        <f t="shared" si="610"/>
        <v>판타지 웹소설 &gt; 퓨전 판타지</v>
      </c>
    </row>
    <row r="4551" spans="1:57" x14ac:dyDescent="0.3">
      <c r="A4551">
        <v>2313000685</v>
      </c>
      <c r="B4551">
        <v>2313000687</v>
      </c>
      <c r="C4551" t="str">
        <f>T("라지에르의 서 4화")</f>
        <v>라지에르의 서 4화</v>
      </c>
      <c r="D4551" t="str">
        <f>T("3")</f>
        <v>3</v>
      </c>
      <c r="E4551" t="str">
        <f t="shared" si="607"/>
        <v>공든탑</v>
      </c>
      <c r="H4551" t="str">
        <f t="shared" si="598"/>
        <v>스토리위즈</v>
      </c>
      <c r="I4551" t="str">
        <f t="shared" si="608"/>
        <v>라지에르의 서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/>
      <c r="AQ4551">
        <v>0</v>
      </c>
      <c r="AR4551">
        <v>0</v>
      </c>
      <c r="AT4551">
        <v>0</v>
      </c>
      <c r="AU4551">
        <v>0</v>
      </c>
      <c r="AW4551">
        <v>0</v>
      </c>
      <c r="AX4551">
        <v>0</v>
      </c>
      <c r="AY4551">
        <v>0</v>
      </c>
      <c r="BC4551" t="str">
        <f t="shared" si="609"/>
        <v>9791159285783</v>
      </c>
      <c r="BE4551" t="str">
        <f t="shared" si="610"/>
        <v>판타지 웹소설 &gt; 퓨전 판타지</v>
      </c>
    </row>
    <row r="4552" spans="1:57" x14ac:dyDescent="0.3">
      <c r="A4552">
        <v>2313000685</v>
      </c>
      <c r="B4552">
        <v>2313000688</v>
      </c>
      <c r="C4552" t="str">
        <f>T("라지에르의 서 5화")</f>
        <v>라지에르의 서 5화</v>
      </c>
      <c r="D4552" t="str">
        <f>T("4")</f>
        <v>4</v>
      </c>
      <c r="E4552" t="str">
        <f t="shared" si="607"/>
        <v>공든탑</v>
      </c>
      <c r="H4552" t="str">
        <f t="shared" si="598"/>
        <v>스토리위즈</v>
      </c>
      <c r="I4552" t="str">
        <f t="shared" si="608"/>
        <v>라지에르의 서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/>
      <c r="AQ4552">
        <v>0</v>
      </c>
      <c r="AR4552">
        <v>0</v>
      </c>
      <c r="AT4552">
        <v>0</v>
      </c>
      <c r="AU4552">
        <v>0</v>
      </c>
      <c r="AW4552">
        <v>0</v>
      </c>
      <c r="AX4552">
        <v>0</v>
      </c>
      <c r="AY4552">
        <v>0</v>
      </c>
      <c r="BC4552" t="str">
        <f t="shared" si="609"/>
        <v>9791159285783</v>
      </c>
      <c r="BE4552" t="str">
        <f t="shared" si="610"/>
        <v>판타지 웹소설 &gt; 퓨전 판타지</v>
      </c>
    </row>
    <row r="4553" spans="1:57" x14ac:dyDescent="0.3">
      <c r="A4553">
        <v>2313000685</v>
      </c>
      <c r="B4553">
        <v>2313000689</v>
      </c>
      <c r="C4553" t="str">
        <f>T("라지에르의 서 6화")</f>
        <v>라지에르의 서 6화</v>
      </c>
      <c r="D4553" t="str">
        <f>T("5")</f>
        <v>5</v>
      </c>
      <c r="E4553" t="str">
        <f t="shared" si="607"/>
        <v>공든탑</v>
      </c>
      <c r="H4553" t="str">
        <f t="shared" si="598"/>
        <v>스토리위즈</v>
      </c>
      <c r="I4553" t="str">
        <f t="shared" si="608"/>
        <v>라지에르의 서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/>
      <c r="AQ4553">
        <v>0</v>
      </c>
      <c r="AR4553">
        <v>0</v>
      </c>
      <c r="AT4553">
        <v>0</v>
      </c>
      <c r="AU4553">
        <v>0</v>
      </c>
      <c r="AW4553">
        <v>0</v>
      </c>
      <c r="AX4553">
        <v>0</v>
      </c>
      <c r="AY4553">
        <v>0</v>
      </c>
      <c r="BC4553" t="str">
        <f t="shared" si="609"/>
        <v>9791159285783</v>
      </c>
      <c r="BE4553" t="str">
        <f t="shared" si="610"/>
        <v>판타지 웹소설 &gt; 퓨전 판타지</v>
      </c>
    </row>
    <row r="4554" spans="1:57" x14ac:dyDescent="0.3">
      <c r="A4554">
        <v>2313000685</v>
      </c>
      <c r="B4554">
        <v>2313000690</v>
      </c>
      <c r="C4554" t="str">
        <f>T("라지에르의 서 7화")</f>
        <v>라지에르의 서 7화</v>
      </c>
      <c r="D4554" t="str">
        <f>T("6")</f>
        <v>6</v>
      </c>
      <c r="E4554" t="str">
        <f t="shared" si="607"/>
        <v>공든탑</v>
      </c>
      <c r="H4554" t="str">
        <f t="shared" si="598"/>
        <v>스토리위즈</v>
      </c>
      <c r="I4554" t="str">
        <f t="shared" si="608"/>
        <v>라지에르의 서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/>
      <c r="AQ4554">
        <v>0</v>
      </c>
      <c r="AR4554">
        <v>0</v>
      </c>
      <c r="AT4554">
        <v>0</v>
      </c>
      <c r="AU4554">
        <v>0</v>
      </c>
      <c r="AW4554">
        <v>0</v>
      </c>
      <c r="AX4554">
        <v>0</v>
      </c>
      <c r="AY4554">
        <v>0</v>
      </c>
      <c r="BC4554" t="str">
        <f t="shared" si="609"/>
        <v>9791159285783</v>
      </c>
      <c r="BE4554" t="str">
        <f t="shared" si="610"/>
        <v>판타지 웹소설 &gt; 퓨전 판타지</v>
      </c>
    </row>
    <row r="4555" spans="1:57" x14ac:dyDescent="0.3">
      <c r="A4555">
        <v>2313000685</v>
      </c>
      <c r="B4555">
        <v>2313000691</v>
      </c>
      <c r="C4555" t="str">
        <f>T("라지에르의 서 8화")</f>
        <v>라지에르의 서 8화</v>
      </c>
      <c r="D4555" t="str">
        <f>T("7")</f>
        <v>7</v>
      </c>
      <c r="E4555" t="str">
        <f t="shared" si="607"/>
        <v>공든탑</v>
      </c>
      <c r="H4555" t="str">
        <f t="shared" si="598"/>
        <v>스토리위즈</v>
      </c>
      <c r="I4555" t="str">
        <f t="shared" si="608"/>
        <v>라지에르의 서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/>
      <c r="AQ4555">
        <v>0</v>
      </c>
      <c r="AR4555">
        <v>0</v>
      </c>
      <c r="AT4555">
        <v>0</v>
      </c>
      <c r="AU4555">
        <v>0</v>
      </c>
      <c r="AW4555">
        <v>0</v>
      </c>
      <c r="AX4555">
        <v>0</v>
      </c>
      <c r="AY4555">
        <v>0</v>
      </c>
      <c r="BC4555" t="str">
        <f t="shared" si="609"/>
        <v>9791159285783</v>
      </c>
      <c r="BE4555" t="str">
        <f t="shared" si="610"/>
        <v>판타지 웹소설 &gt; 퓨전 판타지</v>
      </c>
    </row>
    <row r="4556" spans="1:57" x14ac:dyDescent="0.3">
      <c r="A4556">
        <v>2313000685</v>
      </c>
      <c r="B4556">
        <v>2313000692</v>
      </c>
      <c r="C4556" t="str">
        <f>T("라지에르의 서 9화")</f>
        <v>라지에르의 서 9화</v>
      </c>
      <c r="D4556" t="str">
        <f>T("8")</f>
        <v>8</v>
      </c>
      <c r="E4556" t="str">
        <f t="shared" si="607"/>
        <v>공든탑</v>
      </c>
      <c r="H4556" t="str">
        <f t="shared" si="598"/>
        <v>스토리위즈</v>
      </c>
      <c r="I4556" t="str">
        <f t="shared" si="608"/>
        <v>라지에르의 서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/>
      <c r="AQ4556">
        <v>0</v>
      </c>
      <c r="AR4556">
        <v>0</v>
      </c>
      <c r="AT4556">
        <v>0</v>
      </c>
      <c r="AU4556">
        <v>0</v>
      </c>
      <c r="AW4556">
        <v>0</v>
      </c>
      <c r="AX4556">
        <v>0</v>
      </c>
      <c r="AY4556">
        <v>0</v>
      </c>
      <c r="BC4556" t="str">
        <f t="shared" si="609"/>
        <v>9791159285783</v>
      </c>
      <c r="BE4556" t="str">
        <f t="shared" si="610"/>
        <v>판타지 웹소설 &gt; 퓨전 판타지</v>
      </c>
    </row>
    <row r="4557" spans="1:57" x14ac:dyDescent="0.3">
      <c r="A4557">
        <v>2313000685</v>
      </c>
      <c r="B4557">
        <v>2313000693</v>
      </c>
      <c r="C4557" t="str">
        <f>T("라지에르의 서 10화")</f>
        <v>라지에르의 서 10화</v>
      </c>
      <c r="D4557" t="str">
        <f>T("9")</f>
        <v>9</v>
      </c>
      <c r="E4557" t="str">
        <f t="shared" si="607"/>
        <v>공든탑</v>
      </c>
      <c r="H4557" t="str">
        <f t="shared" si="598"/>
        <v>스토리위즈</v>
      </c>
      <c r="I4557" t="str">
        <f t="shared" si="608"/>
        <v>라지에르의 서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/>
      <c r="AQ4557">
        <v>0</v>
      </c>
      <c r="AR4557">
        <v>0</v>
      </c>
      <c r="AT4557">
        <v>0</v>
      </c>
      <c r="AU4557">
        <v>0</v>
      </c>
      <c r="AW4557">
        <v>0</v>
      </c>
      <c r="AX4557">
        <v>0</v>
      </c>
      <c r="AY4557">
        <v>0</v>
      </c>
      <c r="BC4557" t="str">
        <f t="shared" si="609"/>
        <v>9791159285783</v>
      </c>
      <c r="BE4557" t="str">
        <f t="shared" si="610"/>
        <v>판타지 웹소설 &gt; 퓨전 판타지</v>
      </c>
    </row>
    <row r="4558" spans="1:57" x14ac:dyDescent="0.3">
      <c r="A4558">
        <v>2313000685</v>
      </c>
      <c r="B4558">
        <v>2313000694</v>
      </c>
      <c r="C4558" t="str">
        <f>T("라지에르의 서 11화")</f>
        <v>라지에르의 서 11화</v>
      </c>
      <c r="D4558" t="str">
        <f>T("10")</f>
        <v>10</v>
      </c>
      <c r="E4558" t="str">
        <f t="shared" si="607"/>
        <v>공든탑</v>
      </c>
      <c r="H4558" t="str">
        <f t="shared" ref="H4558:H4621" si="611">T("스토리위즈")</f>
        <v>스토리위즈</v>
      </c>
      <c r="I4558" t="str">
        <f t="shared" si="608"/>
        <v>라지에르의 서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1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/>
      <c r="AQ4558">
        <v>0</v>
      </c>
      <c r="AR4558">
        <v>0</v>
      </c>
      <c r="AT4558">
        <v>0</v>
      </c>
      <c r="AU4558">
        <v>0</v>
      </c>
      <c r="AW4558">
        <v>0</v>
      </c>
      <c r="AX4558">
        <v>0</v>
      </c>
      <c r="AY4558">
        <v>0</v>
      </c>
      <c r="BC4558" t="str">
        <f t="shared" si="609"/>
        <v>9791159285783</v>
      </c>
      <c r="BE4558" t="str">
        <f t="shared" si="610"/>
        <v>판타지 웹소설 &gt; 퓨전 판타지</v>
      </c>
    </row>
    <row r="4559" spans="1:57" x14ac:dyDescent="0.3">
      <c r="A4559">
        <v>2313000685</v>
      </c>
      <c r="B4559">
        <v>2313000695</v>
      </c>
      <c r="C4559" t="str">
        <f>T("라지에르의 서 12화")</f>
        <v>라지에르의 서 12화</v>
      </c>
      <c r="D4559" t="str">
        <f>T("11")</f>
        <v>11</v>
      </c>
      <c r="E4559" t="str">
        <f t="shared" si="607"/>
        <v>공든탑</v>
      </c>
      <c r="H4559" t="str">
        <f t="shared" si="611"/>
        <v>스토리위즈</v>
      </c>
      <c r="I4559" t="str">
        <f t="shared" si="608"/>
        <v>라지에르의 서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/>
      <c r="AQ4559">
        <v>0</v>
      </c>
      <c r="AR4559">
        <v>0</v>
      </c>
      <c r="AT4559">
        <v>0</v>
      </c>
      <c r="AU4559">
        <v>0</v>
      </c>
      <c r="AW4559">
        <v>0</v>
      </c>
      <c r="AX4559">
        <v>0</v>
      </c>
      <c r="AY4559">
        <v>0</v>
      </c>
      <c r="BC4559" t="str">
        <f t="shared" si="609"/>
        <v>9791159285783</v>
      </c>
      <c r="BE4559" t="str">
        <f t="shared" si="610"/>
        <v>판타지 웹소설 &gt; 퓨전 판타지</v>
      </c>
    </row>
    <row r="4560" spans="1:57" x14ac:dyDescent="0.3">
      <c r="A4560">
        <v>2313000685</v>
      </c>
      <c r="B4560">
        <v>2313000696</v>
      </c>
      <c r="C4560" t="str">
        <f>T("라지에르의 서 13화")</f>
        <v>라지에르의 서 13화</v>
      </c>
      <c r="D4560" t="str">
        <f>T("12")</f>
        <v>12</v>
      </c>
      <c r="E4560" t="str">
        <f t="shared" si="607"/>
        <v>공든탑</v>
      </c>
      <c r="H4560" t="str">
        <f t="shared" si="611"/>
        <v>스토리위즈</v>
      </c>
      <c r="I4560" t="str">
        <f t="shared" si="608"/>
        <v>라지에르의 서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/>
      <c r="AQ4560">
        <v>0</v>
      </c>
      <c r="AR4560">
        <v>0</v>
      </c>
      <c r="AT4560">
        <v>0</v>
      </c>
      <c r="AU4560">
        <v>0</v>
      </c>
      <c r="AW4560">
        <v>0</v>
      </c>
      <c r="AX4560">
        <v>0</v>
      </c>
      <c r="AY4560">
        <v>0</v>
      </c>
      <c r="BC4560" t="str">
        <f t="shared" si="609"/>
        <v>9791159285783</v>
      </c>
      <c r="BE4560" t="str">
        <f t="shared" si="610"/>
        <v>판타지 웹소설 &gt; 퓨전 판타지</v>
      </c>
    </row>
    <row r="4561" spans="1:57" x14ac:dyDescent="0.3">
      <c r="A4561">
        <v>2313000685</v>
      </c>
      <c r="B4561">
        <v>2313000697</v>
      </c>
      <c r="C4561" t="str">
        <f>T("라지에르의 서 14화")</f>
        <v>라지에르의 서 14화</v>
      </c>
      <c r="D4561" t="str">
        <f>T("13")</f>
        <v>13</v>
      </c>
      <c r="E4561" t="str">
        <f t="shared" si="607"/>
        <v>공든탑</v>
      </c>
      <c r="H4561" t="str">
        <f t="shared" si="611"/>
        <v>스토리위즈</v>
      </c>
      <c r="I4561" t="str">
        <f t="shared" si="608"/>
        <v>라지에르의 서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/>
      <c r="AQ4561">
        <v>0</v>
      </c>
      <c r="AR4561">
        <v>0</v>
      </c>
      <c r="AT4561">
        <v>0</v>
      </c>
      <c r="AU4561">
        <v>0</v>
      </c>
      <c r="AW4561">
        <v>0</v>
      </c>
      <c r="AX4561">
        <v>0</v>
      </c>
      <c r="AY4561">
        <v>0</v>
      </c>
      <c r="BC4561" t="str">
        <f t="shared" si="609"/>
        <v>9791159285783</v>
      </c>
      <c r="BE4561" t="str">
        <f t="shared" si="610"/>
        <v>판타지 웹소설 &gt; 퓨전 판타지</v>
      </c>
    </row>
    <row r="4562" spans="1:57" x14ac:dyDescent="0.3">
      <c r="A4562">
        <v>2313000685</v>
      </c>
      <c r="B4562">
        <v>2313000698</v>
      </c>
      <c r="C4562" t="str">
        <f>T("라지에르의 서 15화")</f>
        <v>라지에르의 서 15화</v>
      </c>
      <c r="D4562" t="str">
        <f>T("14")</f>
        <v>14</v>
      </c>
      <c r="E4562" t="str">
        <f t="shared" si="607"/>
        <v>공든탑</v>
      </c>
      <c r="H4562" t="str">
        <f t="shared" si="611"/>
        <v>스토리위즈</v>
      </c>
      <c r="I4562" t="str">
        <f t="shared" si="608"/>
        <v>라지에르의 서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1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/>
      <c r="AQ4562">
        <v>0</v>
      </c>
      <c r="AR4562">
        <v>0</v>
      </c>
      <c r="AT4562">
        <v>0</v>
      </c>
      <c r="AU4562">
        <v>0</v>
      </c>
      <c r="AW4562">
        <v>0</v>
      </c>
      <c r="AX4562">
        <v>0</v>
      </c>
      <c r="AY4562">
        <v>0</v>
      </c>
      <c r="BC4562" t="str">
        <f t="shared" si="609"/>
        <v>9791159285783</v>
      </c>
      <c r="BE4562" t="str">
        <f t="shared" si="610"/>
        <v>판타지 웹소설 &gt; 퓨전 판타지</v>
      </c>
    </row>
    <row r="4563" spans="1:57" x14ac:dyDescent="0.3">
      <c r="A4563">
        <v>2313000685</v>
      </c>
      <c r="B4563">
        <v>2313000699</v>
      </c>
      <c r="C4563" t="str">
        <f>T("라지에르의 서 16화")</f>
        <v>라지에르의 서 16화</v>
      </c>
      <c r="D4563" t="str">
        <f>T("15")</f>
        <v>15</v>
      </c>
      <c r="E4563" t="str">
        <f t="shared" si="607"/>
        <v>공든탑</v>
      </c>
      <c r="H4563" t="str">
        <f t="shared" si="611"/>
        <v>스토리위즈</v>
      </c>
      <c r="I4563" t="str">
        <f t="shared" si="608"/>
        <v>라지에르의 서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/>
      <c r="AQ4563">
        <v>0</v>
      </c>
      <c r="AR4563">
        <v>0</v>
      </c>
      <c r="AT4563">
        <v>0</v>
      </c>
      <c r="AU4563">
        <v>0</v>
      </c>
      <c r="AW4563">
        <v>0</v>
      </c>
      <c r="AX4563">
        <v>0</v>
      </c>
      <c r="AY4563">
        <v>0</v>
      </c>
      <c r="BC4563" t="str">
        <f t="shared" si="609"/>
        <v>9791159285783</v>
      </c>
      <c r="BE4563" t="str">
        <f t="shared" si="610"/>
        <v>판타지 웹소설 &gt; 퓨전 판타지</v>
      </c>
    </row>
    <row r="4564" spans="1:57" x14ac:dyDescent="0.3">
      <c r="A4564">
        <v>2313000685</v>
      </c>
      <c r="B4564">
        <v>2313000700</v>
      </c>
      <c r="C4564" t="str">
        <f>T("라지에르의 서 17화")</f>
        <v>라지에르의 서 17화</v>
      </c>
      <c r="D4564" t="str">
        <f>T("16")</f>
        <v>16</v>
      </c>
      <c r="E4564" t="str">
        <f t="shared" si="607"/>
        <v>공든탑</v>
      </c>
      <c r="H4564" t="str">
        <f t="shared" si="611"/>
        <v>스토리위즈</v>
      </c>
      <c r="I4564" t="str">
        <f t="shared" si="608"/>
        <v>라지에르의 서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/>
      <c r="AQ4564">
        <v>0</v>
      </c>
      <c r="AR4564">
        <v>0</v>
      </c>
      <c r="AT4564">
        <v>0</v>
      </c>
      <c r="AU4564">
        <v>0</v>
      </c>
      <c r="AW4564">
        <v>0</v>
      </c>
      <c r="AX4564">
        <v>0</v>
      </c>
      <c r="AY4564">
        <v>0</v>
      </c>
      <c r="BC4564" t="str">
        <f t="shared" si="609"/>
        <v>9791159285783</v>
      </c>
      <c r="BE4564" t="str">
        <f t="shared" si="610"/>
        <v>판타지 웹소설 &gt; 퓨전 판타지</v>
      </c>
    </row>
    <row r="4565" spans="1:57" x14ac:dyDescent="0.3">
      <c r="A4565">
        <v>2313000685</v>
      </c>
      <c r="B4565">
        <v>2313000701</v>
      </c>
      <c r="C4565" t="str">
        <f>T("라지에르의 서 18화")</f>
        <v>라지에르의 서 18화</v>
      </c>
      <c r="D4565" t="str">
        <f>T("17")</f>
        <v>17</v>
      </c>
      <c r="E4565" t="str">
        <f t="shared" si="607"/>
        <v>공든탑</v>
      </c>
      <c r="H4565" t="str">
        <f t="shared" si="611"/>
        <v>스토리위즈</v>
      </c>
      <c r="I4565" t="str">
        <f t="shared" si="608"/>
        <v>라지에르의 서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1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/>
      <c r="AQ4565">
        <v>0</v>
      </c>
      <c r="AR4565">
        <v>0</v>
      </c>
      <c r="AT4565">
        <v>0</v>
      </c>
      <c r="AU4565">
        <v>0</v>
      </c>
      <c r="AW4565">
        <v>0</v>
      </c>
      <c r="AX4565">
        <v>0</v>
      </c>
      <c r="AY4565">
        <v>0</v>
      </c>
      <c r="BC4565" t="str">
        <f t="shared" si="609"/>
        <v>9791159285783</v>
      </c>
      <c r="BE4565" t="str">
        <f t="shared" si="610"/>
        <v>판타지 웹소설 &gt; 퓨전 판타지</v>
      </c>
    </row>
    <row r="4566" spans="1:57" x14ac:dyDescent="0.3">
      <c r="A4566">
        <v>2313000685</v>
      </c>
      <c r="B4566">
        <v>2313000702</v>
      </c>
      <c r="C4566" t="str">
        <f>T("라지에르의 서 19화")</f>
        <v>라지에르의 서 19화</v>
      </c>
      <c r="D4566" t="str">
        <f>T("18")</f>
        <v>18</v>
      </c>
      <c r="E4566" t="str">
        <f t="shared" si="607"/>
        <v>공든탑</v>
      </c>
      <c r="H4566" t="str">
        <f t="shared" si="611"/>
        <v>스토리위즈</v>
      </c>
      <c r="I4566" t="str">
        <f t="shared" si="608"/>
        <v>라지에르의 서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/>
      <c r="AQ4566">
        <v>0</v>
      </c>
      <c r="AR4566">
        <v>0</v>
      </c>
      <c r="AT4566">
        <v>0</v>
      </c>
      <c r="AU4566">
        <v>0</v>
      </c>
      <c r="AW4566">
        <v>0</v>
      </c>
      <c r="AX4566">
        <v>0</v>
      </c>
      <c r="AY4566">
        <v>0</v>
      </c>
      <c r="BC4566" t="str">
        <f t="shared" si="609"/>
        <v>9791159285783</v>
      </c>
      <c r="BE4566" t="str">
        <f t="shared" si="610"/>
        <v>판타지 웹소설 &gt; 퓨전 판타지</v>
      </c>
    </row>
    <row r="4567" spans="1:57" x14ac:dyDescent="0.3">
      <c r="A4567">
        <v>2313000685</v>
      </c>
      <c r="B4567">
        <v>2313000703</v>
      </c>
      <c r="C4567" t="str">
        <f>T("라지에르의 서 20화")</f>
        <v>라지에르의 서 20화</v>
      </c>
      <c r="D4567" t="str">
        <f>T("19")</f>
        <v>19</v>
      </c>
      <c r="E4567" t="str">
        <f t="shared" si="607"/>
        <v>공든탑</v>
      </c>
      <c r="H4567" t="str">
        <f t="shared" si="611"/>
        <v>스토리위즈</v>
      </c>
      <c r="I4567" t="str">
        <f t="shared" si="608"/>
        <v>라지에르의 서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/>
      <c r="AQ4567">
        <v>0</v>
      </c>
      <c r="AR4567">
        <v>0</v>
      </c>
      <c r="AT4567">
        <v>0</v>
      </c>
      <c r="AU4567">
        <v>0</v>
      </c>
      <c r="AW4567">
        <v>0</v>
      </c>
      <c r="AX4567">
        <v>0</v>
      </c>
      <c r="AY4567">
        <v>0</v>
      </c>
      <c r="BC4567" t="str">
        <f t="shared" si="609"/>
        <v>9791159285783</v>
      </c>
      <c r="BE4567" t="str">
        <f t="shared" si="610"/>
        <v>판타지 웹소설 &gt; 퓨전 판타지</v>
      </c>
    </row>
    <row r="4568" spans="1:57" x14ac:dyDescent="0.3">
      <c r="A4568">
        <v>2313000685</v>
      </c>
      <c r="B4568">
        <v>2313000704</v>
      </c>
      <c r="C4568" t="str">
        <f>T("라지에르의 서 21화")</f>
        <v>라지에르의 서 21화</v>
      </c>
      <c r="D4568" t="str">
        <f>T("20")</f>
        <v>20</v>
      </c>
      <c r="E4568" t="str">
        <f t="shared" si="607"/>
        <v>공든탑</v>
      </c>
      <c r="H4568" t="str">
        <f t="shared" si="611"/>
        <v>스토리위즈</v>
      </c>
      <c r="I4568" t="str">
        <f t="shared" si="608"/>
        <v>라지에르의 서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/>
      <c r="AQ4568">
        <v>0</v>
      </c>
      <c r="AR4568">
        <v>0</v>
      </c>
      <c r="AT4568">
        <v>0</v>
      </c>
      <c r="AU4568">
        <v>0</v>
      </c>
      <c r="AW4568">
        <v>0</v>
      </c>
      <c r="AX4568">
        <v>0</v>
      </c>
      <c r="AY4568">
        <v>0</v>
      </c>
      <c r="BC4568" t="str">
        <f t="shared" si="609"/>
        <v>9791159285783</v>
      </c>
      <c r="BE4568" t="str">
        <f t="shared" si="610"/>
        <v>판타지 웹소설 &gt; 퓨전 판타지</v>
      </c>
    </row>
    <row r="4569" spans="1:57" x14ac:dyDescent="0.3">
      <c r="A4569">
        <v>2313000685</v>
      </c>
      <c r="B4569">
        <v>2313000705</v>
      </c>
      <c r="C4569" t="str">
        <f>T("라지에르의 서 22화")</f>
        <v>라지에르의 서 22화</v>
      </c>
      <c r="D4569" t="str">
        <f>T("21")</f>
        <v>21</v>
      </c>
      <c r="E4569" t="str">
        <f t="shared" si="607"/>
        <v>공든탑</v>
      </c>
      <c r="H4569" t="str">
        <f t="shared" si="611"/>
        <v>스토리위즈</v>
      </c>
      <c r="I4569" t="str">
        <f t="shared" si="608"/>
        <v>라지에르의 서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/>
      <c r="AQ4569">
        <v>0</v>
      </c>
      <c r="AR4569">
        <v>0</v>
      </c>
      <c r="AT4569">
        <v>0</v>
      </c>
      <c r="AU4569">
        <v>0</v>
      </c>
      <c r="AW4569">
        <v>0</v>
      </c>
      <c r="AX4569">
        <v>0</v>
      </c>
      <c r="AY4569">
        <v>0</v>
      </c>
      <c r="BC4569" t="str">
        <f t="shared" si="609"/>
        <v>9791159285783</v>
      </c>
      <c r="BE4569" t="str">
        <f t="shared" si="610"/>
        <v>판타지 웹소설 &gt; 퓨전 판타지</v>
      </c>
    </row>
    <row r="4570" spans="1:57" x14ac:dyDescent="0.3">
      <c r="A4570">
        <v>2313000685</v>
      </c>
      <c r="B4570">
        <v>2313000706</v>
      </c>
      <c r="C4570" t="str">
        <f>T("라지에르의 서 23화")</f>
        <v>라지에르의 서 23화</v>
      </c>
      <c r="D4570" t="str">
        <f>T("22")</f>
        <v>22</v>
      </c>
      <c r="E4570" t="str">
        <f t="shared" si="607"/>
        <v>공든탑</v>
      </c>
      <c r="H4570" t="str">
        <f t="shared" si="611"/>
        <v>스토리위즈</v>
      </c>
      <c r="I4570" t="str">
        <f t="shared" si="608"/>
        <v>라지에르의 서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/>
      <c r="AQ4570">
        <v>0</v>
      </c>
      <c r="AR4570">
        <v>0</v>
      </c>
      <c r="AT4570">
        <v>0</v>
      </c>
      <c r="AU4570">
        <v>0</v>
      </c>
      <c r="AW4570">
        <v>0</v>
      </c>
      <c r="AX4570">
        <v>0</v>
      </c>
      <c r="AY4570">
        <v>0</v>
      </c>
      <c r="BC4570" t="str">
        <f t="shared" si="609"/>
        <v>9791159285783</v>
      </c>
      <c r="BE4570" t="str">
        <f t="shared" si="610"/>
        <v>판타지 웹소설 &gt; 퓨전 판타지</v>
      </c>
    </row>
    <row r="4571" spans="1:57" x14ac:dyDescent="0.3">
      <c r="A4571">
        <v>2313000685</v>
      </c>
      <c r="B4571">
        <v>2313000707</v>
      </c>
      <c r="C4571" t="str">
        <f>T("라지에르의 서 24화")</f>
        <v>라지에르의 서 24화</v>
      </c>
      <c r="D4571" t="str">
        <f>T("23")</f>
        <v>23</v>
      </c>
      <c r="E4571" t="str">
        <f t="shared" si="607"/>
        <v>공든탑</v>
      </c>
      <c r="H4571" t="str">
        <f t="shared" si="611"/>
        <v>스토리위즈</v>
      </c>
      <c r="I4571" t="str">
        <f t="shared" si="608"/>
        <v>라지에르의 서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1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/>
      <c r="AQ4571">
        <v>0</v>
      </c>
      <c r="AR4571">
        <v>0</v>
      </c>
      <c r="AT4571">
        <v>0</v>
      </c>
      <c r="AU4571">
        <v>0</v>
      </c>
      <c r="AW4571">
        <v>0</v>
      </c>
      <c r="AX4571">
        <v>0</v>
      </c>
      <c r="AY4571">
        <v>0</v>
      </c>
      <c r="BC4571" t="str">
        <f t="shared" si="609"/>
        <v>9791159285783</v>
      </c>
      <c r="BE4571" t="str">
        <f t="shared" si="610"/>
        <v>판타지 웹소설 &gt; 퓨전 판타지</v>
      </c>
    </row>
    <row r="4572" spans="1:57" x14ac:dyDescent="0.3">
      <c r="A4572">
        <v>2313000685</v>
      </c>
      <c r="B4572">
        <v>2313000708</v>
      </c>
      <c r="C4572" t="str">
        <f>T("라지에르의 서 25화")</f>
        <v>라지에르의 서 25화</v>
      </c>
      <c r="D4572" t="str">
        <f>T("24")</f>
        <v>24</v>
      </c>
      <c r="E4572" t="str">
        <f t="shared" si="607"/>
        <v>공든탑</v>
      </c>
      <c r="H4572" t="str">
        <f t="shared" si="611"/>
        <v>스토리위즈</v>
      </c>
      <c r="I4572" t="str">
        <f t="shared" si="608"/>
        <v>라지에르의 서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/>
      <c r="AQ4572">
        <v>0</v>
      </c>
      <c r="AR4572">
        <v>0</v>
      </c>
      <c r="AT4572">
        <v>0</v>
      </c>
      <c r="AU4572">
        <v>0</v>
      </c>
      <c r="AW4572">
        <v>0</v>
      </c>
      <c r="AX4572">
        <v>0</v>
      </c>
      <c r="AY4572">
        <v>0</v>
      </c>
      <c r="BC4572" t="str">
        <f t="shared" si="609"/>
        <v>9791159285783</v>
      </c>
      <c r="BE4572" t="str">
        <f t="shared" si="610"/>
        <v>판타지 웹소설 &gt; 퓨전 판타지</v>
      </c>
    </row>
    <row r="4573" spans="1:57" x14ac:dyDescent="0.3">
      <c r="A4573">
        <v>2313000685</v>
      </c>
      <c r="B4573">
        <v>2313000709</v>
      </c>
      <c r="C4573" t="str">
        <f>T("라지에르의 서 26화")</f>
        <v>라지에르의 서 26화</v>
      </c>
      <c r="D4573" t="str">
        <f>T("25")</f>
        <v>25</v>
      </c>
      <c r="E4573" t="str">
        <f t="shared" si="607"/>
        <v>공든탑</v>
      </c>
      <c r="H4573" t="str">
        <f t="shared" si="611"/>
        <v>스토리위즈</v>
      </c>
      <c r="I4573" t="str">
        <f t="shared" si="608"/>
        <v>라지에르의 서</v>
      </c>
      <c r="J4573">
        <v>100</v>
      </c>
      <c r="K4573">
        <v>0</v>
      </c>
      <c r="L4573">
        <v>0</v>
      </c>
      <c r="M4573">
        <v>0</v>
      </c>
      <c r="N4573">
        <v>100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100</v>
      </c>
      <c r="AH4573">
        <v>1</v>
      </c>
      <c r="AI4573">
        <v>0</v>
      </c>
      <c r="AJ4573">
        <v>0</v>
      </c>
      <c r="AK4573">
        <v>100</v>
      </c>
      <c r="AL4573">
        <v>0</v>
      </c>
      <c r="AM4573">
        <v>0</v>
      </c>
      <c r="AN4573">
        <v>0</v>
      </c>
      <c r="AO4573">
        <v>0</v>
      </c>
      <c r="AP4573"/>
      <c r="AQ4573">
        <v>0</v>
      </c>
      <c r="AR4573">
        <v>0</v>
      </c>
      <c r="AT4573">
        <v>0</v>
      </c>
      <c r="AU4573">
        <v>0</v>
      </c>
      <c r="AW4573">
        <v>0</v>
      </c>
      <c r="AX4573">
        <v>0</v>
      </c>
      <c r="AY4573">
        <v>70</v>
      </c>
      <c r="BC4573" t="str">
        <f t="shared" si="609"/>
        <v>9791159285783</v>
      </c>
      <c r="BE4573" t="str">
        <f t="shared" si="610"/>
        <v>판타지 웹소설 &gt; 퓨전 판타지</v>
      </c>
    </row>
    <row r="4574" spans="1:57" x14ac:dyDescent="0.3">
      <c r="A4574">
        <v>2313000685</v>
      </c>
      <c r="B4574">
        <v>2313000710</v>
      </c>
      <c r="C4574" t="str">
        <f>T("라지에르의 서 27화")</f>
        <v>라지에르의 서 27화</v>
      </c>
      <c r="D4574" t="str">
        <f>T("26")</f>
        <v>26</v>
      </c>
      <c r="E4574" t="str">
        <f t="shared" si="607"/>
        <v>공든탑</v>
      </c>
      <c r="H4574" t="str">
        <f t="shared" si="611"/>
        <v>스토리위즈</v>
      </c>
      <c r="I4574" t="str">
        <f t="shared" si="608"/>
        <v>라지에르의 서</v>
      </c>
      <c r="J4574">
        <v>100</v>
      </c>
      <c r="K4574">
        <v>0</v>
      </c>
      <c r="L4574">
        <v>0</v>
      </c>
      <c r="M4574">
        <v>0</v>
      </c>
      <c r="N4574">
        <v>100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100</v>
      </c>
      <c r="AH4574">
        <v>1</v>
      </c>
      <c r="AI4574">
        <v>0</v>
      </c>
      <c r="AJ4574">
        <v>0</v>
      </c>
      <c r="AK4574">
        <v>100</v>
      </c>
      <c r="AL4574">
        <v>0</v>
      </c>
      <c r="AM4574">
        <v>0</v>
      </c>
      <c r="AN4574">
        <v>0</v>
      </c>
      <c r="AO4574">
        <v>0</v>
      </c>
      <c r="AP4574"/>
      <c r="AQ4574">
        <v>0</v>
      </c>
      <c r="AR4574">
        <v>0</v>
      </c>
      <c r="AT4574">
        <v>0</v>
      </c>
      <c r="AU4574">
        <v>0</v>
      </c>
      <c r="AW4574">
        <v>0</v>
      </c>
      <c r="AX4574">
        <v>0</v>
      </c>
      <c r="AY4574">
        <v>70</v>
      </c>
      <c r="BC4574" t="str">
        <f t="shared" si="609"/>
        <v>9791159285783</v>
      </c>
      <c r="BE4574" t="str">
        <f t="shared" si="610"/>
        <v>판타지 웹소설 &gt; 퓨전 판타지</v>
      </c>
    </row>
    <row r="4575" spans="1:57" x14ac:dyDescent="0.3">
      <c r="A4575">
        <v>2313000954</v>
      </c>
      <c r="B4575">
        <v>2313000954</v>
      </c>
      <c r="C4575" t="str">
        <f>T("[e북]라지에르의 서 1권")</f>
        <v>[e북]라지에르의 서 1권</v>
      </c>
      <c r="D4575" t="str">
        <f>T("1")</f>
        <v>1</v>
      </c>
      <c r="E4575" t="str">
        <f t="shared" si="607"/>
        <v>공든탑</v>
      </c>
      <c r="H4575" t="str">
        <f t="shared" si="611"/>
        <v>스토리위즈</v>
      </c>
      <c r="I4575" t="str">
        <f t="shared" ref="I4575:I4582" si="612">T("[e북]라지에르의 서")</f>
        <v>[e북]라지에르의 서</v>
      </c>
      <c r="J4575">
        <v>0</v>
      </c>
      <c r="K4575">
        <v>0</v>
      </c>
      <c r="L4575">
        <v>0</v>
      </c>
      <c r="M4575">
        <v>17</v>
      </c>
      <c r="N4575">
        <v>0</v>
      </c>
      <c r="O4575">
        <v>0</v>
      </c>
      <c r="P4575">
        <v>17</v>
      </c>
      <c r="Q4575">
        <v>0</v>
      </c>
      <c r="R4575">
        <v>0</v>
      </c>
      <c r="S4575">
        <v>0</v>
      </c>
      <c r="T4575">
        <v>33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67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/>
      <c r="AQ4575">
        <v>0</v>
      </c>
      <c r="AR4575">
        <v>0</v>
      </c>
      <c r="AT4575">
        <v>0</v>
      </c>
      <c r="AU4575">
        <v>0</v>
      </c>
      <c r="AW4575">
        <v>0</v>
      </c>
      <c r="AX4575">
        <v>0</v>
      </c>
      <c r="AY4575">
        <v>0</v>
      </c>
      <c r="BC4575" t="str">
        <f>T("9791159286322")</f>
        <v>9791159286322</v>
      </c>
      <c r="BE4575" t="str">
        <f t="shared" ref="BE4575:BE4582" si="613">T("판타지 e북 &gt; 퓨전 판타지")</f>
        <v>판타지 e북 &gt; 퓨전 판타지</v>
      </c>
    </row>
    <row r="4576" spans="1:57" x14ac:dyDescent="0.3">
      <c r="A4576">
        <v>2313000954</v>
      </c>
      <c r="B4576">
        <v>2313000955</v>
      </c>
      <c r="C4576" t="str">
        <f>T("[e북]라지에르의 서 2권")</f>
        <v>[e북]라지에르의 서 2권</v>
      </c>
      <c r="D4576" t="str">
        <f>T("2")</f>
        <v>2</v>
      </c>
      <c r="E4576" t="str">
        <f t="shared" si="607"/>
        <v>공든탑</v>
      </c>
      <c r="H4576" t="str">
        <f t="shared" si="611"/>
        <v>스토리위즈</v>
      </c>
      <c r="I4576" t="str">
        <f t="shared" si="612"/>
        <v>[e북]라지에르의 서</v>
      </c>
      <c r="J4576">
        <v>3200</v>
      </c>
      <c r="K4576">
        <v>0</v>
      </c>
      <c r="L4576">
        <v>0</v>
      </c>
      <c r="M4576">
        <v>0</v>
      </c>
      <c r="N4576">
        <v>1800</v>
      </c>
      <c r="O4576">
        <v>2</v>
      </c>
      <c r="P4576">
        <v>0</v>
      </c>
      <c r="Q4576">
        <v>0</v>
      </c>
      <c r="R4576">
        <v>0</v>
      </c>
      <c r="S4576">
        <v>52800</v>
      </c>
      <c r="T4576">
        <v>33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54600</v>
      </c>
      <c r="AH4576">
        <v>35</v>
      </c>
      <c r="AI4576">
        <v>0</v>
      </c>
      <c r="AJ4576">
        <v>0</v>
      </c>
      <c r="AK4576">
        <v>52260</v>
      </c>
      <c r="AL4576">
        <v>0</v>
      </c>
      <c r="AM4576">
        <v>2808</v>
      </c>
      <c r="AN4576">
        <v>-842.4</v>
      </c>
      <c r="AO4576">
        <v>0</v>
      </c>
      <c r="AP4576">
        <v>2808</v>
      </c>
      <c r="AQ4576">
        <v>-842.4</v>
      </c>
      <c r="AR4576">
        <v>0</v>
      </c>
      <c r="AT4576">
        <v>0</v>
      </c>
      <c r="AU4576">
        <v>0</v>
      </c>
      <c r="AW4576">
        <v>0</v>
      </c>
      <c r="AX4576">
        <v>0</v>
      </c>
      <c r="AY4576">
        <v>37957.919999999998</v>
      </c>
      <c r="BC4576" t="str">
        <f>T("9791159286339")</f>
        <v>9791159286339</v>
      </c>
      <c r="BE4576" t="str">
        <f t="shared" si="613"/>
        <v>판타지 e북 &gt; 퓨전 판타지</v>
      </c>
    </row>
    <row r="4577" spans="1:57" x14ac:dyDescent="0.3">
      <c r="A4577">
        <v>2313000954</v>
      </c>
      <c r="B4577">
        <v>2313000956</v>
      </c>
      <c r="C4577" t="str">
        <f>T("[e북]라지에르의 서 3권")</f>
        <v>[e북]라지에르의 서 3권</v>
      </c>
      <c r="D4577" t="str">
        <f>T("3")</f>
        <v>3</v>
      </c>
      <c r="E4577" t="str">
        <f t="shared" si="607"/>
        <v>공든탑</v>
      </c>
      <c r="H4577" t="str">
        <f t="shared" si="611"/>
        <v>스토리위즈</v>
      </c>
      <c r="I4577" t="str">
        <f t="shared" si="612"/>
        <v>[e북]라지에르의 서</v>
      </c>
      <c r="J4577">
        <v>3200</v>
      </c>
      <c r="K4577">
        <v>0</v>
      </c>
      <c r="L4577">
        <v>0</v>
      </c>
      <c r="M4577">
        <v>0</v>
      </c>
      <c r="N4577">
        <v>1800</v>
      </c>
      <c r="O4577">
        <v>2</v>
      </c>
      <c r="P4577">
        <v>0</v>
      </c>
      <c r="Q4577">
        <v>0</v>
      </c>
      <c r="R4577">
        <v>0</v>
      </c>
      <c r="S4577">
        <v>52800</v>
      </c>
      <c r="T4577">
        <v>33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54600</v>
      </c>
      <c r="AH4577">
        <v>35</v>
      </c>
      <c r="AI4577">
        <v>0</v>
      </c>
      <c r="AJ4577">
        <v>0</v>
      </c>
      <c r="AK4577">
        <v>52260</v>
      </c>
      <c r="AL4577">
        <v>0</v>
      </c>
      <c r="AM4577">
        <v>2808</v>
      </c>
      <c r="AN4577">
        <v>-842.4</v>
      </c>
      <c r="AO4577">
        <v>0</v>
      </c>
      <c r="AP4577">
        <v>2808</v>
      </c>
      <c r="AQ4577">
        <v>-842.4</v>
      </c>
      <c r="AR4577">
        <v>0</v>
      </c>
      <c r="AT4577">
        <v>0</v>
      </c>
      <c r="AU4577">
        <v>0</v>
      </c>
      <c r="AW4577">
        <v>0</v>
      </c>
      <c r="AX4577">
        <v>0</v>
      </c>
      <c r="AY4577">
        <v>37957.919999999998</v>
      </c>
      <c r="BC4577" t="str">
        <f>T("9791159286346")</f>
        <v>9791159286346</v>
      </c>
      <c r="BE4577" t="str">
        <f t="shared" si="613"/>
        <v>판타지 e북 &gt; 퓨전 판타지</v>
      </c>
    </row>
    <row r="4578" spans="1:57" x14ac:dyDescent="0.3">
      <c r="A4578">
        <v>2313000954</v>
      </c>
      <c r="B4578">
        <v>2313000957</v>
      </c>
      <c r="C4578" t="str">
        <f>T("[e북]라지에르의 서 4권")</f>
        <v>[e북]라지에르의 서 4권</v>
      </c>
      <c r="D4578" t="str">
        <f>T("4")</f>
        <v>4</v>
      </c>
      <c r="E4578" t="str">
        <f t="shared" si="607"/>
        <v>공든탑</v>
      </c>
      <c r="H4578" t="str">
        <f t="shared" si="611"/>
        <v>스토리위즈</v>
      </c>
      <c r="I4578" t="str">
        <f t="shared" si="612"/>
        <v>[e북]라지에르의 서</v>
      </c>
      <c r="J4578">
        <v>3200</v>
      </c>
      <c r="K4578">
        <v>0</v>
      </c>
      <c r="L4578">
        <v>0</v>
      </c>
      <c r="M4578">
        <v>0</v>
      </c>
      <c r="N4578">
        <v>1800</v>
      </c>
      <c r="O4578">
        <v>2</v>
      </c>
      <c r="P4578">
        <v>0</v>
      </c>
      <c r="Q4578">
        <v>0</v>
      </c>
      <c r="R4578">
        <v>0</v>
      </c>
      <c r="S4578">
        <v>52800</v>
      </c>
      <c r="T4578">
        <v>33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54600</v>
      </c>
      <c r="AH4578">
        <v>35</v>
      </c>
      <c r="AI4578">
        <v>0</v>
      </c>
      <c r="AJ4578">
        <v>0</v>
      </c>
      <c r="AK4578">
        <v>52260</v>
      </c>
      <c r="AL4578">
        <v>0</v>
      </c>
      <c r="AM4578">
        <v>2808</v>
      </c>
      <c r="AN4578">
        <v>-842.4</v>
      </c>
      <c r="AO4578">
        <v>0</v>
      </c>
      <c r="AP4578">
        <v>2808</v>
      </c>
      <c r="AQ4578">
        <v>-842.4</v>
      </c>
      <c r="AR4578">
        <v>0</v>
      </c>
      <c r="AT4578">
        <v>0</v>
      </c>
      <c r="AU4578">
        <v>0</v>
      </c>
      <c r="AW4578">
        <v>0</v>
      </c>
      <c r="AX4578">
        <v>0</v>
      </c>
      <c r="AY4578">
        <v>37957.919999999998</v>
      </c>
      <c r="BC4578" t="str">
        <f>T("9791159286353")</f>
        <v>9791159286353</v>
      </c>
      <c r="BE4578" t="str">
        <f t="shared" si="613"/>
        <v>판타지 e북 &gt; 퓨전 판타지</v>
      </c>
    </row>
    <row r="4579" spans="1:57" x14ac:dyDescent="0.3">
      <c r="A4579">
        <v>2313000954</v>
      </c>
      <c r="B4579">
        <v>2313000958</v>
      </c>
      <c r="C4579" t="str">
        <f>T("[e북]라지에르의 서 5권")</f>
        <v>[e북]라지에르의 서 5권</v>
      </c>
      <c r="D4579" t="str">
        <f>T("5")</f>
        <v>5</v>
      </c>
      <c r="E4579" t="str">
        <f t="shared" si="607"/>
        <v>공든탑</v>
      </c>
      <c r="H4579" t="str">
        <f t="shared" si="611"/>
        <v>스토리위즈</v>
      </c>
      <c r="I4579" t="str">
        <f t="shared" si="612"/>
        <v>[e북]라지에르의 서</v>
      </c>
      <c r="J4579">
        <v>3200</v>
      </c>
      <c r="K4579">
        <v>0</v>
      </c>
      <c r="L4579">
        <v>0</v>
      </c>
      <c r="M4579">
        <v>0</v>
      </c>
      <c r="N4579">
        <v>1800</v>
      </c>
      <c r="O4579">
        <v>2</v>
      </c>
      <c r="P4579">
        <v>0</v>
      </c>
      <c r="Q4579">
        <v>0</v>
      </c>
      <c r="R4579">
        <v>0</v>
      </c>
      <c r="S4579">
        <v>52800</v>
      </c>
      <c r="T4579">
        <v>33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54600</v>
      </c>
      <c r="AH4579">
        <v>35</v>
      </c>
      <c r="AI4579">
        <v>0</v>
      </c>
      <c r="AJ4579">
        <v>0</v>
      </c>
      <c r="AK4579">
        <v>52260</v>
      </c>
      <c r="AL4579">
        <v>0</v>
      </c>
      <c r="AM4579">
        <v>2808</v>
      </c>
      <c r="AN4579">
        <v>-842.4</v>
      </c>
      <c r="AO4579">
        <v>0</v>
      </c>
      <c r="AP4579">
        <v>2808</v>
      </c>
      <c r="AQ4579">
        <v>-842.4</v>
      </c>
      <c r="AR4579">
        <v>0</v>
      </c>
      <c r="AT4579">
        <v>0</v>
      </c>
      <c r="AU4579">
        <v>0</v>
      </c>
      <c r="AW4579">
        <v>0</v>
      </c>
      <c r="AX4579">
        <v>0</v>
      </c>
      <c r="AY4579">
        <v>37957.919999999998</v>
      </c>
      <c r="BC4579" t="str">
        <f>T("9791159286360")</f>
        <v>9791159286360</v>
      </c>
      <c r="BE4579" t="str">
        <f t="shared" si="613"/>
        <v>판타지 e북 &gt; 퓨전 판타지</v>
      </c>
    </row>
    <row r="4580" spans="1:57" x14ac:dyDescent="0.3">
      <c r="A4580">
        <v>2313000954</v>
      </c>
      <c r="B4580">
        <v>2313000959</v>
      </c>
      <c r="C4580" t="str">
        <f>T("[e북]라지에르의 서 6권")</f>
        <v>[e북]라지에르의 서 6권</v>
      </c>
      <c r="D4580" t="str">
        <f>T("6")</f>
        <v>6</v>
      </c>
      <c r="E4580" t="str">
        <f t="shared" si="607"/>
        <v>공든탑</v>
      </c>
      <c r="H4580" t="str">
        <f t="shared" si="611"/>
        <v>스토리위즈</v>
      </c>
      <c r="I4580" t="str">
        <f t="shared" si="612"/>
        <v>[e북]라지에르의 서</v>
      </c>
      <c r="J4580">
        <v>3200</v>
      </c>
      <c r="K4580">
        <v>0</v>
      </c>
      <c r="L4580">
        <v>0</v>
      </c>
      <c r="M4580">
        <v>0</v>
      </c>
      <c r="N4580">
        <v>1800</v>
      </c>
      <c r="O4580">
        <v>2</v>
      </c>
      <c r="P4580">
        <v>0</v>
      </c>
      <c r="Q4580">
        <v>0</v>
      </c>
      <c r="R4580">
        <v>0</v>
      </c>
      <c r="S4580">
        <v>52800</v>
      </c>
      <c r="T4580">
        <v>33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54600</v>
      </c>
      <c r="AH4580">
        <v>35</v>
      </c>
      <c r="AI4580">
        <v>0</v>
      </c>
      <c r="AJ4580">
        <v>0</v>
      </c>
      <c r="AK4580">
        <v>52260</v>
      </c>
      <c r="AL4580">
        <v>0</v>
      </c>
      <c r="AM4580">
        <v>2808</v>
      </c>
      <c r="AN4580">
        <v>-842.4</v>
      </c>
      <c r="AO4580">
        <v>0</v>
      </c>
      <c r="AP4580">
        <v>2808</v>
      </c>
      <c r="AQ4580">
        <v>-842.4</v>
      </c>
      <c r="AR4580">
        <v>0</v>
      </c>
      <c r="AT4580">
        <v>0</v>
      </c>
      <c r="AU4580">
        <v>0</v>
      </c>
      <c r="AW4580">
        <v>0</v>
      </c>
      <c r="AX4580">
        <v>0</v>
      </c>
      <c r="AY4580">
        <v>37957.919999999998</v>
      </c>
      <c r="BC4580" t="str">
        <f>T("9791159286377")</f>
        <v>9791159286377</v>
      </c>
      <c r="BE4580" t="str">
        <f t="shared" si="613"/>
        <v>판타지 e북 &gt; 퓨전 판타지</v>
      </c>
    </row>
    <row r="4581" spans="1:57" x14ac:dyDescent="0.3">
      <c r="A4581">
        <v>2313000954</v>
      </c>
      <c r="B4581">
        <v>2313000960</v>
      </c>
      <c r="C4581" t="str">
        <f>T("[e북]라지에르의 서 7권")</f>
        <v>[e북]라지에르의 서 7권</v>
      </c>
      <c r="D4581" t="str">
        <f>T("7")</f>
        <v>7</v>
      </c>
      <c r="E4581" t="str">
        <f t="shared" si="607"/>
        <v>공든탑</v>
      </c>
      <c r="H4581" t="str">
        <f t="shared" si="611"/>
        <v>스토리위즈</v>
      </c>
      <c r="I4581" t="str">
        <f t="shared" si="612"/>
        <v>[e북]라지에르의 서</v>
      </c>
      <c r="J4581">
        <v>3200</v>
      </c>
      <c r="K4581">
        <v>0</v>
      </c>
      <c r="L4581">
        <v>0</v>
      </c>
      <c r="M4581">
        <v>0</v>
      </c>
      <c r="N4581">
        <v>1800</v>
      </c>
      <c r="O4581">
        <v>2</v>
      </c>
      <c r="P4581">
        <v>0</v>
      </c>
      <c r="Q4581">
        <v>0</v>
      </c>
      <c r="R4581">
        <v>0</v>
      </c>
      <c r="S4581">
        <v>52800</v>
      </c>
      <c r="T4581">
        <v>33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54600</v>
      </c>
      <c r="AH4581">
        <v>35</v>
      </c>
      <c r="AI4581">
        <v>0</v>
      </c>
      <c r="AJ4581">
        <v>0</v>
      </c>
      <c r="AK4581">
        <v>52260</v>
      </c>
      <c r="AL4581">
        <v>0</v>
      </c>
      <c r="AM4581">
        <v>2808</v>
      </c>
      <c r="AN4581">
        <v>-842.4</v>
      </c>
      <c r="AO4581">
        <v>0</v>
      </c>
      <c r="AP4581">
        <v>2808</v>
      </c>
      <c r="AQ4581">
        <v>-842.4</v>
      </c>
      <c r="AR4581">
        <v>0</v>
      </c>
      <c r="AT4581">
        <v>0</v>
      </c>
      <c r="AU4581">
        <v>0</v>
      </c>
      <c r="AW4581">
        <v>0</v>
      </c>
      <c r="AX4581">
        <v>0</v>
      </c>
      <c r="AY4581">
        <v>37957.919999999998</v>
      </c>
      <c r="BC4581" t="str">
        <f>T("9791159286384")</f>
        <v>9791159286384</v>
      </c>
      <c r="BE4581" t="str">
        <f t="shared" si="613"/>
        <v>판타지 e북 &gt; 퓨전 판타지</v>
      </c>
    </row>
    <row r="4582" spans="1:57" x14ac:dyDescent="0.3">
      <c r="A4582">
        <v>2313000954</v>
      </c>
      <c r="B4582">
        <v>2313000961</v>
      </c>
      <c r="C4582" t="str">
        <f>T("[e북]라지에르의 서 8권 (완결)")</f>
        <v>[e북]라지에르의 서 8권 (완결)</v>
      </c>
      <c r="D4582" t="str">
        <f>T("8")</f>
        <v>8</v>
      </c>
      <c r="E4582" t="str">
        <f t="shared" si="607"/>
        <v>공든탑</v>
      </c>
      <c r="H4582" t="str">
        <f t="shared" si="611"/>
        <v>스토리위즈</v>
      </c>
      <c r="I4582" t="str">
        <f t="shared" si="612"/>
        <v>[e북]라지에르의 서</v>
      </c>
      <c r="J4582">
        <v>3200</v>
      </c>
      <c r="K4582">
        <v>0</v>
      </c>
      <c r="L4582">
        <v>0</v>
      </c>
      <c r="M4582">
        <v>0</v>
      </c>
      <c r="N4582">
        <v>1800</v>
      </c>
      <c r="O4582">
        <v>2</v>
      </c>
      <c r="P4582">
        <v>0</v>
      </c>
      <c r="Q4582">
        <v>0</v>
      </c>
      <c r="R4582">
        <v>0</v>
      </c>
      <c r="S4582">
        <v>52800</v>
      </c>
      <c r="T4582">
        <v>33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54600</v>
      </c>
      <c r="AH4582">
        <v>35</v>
      </c>
      <c r="AI4582">
        <v>0</v>
      </c>
      <c r="AJ4582">
        <v>0</v>
      </c>
      <c r="AK4582">
        <v>52260</v>
      </c>
      <c r="AL4582">
        <v>0</v>
      </c>
      <c r="AM4582">
        <v>2808</v>
      </c>
      <c r="AN4582">
        <v>-842.4</v>
      </c>
      <c r="AO4582">
        <v>0</v>
      </c>
      <c r="AP4582">
        <v>2808</v>
      </c>
      <c r="AQ4582">
        <v>-842.4</v>
      </c>
      <c r="AR4582">
        <v>0</v>
      </c>
      <c r="AT4582">
        <v>0</v>
      </c>
      <c r="AU4582">
        <v>0</v>
      </c>
      <c r="AW4582">
        <v>0</v>
      </c>
      <c r="AX4582">
        <v>0</v>
      </c>
      <c r="AY4582">
        <v>37957.919999999998</v>
      </c>
      <c r="BC4582" t="str">
        <f>T("9791159286391")</f>
        <v>9791159286391</v>
      </c>
      <c r="BE4582" t="str">
        <f t="shared" si="613"/>
        <v>판타지 e북 &gt; 퓨전 판타지</v>
      </c>
    </row>
    <row r="4583" spans="1:57" x14ac:dyDescent="0.3">
      <c r="A4583">
        <v>2313002073</v>
      </c>
      <c r="B4583">
        <v>2313002073</v>
      </c>
      <c r="C4583" t="str">
        <f>T("[e북]형사의 게임 1권")</f>
        <v>[e북]형사의 게임 1권</v>
      </c>
      <c r="D4583" t="str">
        <f>T("1")</f>
        <v>1</v>
      </c>
      <c r="E4583" t="str">
        <f>T("무장")</f>
        <v>무장</v>
      </c>
      <c r="H4583" t="str">
        <f t="shared" si="611"/>
        <v>스토리위즈</v>
      </c>
      <c r="I4583" t="str">
        <f>T("[e북]형사의 게임")</f>
        <v>[e북]형사의 게임</v>
      </c>
      <c r="J4583">
        <v>0</v>
      </c>
      <c r="K4583">
        <v>0</v>
      </c>
      <c r="L4583">
        <v>0</v>
      </c>
      <c r="M4583">
        <v>11</v>
      </c>
      <c r="N4583">
        <v>0</v>
      </c>
      <c r="O4583">
        <v>0</v>
      </c>
      <c r="P4583">
        <v>37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48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/>
      <c r="AQ4583">
        <v>0</v>
      </c>
      <c r="AR4583">
        <v>0</v>
      </c>
      <c r="AT4583">
        <v>0</v>
      </c>
      <c r="AU4583">
        <v>0</v>
      </c>
      <c r="AW4583">
        <v>0</v>
      </c>
      <c r="AX4583">
        <v>0</v>
      </c>
      <c r="AY4583">
        <v>0</v>
      </c>
      <c r="BC4583" t="str">
        <f>T("9791195863037")</f>
        <v>9791195863037</v>
      </c>
      <c r="BE4583" t="str">
        <f>T("판타지 e북 &gt; 현대 판타지")</f>
        <v>판타지 e북 &gt; 현대 판타지</v>
      </c>
    </row>
    <row r="4584" spans="1:57" x14ac:dyDescent="0.3">
      <c r="A4584">
        <v>2313002085</v>
      </c>
      <c r="B4584">
        <v>2313002085</v>
      </c>
      <c r="C4584" t="str">
        <f>T("[e북]던전 공략 LIVE 1권")</f>
        <v>[e북]던전 공략 LIVE 1권</v>
      </c>
      <c r="D4584" t="str">
        <f>T("1")</f>
        <v>1</v>
      </c>
      <c r="E4584" t="str">
        <f t="shared" ref="E4584:E4608" si="614">T("이동열")</f>
        <v>이동열</v>
      </c>
      <c r="H4584" t="str">
        <f t="shared" si="611"/>
        <v>스토리위즈</v>
      </c>
      <c r="I4584" t="str">
        <f>T("[e북]던전 공략 LIVE")</f>
        <v>[e북]던전 공략 LIVE</v>
      </c>
      <c r="J4584">
        <v>0</v>
      </c>
      <c r="K4584">
        <v>0</v>
      </c>
      <c r="L4584">
        <v>0</v>
      </c>
      <c r="M4584">
        <v>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2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/>
      <c r="AQ4584">
        <v>0</v>
      </c>
      <c r="AR4584">
        <v>0</v>
      </c>
      <c r="AT4584">
        <v>0</v>
      </c>
      <c r="AU4584">
        <v>0</v>
      </c>
      <c r="AW4584">
        <v>0</v>
      </c>
      <c r="AX4584">
        <v>0</v>
      </c>
      <c r="AY4584">
        <v>0</v>
      </c>
      <c r="BC4584" t="str">
        <f>T("9791159286568")</f>
        <v>9791159286568</v>
      </c>
      <c r="BE4584" t="str">
        <f>T("판타지 e북 &gt; 현대 판타지")</f>
        <v>판타지 e북 &gt; 현대 판타지</v>
      </c>
    </row>
    <row r="4585" spans="1:57" x14ac:dyDescent="0.3">
      <c r="A4585">
        <v>2313002926</v>
      </c>
      <c r="B4585">
        <v>2313002926</v>
      </c>
      <c r="C4585" t="str">
        <f>T("나 혼자만 일일 보상 1화")</f>
        <v>나 혼자만 일일 보상 1화</v>
      </c>
      <c r="D4585" t="str">
        <f>T("1")</f>
        <v>1</v>
      </c>
      <c r="E4585" t="str">
        <f t="shared" si="614"/>
        <v>이동열</v>
      </c>
      <c r="H4585" t="str">
        <f t="shared" si="611"/>
        <v>스토리위즈</v>
      </c>
      <c r="I4585" t="str">
        <f t="shared" ref="I4585:I4608" si="615">T("나 혼자만 일일 보상")</f>
        <v>나 혼자만 일일 보상</v>
      </c>
      <c r="J4585">
        <v>0</v>
      </c>
      <c r="K4585">
        <v>0</v>
      </c>
      <c r="L4585">
        <v>0</v>
      </c>
      <c r="M4585">
        <v>3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3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/>
      <c r="AQ4585">
        <v>0</v>
      </c>
      <c r="AR4585">
        <v>0</v>
      </c>
      <c r="AT4585">
        <v>0</v>
      </c>
      <c r="AU4585">
        <v>0</v>
      </c>
      <c r="AW4585">
        <v>0</v>
      </c>
      <c r="AX4585">
        <v>0</v>
      </c>
      <c r="AY4585">
        <v>0</v>
      </c>
      <c r="BC4585" t="str">
        <f t="shared" ref="BC4585:BC4608" si="616">T("9791159286889")</f>
        <v>9791159286889</v>
      </c>
      <c r="BE4585" t="str">
        <f t="shared" ref="BE4585:BE4631" si="617">T("판타지 웹소설 &gt; 현대 판타지")</f>
        <v>판타지 웹소설 &gt; 현대 판타지</v>
      </c>
    </row>
    <row r="4586" spans="1:57" x14ac:dyDescent="0.3">
      <c r="A4586">
        <v>2313002926</v>
      </c>
      <c r="B4586">
        <v>2313002927</v>
      </c>
      <c r="C4586" t="str">
        <f>T("나 혼자만 일일 보상 2화")</f>
        <v>나 혼자만 일일 보상 2화</v>
      </c>
      <c r="D4586" t="str">
        <f>T("2")</f>
        <v>2</v>
      </c>
      <c r="E4586" t="str">
        <f t="shared" si="614"/>
        <v>이동열</v>
      </c>
      <c r="H4586" t="str">
        <f t="shared" si="611"/>
        <v>스토리위즈</v>
      </c>
      <c r="I4586" t="str">
        <f t="shared" si="615"/>
        <v>나 혼자만 일일 보상</v>
      </c>
      <c r="J4586">
        <v>0</v>
      </c>
      <c r="K4586">
        <v>0</v>
      </c>
      <c r="L4586">
        <v>0</v>
      </c>
      <c r="M4586">
        <v>3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3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/>
      <c r="AQ4586">
        <v>0</v>
      </c>
      <c r="AR4586">
        <v>0</v>
      </c>
      <c r="AT4586">
        <v>0</v>
      </c>
      <c r="AU4586">
        <v>0</v>
      </c>
      <c r="AW4586">
        <v>0</v>
      </c>
      <c r="AX4586">
        <v>0</v>
      </c>
      <c r="AY4586">
        <v>0</v>
      </c>
      <c r="BC4586" t="str">
        <f t="shared" si="616"/>
        <v>9791159286889</v>
      </c>
      <c r="BE4586" t="str">
        <f t="shared" si="617"/>
        <v>판타지 웹소설 &gt; 현대 판타지</v>
      </c>
    </row>
    <row r="4587" spans="1:57" x14ac:dyDescent="0.3">
      <c r="A4587">
        <v>2313002926</v>
      </c>
      <c r="B4587">
        <v>2313002928</v>
      </c>
      <c r="C4587" t="str">
        <f>T("나 혼자만 일일 보상 3화")</f>
        <v>나 혼자만 일일 보상 3화</v>
      </c>
      <c r="D4587" t="str">
        <f>T("3")</f>
        <v>3</v>
      </c>
      <c r="E4587" t="str">
        <f t="shared" si="614"/>
        <v>이동열</v>
      </c>
      <c r="H4587" t="str">
        <f t="shared" si="611"/>
        <v>스토리위즈</v>
      </c>
      <c r="I4587" t="str">
        <f t="shared" si="615"/>
        <v>나 혼자만 일일 보상</v>
      </c>
      <c r="J4587">
        <v>0</v>
      </c>
      <c r="K4587">
        <v>0</v>
      </c>
      <c r="L4587">
        <v>0</v>
      </c>
      <c r="M4587">
        <v>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2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/>
      <c r="AQ4587">
        <v>0</v>
      </c>
      <c r="AR4587">
        <v>0</v>
      </c>
      <c r="AT4587">
        <v>0</v>
      </c>
      <c r="AU4587">
        <v>0</v>
      </c>
      <c r="AW4587">
        <v>0</v>
      </c>
      <c r="AX4587">
        <v>0</v>
      </c>
      <c r="AY4587">
        <v>0</v>
      </c>
      <c r="BC4587" t="str">
        <f t="shared" si="616"/>
        <v>9791159286889</v>
      </c>
      <c r="BE4587" t="str">
        <f t="shared" si="617"/>
        <v>판타지 웹소설 &gt; 현대 판타지</v>
      </c>
    </row>
    <row r="4588" spans="1:57" x14ac:dyDescent="0.3">
      <c r="A4588">
        <v>2313002926</v>
      </c>
      <c r="B4588">
        <v>2313002929</v>
      </c>
      <c r="C4588" t="str">
        <f>T("나 혼자만 일일 보상 4화")</f>
        <v>나 혼자만 일일 보상 4화</v>
      </c>
      <c r="D4588" t="str">
        <f>T("4")</f>
        <v>4</v>
      </c>
      <c r="E4588" t="str">
        <f t="shared" si="614"/>
        <v>이동열</v>
      </c>
      <c r="H4588" t="str">
        <f t="shared" si="611"/>
        <v>스토리위즈</v>
      </c>
      <c r="I4588" t="str">
        <f t="shared" si="615"/>
        <v>나 혼자만 일일 보상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1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/>
      <c r="AQ4588">
        <v>0</v>
      </c>
      <c r="AR4588">
        <v>0</v>
      </c>
      <c r="AT4588">
        <v>0</v>
      </c>
      <c r="AU4588">
        <v>0</v>
      </c>
      <c r="AW4588">
        <v>0</v>
      </c>
      <c r="AX4588">
        <v>0</v>
      </c>
      <c r="AY4588">
        <v>0</v>
      </c>
      <c r="BC4588" t="str">
        <f t="shared" si="616"/>
        <v>9791159286889</v>
      </c>
      <c r="BE4588" t="str">
        <f t="shared" si="617"/>
        <v>판타지 웹소설 &gt; 현대 판타지</v>
      </c>
    </row>
    <row r="4589" spans="1:57" x14ac:dyDescent="0.3">
      <c r="A4589">
        <v>2313002926</v>
      </c>
      <c r="B4589">
        <v>2313002930</v>
      </c>
      <c r="C4589" t="str">
        <f>T("나 혼자만 일일 보상 5화")</f>
        <v>나 혼자만 일일 보상 5화</v>
      </c>
      <c r="D4589" t="str">
        <f>T("5")</f>
        <v>5</v>
      </c>
      <c r="E4589" t="str">
        <f t="shared" si="614"/>
        <v>이동열</v>
      </c>
      <c r="H4589" t="str">
        <f t="shared" si="611"/>
        <v>스토리위즈</v>
      </c>
      <c r="I4589" t="str">
        <f t="shared" si="615"/>
        <v>나 혼자만 일일 보상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/>
      <c r="AQ4589">
        <v>0</v>
      </c>
      <c r="AR4589">
        <v>0</v>
      </c>
      <c r="AT4589">
        <v>0</v>
      </c>
      <c r="AU4589">
        <v>0</v>
      </c>
      <c r="AW4589">
        <v>0</v>
      </c>
      <c r="AX4589">
        <v>0</v>
      </c>
      <c r="AY4589">
        <v>0</v>
      </c>
      <c r="BC4589" t="str">
        <f t="shared" si="616"/>
        <v>9791159286889</v>
      </c>
      <c r="BE4589" t="str">
        <f t="shared" si="617"/>
        <v>판타지 웹소설 &gt; 현대 판타지</v>
      </c>
    </row>
    <row r="4590" spans="1:57" x14ac:dyDescent="0.3">
      <c r="A4590">
        <v>2313002926</v>
      </c>
      <c r="B4590">
        <v>2313002931</v>
      </c>
      <c r="C4590" t="str">
        <f>T("나 혼자만 일일 보상 6화")</f>
        <v>나 혼자만 일일 보상 6화</v>
      </c>
      <c r="D4590" t="str">
        <f>T("6")</f>
        <v>6</v>
      </c>
      <c r="E4590" t="str">
        <f t="shared" si="614"/>
        <v>이동열</v>
      </c>
      <c r="H4590" t="str">
        <f t="shared" si="611"/>
        <v>스토리위즈</v>
      </c>
      <c r="I4590" t="str">
        <f t="shared" si="615"/>
        <v>나 혼자만 일일 보상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1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/>
      <c r="AQ4590">
        <v>0</v>
      </c>
      <c r="AR4590">
        <v>0</v>
      </c>
      <c r="AT4590">
        <v>0</v>
      </c>
      <c r="AU4590">
        <v>0</v>
      </c>
      <c r="AW4590">
        <v>0</v>
      </c>
      <c r="AX4590">
        <v>0</v>
      </c>
      <c r="AY4590">
        <v>0</v>
      </c>
      <c r="BC4590" t="str">
        <f t="shared" si="616"/>
        <v>9791159286889</v>
      </c>
      <c r="BE4590" t="str">
        <f t="shared" si="617"/>
        <v>판타지 웹소설 &gt; 현대 판타지</v>
      </c>
    </row>
    <row r="4591" spans="1:57" x14ac:dyDescent="0.3">
      <c r="A4591">
        <v>2313002926</v>
      </c>
      <c r="B4591">
        <v>2313002932</v>
      </c>
      <c r="C4591" t="str">
        <f>T("나 혼자만 일일 보상 7화")</f>
        <v>나 혼자만 일일 보상 7화</v>
      </c>
      <c r="D4591" t="str">
        <f>T("7")</f>
        <v>7</v>
      </c>
      <c r="E4591" t="str">
        <f t="shared" si="614"/>
        <v>이동열</v>
      </c>
      <c r="H4591" t="str">
        <f t="shared" si="611"/>
        <v>스토리위즈</v>
      </c>
      <c r="I4591" t="str">
        <f t="shared" si="615"/>
        <v>나 혼자만 일일 보상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/>
      <c r="AQ4591">
        <v>0</v>
      </c>
      <c r="AR4591">
        <v>0</v>
      </c>
      <c r="AT4591">
        <v>0</v>
      </c>
      <c r="AU4591">
        <v>0</v>
      </c>
      <c r="AW4591">
        <v>0</v>
      </c>
      <c r="AX4591">
        <v>0</v>
      </c>
      <c r="AY4591">
        <v>0</v>
      </c>
      <c r="BC4591" t="str">
        <f t="shared" si="616"/>
        <v>9791159286889</v>
      </c>
      <c r="BE4591" t="str">
        <f t="shared" si="617"/>
        <v>판타지 웹소설 &gt; 현대 판타지</v>
      </c>
    </row>
    <row r="4592" spans="1:57" x14ac:dyDescent="0.3">
      <c r="A4592">
        <v>2313002926</v>
      </c>
      <c r="B4592">
        <v>2313002933</v>
      </c>
      <c r="C4592" t="str">
        <f>T("나 혼자만 일일 보상 8화")</f>
        <v>나 혼자만 일일 보상 8화</v>
      </c>
      <c r="D4592" t="str">
        <f>T("8")</f>
        <v>8</v>
      </c>
      <c r="E4592" t="str">
        <f t="shared" si="614"/>
        <v>이동열</v>
      </c>
      <c r="H4592" t="str">
        <f t="shared" si="611"/>
        <v>스토리위즈</v>
      </c>
      <c r="I4592" t="str">
        <f t="shared" si="615"/>
        <v>나 혼자만 일일 보상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/>
      <c r="AQ4592">
        <v>0</v>
      </c>
      <c r="AR4592">
        <v>0</v>
      </c>
      <c r="AT4592">
        <v>0</v>
      </c>
      <c r="AU4592">
        <v>0</v>
      </c>
      <c r="AW4592">
        <v>0</v>
      </c>
      <c r="AX4592">
        <v>0</v>
      </c>
      <c r="AY4592">
        <v>0</v>
      </c>
      <c r="BC4592" t="str">
        <f t="shared" si="616"/>
        <v>9791159286889</v>
      </c>
      <c r="BE4592" t="str">
        <f t="shared" si="617"/>
        <v>판타지 웹소설 &gt; 현대 판타지</v>
      </c>
    </row>
    <row r="4593" spans="1:57" x14ac:dyDescent="0.3">
      <c r="A4593">
        <v>2313002926</v>
      </c>
      <c r="B4593">
        <v>2313002934</v>
      </c>
      <c r="C4593" t="str">
        <f>T("나 혼자만 일일 보상 9화")</f>
        <v>나 혼자만 일일 보상 9화</v>
      </c>
      <c r="D4593" t="str">
        <f>T("9")</f>
        <v>9</v>
      </c>
      <c r="E4593" t="str">
        <f t="shared" si="614"/>
        <v>이동열</v>
      </c>
      <c r="H4593" t="str">
        <f t="shared" si="611"/>
        <v>스토리위즈</v>
      </c>
      <c r="I4593" t="str">
        <f t="shared" si="615"/>
        <v>나 혼자만 일일 보상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1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/>
      <c r="AQ4593">
        <v>0</v>
      </c>
      <c r="AR4593">
        <v>0</v>
      </c>
      <c r="AT4593">
        <v>0</v>
      </c>
      <c r="AU4593">
        <v>0</v>
      </c>
      <c r="AW4593">
        <v>0</v>
      </c>
      <c r="AX4593">
        <v>0</v>
      </c>
      <c r="AY4593">
        <v>0</v>
      </c>
      <c r="BC4593" t="str">
        <f t="shared" si="616"/>
        <v>9791159286889</v>
      </c>
      <c r="BE4593" t="str">
        <f t="shared" si="617"/>
        <v>판타지 웹소설 &gt; 현대 판타지</v>
      </c>
    </row>
    <row r="4594" spans="1:57" x14ac:dyDescent="0.3">
      <c r="A4594">
        <v>2313002926</v>
      </c>
      <c r="B4594">
        <v>2313002935</v>
      </c>
      <c r="C4594" t="str">
        <f>T("나 혼자만 일일 보상 10화")</f>
        <v>나 혼자만 일일 보상 10화</v>
      </c>
      <c r="D4594" t="str">
        <f>T("10")</f>
        <v>10</v>
      </c>
      <c r="E4594" t="str">
        <f t="shared" si="614"/>
        <v>이동열</v>
      </c>
      <c r="H4594" t="str">
        <f t="shared" si="611"/>
        <v>스토리위즈</v>
      </c>
      <c r="I4594" t="str">
        <f t="shared" si="615"/>
        <v>나 혼자만 일일 보상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1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/>
      <c r="AQ4594">
        <v>0</v>
      </c>
      <c r="AR4594">
        <v>0</v>
      </c>
      <c r="AT4594">
        <v>0</v>
      </c>
      <c r="AU4594">
        <v>0</v>
      </c>
      <c r="AW4594">
        <v>0</v>
      </c>
      <c r="AX4594">
        <v>0</v>
      </c>
      <c r="AY4594">
        <v>0</v>
      </c>
      <c r="BC4594" t="str">
        <f t="shared" si="616"/>
        <v>9791159286889</v>
      </c>
      <c r="BE4594" t="str">
        <f t="shared" si="617"/>
        <v>판타지 웹소설 &gt; 현대 판타지</v>
      </c>
    </row>
    <row r="4595" spans="1:57" x14ac:dyDescent="0.3">
      <c r="A4595">
        <v>2313002926</v>
      </c>
      <c r="B4595">
        <v>2313002936</v>
      </c>
      <c r="C4595" t="str">
        <f>T("나 혼자만 일일 보상 11화")</f>
        <v>나 혼자만 일일 보상 11화</v>
      </c>
      <c r="D4595" t="str">
        <f>T("11")</f>
        <v>11</v>
      </c>
      <c r="E4595" t="str">
        <f t="shared" si="614"/>
        <v>이동열</v>
      </c>
      <c r="H4595" t="str">
        <f t="shared" si="611"/>
        <v>스토리위즈</v>
      </c>
      <c r="I4595" t="str">
        <f t="shared" si="615"/>
        <v>나 혼자만 일일 보상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1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/>
      <c r="AQ4595">
        <v>0</v>
      </c>
      <c r="AR4595">
        <v>0</v>
      </c>
      <c r="AT4595">
        <v>0</v>
      </c>
      <c r="AU4595">
        <v>0</v>
      </c>
      <c r="AW4595">
        <v>0</v>
      </c>
      <c r="AX4595">
        <v>0</v>
      </c>
      <c r="AY4595">
        <v>0</v>
      </c>
      <c r="BC4595" t="str">
        <f t="shared" si="616"/>
        <v>9791159286889</v>
      </c>
      <c r="BE4595" t="str">
        <f t="shared" si="617"/>
        <v>판타지 웹소설 &gt; 현대 판타지</v>
      </c>
    </row>
    <row r="4596" spans="1:57" x14ac:dyDescent="0.3">
      <c r="A4596">
        <v>2313002926</v>
      </c>
      <c r="B4596">
        <v>2313002937</v>
      </c>
      <c r="C4596" t="str">
        <f>T("나 혼자만 일일 보상 12화")</f>
        <v>나 혼자만 일일 보상 12화</v>
      </c>
      <c r="D4596" t="str">
        <f>T("12")</f>
        <v>12</v>
      </c>
      <c r="E4596" t="str">
        <f t="shared" si="614"/>
        <v>이동열</v>
      </c>
      <c r="H4596" t="str">
        <f t="shared" si="611"/>
        <v>스토리위즈</v>
      </c>
      <c r="I4596" t="str">
        <f t="shared" si="615"/>
        <v>나 혼자만 일일 보상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1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/>
      <c r="AQ4596">
        <v>0</v>
      </c>
      <c r="AR4596">
        <v>0</v>
      </c>
      <c r="AT4596">
        <v>0</v>
      </c>
      <c r="AU4596">
        <v>0</v>
      </c>
      <c r="AW4596">
        <v>0</v>
      </c>
      <c r="AX4596">
        <v>0</v>
      </c>
      <c r="AY4596">
        <v>0</v>
      </c>
      <c r="BC4596" t="str">
        <f t="shared" si="616"/>
        <v>9791159286889</v>
      </c>
      <c r="BE4596" t="str">
        <f t="shared" si="617"/>
        <v>판타지 웹소설 &gt; 현대 판타지</v>
      </c>
    </row>
    <row r="4597" spans="1:57" x14ac:dyDescent="0.3">
      <c r="A4597">
        <v>2313002926</v>
      </c>
      <c r="B4597">
        <v>2313002938</v>
      </c>
      <c r="C4597" t="str">
        <f>T("나 혼자만 일일 보상 13화")</f>
        <v>나 혼자만 일일 보상 13화</v>
      </c>
      <c r="D4597" t="str">
        <f>T("13")</f>
        <v>13</v>
      </c>
      <c r="E4597" t="str">
        <f t="shared" si="614"/>
        <v>이동열</v>
      </c>
      <c r="H4597" t="str">
        <f t="shared" si="611"/>
        <v>스토리위즈</v>
      </c>
      <c r="I4597" t="str">
        <f t="shared" si="615"/>
        <v>나 혼자만 일일 보상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1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/>
      <c r="AQ4597">
        <v>0</v>
      </c>
      <c r="AR4597">
        <v>0</v>
      </c>
      <c r="AT4597">
        <v>0</v>
      </c>
      <c r="AU4597">
        <v>0</v>
      </c>
      <c r="AW4597">
        <v>0</v>
      </c>
      <c r="AX4597">
        <v>0</v>
      </c>
      <c r="AY4597">
        <v>0</v>
      </c>
      <c r="BC4597" t="str">
        <f t="shared" si="616"/>
        <v>9791159286889</v>
      </c>
      <c r="BE4597" t="str">
        <f t="shared" si="617"/>
        <v>판타지 웹소설 &gt; 현대 판타지</v>
      </c>
    </row>
    <row r="4598" spans="1:57" x14ac:dyDescent="0.3">
      <c r="A4598">
        <v>2313002926</v>
      </c>
      <c r="B4598">
        <v>2313002939</v>
      </c>
      <c r="C4598" t="str">
        <f>T("나 혼자만 일일 보상 14화")</f>
        <v>나 혼자만 일일 보상 14화</v>
      </c>
      <c r="D4598" t="str">
        <f>T("14")</f>
        <v>14</v>
      </c>
      <c r="E4598" t="str">
        <f t="shared" si="614"/>
        <v>이동열</v>
      </c>
      <c r="H4598" t="str">
        <f t="shared" si="611"/>
        <v>스토리위즈</v>
      </c>
      <c r="I4598" t="str">
        <f t="shared" si="615"/>
        <v>나 혼자만 일일 보상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/>
      <c r="AQ4598">
        <v>0</v>
      </c>
      <c r="AR4598">
        <v>0</v>
      </c>
      <c r="AT4598">
        <v>0</v>
      </c>
      <c r="AU4598">
        <v>0</v>
      </c>
      <c r="AW4598">
        <v>0</v>
      </c>
      <c r="AX4598">
        <v>0</v>
      </c>
      <c r="AY4598">
        <v>0</v>
      </c>
      <c r="BC4598" t="str">
        <f t="shared" si="616"/>
        <v>9791159286889</v>
      </c>
      <c r="BE4598" t="str">
        <f t="shared" si="617"/>
        <v>판타지 웹소설 &gt; 현대 판타지</v>
      </c>
    </row>
    <row r="4599" spans="1:57" x14ac:dyDescent="0.3">
      <c r="A4599">
        <v>2313002926</v>
      </c>
      <c r="B4599">
        <v>2313002940</v>
      </c>
      <c r="C4599" t="str">
        <f>T("나 혼자만 일일 보상 15화")</f>
        <v>나 혼자만 일일 보상 15화</v>
      </c>
      <c r="D4599" t="str">
        <f>T("15")</f>
        <v>15</v>
      </c>
      <c r="E4599" t="str">
        <f t="shared" si="614"/>
        <v>이동열</v>
      </c>
      <c r="H4599" t="str">
        <f t="shared" si="611"/>
        <v>스토리위즈</v>
      </c>
      <c r="I4599" t="str">
        <f t="shared" si="615"/>
        <v>나 혼자만 일일 보상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/>
      <c r="AQ4599">
        <v>0</v>
      </c>
      <c r="AR4599">
        <v>0</v>
      </c>
      <c r="AT4599">
        <v>0</v>
      </c>
      <c r="AU4599">
        <v>0</v>
      </c>
      <c r="AW4599">
        <v>0</v>
      </c>
      <c r="AX4599">
        <v>0</v>
      </c>
      <c r="AY4599">
        <v>0</v>
      </c>
      <c r="BC4599" t="str">
        <f t="shared" si="616"/>
        <v>9791159286889</v>
      </c>
      <c r="BE4599" t="str">
        <f t="shared" si="617"/>
        <v>판타지 웹소설 &gt; 현대 판타지</v>
      </c>
    </row>
    <row r="4600" spans="1:57" x14ac:dyDescent="0.3">
      <c r="A4600">
        <v>2313002926</v>
      </c>
      <c r="B4600">
        <v>2313002941</v>
      </c>
      <c r="C4600" t="str">
        <f>T("나 혼자만 일일 보상 16화")</f>
        <v>나 혼자만 일일 보상 16화</v>
      </c>
      <c r="D4600" t="str">
        <f>T("16")</f>
        <v>16</v>
      </c>
      <c r="E4600" t="str">
        <f t="shared" si="614"/>
        <v>이동열</v>
      </c>
      <c r="H4600" t="str">
        <f t="shared" si="611"/>
        <v>스토리위즈</v>
      </c>
      <c r="I4600" t="str">
        <f t="shared" si="615"/>
        <v>나 혼자만 일일 보상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/>
      <c r="AQ4600">
        <v>0</v>
      </c>
      <c r="AR4600">
        <v>0</v>
      </c>
      <c r="AT4600">
        <v>0</v>
      </c>
      <c r="AU4600">
        <v>0</v>
      </c>
      <c r="AW4600">
        <v>0</v>
      </c>
      <c r="AX4600">
        <v>0</v>
      </c>
      <c r="AY4600">
        <v>0</v>
      </c>
      <c r="BC4600" t="str">
        <f t="shared" si="616"/>
        <v>9791159286889</v>
      </c>
      <c r="BE4600" t="str">
        <f t="shared" si="617"/>
        <v>판타지 웹소설 &gt; 현대 판타지</v>
      </c>
    </row>
    <row r="4601" spans="1:57" x14ac:dyDescent="0.3">
      <c r="A4601">
        <v>2313002926</v>
      </c>
      <c r="B4601">
        <v>2313002942</v>
      </c>
      <c r="C4601" t="str">
        <f>T("나 혼자만 일일 보상 17화")</f>
        <v>나 혼자만 일일 보상 17화</v>
      </c>
      <c r="D4601" t="str">
        <f>T("17")</f>
        <v>17</v>
      </c>
      <c r="E4601" t="str">
        <f t="shared" si="614"/>
        <v>이동열</v>
      </c>
      <c r="H4601" t="str">
        <f t="shared" si="611"/>
        <v>스토리위즈</v>
      </c>
      <c r="I4601" t="str">
        <f t="shared" si="615"/>
        <v>나 혼자만 일일 보상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/>
      <c r="AQ4601">
        <v>0</v>
      </c>
      <c r="AR4601">
        <v>0</v>
      </c>
      <c r="AT4601">
        <v>0</v>
      </c>
      <c r="AU4601">
        <v>0</v>
      </c>
      <c r="AW4601">
        <v>0</v>
      </c>
      <c r="AX4601">
        <v>0</v>
      </c>
      <c r="AY4601">
        <v>0</v>
      </c>
      <c r="BC4601" t="str">
        <f t="shared" si="616"/>
        <v>9791159286889</v>
      </c>
      <c r="BE4601" t="str">
        <f t="shared" si="617"/>
        <v>판타지 웹소설 &gt; 현대 판타지</v>
      </c>
    </row>
    <row r="4602" spans="1:57" x14ac:dyDescent="0.3">
      <c r="A4602">
        <v>2313002926</v>
      </c>
      <c r="B4602">
        <v>2313002943</v>
      </c>
      <c r="C4602" t="str">
        <f>T("나 혼자만 일일 보상 18화")</f>
        <v>나 혼자만 일일 보상 18화</v>
      </c>
      <c r="D4602" t="str">
        <f>T("18")</f>
        <v>18</v>
      </c>
      <c r="E4602" t="str">
        <f t="shared" si="614"/>
        <v>이동열</v>
      </c>
      <c r="H4602" t="str">
        <f t="shared" si="611"/>
        <v>스토리위즈</v>
      </c>
      <c r="I4602" t="str">
        <f t="shared" si="615"/>
        <v>나 혼자만 일일 보상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/>
      <c r="AQ4602">
        <v>0</v>
      </c>
      <c r="AR4602">
        <v>0</v>
      </c>
      <c r="AT4602">
        <v>0</v>
      </c>
      <c r="AU4602">
        <v>0</v>
      </c>
      <c r="AW4602">
        <v>0</v>
      </c>
      <c r="AX4602">
        <v>0</v>
      </c>
      <c r="AY4602">
        <v>0</v>
      </c>
      <c r="BC4602" t="str">
        <f t="shared" si="616"/>
        <v>9791159286889</v>
      </c>
      <c r="BE4602" t="str">
        <f t="shared" si="617"/>
        <v>판타지 웹소설 &gt; 현대 판타지</v>
      </c>
    </row>
    <row r="4603" spans="1:57" x14ac:dyDescent="0.3">
      <c r="A4603">
        <v>2313002926</v>
      </c>
      <c r="B4603">
        <v>2313002944</v>
      </c>
      <c r="C4603" t="str">
        <f>T("나 혼자만 일일 보상 19화")</f>
        <v>나 혼자만 일일 보상 19화</v>
      </c>
      <c r="D4603" t="str">
        <f>T("19")</f>
        <v>19</v>
      </c>
      <c r="E4603" t="str">
        <f t="shared" si="614"/>
        <v>이동열</v>
      </c>
      <c r="H4603" t="str">
        <f t="shared" si="611"/>
        <v>스토리위즈</v>
      </c>
      <c r="I4603" t="str">
        <f t="shared" si="615"/>
        <v>나 혼자만 일일 보상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/>
      <c r="AQ4603">
        <v>0</v>
      </c>
      <c r="AR4603">
        <v>0</v>
      </c>
      <c r="AT4603">
        <v>0</v>
      </c>
      <c r="AU4603">
        <v>0</v>
      </c>
      <c r="AW4603">
        <v>0</v>
      </c>
      <c r="AX4603">
        <v>0</v>
      </c>
      <c r="AY4603">
        <v>0</v>
      </c>
      <c r="BC4603" t="str">
        <f t="shared" si="616"/>
        <v>9791159286889</v>
      </c>
      <c r="BE4603" t="str">
        <f t="shared" si="617"/>
        <v>판타지 웹소설 &gt; 현대 판타지</v>
      </c>
    </row>
    <row r="4604" spans="1:57" x14ac:dyDescent="0.3">
      <c r="A4604">
        <v>2313002926</v>
      </c>
      <c r="B4604">
        <v>2313002945</v>
      </c>
      <c r="C4604" t="str">
        <f>T("나 혼자만 일일 보상 20화")</f>
        <v>나 혼자만 일일 보상 20화</v>
      </c>
      <c r="D4604" t="str">
        <f>T("20")</f>
        <v>20</v>
      </c>
      <c r="E4604" t="str">
        <f t="shared" si="614"/>
        <v>이동열</v>
      </c>
      <c r="H4604" t="str">
        <f t="shared" si="611"/>
        <v>스토리위즈</v>
      </c>
      <c r="I4604" t="str">
        <f t="shared" si="615"/>
        <v>나 혼자만 일일 보상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1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/>
      <c r="AQ4604">
        <v>0</v>
      </c>
      <c r="AR4604">
        <v>0</v>
      </c>
      <c r="AT4604">
        <v>0</v>
      </c>
      <c r="AU4604">
        <v>0</v>
      </c>
      <c r="AW4604">
        <v>0</v>
      </c>
      <c r="AX4604">
        <v>0</v>
      </c>
      <c r="AY4604">
        <v>0</v>
      </c>
      <c r="BC4604" t="str">
        <f t="shared" si="616"/>
        <v>9791159286889</v>
      </c>
      <c r="BE4604" t="str">
        <f t="shared" si="617"/>
        <v>판타지 웹소설 &gt; 현대 판타지</v>
      </c>
    </row>
    <row r="4605" spans="1:57" x14ac:dyDescent="0.3">
      <c r="A4605">
        <v>2313002926</v>
      </c>
      <c r="B4605">
        <v>2313002946</v>
      </c>
      <c r="C4605" t="str">
        <f>T("나 혼자만 일일 보상 21화")</f>
        <v>나 혼자만 일일 보상 21화</v>
      </c>
      <c r="D4605" t="str">
        <f>T("21")</f>
        <v>21</v>
      </c>
      <c r="E4605" t="str">
        <f t="shared" si="614"/>
        <v>이동열</v>
      </c>
      <c r="H4605" t="str">
        <f t="shared" si="611"/>
        <v>스토리위즈</v>
      </c>
      <c r="I4605" t="str">
        <f t="shared" si="615"/>
        <v>나 혼자만 일일 보상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1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/>
      <c r="AQ4605">
        <v>0</v>
      </c>
      <c r="AR4605">
        <v>0</v>
      </c>
      <c r="AT4605">
        <v>0</v>
      </c>
      <c r="AU4605">
        <v>0</v>
      </c>
      <c r="AW4605">
        <v>0</v>
      </c>
      <c r="AX4605">
        <v>0</v>
      </c>
      <c r="AY4605">
        <v>0</v>
      </c>
      <c r="BC4605" t="str">
        <f t="shared" si="616"/>
        <v>9791159286889</v>
      </c>
      <c r="BE4605" t="str">
        <f t="shared" si="617"/>
        <v>판타지 웹소설 &gt; 현대 판타지</v>
      </c>
    </row>
    <row r="4606" spans="1:57" x14ac:dyDescent="0.3">
      <c r="A4606">
        <v>2313002926</v>
      </c>
      <c r="B4606">
        <v>2313002947</v>
      </c>
      <c r="C4606" t="str">
        <f>T("나 혼자만 일일 보상 22화")</f>
        <v>나 혼자만 일일 보상 22화</v>
      </c>
      <c r="D4606" t="str">
        <f>T("22")</f>
        <v>22</v>
      </c>
      <c r="E4606" t="str">
        <f t="shared" si="614"/>
        <v>이동열</v>
      </c>
      <c r="H4606" t="str">
        <f t="shared" si="611"/>
        <v>스토리위즈</v>
      </c>
      <c r="I4606" t="str">
        <f t="shared" si="615"/>
        <v>나 혼자만 일일 보상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/>
      <c r="AQ4606">
        <v>0</v>
      </c>
      <c r="AR4606">
        <v>0</v>
      </c>
      <c r="AT4606">
        <v>0</v>
      </c>
      <c r="AU4606">
        <v>0</v>
      </c>
      <c r="AW4606">
        <v>0</v>
      </c>
      <c r="AX4606">
        <v>0</v>
      </c>
      <c r="AY4606">
        <v>0</v>
      </c>
      <c r="BC4606" t="str">
        <f t="shared" si="616"/>
        <v>9791159286889</v>
      </c>
      <c r="BE4606" t="str">
        <f t="shared" si="617"/>
        <v>판타지 웹소설 &gt; 현대 판타지</v>
      </c>
    </row>
    <row r="4607" spans="1:57" x14ac:dyDescent="0.3">
      <c r="A4607">
        <v>2313002926</v>
      </c>
      <c r="B4607">
        <v>2313002948</v>
      </c>
      <c r="C4607" t="str">
        <f>T("나 혼자만 일일 보상 23화")</f>
        <v>나 혼자만 일일 보상 23화</v>
      </c>
      <c r="D4607" t="str">
        <f>T("23")</f>
        <v>23</v>
      </c>
      <c r="E4607" t="str">
        <f t="shared" si="614"/>
        <v>이동열</v>
      </c>
      <c r="H4607" t="str">
        <f t="shared" si="611"/>
        <v>스토리위즈</v>
      </c>
      <c r="I4607" t="str">
        <f t="shared" si="615"/>
        <v>나 혼자만 일일 보상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1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/>
      <c r="AQ4607">
        <v>0</v>
      </c>
      <c r="AR4607">
        <v>0</v>
      </c>
      <c r="AT4607">
        <v>0</v>
      </c>
      <c r="AU4607">
        <v>0</v>
      </c>
      <c r="AW4607">
        <v>0</v>
      </c>
      <c r="AX4607">
        <v>0</v>
      </c>
      <c r="AY4607">
        <v>0</v>
      </c>
      <c r="BC4607" t="str">
        <f t="shared" si="616"/>
        <v>9791159286889</v>
      </c>
      <c r="BE4607" t="str">
        <f t="shared" si="617"/>
        <v>판타지 웹소설 &gt; 현대 판타지</v>
      </c>
    </row>
    <row r="4608" spans="1:57" x14ac:dyDescent="0.3">
      <c r="A4608">
        <v>2313002926</v>
      </c>
      <c r="B4608">
        <v>2313002949</v>
      </c>
      <c r="C4608" t="str">
        <f>T("나 혼자만 일일 보상 24화")</f>
        <v>나 혼자만 일일 보상 24화</v>
      </c>
      <c r="D4608" t="str">
        <f>T("24")</f>
        <v>24</v>
      </c>
      <c r="E4608" t="str">
        <f t="shared" si="614"/>
        <v>이동열</v>
      </c>
      <c r="H4608" t="str">
        <f t="shared" si="611"/>
        <v>스토리위즈</v>
      </c>
      <c r="I4608" t="str">
        <f t="shared" si="615"/>
        <v>나 혼자만 일일 보상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/>
      <c r="AQ4608">
        <v>0</v>
      </c>
      <c r="AR4608">
        <v>0</v>
      </c>
      <c r="AT4608">
        <v>0</v>
      </c>
      <c r="AU4608">
        <v>0</v>
      </c>
      <c r="AW4608">
        <v>0</v>
      </c>
      <c r="AX4608">
        <v>0</v>
      </c>
      <c r="AY4608">
        <v>0</v>
      </c>
      <c r="BC4608" t="str">
        <f t="shared" si="616"/>
        <v>9791159286889</v>
      </c>
      <c r="BE4608" t="str">
        <f t="shared" si="617"/>
        <v>판타지 웹소설 &gt; 현대 판타지</v>
      </c>
    </row>
    <row r="4609" spans="1:57" x14ac:dyDescent="0.3">
      <c r="A4609">
        <v>2313003101</v>
      </c>
      <c r="B4609">
        <v>2313003101</v>
      </c>
      <c r="C4609" t="str">
        <f>T("로드 오브 머니 1화")</f>
        <v>로드 오브 머니 1화</v>
      </c>
      <c r="D4609" t="str">
        <f>T("1")</f>
        <v>1</v>
      </c>
      <c r="E4609" t="str">
        <f t="shared" ref="E4609:E4631" si="618">T("무장")</f>
        <v>무장</v>
      </c>
      <c r="H4609" t="str">
        <f t="shared" si="611"/>
        <v>스토리위즈</v>
      </c>
      <c r="I4609" t="str">
        <f t="shared" ref="I4609:I4631" si="619">T("로드 오브 머니")</f>
        <v>로드 오브 머니</v>
      </c>
      <c r="J4609">
        <v>0</v>
      </c>
      <c r="K4609">
        <v>0</v>
      </c>
      <c r="L4609">
        <v>0</v>
      </c>
      <c r="M4609">
        <v>3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3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/>
      <c r="AQ4609">
        <v>0</v>
      </c>
      <c r="AR4609">
        <v>0</v>
      </c>
      <c r="AT4609">
        <v>0</v>
      </c>
      <c r="AU4609">
        <v>0</v>
      </c>
      <c r="AW4609">
        <v>0</v>
      </c>
      <c r="AX4609">
        <v>0</v>
      </c>
      <c r="AY4609">
        <v>0</v>
      </c>
      <c r="BC4609" t="str">
        <f t="shared" ref="BC4609:BC4631" si="620">T("9791188630066")</f>
        <v>9791188630066</v>
      </c>
      <c r="BE4609" t="str">
        <f t="shared" si="617"/>
        <v>판타지 웹소설 &gt; 현대 판타지</v>
      </c>
    </row>
    <row r="4610" spans="1:57" x14ac:dyDescent="0.3">
      <c r="A4610">
        <v>2313003101</v>
      </c>
      <c r="B4610">
        <v>2313003102</v>
      </c>
      <c r="C4610" t="str">
        <f>T("로드 오브 머니 2화")</f>
        <v>로드 오브 머니 2화</v>
      </c>
      <c r="D4610" t="str">
        <f>T("2")</f>
        <v>2</v>
      </c>
      <c r="E4610" t="str">
        <f t="shared" si="618"/>
        <v>무장</v>
      </c>
      <c r="H4610" t="str">
        <f t="shared" si="611"/>
        <v>스토리위즈</v>
      </c>
      <c r="I4610" t="str">
        <f t="shared" si="619"/>
        <v>로드 오브 머니</v>
      </c>
      <c r="J4610">
        <v>0</v>
      </c>
      <c r="K4610">
        <v>0</v>
      </c>
      <c r="L4610">
        <v>0</v>
      </c>
      <c r="M4610">
        <v>3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3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/>
      <c r="AQ4610">
        <v>0</v>
      </c>
      <c r="AR4610">
        <v>0</v>
      </c>
      <c r="AT4610">
        <v>0</v>
      </c>
      <c r="AU4610">
        <v>0</v>
      </c>
      <c r="AW4610">
        <v>0</v>
      </c>
      <c r="AX4610">
        <v>0</v>
      </c>
      <c r="AY4610">
        <v>0</v>
      </c>
      <c r="BC4610" t="str">
        <f t="shared" si="620"/>
        <v>9791188630066</v>
      </c>
      <c r="BE4610" t="str">
        <f t="shared" si="617"/>
        <v>판타지 웹소설 &gt; 현대 판타지</v>
      </c>
    </row>
    <row r="4611" spans="1:57" x14ac:dyDescent="0.3">
      <c r="A4611">
        <v>2313003101</v>
      </c>
      <c r="B4611">
        <v>2313003103</v>
      </c>
      <c r="C4611" t="str">
        <f>T("로드 오브 머니 3화")</f>
        <v>로드 오브 머니 3화</v>
      </c>
      <c r="D4611" t="str">
        <f>T("3")</f>
        <v>3</v>
      </c>
      <c r="E4611" t="str">
        <f t="shared" si="618"/>
        <v>무장</v>
      </c>
      <c r="H4611" t="str">
        <f t="shared" si="611"/>
        <v>스토리위즈</v>
      </c>
      <c r="I4611" t="str">
        <f t="shared" si="619"/>
        <v>로드 오브 머니</v>
      </c>
      <c r="J4611">
        <v>0</v>
      </c>
      <c r="K4611">
        <v>0</v>
      </c>
      <c r="L4611">
        <v>0</v>
      </c>
      <c r="M4611">
        <v>2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2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/>
      <c r="AQ4611">
        <v>0</v>
      </c>
      <c r="AR4611">
        <v>0</v>
      </c>
      <c r="AT4611">
        <v>0</v>
      </c>
      <c r="AU4611">
        <v>0</v>
      </c>
      <c r="AW4611">
        <v>0</v>
      </c>
      <c r="AX4611">
        <v>0</v>
      </c>
      <c r="AY4611">
        <v>0</v>
      </c>
      <c r="BC4611" t="str">
        <f t="shared" si="620"/>
        <v>9791188630066</v>
      </c>
      <c r="BE4611" t="str">
        <f t="shared" si="617"/>
        <v>판타지 웹소설 &gt; 현대 판타지</v>
      </c>
    </row>
    <row r="4612" spans="1:57" x14ac:dyDescent="0.3">
      <c r="A4612">
        <v>2313003101</v>
      </c>
      <c r="B4612">
        <v>2313003104</v>
      </c>
      <c r="C4612" t="str">
        <f>T("로드 오브 머니 4화")</f>
        <v>로드 오브 머니 4화</v>
      </c>
      <c r="D4612" t="str">
        <f>T("4")</f>
        <v>4</v>
      </c>
      <c r="E4612" t="str">
        <f t="shared" si="618"/>
        <v>무장</v>
      </c>
      <c r="H4612" t="str">
        <f t="shared" si="611"/>
        <v>스토리위즈</v>
      </c>
      <c r="I4612" t="str">
        <f t="shared" si="619"/>
        <v>로드 오브 머니</v>
      </c>
      <c r="J4612">
        <v>0</v>
      </c>
      <c r="K4612">
        <v>0</v>
      </c>
      <c r="L4612">
        <v>0</v>
      </c>
      <c r="M4612">
        <v>3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3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/>
      <c r="AQ4612">
        <v>0</v>
      </c>
      <c r="AR4612">
        <v>0</v>
      </c>
      <c r="AT4612">
        <v>0</v>
      </c>
      <c r="AU4612">
        <v>0</v>
      </c>
      <c r="AW4612">
        <v>0</v>
      </c>
      <c r="AX4612">
        <v>0</v>
      </c>
      <c r="AY4612">
        <v>0</v>
      </c>
      <c r="BC4612" t="str">
        <f t="shared" si="620"/>
        <v>9791188630066</v>
      </c>
      <c r="BE4612" t="str">
        <f t="shared" si="617"/>
        <v>판타지 웹소설 &gt; 현대 판타지</v>
      </c>
    </row>
    <row r="4613" spans="1:57" x14ac:dyDescent="0.3">
      <c r="A4613">
        <v>2313003101</v>
      </c>
      <c r="B4613">
        <v>2313003105</v>
      </c>
      <c r="C4613" t="str">
        <f>T("로드 오브 머니 5화")</f>
        <v>로드 오브 머니 5화</v>
      </c>
      <c r="D4613" t="str">
        <f>T("5")</f>
        <v>5</v>
      </c>
      <c r="E4613" t="str">
        <f t="shared" si="618"/>
        <v>무장</v>
      </c>
      <c r="H4613" t="str">
        <f t="shared" si="611"/>
        <v>스토리위즈</v>
      </c>
      <c r="I4613" t="str">
        <f t="shared" si="619"/>
        <v>로드 오브 머니</v>
      </c>
      <c r="J4613">
        <v>0</v>
      </c>
      <c r="K4613">
        <v>0</v>
      </c>
      <c r="L4613">
        <v>0</v>
      </c>
      <c r="M4613">
        <v>3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3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/>
      <c r="AQ4613">
        <v>0</v>
      </c>
      <c r="AR4613">
        <v>0</v>
      </c>
      <c r="AT4613">
        <v>0</v>
      </c>
      <c r="AU4613">
        <v>0</v>
      </c>
      <c r="AW4613">
        <v>0</v>
      </c>
      <c r="AX4613">
        <v>0</v>
      </c>
      <c r="AY4613">
        <v>0</v>
      </c>
      <c r="BC4613" t="str">
        <f t="shared" si="620"/>
        <v>9791188630066</v>
      </c>
      <c r="BE4613" t="str">
        <f t="shared" si="617"/>
        <v>판타지 웹소설 &gt; 현대 판타지</v>
      </c>
    </row>
    <row r="4614" spans="1:57" x14ac:dyDescent="0.3">
      <c r="A4614">
        <v>2313003101</v>
      </c>
      <c r="B4614">
        <v>2313003106</v>
      </c>
      <c r="C4614" t="str">
        <f>T("로드 오브 머니 6화")</f>
        <v>로드 오브 머니 6화</v>
      </c>
      <c r="D4614" t="str">
        <f>T("6")</f>
        <v>6</v>
      </c>
      <c r="E4614" t="str">
        <f t="shared" si="618"/>
        <v>무장</v>
      </c>
      <c r="H4614" t="str">
        <f t="shared" si="611"/>
        <v>스토리위즈</v>
      </c>
      <c r="I4614" t="str">
        <f t="shared" si="619"/>
        <v>로드 오브 머니</v>
      </c>
      <c r="J4614">
        <v>0</v>
      </c>
      <c r="K4614">
        <v>0</v>
      </c>
      <c r="L4614">
        <v>0</v>
      </c>
      <c r="M4614">
        <v>4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4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/>
      <c r="AQ4614">
        <v>0</v>
      </c>
      <c r="AR4614">
        <v>0</v>
      </c>
      <c r="AT4614">
        <v>0</v>
      </c>
      <c r="AU4614">
        <v>0</v>
      </c>
      <c r="AW4614">
        <v>0</v>
      </c>
      <c r="AX4614">
        <v>0</v>
      </c>
      <c r="AY4614">
        <v>0</v>
      </c>
      <c r="BC4614" t="str">
        <f t="shared" si="620"/>
        <v>9791188630066</v>
      </c>
      <c r="BE4614" t="str">
        <f t="shared" si="617"/>
        <v>판타지 웹소설 &gt; 현대 판타지</v>
      </c>
    </row>
    <row r="4615" spans="1:57" x14ac:dyDescent="0.3">
      <c r="A4615">
        <v>2313003101</v>
      </c>
      <c r="B4615">
        <v>2313003107</v>
      </c>
      <c r="C4615" t="str">
        <f>T("로드 오브 머니 7화")</f>
        <v>로드 오브 머니 7화</v>
      </c>
      <c r="D4615" t="str">
        <f>T("7")</f>
        <v>7</v>
      </c>
      <c r="E4615" t="str">
        <f t="shared" si="618"/>
        <v>무장</v>
      </c>
      <c r="H4615" t="str">
        <f t="shared" si="611"/>
        <v>스토리위즈</v>
      </c>
      <c r="I4615" t="str">
        <f t="shared" si="619"/>
        <v>로드 오브 머니</v>
      </c>
      <c r="J4615">
        <v>0</v>
      </c>
      <c r="K4615">
        <v>0</v>
      </c>
      <c r="L4615">
        <v>0</v>
      </c>
      <c r="M4615">
        <v>3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3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/>
      <c r="AQ4615">
        <v>0</v>
      </c>
      <c r="AR4615">
        <v>0</v>
      </c>
      <c r="AT4615">
        <v>0</v>
      </c>
      <c r="AU4615">
        <v>0</v>
      </c>
      <c r="AW4615">
        <v>0</v>
      </c>
      <c r="AX4615">
        <v>0</v>
      </c>
      <c r="AY4615">
        <v>0</v>
      </c>
      <c r="BC4615" t="str">
        <f t="shared" si="620"/>
        <v>9791188630066</v>
      </c>
      <c r="BE4615" t="str">
        <f t="shared" si="617"/>
        <v>판타지 웹소설 &gt; 현대 판타지</v>
      </c>
    </row>
    <row r="4616" spans="1:57" x14ac:dyDescent="0.3">
      <c r="A4616">
        <v>2313003101</v>
      </c>
      <c r="B4616">
        <v>2313003108</v>
      </c>
      <c r="C4616" t="str">
        <f>T("로드 오브 머니 8화")</f>
        <v>로드 오브 머니 8화</v>
      </c>
      <c r="D4616" t="str">
        <f>T("8")</f>
        <v>8</v>
      </c>
      <c r="E4616" t="str">
        <f t="shared" si="618"/>
        <v>무장</v>
      </c>
      <c r="H4616" t="str">
        <f t="shared" si="611"/>
        <v>스토리위즈</v>
      </c>
      <c r="I4616" t="str">
        <f t="shared" si="619"/>
        <v>로드 오브 머니</v>
      </c>
      <c r="J4616">
        <v>0</v>
      </c>
      <c r="K4616">
        <v>0</v>
      </c>
      <c r="L4616">
        <v>0</v>
      </c>
      <c r="M4616">
        <v>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2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/>
      <c r="AQ4616">
        <v>0</v>
      </c>
      <c r="AR4616">
        <v>0</v>
      </c>
      <c r="AT4616">
        <v>0</v>
      </c>
      <c r="AU4616">
        <v>0</v>
      </c>
      <c r="AW4616">
        <v>0</v>
      </c>
      <c r="AX4616">
        <v>0</v>
      </c>
      <c r="AY4616">
        <v>0</v>
      </c>
      <c r="BC4616" t="str">
        <f t="shared" si="620"/>
        <v>9791188630066</v>
      </c>
      <c r="BE4616" t="str">
        <f t="shared" si="617"/>
        <v>판타지 웹소설 &gt; 현대 판타지</v>
      </c>
    </row>
    <row r="4617" spans="1:57" x14ac:dyDescent="0.3">
      <c r="A4617">
        <v>2313003101</v>
      </c>
      <c r="B4617">
        <v>2313003109</v>
      </c>
      <c r="C4617" t="str">
        <f>T("로드 오브 머니 9화")</f>
        <v>로드 오브 머니 9화</v>
      </c>
      <c r="D4617" t="str">
        <f>T("9")</f>
        <v>9</v>
      </c>
      <c r="E4617" t="str">
        <f t="shared" si="618"/>
        <v>무장</v>
      </c>
      <c r="H4617" t="str">
        <f t="shared" si="611"/>
        <v>스토리위즈</v>
      </c>
      <c r="I4617" t="str">
        <f t="shared" si="619"/>
        <v>로드 오브 머니</v>
      </c>
      <c r="J4617">
        <v>0</v>
      </c>
      <c r="K4617">
        <v>0</v>
      </c>
      <c r="L4617">
        <v>0</v>
      </c>
      <c r="M4617">
        <v>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2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/>
      <c r="AQ4617">
        <v>0</v>
      </c>
      <c r="AR4617">
        <v>0</v>
      </c>
      <c r="AT4617">
        <v>0</v>
      </c>
      <c r="AU4617">
        <v>0</v>
      </c>
      <c r="AW4617">
        <v>0</v>
      </c>
      <c r="AX4617">
        <v>0</v>
      </c>
      <c r="AY4617">
        <v>0</v>
      </c>
      <c r="BC4617" t="str">
        <f t="shared" si="620"/>
        <v>9791188630066</v>
      </c>
      <c r="BE4617" t="str">
        <f t="shared" si="617"/>
        <v>판타지 웹소설 &gt; 현대 판타지</v>
      </c>
    </row>
    <row r="4618" spans="1:57" x14ac:dyDescent="0.3">
      <c r="A4618">
        <v>2313003101</v>
      </c>
      <c r="B4618">
        <v>2313003110</v>
      </c>
      <c r="C4618" t="str">
        <f>T("로드 오브 머니 10화")</f>
        <v>로드 오브 머니 10화</v>
      </c>
      <c r="D4618" t="str">
        <f>T("10")</f>
        <v>10</v>
      </c>
      <c r="E4618" t="str">
        <f t="shared" si="618"/>
        <v>무장</v>
      </c>
      <c r="H4618" t="str">
        <f t="shared" si="611"/>
        <v>스토리위즈</v>
      </c>
      <c r="I4618" t="str">
        <f t="shared" si="619"/>
        <v>로드 오브 머니</v>
      </c>
      <c r="J4618">
        <v>0</v>
      </c>
      <c r="K4618">
        <v>0</v>
      </c>
      <c r="L4618">
        <v>0</v>
      </c>
      <c r="M4618">
        <v>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/>
      <c r="AQ4618">
        <v>0</v>
      </c>
      <c r="AR4618">
        <v>0</v>
      </c>
      <c r="AT4618">
        <v>0</v>
      </c>
      <c r="AU4618">
        <v>0</v>
      </c>
      <c r="AW4618">
        <v>0</v>
      </c>
      <c r="AX4618">
        <v>0</v>
      </c>
      <c r="AY4618">
        <v>0</v>
      </c>
      <c r="BC4618" t="str">
        <f t="shared" si="620"/>
        <v>9791188630066</v>
      </c>
      <c r="BE4618" t="str">
        <f t="shared" si="617"/>
        <v>판타지 웹소설 &gt; 현대 판타지</v>
      </c>
    </row>
    <row r="4619" spans="1:57" x14ac:dyDescent="0.3">
      <c r="A4619">
        <v>2313003101</v>
      </c>
      <c r="B4619">
        <v>2313003111</v>
      </c>
      <c r="C4619" t="str">
        <f>T("로드 오브 머니 11화")</f>
        <v>로드 오브 머니 11화</v>
      </c>
      <c r="D4619" t="str">
        <f>T("11")</f>
        <v>11</v>
      </c>
      <c r="E4619" t="str">
        <f t="shared" si="618"/>
        <v>무장</v>
      </c>
      <c r="H4619" t="str">
        <f t="shared" si="611"/>
        <v>스토리위즈</v>
      </c>
      <c r="I4619" t="str">
        <f t="shared" si="619"/>
        <v>로드 오브 머니</v>
      </c>
      <c r="J4619">
        <v>0</v>
      </c>
      <c r="K4619">
        <v>0</v>
      </c>
      <c r="L4619">
        <v>0</v>
      </c>
      <c r="M4619">
        <v>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/>
      <c r="AQ4619">
        <v>0</v>
      </c>
      <c r="AR4619">
        <v>0</v>
      </c>
      <c r="AT4619">
        <v>0</v>
      </c>
      <c r="AU4619">
        <v>0</v>
      </c>
      <c r="AW4619">
        <v>0</v>
      </c>
      <c r="AX4619">
        <v>0</v>
      </c>
      <c r="AY4619">
        <v>0</v>
      </c>
      <c r="BC4619" t="str">
        <f t="shared" si="620"/>
        <v>9791188630066</v>
      </c>
      <c r="BE4619" t="str">
        <f t="shared" si="617"/>
        <v>판타지 웹소설 &gt; 현대 판타지</v>
      </c>
    </row>
    <row r="4620" spans="1:57" x14ac:dyDescent="0.3">
      <c r="A4620">
        <v>2313003101</v>
      </c>
      <c r="B4620">
        <v>2313003112</v>
      </c>
      <c r="C4620" t="str">
        <f>T("로드 오브 머니 12화")</f>
        <v>로드 오브 머니 12화</v>
      </c>
      <c r="D4620" t="str">
        <f>T("12")</f>
        <v>12</v>
      </c>
      <c r="E4620" t="str">
        <f t="shared" si="618"/>
        <v>무장</v>
      </c>
      <c r="H4620" t="str">
        <f t="shared" si="611"/>
        <v>스토리위즈</v>
      </c>
      <c r="I4620" t="str">
        <f t="shared" si="619"/>
        <v>로드 오브 머니</v>
      </c>
      <c r="J4620">
        <v>0</v>
      </c>
      <c r="K4620">
        <v>0</v>
      </c>
      <c r="L4620">
        <v>0</v>
      </c>
      <c r="M4620">
        <v>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/>
      <c r="AQ4620">
        <v>0</v>
      </c>
      <c r="AR4620">
        <v>0</v>
      </c>
      <c r="AT4620">
        <v>0</v>
      </c>
      <c r="AU4620">
        <v>0</v>
      </c>
      <c r="AW4620">
        <v>0</v>
      </c>
      <c r="AX4620">
        <v>0</v>
      </c>
      <c r="AY4620">
        <v>0</v>
      </c>
      <c r="BC4620" t="str">
        <f t="shared" si="620"/>
        <v>9791188630066</v>
      </c>
      <c r="BE4620" t="str">
        <f t="shared" si="617"/>
        <v>판타지 웹소설 &gt; 현대 판타지</v>
      </c>
    </row>
    <row r="4621" spans="1:57" x14ac:dyDescent="0.3">
      <c r="A4621">
        <v>2313003101</v>
      </c>
      <c r="B4621">
        <v>2313003113</v>
      </c>
      <c r="C4621" t="str">
        <f>T("로드 오브 머니 13화")</f>
        <v>로드 오브 머니 13화</v>
      </c>
      <c r="D4621" t="str">
        <f>T("13")</f>
        <v>13</v>
      </c>
      <c r="E4621" t="str">
        <f t="shared" si="618"/>
        <v>무장</v>
      </c>
      <c r="H4621" t="str">
        <f t="shared" si="611"/>
        <v>스토리위즈</v>
      </c>
      <c r="I4621" t="str">
        <f t="shared" si="619"/>
        <v>로드 오브 머니</v>
      </c>
      <c r="J4621">
        <v>0</v>
      </c>
      <c r="K4621">
        <v>0</v>
      </c>
      <c r="L4621">
        <v>0</v>
      </c>
      <c r="M4621">
        <v>2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/>
      <c r="AQ4621">
        <v>0</v>
      </c>
      <c r="AR4621">
        <v>0</v>
      </c>
      <c r="AT4621">
        <v>0</v>
      </c>
      <c r="AU4621">
        <v>0</v>
      </c>
      <c r="AW4621">
        <v>0</v>
      </c>
      <c r="AX4621">
        <v>0</v>
      </c>
      <c r="AY4621">
        <v>0</v>
      </c>
      <c r="BC4621" t="str">
        <f t="shared" si="620"/>
        <v>9791188630066</v>
      </c>
      <c r="BE4621" t="str">
        <f t="shared" si="617"/>
        <v>판타지 웹소설 &gt; 현대 판타지</v>
      </c>
    </row>
    <row r="4622" spans="1:57" x14ac:dyDescent="0.3">
      <c r="A4622">
        <v>2313003101</v>
      </c>
      <c r="B4622">
        <v>2313003114</v>
      </c>
      <c r="C4622" t="str">
        <f>T("로드 오브 머니 14화")</f>
        <v>로드 오브 머니 14화</v>
      </c>
      <c r="D4622" t="str">
        <f>T("14")</f>
        <v>14</v>
      </c>
      <c r="E4622" t="str">
        <f t="shared" si="618"/>
        <v>무장</v>
      </c>
      <c r="H4622" t="str">
        <f t="shared" ref="H4622:H4685" si="621">T("스토리위즈")</f>
        <v>스토리위즈</v>
      </c>
      <c r="I4622" t="str">
        <f t="shared" si="619"/>
        <v>로드 오브 머니</v>
      </c>
      <c r="J4622">
        <v>0</v>
      </c>
      <c r="K4622">
        <v>0</v>
      </c>
      <c r="L4622">
        <v>0</v>
      </c>
      <c r="M4622">
        <v>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2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/>
      <c r="AQ4622">
        <v>0</v>
      </c>
      <c r="AR4622">
        <v>0</v>
      </c>
      <c r="AT4622">
        <v>0</v>
      </c>
      <c r="AU4622">
        <v>0</v>
      </c>
      <c r="AW4622">
        <v>0</v>
      </c>
      <c r="AX4622">
        <v>0</v>
      </c>
      <c r="AY4622">
        <v>0</v>
      </c>
      <c r="BC4622" t="str">
        <f t="shared" si="620"/>
        <v>9791188630066</v>
      </c>
      <c r="BE4622" t="str">
        <f t="shared" si="617"/>
        <v>판타지 웹소설 &gt; 현대 판타지</v>
      </c>
    </row>
    <row r="4623" spans="1:57" x14ac:dyDescent="0.3">
      <c r="A4623">
        <v>2313003101</v>
      </c>
      <c r="B4623">
        <v>2313003115</v>
      </c>
      <c r="C4623" t="str">
        <f>T("로드 오브 머니 15화")</f>
        <v>로드 오브 머니 15화</v>
      </c>
      <c r="D4623" t="str">
        <f>T("15")</f>
        <v>15</v>
      </c>
      <c r="E4623" t="str">
        <f t="shared" si="618"/>
        <v>무장</v>
      </c>
      <c r="H4623" t="str">
        <f t="shared" si="621"/>
        <v>스토리위즈</v>
      </c>
      <c r="I4623" t="str">
        <f t="shared" si="619"/>
        <v>로드 오브 머니</v>
      </c>
      <c r="J4623">
        <v>0</v>
      </c>
      <c r="K4623">
        <v>0</v>
      </c>
      <c r="L4623">
        <v>0</v>
      </c>
      <c r="M4623">
        <v>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2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/>
      <c r="AQ4623">
        <v>0</v>
      </c>
      <c r="AR4623">
        <v>0</v>
      </c>
      <c r="AT4623">
        <v>0</v>
      </c>
      <c r="AU4623">
        <v>0</v>
      </c>
      <c r="AW4623">
        <v>0</v>
      </c>
      <c r="AX4623">
        <v>0</v>
      </c>
      <c r="AY4623">
        <v>0</v>
      </c>
      <c r="BC4623" t="str">
        <f t="shared" si="620"/>
        <v>9791188630066</v>
      </c>
      <c r="BE4623" t="str">
        <f t="shared" si="617"/>
        <v>판타지 웹소설 &gt; 현대 판타지</v>
      </c>
    </row>
    <row r="4624" spans="1:57" x14ac:dyDescent="0.3">
      <c r="A4624">
        <v>2313003101</v>
      </c>
      <c r="B4624">
        <v>2313003116</v>
      </c>
      <c r="C4624" t="str">
        <f>T("로드 오브 머니 16화")</f>
        <v>로드 오브 머니 16화</v>
      </c>
      <c r="D4624" t="str">
        <f>T("16")</f>
        <v>16</v>
      </c>
      <c r="E4624" t="str">
        <f t="shared" si="618"/>
        <v>무장</v>
      </c>
      <c r="H4624" t="str">
        <f t="shared" si="621"/>
        <v>스토리위즈</v>
      </c>
      <c r="I4624" t="str">
        <f t="shared" si="619"/>
        <v>로드 오브 머니</v>
      </c>
      <c r="J4624">
        <v>0</v>
      </c>
      <c r="K4624">
        <v>0</v>
      </c>
      <c r="L4624">
        <v>0</v>
      </c>
      <c r="M4624">
        <v>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2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/>
      <c r="AQ4624">
        <v>0</v>
      </c>
      <c r="AR4624">
        <v>0</v>
      </c>
      <c r="AT4624">
        <v>0</v>
      </c>
      <c r="AU4624">
        <v>0</v>
      </c>
      <c r="AW4624">
        <v>0</v>
      </c>
      <c r="AX4624">
        <v>0</v>
      </c>
      <c r="AY4624">
        <v>0</v>
      </c>
      <c r="BC4624" t="str">
        <f t="shared" si="620"/>
        <v>9791188630066</v>
      </c>
      <c r="BE4624" t="str">
        <f t="shared" si="617"/>
        <v>판타지 웹소설 &gt; 현대 판타지</v>
      </c>
    </row>
    <row r="4625" spans="1:57" x14ac:dyDescent="0.3">
      <c r="A4625">
        <v>2313003101</v>
      </c>
      <c r="B4625">
        <v>2313003117</v>
      </c>
      <c r="C4625" t="str">
        <f>T("로드 오브 머니 17화")</f>
        <v>로드 오브 머니 17화</v>
      </c>
      <c r="D4625" t="str">
        <f>T("17")</f>
        <v>17</v>
      </c>
      <c r="E4625" t="str">
        <f t="shared" si="618"/>
        <v>무장</v>
      </c>
      <c r="H4625" t="str">
        <f t="shared" si="621"/>
        <v>스토리위즈</v>
      </c>
      <c r="I4625" t="str">
        <f t="shared" si="619"/>
        <v>로드 오브 머니</v>
      </c>
      <c r="J4625">
        <v>0</v>
      </c>
      <c r="K4625">
        <v>0</v>
      </c>
      <c r="L4625">
        <v>0</v>
      </c>
      <c r="M4625">
        <v>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2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/>
      <c r="AQ4625">
        <v>0</v>
      </c>
      <c r="AR4625">
        <v>0</v>
      </c>
      <c r="AT4625">
        <v>0</v>
      </c>
      <c r="AU4625">
        <v>0</v>
      </c>
      <c r="AW4625">
        <v>0</v>
      </c>
      <c r="AX4625">
        <v>0</v>
      </c>
      <c r="AY4625">
        <v>0</v>
      </c>
      <c r="BC4625" t="str">
        <f t="shared" si="620"/>
        <v>9791188630066</v>
      </c>
      <c r="BE4625" t="str">
        <f t="shared" si="617"/>
        <v>판타지 웹소설 &gt; 현대 판타지</v>
      </c>
    </row>
    <row r="4626" spans="1:57" x14ac:dyDescent="0.3">
      <c r="A4626">
        <v>2313003101</v>
      </c>
      <c r="B4626">
        <v>2313003118</v>
      </c>
      <c r="C4626" t="str">
        <f>T("로드 오브 머니 18화")</f>
        <v>로드 오브 머니 18화</v>
      </c>
      <c r="D4626" t="str">
        <f>T("18")</f>
        <v>18</v>
      </c>
      <c r="E4626" t="str">
        <f t="shared" si="618"/>
        <v>무장</v>
      </c>
      <c r="H4626" t="str">
        <f t="shared" si="621"/>
        <v>스토리위즈</v>
      </c>
      <c r="I4626" t="str">
        <f t="shared" si="619"/>
        <v>로드 오브 머니</v>
      </c>
      <c r="J4626">
        <v>0</v>
      </c>
      <c r="K4626">
        <v>0</v>
      </c>
      <c r="L4626">
        <v>0</v>
      </c>
      <c r="M4626">
        <v>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2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/>
      <c r="AQ4626">
        <v>0</v>
      </c>
      <c r="AR4626">
        <v>0</v>
      </c>
      <c r="AT4626">
        <v>0</v>
      </c>
      <c r="AU4626">
        <v>0</v>
      </c>
      <c r="AW4626">
        <v>0</v>
      </c>
      <c r="AX4626">
        <v>0</v>
      </c>
      <c r="AY4626">
        <v>0</v>
      </c>
      <c r="BC4626" t="str">
        <f t="shared" si="620"/>
        <v>9791188630066</v>
      </c>
      <c r="BE4626" t="str">
        <f t="shared" si="617"/>
        <v>판타지 웹소설 &gt; 현대 판타지</v>
      </c>
    </row>
    <row r="4627" spans="1:57" x14ac:dyDescent="0.3">
      <c r="A4627">
        <v>2313003101</v>
      </c>
      <c r="B4627">
        <v>2313003119</v>
      </c>
      <c r="C4627" t="str">
        <f>T("로드 오브 머니 19화")</f>
        <v>로드 오브 머니 19화</v>
      </c>
      <c r="D4627" t="str">
        <f>T("19")</f>
        <v>19</v>
      </c>
      <c r="E4627" t="str">
        <f t="shared" si="618"/>
        <v>무장</v>
      </c>
      <c r="H4627" t="str">
        <f t="shared" si="621"/>
        <v>스토리위즈</v>
      </c>
      <c r="I4627" t="str">
        <f t="shared" si="619"/>
        <v>로드 오브 머니</v>
      </c>
      <c r="J4627">
        <v>0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2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/>
      <c r="AQ4627">
        <v>0</v>
      </c>
      <c r="AR4627">
        <v>0</v>
      </c>
      <c r="AT4627">
        <v>0</v>
      </c>
      <c r="AU4627">
        <v>0</v>
      </c>
      <c r="AW4627">
        <v>0</v>
      </c>
      <c r="AX4627">
        <v>0</v>
      </c>
      <c r="AY4627">
        <v>0</v>
      </c>
      <c r="BC4627" t="str">
        <f t="shared" si="620"/>
        <v>9791188630066</v>
      </c>
      <c r="BE4627" t="str">
        <f t="shared" si="617"/>
        <v>판타지 웹소설 &gt; 현대 판타지</v>
      </c>
    </row>
    <row r="4628" spans="1:57" x14ac:dyDescent="0.3">
      <c r="A4628">
        <v>2313003101</v>
      </c>
      <c r="B4628">
        <v>2313003120</v>
      </c>
      <c r="C4628" t="str">
        <f>T("로드 오브 머니 20화")</f>
        <v>로드 오브 머니 20화</v>
      </c>
      <c r="D4628" t="str">
        <f>T("20")</f>
        <v>20</v>
      </c>
      <c r="E4628" t="str">
        <f t="shared" si="618"/>
        <v>무장</v>
      </c>
      <c r="H4628" t="str">
        <f t="shared" si="621"/>
        <v>스토리위즈</v>
      </c>
      <c r="I4628" t="str">
        <f t="shared" si="619"/>
        <v>로드 오브 머니</v>
      </c>
      <c r="J4628">
        <v>0</v>
      </c>
      <c r="K4628">
        <v>0</v>
      </c>
      <c r="L4628">
        <v>0</v>
      </c>
      <c r="M4628">
        <v>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2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/>
      <c r="AQ4628">
        <v>0</v>
      </c>
      <c r="AR4628">
        <v>0</v>
      </c>
      <c r="AT4628">
        <v>0</v>
      </c>
      <c r="AU4628">
        <v>0</v>
      </c>
      <c r="AW4628">
        <v>0</v>
      </c>
      <c r="AX4628">
        <v>0</v>
      </c>
      <c r="AY4628">
        <v>0</v>
      </c>
      <c r="BC4628" t="str">
        <f t="shared" si="620"/>
        <v>9791188630066</v>
      </c>
      <c r="BE4628" t="str">
        <f t="shared" si="617"/>
        <v>판타지 웹소설 &gt; 현대 판타지</v>
      </c>
    </row>
    <row r="4629" spans="1:57" x14ac:dyDescent="0.3">
      <c r="A4629">
        <v>2313003101</v>
      </c>
      <c r="B4629">
        <v>2313003121</v>
      </c>
      <c r="C4629" t="str">
        <f>T("로드 오브 머니 21화")</f>
        <v>로드 오브 머니 21화</v>
      </c>
      <c r="D4629" t="str">
        <f>T("21")</f>
        <v>21</v>
      </c>
      <c r="E4629" t="str">
        <f t="shared" si="618"/>
        <v>무장</v>
      </c>
      <c r="H4629" t="str">
        <f t="shared" si="621"/>
        <v>스토리위즈</v>
      </c>
      <c r="I4629" t="str">
        <f t="shared" si="619"/>
        <v>로드 오브 머니</v>
      </c>
      <c r="J4629">
        <v>0</v>
      </c>
      <c r="K4629">
        <v>0</v>
      </c>
      <c r="L4629">
        <v>0</v>
      </c>
      <c r="M4629">
        <v>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2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/>
      <c r="AQ4629">
        <v>0</v>
      </c>
      <c r="AR4629">
        <v>0</v>
      </c>
      <c r="AT4629">
        <v>0</v>
      </c>
      <c r="AU4629">
        <v>0</v>
      </c>
      <c r="AW4629">
        <v>0</v>
      </c>
      <c r="AX4629">
        <v>0</v>
      </c>
      <c r="AY4629">
        <v>0</v>
      </c>
      <c r="BC4629" t="str">
        <f t="shared" si="620"/>
        <v>9791188630066</v>
      </c>
      <c r="BE4629" t="str">
        <f t="shared" si="617"/>
        <v>판타지 웹소설 &gt; 현대 판타지</v>
      </c>
    </row>
    <row r="4630" spans="1:57" x14ac:dyDescent="0.3">
      <c r="A4630">
        <v>2313003101</v>
      </c>
      <c r="B4630">
        <v>2313003122</v>
      </c>
      <c r="C4630" t="str">
        <f>T("로드 오브 머니 22화")</f>
        <v>로드 오브 머니 22화</v>
      </c>
      <c r="D4630" t="str">
        <f>T("22")</f>
        <v>22</v>
      </c>
      <c r="E4630" t="str">
        <f t="shared" si="618"/>
        <v>무장</v>
      </c>
      <c r="H4630" t="str">
        <f t="shared" si="621"/>
        <v>스토리위즈</v>
      </c>
      <c r="I4630" t="str">
        <f t="shared" si="619"/>
        <v>로드 오브 머니</v>
      </c>
      <c r="J4630">
        <v>0</v>
      </c>
      <c r="K4630">
        <v>0</v>
      </c>
      <c r="L4630">
        <v>0</v>
      </c>
      <c r="M4630">
        <v>2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2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/>
      <c r="AQ4630">
        <v>0</v>
      </c>
      <c r="AR4630">
        <v>0</v>
      </c>
      <c r="AT4630">
        <v>0</v>
      </c>
      <c r="AU4630">
        <v>0</v>
      </c>
      <c r="AW4630">
        <v>0</v>
      </c>
      <c r="AX4630">
        <v>0</v>
      </c>
      <c r="AY4630">
        <v>0</v>
      </c>
      <c r="BC4630" t="str">
        <f t="shared" si="620"/>
        <v>9791188630066</v>
      </c>
      <c r="BE4630" t="str">
        <f t="shared" si="617"/>
        <v>판타지 웹소설 &gt; 현대 판타지</v>
      </c>
    </row>
    <row r="4631" spans="1:57" x14ac:dyDescent="0.3">
      <c r="A4631">
        <v>2313003101</v>
      </c>
      <c r="B4631">
        <v>2313003123</v>
      </c>
      <c r="C4631" t="str">
        <f>T("로드 오브 머니 23화")</f>
        <v>로드 오브 머니 23화</v>
      </c>
      <c r="D4631" t="str">
        <f>T("23")</f>
        <v>23</v>
      </c>
      <c r="E4631" t="str">
        <f t="shared" si="618"/>
        <v>무장</v>
      </c>
      <c r="H4631" t="str">
        <f t="shared" si="621"/>
        <v>스토리위즈</v>
      </c>
      <c r="I4631" t="str">
        <f t="shared" si="619"/>
        <v>로드 오브 머니</v>
      </c>
      <c r="J4631">
        <v>0</v>
      </c>
      <c r="K4631">
        <v>0</v>
      </c>
      <c r="L4631">
        <v>0</v>
      </c>
      <c r="M4631">
        <v>3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3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/>
      <c r="AQ4631">
        <v>0</v>
      </c>
      <c r="AR4631">
        <v>0</v>
      </c>
      <c r="AT4631">
        <v>0</v>
      </c>
      <c r="AU4631">
        <v>0</v>
      </c>
      <c r="AW4631">
        <v>0</v>
      </c>
      <c r="AX4631">
        <v>0</v>
      </c>
      <c r="AY4631">
        <v>0</v>
      </c>
      <c r="BC4631" t="str">
        <f t="shared" si="620"/>
        <v>9791188630066</v>
      </c>
      <c r="BE4631" t="str">
        <f t="shared" si="617"/>
        <v>판타지 웹소설 &gt; 현대 판타지</v>
      </c>
    </row>
    <row r="4632" spans="1:57" x14ac:dyDescent="0.3">
      <c r="A4632">
        <v>2313004289</v>
      </c>
      <c r="B4632">
        <v>2313004289</v>
      </c>
      <c r="C4632" t="str">
        <f>T("SSS급 마왕의 귀환 1화")</f>
        <v>SSS급 마왕의 귀환 1화</v>
      </c>
      <c r="D4632" t="str">
        <f>T("1")</f>
        <v>1</v>
      </c>
      <c r="E4632" t="str">
        <f t="shared" ref="E4632:E4656" si="622">T("구유")</f>
        <v>구유</v>
      </c>
      <c r="H4632" t="str">
        <f t="shared" si="621"/>
        <v>스토리위즈</v>
      </c>
      <c r="I4632" t="str">
        <f t="shared" ref="I4632:I4656" si="623">T("SSS급 마왕의 귀환")</f>
        <v>SSS급 마왕의 귀환</v>
      </c>
      <c r="J4632">
        <v>0</v>
      </c>
      <c r="K4632">
        <v>0</v>
      </c>
      <c r="L4632">
        <v>0</v>
      </c>
      <c r="M4632">
        <v>5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5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/>
      <c r="AQ4632">
        <v>0</v>
      </c>
      <c r="AR4632">
        <v>0</v>
      </c>
      <c r="AT4632">
        <v>0</v>
      </c>
      <c r="AU4632">
        <v>0</v>
      </c>
      <c r="AW4632">
        <v>0</v>
      </c>
      <c r="AX4632">
        <v>0</v>
      </c>
      <c r="AY4632">
        <v>0</v>
      </c>
      <c r="BA4632" t="str">
        <f>T("0000000000000")</f>
        <v>0000000000000</v>
      </c>
      <c r="BC4632" t="str">
        <f t="shared" ref="BC4632:BC4656" si="624">T("9791159289057")</f>
        <v>9791159289057</v>
      </c>
      <c r="BE4632" t="str">
        <f t="shared" ref="BE4632:BE4658" si="625">T("판타지 웹소설 &gt; 퓨전 판타지")</f>
        <v>판타지 웹소설 &gt; 퓨전 판타지</v>
      </c>
    </row>
    <row r="4633" spans="1:57" x14ac:dyDescent="0.3">
      <c r="A4633">
        <v>2313004289</v>
      </c>
      <c r="B4633">
        <v>2313004290</v>
      </c>
      <c r="C4633" t="str">
        <f>T("SSS급 마왕의 귀환 2화")</f>
        <v>SSS급 마왕의 귀환 2화</v>
      </c>
      <c r="D4633" t="str">
        <f>T("2")</f>
        <v>2</v>
      </c>
      <c r="E4633" t="str">
        <f t="shared" si="622"/>
        <v>구유</v>
      </c>
      <c r="H4633" t="str">
        <f t="shared" si="621"/>
        <v>스토리위즈</v>
      </c>
      <c r="I4633" t="str">
        <f t="shared" si="623"/>
        <v>SSS급 마왕의 귀환</v>
      </c>
      <c r="J4633">
        <v>0</v>
      </c>
      <c r="K4633">
        <v>0</v>
      </c>
      <c r="L4633">
        <v>0</v>
      </c>
      <c r="M4633">
        <v>4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4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/>
      <c r="AQ4633">
        <v>0</v>
      </c>
      <c r="AR4633">
        <v>0</v>
      </c>
      <c r="AT4633">
        <v>0</v>
      </c>
      <c r="AU4633">
        <v>0</v>
      </c>
      <c r="AW4633">
        <v>0</v>
      </c>
      <c r="AX4633">
        <v>0</v>
      </c>
      <c r="AY4633">
        <v>0</v>
      </c>
      <c r="BC4633" t="str">
        <f t="shared" si="624"/>
        <v>9791159289057</v>
      </c>
      <c r="BE4633" t="str">
        <f t="shared" si="625"/>
        <v>판타지 웹소설 &gt; 퓨전 판타지</v>
      </c>
    </row>
    <row r="4634" spans="1:57" x14ac:dyDescent="0.3">
      <c r="A4634">
        <v>2313004289</v>
      </c>
      <c r="B4634">
        <v>2313004291</v>
      </c>
      <c r="C4634" t="str">
        <f>T("SSS급 마왕의 귀환 3화")</f>
        <v>SSS급 마왕의 귀환 3화</v>
      </c>
      <c r="D4634" t="str">
        <f>T("3")</f>
        <v>3</v>
      </c>
      <c r="E4634" t="str">
        <f t="shared" si="622"/>
        <v>구유</v>
      </c>
      <c r="H4634" t="str">
        <f t="shared" si="621"/>
        <v>스토리위즈</v>
      </c>
      <c r="I4634" t="str">
        <f t="shared" si="623"/>
        <v>SSS급 마왕의 귀환</v>
      </c>
      <c r="J4634">
        <v>0</v>
      </c>
      <c r="K4634">
        <v>0</v>
      </c>
      <c r="L4634">
        <v>0</v>
      </c>
      <c r="M4634">
        <v>4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4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/>
      <c r="AQ4634">
        <v>0</v>
      </c>
      <c r="AR4634">
        <v>0</v>
      </c>
      <c r="AT4634">
        <v>0</v>
      </c>
      <c r="AU4634">
        <v>0</v>
      </c>
      <c r="AW4634">
        <v>0</v>
      </c>
      <c r="AX4634">
        <v>0</v>
      </c>
      <c r="AY4634">
        <v>0</v>
      </c>
      <c r="BC4634" t="str">
        <f t="shared" si="624"/>
        <v>9791159289057</v>
      </c>
      <c r="BE4634" t="str">
        <f t="shared" si="625"/>
        <v>판타지 웹소설 &gt; 퓨전 판타지</v>
      </c>
    </row>
    <row r="4635" spans="1:57" x14ac:dyDescent="0.3">
      <c r="A4635">
        <v>2313004289</v>
      </c>
      <c r="B4635">
        <v>2313004292</v>
      </c>
      <c r="C4635" t="str">
        <f>T("SSS급 마왕의 귀환 4화")</f>
        <v>SSS급 마왕의 귀환 4화</v>
      </c>
      <c r="D4635" t="str">
        <f>T("4")</f>
        <v>4</v>
      </c>
      <c r="E4635" t="str">
        <f t="shared" si="622"/>
        <v>구유</v>
      </c>
      <c r="H4635" t="str">
        <f t="shared" si="621"/>
        <v>스토리위즈</v>
      </c>
      <c r="I4635" t="str">
        <f t="shared" si="623"/>
        <v>SSS급 마왕의 귀환</v>
      </c>
      <c r="J4635">
        <v>0</v>
      </c>
      <c r="K4635">
        <v>0</v>
      </c>
      <c r="L4635">
        <v>0</v>
      </c>
      <c r="M4635">
        <v>3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3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/>
      <c r="AQ4635">
        <v>0</v>
      </c>
      <c r="AR4635">
        <v>0</v>
      </c>
      <c r="AT4635">
        <v>0</v>
      </c>
      <c r="AU4635">
        <v>0</v>
      </c>
      <c r="AW4635">
        <v>0</v>
      </c>
      <c r="AX4635">
        <v>0</v>
      </c>
      <c r="AY4635">
        <v>0</v>
      </c>
      <c r="BC4635" t="str">
        <f t="shared" si="624"/>
        <v>9791159289057</v>
      </c>
      <c r="BE4635" t="str">
        <f t="shared" si="625"/>
        <v>판타지 웹소설 &gt; 퓨전 판타지</v>
      </c>
    </row>
    <row r="4636" spans="1:57" x14ac:dyDescent="0.3">
      <c r="A4636">
        <v>2313004289</v>
      </c>
      <c r="B4636">
        <v>2313004293</v>
      </c>
      <c r="C4636" t="str">
        <f>T("SSS급 마왕의 귀환 5화")</f>
        <v>SSS급 마왕의 귀환 5화</v>
      </c>
      <c r="D4636" t="str">
        <f>T("5")</f>
        <v>5</v>
      </c>
      <c r="E4636" t="str">
        <f t="shared" si="622"/>
        <v>구유</v>
      </c>
      <c r="H4636" t="str">
        <f t="shared" si="621"/>
        <v>스토리위즈</v>
      </c>
      <c r="I4636" t="str">
        <f t="shared" si="623"/>
        <v>SSS급 마왕의 귀환</v>
      </c>
      <c r="J4636">
        <v>0</v>
      </c>
      <c r="K4636">
        <v>0</v>
      </c>
      <c r="L4636">
        <v>0</v>
      </c>
      <c r="M4636">
        <v>3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3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/>
      <c r="AQ4636">
        <v>0</v>
      </c>
      <c r="AR4636">
        <v>0</v>
      </c>
      <c r="AT4636">
        <v>0</v>
      </c>
      <c r="AU4636">
        <v>0</v>
      </c>
      <c r="AW4636">
        <v>0</v>
      </c>
      <c r="AX4636">
        <v>0</v>
      </c>
      <c r="AY4636">
        <v>0</v>
      </c>
      <c r="BC4636" t="str">
        <f t="shared" si="624"/>
        <v>9791159289057</v>
      </c>
      <c r="BE4636" t="str">
        <f t="shared" si="625"/>
        <v>판타지 웹소설 &gt; 퓨전 판타지</v>
      </c>
    </row>
    <row r="4637" spans="1:57" x14ac:dyDescent="0.3">
      <c r="A4637">
        <v>2313004289</v>
      </c>
      <c r="B4637">
        <v>2313004294</v>
      </c>
      <c r="C4637" t="str">
        <f>T("SSS급 마왕의 귀환 6화")</f>
        <v>SSS급 마왕의 귀환 6화</v>
      </c>
      <c r="D4637" t="str">
        <f>T("6")</f>
        <v>6</v>
      </c>
      <c r="E4637" t="str">
        <f t="shared" si="622"/>
        <v>구유</v>
      </c>
      <c r="H4637" t="str">
        <f t="shared" si="621"/>
        <v>스토리위즈</v>
      </c>
      <c r="I4637" t="str">
        <f t="shared" si="623"/>
        <v>SSS급 마왕의 귀환</v>
      </c>
      <c r="J4637">
        <v>0</v>
      </c>
      <c r="K4637">
        <v>0</v>
      </c>
      <c r="L4637">
        <v>0</v>
      </c>
      <c r="M4637">
        <v>3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3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/>
      <c r="AQ4637">
        <v>0</v>
      </c>
      <c r="AR4637">
        <v>0</v>
      </c>
      <c r="AT4637">
        <v>0</v>
      </c>
      <c r="AU4637">
        <v>0</v>
      </c>
      <c r="AW4637">
        <v>0</v>
      </c>
      <c r="AX4637">
        <v>0</v>
      </c>
      <c r="AY4637">
        <v>0</v>
      </c>
      <c r="BC4637" t="str">
        <f t="shared" si="624"/>
        <v>9791159289057</v>
      </c>
      <c r="BE4637" t="str">
        <f t="shared" si="625"/>
        <v>판타지 웹소설 &gt; 퓨전 판타지</v>
      </c>
    </row>
    <row r="4638" spans="1:57" x14ac:dyDescent="0.3">
      <c r="A4638">
        <v>2313004289</v>
      </c>
      <c r="B4638">
        <v>2313004295</v>
      </c>
      <c r="C4638" t="str">
        <f>T("SSS급 마왕의 귀환 7화")</f>
        <v>SSS급 마왕의 귀환 7화</v>
      </c>
      <c r="D4638" t="str">
        <f>T("7")</f>
        <v>7</v>
      </c>
      <c r="E4638" t="str">
        <f t="shared" si="622"/>
        <v>구유</v>
      </c>
      <c r="H4638" t="str">
        <f t="shared" si="621"/>
        <v>스토리위즈</v>
      </c>
      <c r="I4638" t="str">
        <f t="shared" si="623"/>
        <v>SSS급 마왕의 귀환</v>
      </c>
      <c r="J4638">
        <v>0</v>
      </c>
      <c r="K4638">
        <v>0</v>
      </c>
      <c r="L4638">
        <v>0</v>
      </c>
      <c r="M4638">
        <v>3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3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/>
      <c r="AQ4638">
        <v>0</v>
      </c>
      <c r="AR4638">
        <v>0</v>
      </c>
      <c r="AT4638">
        <v>0</v>
      </c>
      <c r="AU4638">
        <v>0</v>
      </c>
      <c r="AW4638">
        <v>0</v>
      </c>
      <c r="AX4638">
        <v>0</v>
      </c>
      <c r="AY4638">
        <v>0</v>
      </c>
      <c r="BC4638" t="str">
        <f t="shared" si="624"/>
        <v>9791159289057</v>
      </c>
      <c r="BE4638" t="str">
        <f t="shared" si="625"/>
        <v>판타지 웹소설 &gt; 퓨전 판타지</v>
      </c>
    </row>
    <row r="4639" spans="1:57" x14ac:dyDescent="0.3">
      <c r="A4639">
        <v>2313004289</v>
      </c>
      <c r="B4639">
        <v>2313004296</v>
      </c>
      <c r="C4639" t="str">
        <f>T("SSS급 마왕의 귀환 8화")</f>
        <v>SSS급 마왕의 귀환 8화</v>
      </c>
      <c r="D4639" t="str">
        <f>T("8")</f>
        <v>8</v>
      </c>
      <c r="E4639" t="str">
        <f t="shared" si="622"/>
        <v>구유</v>
      </c>
      <c r="H4639" t="str">
        <f t="shared" si="621"/>
        <v>스토리위즈</v>
      </c>
      <c r="I4639" t="str">
        <f t="shared" si="623"/>
        <v>SSS급 마왕의 귀환</v>
      </c>
      <c r="J4639">
        <v>0</v>
      </c>
      <c r="K4639">
        <v>0</v>
      </c>
      <c r="L4639">
        <v>0</v>
      </c>
      <c r="M4639">
        <v>3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3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/>
      <c r="AQ4639">
        <v>0</v>
      </c>
      <c r="AR4639">
        <v>0</v>
      </c>
      <c r="AT4639">
        <v>0</v>
      </c>
      <c r="AU4639">
        <v>0</v>
      </c>
      <c r="AW4639">
        <v>0</v>
      </c>
      <c r="AX4639">
        <v>0</v>
      </c>
      <c r="AY4639">
        <v>0</v>
      </c>
      <c r="BC4639" t="str">
        <f t="shared" si="624"/>
        <v>9791159289057</v>
      </c>
      <c r="BE4639" t="str">
        <f t="shared" si="625"/>
        <v>판타지 웹소설 &gt; 퓨전 판타지</v>
      </c>
    </row>
    <row r="4640" spans="1:57" x14ac:dyDescent="0.3">
      <c r="A4640">
        <v>2313004289</v>
      </c>
      <c r="B4640">
        <v>2313004297</v>
      </c>
      <c r="C4640" t="str">
        <f>T("SSS급 마왕의 귀환 9화")</f>
        <v>SSS급 마왕의 귀환 9화</v>
      </c>
      <c r="D4640" t="str">
        <f>T("9")</f>
        <v>9</v>
      </c>
      <c r="E4640" t="str">
        <f t="shared" si="622"/>
        <v>구유</v>
      </c>
      <c r="H4640" t="str">
        <f t="shared" si="621"/>
        <v>스토리위즈</v>
      </c>
      <c r="I4640" t="str">
        <f t="shared" si="623"/>
        <v>SSS급 마왕의 귀환</v>
      </c>
      <c r="J4640">
        <v>0</v>
      </c>
      <c r="K4640">
        <v>0</v>
      </c>
      <c r="L4640">
        <v>0</v>
      </c>
      <c r="M4640">
        <v>3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3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/>
      <c r="AQ4640">
        <v>0</v>
      </c>
      <c r="AR4640">
        <v>0</v>
      </c>
      <c r="AT4640">
        <v>0</v>
      </c>
      <c r="AU4640">
        <v>0</v>
      </c>
      <c r="AW4640">
        <v>0</v>
      </c>
      <c r="AX4640">
        <v>0</v>
      </c>
      <c r="AY4640">
        <v>0</v>
      </c>
      <c r="BC4640" t="str">
        <f t="shared" si="624"/>
        <v>9791159289057</v>
      </c>
      <c r="BE4640" t="str">
        <f t="shared" si="625"/>
        <v>판타지 웹소설 &gt; 퓨전 판타지</v>
      </c>
    </row>
    <row r="4641" spans="1:57" x14ac:dyDescent="0.3">
      <c r="A4641">
        <v>2313004289</v>
      </c>
      <c r="B4641">
        <v>2313004298</v>
      </c>
      <c r="C4641" t="str">
        <f>T("SSS급 마왕의 귀환 10화")</f>
        <v>SSS급 마왕의 귀환 10화</v>
      </c>
      <c r="D4641" t="str">
        <f>T("10")</f>
        <v>10</v>
      </c>
      <c r="E4641" t="str">
        <f t="shared" si="622"/>
        <v>구유</v>
      </c>
      <c r="H4641" t="str">
        <f t="shared" si="621"/>
        <v>스토리위즈</v>
      </c>
      <c r="I4641" t="str">
        <f t="shared" si="623"/>
        <v>SSS급 마왕의 귀환</v>
      </c>
      <c r="J4641">
        <v>0</v>
      </c>
      <c r="K4641">
        <v>0</v>
      </c>
      <c r="L4641">
        <v>0</v>
      </c>
      <c r="M4641">
        <v>3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3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/>
      <c r="AQ4641">
        <v>0</v>
      </c>
      <c r="AR4641">
        <v>0</v>
      </c>
      <c r="AT4641">
        <v>0</v>
      </c>
      <c r="AU4641">
        <v>0</v>
      </c>
      <c r="AW4641">
        <v>0</v>
      </c>
      <c r="AX4641">
        <v>0</v>
      </c>
      <c r="AY4641">
        <v>0</v>
      </c>
      <c r="BC4641" t="str">
        <f t="shared" si="624"/>
        <v>9791159289057</v>
      </c>
      <c r="BE4641" t="str">
        <f t="shared" si="625"/>
        <v>판타지 웹소설 &gt; 퓨전 판타지</v>
      </c>
    </row>
    <row r="4642" spans="1:57" x14ac:dyDescent="0.3">
      <c r="A4642">
        <v>2313004289</v>
      </c>
      <c r="B4642">
        <v>2313004299</v>
      </c>
      <c r="C4642" t="str">
        <f>T("SSS급 마왕의 귀환 11화")</f>
        <v>SSS급 마왕의 귀환 11화</v>
      </c>
      <c r="D4642" t="str">
        <f>T("11")</f>
        <v>11</v>
      </c>
      <c r="E4642" t="str">
        <f t="shared" si="622"/>
        <v>구유</v>
      </c>
      <c r="H4642" t="str">
        <f t="shared" si="621"/>
        <v>스토리위즈</v>
      </c>
      <c r="I4642" t="str">
        <f t="shared" si="623"/>
        <v>SSS급 마왕의 귀환</v>
      </c>
      <c r="J4642">
        <v>0</v>
      </c>
      <c r="K4642">
        <v>0</v>
      </c>
      <c r="L4642">
        <v>0</v>
      </c>
      <c r="M4642">
        <v>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3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/>
      <c r="AQ4642">
        <v>0</v>
      </c>
      <c r="AR4642">
        <v>0</v>
      </c>
      <c r="AT4642">
        <v>0</v>
      </c>
      <c r="AU4642">
        <v>0</v>
      </c>
      <c r="AW4642">
        <v>0</v>
      </c>
      <c r="AX4642">
        <v>0</v>
      </c>
      <c r="AY4642">
        <v>0</v>
      </c>
      <c r="BC4642" t="str">
        <f t="shared" si="624"/>
        <v>9791159289057</v>
      </c>
      <c r="BE4642" t="str">
        <f t="shared" si="625"/>
        <v>판타지 웹소설 &gt; 퓨전 판타지</v>
      </c>
    </row>
    <row r="4643" spans="1:57" x14ac:dyDescent="0.3">
      <c r="A4643">
        <v>2313004289</v>
      </c>
      <c r="B4643">
        <v>2313004300</v>
      </c>
      <c r="C4643" t="str">
        <f>T("SSS급 마왕의 귀환 12화")</f>
        <v>SSS급 마왕의 귀환 12화</v>
      </c>
      <c r="D4643" t="str">
        <f>T("12")</f>
        <v>12</v>
      </c>
      <c r="E4643" t="str">
        <f t="shared" si="622"/>
        <v>구유</v>
      </c>
      <c r="H4643" t="str">
        <f t="shared" si="621"/>
        <v>스토리위즈</v>
      </c>
      <c r="I4643" t="str">
        <f t="shared" si="623"/>
        <v>SSS급 마왕의 귀환</v>
      </c>
      <c r="J4643">
        <v>0</v>
      </c>
      <c r="K4643">
        <v>0</v>
      </c>
      <c r="L4643">
        <v>0</v>
      </c>
      <c r="M4643">
        <v>3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3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/>
      <c r="AQ4643">
        <v>0</v>
      </c>
      <c r="AR4643">
        <v>0</v>
      </c>
      <c r="AT4643">
        <v>0</v>
      </c>
      <c r="AU4643">
        <v>0</v>
      </c>
      <c r="AW4643">
        <v>0</v>
      </c>
      <c r="AX4643">
        <v>0</v>
      </c>
      <c r="AY4643">
        <v>0</v>
      </c>
      <c r="BC4643" t="str">
        <f t="shared" si="624"/>
        <v>9791159289057</v>
      </c>
      <c r="BE4643" t="str">
        <f t="shared" si="625"/>
        <v>판타지 웹소설 &gt; 퓨전 판타지</v>
      </c>
    </row>
    <row r="4644" spans="1:57" x14ac:dyDescent="0.3">
      <c r="A4644">
        <v>2313004289</v>
      </c>
      <c r="B4644">
        <v>2313004301</v>
      </c>
      <c r="C4644" t="str">
        <f>T("SSS급 마왕의 귀환 13화")</f>
        <v>SSS급 마왕의 귀환 13화</v>
      </c>
      <c r="D4644" t="str">
        <f>T("13")</f>
        <v>13</v>
      </c>
      <c r="E4644" t="str">
        <f t="shared" si="622"/>
        <v>구유</v>
      </c>
      <c r="H4644" t="str">
        <f t="shared" si="621"/>
        <v>스토리위즈</v>
      </c>
      <c r="I4644" t="str">
        <f t="shared" si="623"/>
        <v>SSS급 마왕의 귀환</v>
      </c>
      <c r="J4644">
        <v>0</v>
      </c>
      <c r="K4644">
        <v>0</v>
      </c>
      <c r="L4644">
        <v>0</v>
      </c>
      <c r="M4644">
        <v>3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3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/>
      <c r="AQ4644">
        <v>0</v>
      </c>
      <c r="AR4644">
        <v>0</v>
      </c>
      <c r="AT4644">
        <v>0</v>
      </c>
      <c r="AU4644">
        <v>0</v>
      </c>
      <c r="AW4644">
        <v>0</v>
      </c>
      <c r="AX4644">
        <v>0</v>
      </c>
      <c r="AY4644">
        <v>0</v>
      </c>
      <c r="BC4644" t="str">
        <f t="shared" si="624"/>
        <v>9791159289057</v>
      </c>
      <c r="BE4644" t="str">
        <f t="shared" si="625"/>
        <v>판타지 웹소설 &gt; 퓨전 판타지</v>
      </c>
    </row>
    <row r="4645" spans="1:57" x14ac:dyDescent="0.3">
      <c r="A4645">
        <v>2313004289</v>
      </c>
      <c r="B4645">
        <v>2313004302</v>
      </c>
      <c r="C4645" t="str">
        <f>T("SSS급 마왕의 귀환 14화")</f>
        <v>SSS급 마왕의 귀환 14화</v>
      </c>
      <c r="D4645" t="str">
        <f>T("14")</f>
        <v>14</v>
      </c>
      <c r="E4645" t="str">
        <f t="shared" si="622"/>
        <v>구유</v>
      </c>
      <c r="H4645" t="str">
        <f t="shared" si="621"/>
        <v>스토리위즈</v>
      </c>
      <c r="I4645" t="str">
        <f t="shared" si="623"/>
        <v>SSS급 마왕의 귀환</v>
      </c>
      <c r="J4645">
        <v>0</v>
      </c>
      <c r="K4645">
        <v>0</v>
      </c>
      <c r="L4645">
        <v>0</v>
      </c>
      <c r="M4645">
        <v>3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3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/>
      <c r="AQ4645">
        <v>0</v>
      </c>
      <c r="AR4645">
        <v>0</v>
      </c>
      <c r="AT4645">
        <v>0</v>
      </c>
      <c r="AU4645">
        <v>0</v>
      </c>
      <c r="AW4645">
        <v>0</v>
      </c>
      <c r="AX4645">
        <v>0</v>
      </c>
      <c r="AY4645">
        <v>0</v>
      </c>
      <c r="BC4645" t="str">
        <f t="shared" si="624"/>
        <v>9791159289057</v>
      </c>
      <c r="BE4645" t="str">
        <f t="shared" si="625"/>
        <v>판타지 웹소설 &gt; 퓨전 판타지</v>
      </c>
    </row>
    <row r="4646" spans="1:57" x14ac:dyDescent="0.3">
      <c r="A4646">
        <v>2313004289</v>
      </c>
      <c r="B4646">
        <v>2313004303</v>
      </c>
      <c r="C4646" t="str">
        <f>T("SSS급 마왕의 귀환 15화")</f>
        <v>SSS급 마왕의 귀환 15화</v>
      </c>
      <c r="D4646" t="str">
        <f>T("15")</f>
        <v>15</v>
      </c>
      <c r="E4646" t="str">
        <f t="shared" si="622"/>
        <v>구유</v>
      </c>
      <c r="H4646" t="str">
        <f t="shared" si="621"/>
        <v>스토리위즈</v>
      </c>
      <c r="I4646" t="str">
        <f t="shared" si="623"/>
        <v>SSS급 마왕의 귀환</v>
      </c>
      <c r="J4646">
        <v>0</v>
      </c>
      <c r="K4646">
        <v>0</v>
      </c>
      <c r="L4646">
        <v>0</v>
      </c>
      <c r="M4646">
        <v>3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3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/>
      <c r="AQ4646">
        <v>0</v>
      </c>
      <c r="AR4646">
        <v>0</v>
      </c>
      <c r="AT4646">
        <v>0</v>
      </c>
      <c r="AU4646">
        <v>0</v>
      </c>
      <c r="AW4646">
        <v>0</v>
      </c>
      <c r="AX4646">
        <v>0</v>
      </c>
      <c r="AY4646">
        <v>0</v>
      </c>
      <c r="BC4646" t="str">
        <f t="shared" si="624"/>
        <v>9791159289057</v>
      </c>
      <c r="BE4646" t="str">
        <f t="shared" si="625"/>
        <v>판타지 웹소설 &gt; 퓨전 판타지</v>
      </c>
    </row>
    <row r="4647" spans="1:57" x14ac:dyDescent="0.3">
      <c r="A4647">
        <v>2313004289</v>
      </c>
      <c r="B4647">
        <v>2313004304</v>
      </c>
      <c r="C4647" t="str">
        <f>T("SSS급 마왕의 귀환 16화")</f>
        <v>SSS급 마왕의 귀환 16화</v>
      </c>
      <c r="D4647" t="str">
        <f>T("16")</f>
        <v>16</v>
      </c>
      <c r="E4647" t="str">
        <f t="shared" si="622"/>
        <v>구유</v>
      </c>
      <c r="H4647" t="str">
        <f t="shared" si="621"/>
        <v>스토리위즈</v>
      </c>
      <c r="I4647" t="str">
        <f t="shared" si="623"/>
        <v>SSS급 마왕의 귀환</v>
      </c>
      <c r="J4647">
        <v>0</v>
      </c>
      <c r="K4647">
        <v>0</v>
      </c>
      <c r="L4647">
        <v>0</v>
      </c>
      <c r="M4647">
        <v>3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3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/>
      <c r="AQ4647">
        <v>0</v>
      </c>
      <c r="AR4647">
        <v>0</v>
      </c>
      <c r="AT4647">
        <v>0</v>
      </c>
      <c r="AU4647">
        <v>0</v>
      </c>
      <c r="AW4647">
        <v>0</v>
      </c>
      <c r="AX4647">
        <v>0</v>
      </c>
      <c r="AY4647">
        <v>0</v>
      </c>
      <c r="BC4647" t="str">
        <f t="shared" si="624"/>
        <v>9791159289057</v>
      </c>
      <c r="BE4647" t="str">
        <f t="shared" si="625"/>
        <v>판타지 웹소설 &gt; 퓨전 판타지</v>
      </c>
    </row>
    <row r="4648" spans="1:57" x14ac:dyDescent="0.3">
      <c r="A4648">
        <v>2313004289</v>
      </c>
      <c r="B4648">
        <v>2313004305</v>
      </c>
      <c r="C4648" t="str">
        <f>T("SSS급 마왕의 귀환 17화")</f>
        <v>SSS급 마왕의 귀환 17화</v>
      </c>
      <c r="D4648" t="str">
        <f>T("17")</f>
        <v>17</v>
      </c>
      <c r="E4648" t="str">
        <f t="shared" si="622"/>
        <v>구유</v>
      </c>
      <c r="H4648" t="str">
        <f t="shared" si="621"/>
        <v>스토리위즈</v>
      </c>
      <c r="I4648" t="str">
        <f t="shared" si="623"/>
        <v>SSS급 마왕의 귀환</v>
      </c>
      <c r="J4648">
        <v>0</v>
      </c>
      <c r="K4648">
        <v>0</v>
      </c>
      <c r="L4648">
        <v>0</v>
      </c>
      <c r="M4648">
        <v>3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3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/>
      <c r="AQ4648">
        <v>0</v>
      </c>
      <c r="AR4648">
        <v>0</v>
      </c>
      <c r="AT4648">
        <v>0</v>
      </c>
      <c r="AU4648">
        <v>0</v>
      </c>
      <c r="AW4648">
        <v>0</v>
      </c>
      <c r="AX4648">
        <v>0</v>
      </c>
      <c r="AY4648">
        <v>0</v>
      </c>
      <c r="BC4648" t="str">
        <f t="shared" si="624"/>
        <v>9791159289057</v>
      </c>
      <c r="BE4648" t="str">
        <f t="shared" si="625"/>
        <v>판타지 웹소설 &gt; 퓨전 판타지</v>
      </c>
    </row>
    <row r="4649" spans="1:57" x14ac:dyDescent="0.3">
      <c r="A4649">
        <v>2313004289</v>
      </c>
      <c r="B4649">
        <v>2313004306</v>
      </c>
      <c r="C4649" t="str">
        <f>T("SSS급 마왕의 귀환 18화")</f>
        <v>SSS급 마왕의 귀환 18화</v>
      </c>
      <c r="D4649" t="str">
        <f>T("18")</f>
        <v>18</v>
      </c>
      <c r="E4649" t="str">
        <f t="shared" si="622"/>
        <v>구유</v>
      </c>
      <c r="H4649" t="str">
        <f t="shared" si="621"/>
        <v>스토리위즈</v>
      </c>
      <c r="I4649" t="str">
        <f t="shared" si="623"/>
        <v>SSS급 마왕의 귀환</v>
      </c>
      <c r="J4649">
        <v>0</v>
      </c>
      <c r="K4649">
        <v>0</v>
      </c>
      <c r="L4649">
        <v>0</v>
      </c>
      <c r="M4649">
        <v>3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3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/>
      <c r="AQ4649">
        <v>0</v>
      </c>
      <c r="AR4649">
        <v>0</v>
      </c>
      <c r="AT4649">
        <v>0</v>
      </c>
      <c r="AU4649">
        <v>0</v>
      </c>
      <c r="AW4649">
        <v>0</v>
      </c>
      <c r="AX4649">
        <v>0</v>
      </c>
      <c r="AY4649">
        <v>0</v>
      </c>
      <c r="BC4649" t="str">
        <f t="shared" si="624"/>
        <v>9791159289057</v>
      </c>
      <c r="BE4649" t="str">
        <f t="shared" si="625"/>
        <v>판타지 웹소설 &gt; 퓨전 판타지</v>
      </c>
    </row>
    <row r="4650" spans="1:57" x14ac:dyDescent="0.3">
      <c r="A4650">
        <v>2313004289</v>
      </c>
      <c r="B4650">
        <v>2313004307</v>
      </c>
      <c r="C4650" t="str">
        <f>T("SSS급 마왕의 귀환 19화")</f>
        <v>SSS급 마왕의 귀환 19화</v>
      </c>
      <c r="D4650" t="str">
        <f>T("19")</f>
        <v>19</v>
      </c>
      <c r="E4650" t="str">
        <f t="shared" si="622"/>
        <v>구유</v>
      </c>
      <c r="H4650" t="str">
        <f t="shared" si="621"/>
        <v>스토리위즈</v>
      </c>
      <c r="I4650" t="str">
        <f t="shared" si="623"/>
        <v>SSS급 마왕의 귀환</v>
      </c>
      <c r="J4650">
        <v>0</v>
      </c>
      <c r="K4650">
        <v>0</v>
      </c>
      <c r="L4650">
        <v>0</v>
      </c>
      <c r="M4650">
        <v>3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3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/>
      <c r="AQ4650">
        <v>0</v>
      </c>
      <c r="AR4650">
        <v>0</v>
      </c>
      <c r="AT4650">
        <v>0</v>
      </c>
      <c r="AU4650">
        <v>0</v>
      </c>
      <c r="AW4650">
        <v>0</v>
      </c>
      <c r="AX4650">
        <v>0</v>
      </c>
      <c r="AY4650">
        <v>0</v>
      </c>
      <c r="BC4650" t="str">
        <f t="shared" si="624"/>
        <v>9791159289057</v>
      </c>
      <c r="BE4650" t="str">
        <f t="shared" si="625"/>
        <v>판타지 웹소설 &gt; 퓨전 판타지</v>
      </c>
    </row>
    <row r="4651" spans="1:57" x14ac:dyDescent="0.3">
      <c r="A4651">
        <v>2313004289</v>
      </c>
      <c r="B4651">
        <v>2313004308</v>
      </c>
      <c r="C4651" t="str">
        <f>T("SSS급 마왕의 귀환 20화")</f>
        <v>SSS급 마왕의 귀환 20화</v>
      </c>
      <c r="D4651" t="str">
        <f>T("20")</f>
        <v>20</v>
      </c>
      <c r="E4651" t="str">
        <f t="shared" si="622"/>
        <v>구유</v>
      </c>
      <c r="H4651" t="str">
        <f t="shared" si="621"/>
        <v>스토리위즈</v>
      </c>
      <c r="I4651" t="str">
        <f t="shared" si="623"/>
        <v>SSS급 마왕의 귀환</v>
      </c>
      <c r="J4651">
        <v>0</v>
      </c>
      <c r="K4651">
        <v>0</v>
      </c>
      <c r="L4651">
        <v>0</v>
      </c>
      <c r="M4651">
        <v>3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3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/>
      <c r="AQ4651">
        <v>0</v>
      </c>
      <c r="AR4651">
        <v>0</v>
      </c>
      <c r="AT4651">
        <v>0</v>
      </c>
      <c r="AU4651">
        <v>0</v>
      </c>
      <c r="AW4651">
        <v>0</v>
      </c>
      <c r="AX4651">
        <v>0</v>
      </c>
      <c r="AY4651">
        <v>0</v>
      </c>
      <c r="BC4651" t="str">
        <f t="shared" si="624"/>
        <v>9791159289057</v>
      </c>
      <c r="BE4651" t="str">
        <f t="shared" si="625"/>
        <v>판타지 웹소설 &gt; 퓨전 판타지</v>
      </c>
    </row>
    <row r="4652" spans="1:57" x14ac:dyDescent="0.3">
      <c r="A4652">
        <v>2313004289</v>
      </c>
      <c r="B4652">
        <v>2313004309</v>
      </c>
      <c r="C4652" t="str">
        <f>T("SSS급 마왕의 귀환 21화")</f>
        <v>SSS급 마왕의 귀환 21화</v>
      </c>
      <c r="D4652" t="str">
        <f>T("21")</f>
        <v>21</v>
      </c>
      <c r="E4652" t="str">
        <f t="shared" si="622"/>
        <v>구유</v>
      </c>
      <c r="H4652" t="str">
        <f t="shared" si="621"/>
        <v>스토리위즈</v>
      </c>
      <c r="I4652" t="str">
        <f t="shared" si="623"/>
        <v>SSS급 마왕의 귀환</v>
      </c>
      <c r="J4652">
        <v>0</v>
      </c>
      <c r="K4652">
        <v>0</v>
      </c>
      <c r="L4652">
        <v>0</v>
      </c>
      <c r="M4652">
        <v>4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4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/>
      <c r="AQ4652">
        <v>0</v>
      </c>
      <c r="AR4652">
        <v>0</v>
      </c>
      <c r="AT4652">
        <v>0</v>
      </c>
      <c r="AU4652">
        <v>0</v>
      </c>
      <c r="AW4652">
        <v>0</v>
      </c>
      <c r="AX4652">
        <v>0</v>
      </c>
      <c r="AY4652">
        <v>0</v>
      </c>
      <c r="BC4652" t="str">
        <f t="shared" si="624"/>
        <v>9791159289057</v>
      </c>
      <c r="BE4652" t="str">
        <f t="shared" si="625"/>
        <v>판타지 웹소설 &gt; 퓨전 판타지</v>
      </c>
    </row>
    <row r="4653" spans="1:57" x14ac:dyDescent="0.3">
      <c r="A4653">
        <v>2313004289</v>
      </c>
      <c r="B4653">
        <v>2313004310</v>
      </c>
      <c r="C4653" t="str">
        <f>T("SSS급 마왕의 귀환 22화")</f>
        <v>SSS급 마왕의 귀환 22화</v>
      </c>
      <c r="D4653" t="str">
        <f>T("22")</f>
        <v>22</v>
      </c>
      <c r="E4653" t="str">
        <f t="shared" si="622"/>
        <v>구유</v>
      </c>
      <c r="H4653" t="str">
        <f t="shared" si="621"/>
        <v>스토리위즈</v>
      </c>
      <c r="I4653" t="str">
        <f t="shared" si="623"/>
        <v>SSS급 마왕의 귀환</v>
      </c>
      <c r="J4653">
        <v>0</v>
      </c>
      <c r="K4653">
        <v>0</v>
      </c>
      <c r="L4653">
        <v>0</v>
      </c>
      <c r="M4653">
        <v>4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4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/>
      <c r="AQ4653">
        <v>0</v>
      </c>
      <c r="AR4653">
        <v>0</v>
      </c>
      <c r="AT4653">
        <v>0</v>
      </c>
      <c r="AU4653">
        <v>0</v>
      </c>
      <c r="AW4653">
        <v>0</v>
      </c>
      <c r="AX4653">
        <v>0</v>
      </c>
      <c r="AY4653">
        <v>0</v>
      </c>
      <c r="BC4653" t="str">
        <f t="shared" si="624"/>
        <v>9791159289057</v>
      </c>
      <c r="BE4653" t="str">
        <f t="shared" si="625"/>
        <v>판타지 웹소설 &gt; 퓨전 판타지</v>
      </c>
    </row>
    <row r="4654" spans="1:57" x14ac:dyDescent="0.3">
      <c r="A4654">
        <v>2313004289</v>
      </c>
      <c r="B4654">
        <v>2313004311</v>
      </c>
      <c r="C4654" t="str">
        <f>T("SSS급 마왕의 귀환 23화")</f>
        <v>SSS급 마왕의 귀환 23화</v>
      </c>
      <c r="D4654" t="str">
        <f>T("23")</f>
        <v>23</v>
      </c>
      <c r="E4654" t="str">
        <f t="shared" si="622"/>
        <v>구유</v>
      </c>
      <c r="H4654" t="str">
        <f t="shared" si="621"/>
        <v>스토리위즈</v>
      </c>
      <c r="I4654" t="str">
        <f t="shared" si="623"/>
        <v>SSS급 마왕의 귀환</v>
      </c>
      <c r="J4654">
        <v>0</v>
      </c>
      <c r="K4654">
        <v>0</v>
      </c>
      <c r="L4654">
        <v>0</v>
      </c>
      <c r="M4654">
        <v>4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4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/>
      <c r="AQ4654">
        <v>0</v>
      </c>
      <c r="AR4654">
        <v>0</v>
      </c>
      <c r="AT4654">
        <v>0</v>
      </c>
      <c r="AU4654">
        <v>0</v>
      </c>
      <c r="AW4654">
        <v>0</v>
      </c>
      <c r="AX4654">
        <v>0</v>
      </c>
      <c r="AY4654">
        <v>0</v>
      </c>
      <c r="BC4654" t="str">
        <f t="shared" si="624"/>
        <v>9791159289057</v>
      </c>
      <c r="BE4654" t="str">
        <f t="shared" si="625"/>
        <v>판타지 웹소설 &gt; 퓨전 판타지</v>
      </c>
    </row>
    <row r="4655" spans="1:57" x14ac:dyDescent="0.3">
      <c r="A4655">
        <v>2313004289</v>
      </c>
      <c r="B4655">
        <v>2313004312</v>
      </c>
      <c r="C4655" t="str">
        <f>T("SSS급 마왕의 귀환 24화")</f>
        <v>SSS급 마왕의 귀환 24화</v>
      </c>
      <c r="D4655" t="str">
        <f>T("24")</f>
        <v>24</v>
      </c>
      <c r="E4655" t="str">
        <f t="shared" si="622"/>
        <v>구유</v>
      </c>
      <c r="H4655" t="str">
        <f t="shared" si="621"/>
        <v>스토리위즈</v>
      </c>
      <c r="I4655" t="str">
        <f t="shared" si="623"/>
        <v>SSS급 마왕의 귀환</v>
      </c>
      <c r="J4655">
        <v>0</v>
      </c>
      <c r="K4655">
        <v>0</v>
      </c>
      <c r="L4655">
        <v>0</v>
      </c>
      <c r="M4655">
        <v>4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4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/>
      <c r="AQ4655">
        <v>0</v>
      </c>
      <c r="AR4655">
        <v>0</v>
      </c>
      <c r="AT4655">
        <v>0</v>
      </c>
      <c r="AU4655">
        <v>0</v>
      </c>
      <c r="AW4655">
        <v>0</v>
      </c>
      <c r="AX4655">
        <v>0</v>
      </c>
      <c r="AY4655">
        <v>0</v>
      </c>
      <c r="BC4655" t="str">
        <f t="shared" si="624"/>
        <v>9791159289057</v>
      </c>
      <c r="BE4655" t="str">
        <f t="shared" si="625"/>
        <v>판타지 웹소설 &gt; 퓨전 판타지</v>
      </c>
    </row>
    <row r="4656" spans="1:57" x14ac:dyDescent="0.3">
      <c r="A4656">
        <v>2313004289</v>
      </c>
      <c r="B4656">
        <v>2313004313</v>
      </c>
      <c r="C4656" t="str">
        <f>T("SSS급 마왕의 귀환 25화")</f>
        <v>SSS급 마왕의 귀환 25화</v>
      </c>
      <c r="D4656" t="str">
        <f>T("25")</f>
        <v>25</v>
      </c>
      <c r="E4656" t="str">
        <f t="shared" si="622"/>
        <v>구유</v>
      </c>
      <c r="H4656" t="str">
        <f t="shared" si="621"/>
        <v>스토리위즈</v>
      </c>
      <c r="I4656" t="str">
        <f t="shared" si="623"/>
        <v>SSS급 마왕의 귀환</v>
      </c>
      <c r="J4656">
        <v>0</v>
      </c>
      <c r="K4656">
        <v>0</v>
      </c>
      <c r="L4656">
        <v>0</v>
      </c>
      <c r="M4656">
        <v>4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4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/>
      <c r="AQ4656">
        <v>0</v>
      </c>
      <c r="AR4656">
        <v>0</v>
      </c>
      <c r="AT4656">
        <v>0</v>
      </c>
      <c r="AU4656">
        <v>0</v>
      </c>
      <c r="AW4656">
        <v>0</v>
      </c>
      <c r="AX4656">
        <v>0</v>
      </c>
      <c r="AY4656">
        <v>0</v>
      </c>
      <c r="BC4656" t="str">
        <f t="shared" si="624"/>
        <v>9791159289057</v>
      </c>
      <c r="BE4656" t="str">
        <f t="shared" si="625"/>
        <v>판타지 웹소설 &gt; 퓨전 판타지</v>
      </c>
    </row>
    <row r="4657" spans="1:57" x14ac:dyDescent="0.3">
      <c r="A4657">
        <v>2313005164</v>
      </c>
      <c r="B4657">
        <v>2313005164</v>
      </c>
      <c r="C4657" t="str">
        <f>T("성군이십니다 1화")</f>
        <v>성군이십니다 1화</v>
      </c>
      <c r="D4657" t="str">
        <f>T("1")</f>
        <v>1</v>
      </c>
      <c r="E4657" t="str">
        <f>T("이준영")</f>
        <v>이준영</v>
      </c>
      <c r="H4657" t="str">
        <f t="shared" si="621"/>
        <v>스토리위즈</v>
      </c>
      <c r="I4657" t="str">
        <f>T("성군이십니다")</f>
        <v>성군이십니다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/>
      <c r="AQ4657">
        <v>0</v>
      </c>
      <c r="AR4657">
        <v>0</v>
      </c>
      <c r="AT4657">
        <v>0</v>
      </c>
      <c r="AU4657">
        <v>0</v>
      </c>
      <c r="AW4657">
        <v>0</v>
      </c>
      <c r="AX4657">
        <v>0</v>
      </c>
      <c r="AY4657">
        <v>0</v>
      </c>
      <c r="BC4657" t="str">
        <f>T("9791159287565")</f>
        <v>9791159287565</v>
      </c>
      <c r="BE4657" t="str">
        <f t="shared" si="625"/>
        <v>판타지 웹소설 &gt; 퓨전 판타지</v>
      </c>
    </row>
    <row r="4658" spans="1:57" x14ac:dyDescent="0.3">
      <c r="A4658">
        <v>2313005164</v>
      </c>
      <c r="B4658">
        <v>2313005165</v>
      </c>
      <c r="C4658" t="str">
        <f>T("성군이십니다 2화")</f>
        <v>성군이십니다 2화</v>
      </c>
      <c r="D4658" t="str">
        <f>T("2")</f>
        <v>2</v>
      </c>
      <c r="E4658" t="str">
        <f>T("이준영")</f>
        <v>이준영</v>
      </c>
      <c r="H4658" t="str">
        <f t="shared" si="621"/>
        <v>스토리위즈</v>
      </c>
      <c r="I4658" t="str">
        <f>T("성군이십니다")</f>
        <v>성군이십니다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/>
      <c r="AQ4658">
        <v>0</v>
      </c>
      <c r="AR4658">
        <v>0</v>
      </c>
      <c r="AT4658">
        <v>0</v>
      </c>
      <c r="AU4658">
        <v>0</v>
      </c>
      <c r="AW4658">
        <v>0</v>
      </c>
      <c r="AX4658">
        <v>0</v>
      </c>
      <c r="AY4658">
        <v>0</v>
      </c>
      <c r="BC4658" t="str">
        <f>T("9791159287565")</f>
        <v>9791159287565</v>
      </c>
      <c r="BE4658" t="str">
        <f t="shared" si="625"/>
        <v>판타지 웹소설 &gt; 퓨전 판타지</v>
      </c>
    </row>
    <row r="4659" spans="1:57" x14ac:dyDescent="0.3">
      <c r="A4659">
        <v>2313005704</v>
      </c>
      <c r="B4659">
        <v>2313005704</v>
      </c>
      <c r="C4659" t="str">
        <f>T("[e북]나 혼자만 일일 보상 1권")</f>
        <v>[e북]나 혼자만 일일 보상 1권</v>
      </c>
      <c r="D4659" t="str">
        <f t="shared" ref="D4659:D4665" si="626">T("1")</f>
        <v>1</v>
      </c>
      <c r="E4659" t="str">
        <f>T("이동열")</f>
        <v>이동열</v>
      </c>
      <c r="H4659" t="str">
        <f t="shared" si="621"/>
        <v>스토리위즈</v>
      </c>
      <c r="I4659" t="str">
        <f>T("[e북]나 혼자만 일일 보상")</f>
        <v>[e북]나 혼자만 일일 보상</v>
      </c>
      <c r="J4659">
        <v>0</v>
      </c>
      <c r="K4659">
        <v>0</v>
      </c>
      <c r="L4659">
        <v>0</v>
      </c>
      <c r="M4659">
        <v>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2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/>
      <c r="AQ4659">
        <v>0</v>
      </c>
      <c r="AR4659">
        <v>0</v>
      </c>
      <c r="AT4659">
        <v>0</v>
      </c>
      <c r="AU4659">
        <v>0</v>
      </c>
      <c r="AW4659">
        <v>0</v>
      </c>
      <c r="AX4659">
        <v>0</v>
      </c>
      <c r="AY4659">
        <v>0</v>
      </c>
      <c r="BC4659" t="str">
        <f>T("9791159289576")</f>
        <v>9791159289576</v>
      </c>
      <c r="BE4659" t="str">
        <f>T("판타지 e북 &gt; 퓨전 판타지")</f>
        <v>판타지 e북 &gt; 퓨전 판타지</v>
      </c>
    </row>
    <row r="4660" spans="1:57" x14ac:dyDescent="0.3">
      <c r="A4660">
        <v>2313006989</v>
      </c>
      <c r="B4660">
        <v>2313006989</v>
      </c>
      <c r="C4660" t="str">
        <f>T("[e북]로드 오브 머니 1권")</f>
        <v>[e북]로드 오브 머니 1권</v>
      </c>
      <c r="D4660" t="str">
        <f t="shared" si="626"/>
        <v>1</v>
      </c>
      <c r="E4660" t="str">
        <f>T("무장")</f>
        <v>무장</v>
      </c>
      <c r="H4660" t="str">
        <f t="shared" si="621"/>
        <v>스토리위즈</v>
      </c>
      <c r="I4660" t="str">
        <f>T("[e북]로드 오브 머니")</f>
        <v>[e북]로드 오브 머니</v>
      </c>
      <c r="J4660">
        <v>0</v>
      </c>
      <c r="K4660">
        <v>0</v>
      </c>
      <c r="L4660">
        <v>0</v>
      </c>
      <c r="M4660">
        <v>37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37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/>
      <c r="AQ4660">
        <v>0</v>
      </c>
      <c r="AR4660">
        <v>0</v>
      </c>
      <c r="AT4660">
        <v>0</v>
      </c>
      <c r="AU4660">
        <v>0</v>
      </c>
      <c r="AW4660">
        <v>0</v>
      </c>
      <c r="AX4660">
        <v>0</v>
      </c>
      <c r="AY4660">
        <v>0</v>
      </c>
      <c r="BC4660" t="str">
        <f>T("9791188630103")</f>
        <v>9791188630103</v>
      </c>
      <c r="BE4660" t="str">
        <f>T("판타지 e북 &gt; 현대 판타지")</f>
        <v>판타지 e북 &gt; 현대 판타지</v>
      </c>
    </row>
    <row r="4661" spans="1:57" x14ac:dyDescent="0.3">
      <c r="A4661">
        <v>2313007040</v>
      </c>
      <c r="B4661">
        <v>2313007040</v>
      </c>
      <c r="C4661" t="str">
        <f>T("[e북]드래곤은 나 혼자 잡는다 1권")</f>
        <v>[e북]드래곤은 나 혼자 잡는다 1권</v>
      </c>
      <c r="D4661" t="str">
        <f t="shared" si="626"/>
        <v>1</v>
      </c>
      <c r="E4661" t="str">
        <f>T("진문")</f>
        <v>진문</v>
      </c>
      <c r="H4661" t="str">
        <f t="shared" si="621"/>
        <v>스토리위즈</v>
      </c>
      <c r="I4661" t="str">
        <f>T("[e북]드래곤은 나 혼자 잡는다")</f>
        <v>[e북]드래곤은 나 혼자 잡는다</v>
      </c>
      <c r="J4661">
        <v>0</v>
      </c>
      <c r="K4661">
        <v>0</v>
      </c>
      <c r="L4661">
        <v>0</v>
      </c>
      <c r="M4661">
        <v>3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3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/>
      <c r="AQ4661">
        <v>0</v>
      </c>
      <c r="AR4661">
        <v>0</v>
      </c>
      <c r="AT4661">
        <v>0</v>
      </c>
      <c r="AU4661">
        <v>0</v>
      </c>
      <c r="AW4661">
        <v>0</v>
      </c>
      <c r="AX4661">
        <v>0</v>
      </c>
      <c r="AY4661">
        <v>0</v>
      </c>
      <c r="BC4661" t="str">
        <f>T("9791159288425")</f>
        <v>9791159288425</v>
      </c>
      <c r="BE4661" t="str">
        <f>T("판타지 e북 &gt; 퓨전 판타지")</f>
        <v>판타지 e북 &gt; 퓨전 판타지</v>
      </c>
    </row>
    <row r="4662" spans="1:57" x14ac:dyDescent="0.3">
      <c r="A4662">
        <v>2313007047</v>
      </c>
      <c r="B4662">
        <v>2313007047</v>
      </c>
      <c r="C4662" t="str">
        <f>T("[e북]삼국지 호접몽전 1부 1권")</f>
        <v>[e북]삼국지 호접몽전 1부 1권</v>
      </c>
      <c r="D4662" t="str">
        <f t="shared" si="626"/>
        <v>1</v>
      </c>
      <c r="E4662" t="str">
        <f>T("청빙")</f>
        <v>청빙</v>
      </c>
      <c r="H4662" t="str">
        <f t="shared" si="621"/>
        <v>스토리위즈</v>
      </c>
      <c r="I4662" t="str">
        <f>T("[e북]삼국지 호접몽전")</f>
        <v>[e북]삼국지 호접몽전</v>
      </c>
      <c r="J4662">
        <v>0</v>
      </c>
      <c r="K4662">
        <v>0</v>
      </c>
      <c r="L4662">
        <v>0</v>
      </c>
      <c r="M4662">
        <v>5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5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/>
      <c r="AQ4662">
        <v>0</v>
      </c>
      <c r="AR4662">
        <v>0</v>
      </c>
      <c r="AT4662">
        <v>0</v>
      </c>
      <c r="AU4662">
        <v>0</v>
      </c>
      <c r="AW4662">
        <v>0</v>
      </c>
      <c r="AX4662">
        <v>0</v>
      </c>
      <c r="AY4662">
        <v>0</v>
      </c>
      <c r="BC4662" t="str">
        <f>T("9791159289217")</f>
        <v>9791159289217</v>
      </c>
      <c r="BE4662" t="str">
        <f>T("판타지 e북 &gt; 퓨전 판타지")</f>
        <v>판타지 e북 &gt; 퓨전 판타지</v>
      </c>
    </row>
    <row r="4663" spans="1:57" x14ac:dyDescent="0.3">
      <c r="A4663">
        <v>2313007081</v>
      </c>
      <c r="B4663">
        <v>2313007081</v>
      </c>
      <c r="C4663" t="str">
        <f>T("[e북]SSS급 마왕의 귀환 1권")</f>
        <v>[e북]SSS급 마왕의 귀환 1권</v>
      </c>
      <c r="D4663" t="str">
        <f t="shared" si="626"/>
        <v>1</v>
      </c>
      <c r="E4663" t="str">
        <f>T("구유")</f>
        <v>구유</v>
      </c>
      <c r="H4663" t="str">
        <f t="shared" si="621"/>
        <v>스토리위즈</v>
      </c>
      <c r="I4663" t="str">
        <f>T("[e북]SSS급 마왕의 귀환")</f>
        <v>[e북]SSS급 마왕의 귀환</v>
      </c>
      <c r="J4663">
        <v>0</v>
      </c>
      <c r="K4663">
        <v>0</v>
      </c>
      <c r="L4663">
        <v>0</v>
      </c>
      <c r="M4663">
        <v>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2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/>
      <c r="AQ4663">
        <v>0</v>
      </c>
      <c r="AR4663">
        <v>0</v>
      </c>
      <c r="AT4663">
        <v>0</v>
      </c>
      <c r="AU4663">
        <v>0</v>
      </c>
      <c r="AW4663">
        <v>0</v>
      </c>
      <c r="AX4663">
        <v>0</v>
      </c>
      <c r="AY4663">
        <v>0</v>
      </c>
      <c r="BC4663" t="str">
        <f>T("9791159289705")</f>
        <v>9791159289705</v>
      </c>
      <c r="BE4663" t="str">
        <f>T("판타지 e북 &gt; 퓨전 판타지")</f>
        <v>판타지 e북 &gt; 퓨전 판타지</v>
      </c>
    </row>
    <row r="4664" spans="1:57" x14ac:dyDescent="0.3">
      <c r="A4664">
        <v>2313007134</v>
      </c>
      <c r="B4664">
        <v>2313007134</v>
      </c>
      <c r="C4664" t="str">
        <f>T("[e북]성군이십니다 1권")</f>
        <v>[e북]성군이십니다 1권</v>
      </c>
      <c r="D4664" t="str">
        <f t="shared" si="626"/>
        <v>1</v>
      </c>
      <c r="E4664" t="str">
        <f>T("이준영")</f>
        <v>이준영</v>
      </c>
      <c r="H4664" t="str">
        <f t="shared" si="621"/>
        <v>스토리위즈</v>
      </c>
      <c r="I4664" t="str">
        <f>T("[e북]성군이십니다")</f>
        <v>[e북]성군이십니다</v>
      </c>
      <c r="J4664">
        <v>0</v>
      </c>
      <c r="K4664">
        <v>0</v>
      </c>
      <c r="L4664">
        <v>0</v>
      </c>
      <c r="M4664">
        <v>98</v>
      </c>
      <c r="N4664">
        <v>0</v>
      </c>
      <c r="O4664">
        <v>0</v>
      </c>
      <c r="P4664">
        <v>155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253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/>
      <c r="AQ4664">
        <v>0</v>
      </c>
      <c r="AR4664">
        <v>0</v>
      </c>
      <c r="AT4664">
        <v>0</v>
      </c>
      <c r="AU4664">
        <v>0</v>
      </c>
      <c r="AW4664">
        <v>0</v>
      </c>
      <c r="AX4664">
        <v>0</v>
      </c>
      <c r="AY4664">
        <v>0</v>
      </c>
      <c r="BA4664" t="str">
        <f>T("0000000000000")</f>
        <v>0000000000000</v>
      </c>
      <c r="BC4664" t="str">
        <f>T("9791159284519")</f>
        <v>9791159284519</v>
      </c>
      <c r="BE4664" t="str">
        <f>T("판타지 e북 &gt; 퓨전 판타지")</f>
        <v>판타지 e북 &gt; 퓨전 판타지</v>
      </c>
    </row>
    <row r="4665" spans="1:57" x14ac:dyDescent="0.3">
      <c r="A4665">
        <v>2313007167</v>
      </c>
      <c r="B4665">
        <v>2313007167</v>
      </c>
      <c r="C4665" t="str">
        <f>T("이과생 둘이 회귀했다 1화")</f>
        <v>이과생 둘이 회귀했다 1화</v>
      </c>
      <c r="D4665" t="str">
        <f t="shared" si="626"/>
        <v>1</v>
      </c>
      <c r="E4665" t="str">
        <f t="shared" ref="E4665:E4689" si="627">T("하이후")</f>
        <v>하이후</v>
      </c>
      <c r="H4665" t="str">
        <f t="shared" si="621"/>
        <v>스토리위즈</v>
      </c>
      <c r="I4665" t="str">
        <f t="shared" ref="I4665:I4689" si="628">T("이과생 둘이 회귀했다")</f>
        <v>이과생 둘이 회귀했다</v>
      </c>
      <c r="J4665">
        <v>0</v>
      </c>
      <c r="K4665">
        <v>0</v>
      </c>
      <c r="L4665">
        <v>0</v>
      </c>
      <c r="M4665">
        <v>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2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/>
      <c r="AQ4665">
        <v>0</v>
      </c>
      <c r="AR4665">
        <v>0</v>
      </c>
      <c r="AT4665">
        <v>0</v>
      </c>
      <c r="AU4665">
        <v>0</v>
      </c>
      <c r="AW4665">
        <v>0</v>
      </c>
      <c r="AX4665">
        <v>0</v>
      </c>
      <c r="AY4665">
        <v>0</v>
      </c>
      <c r="BC4665" t="str">
        <f t="shared" ref="BC4665:BC4689" si="629">T("9791159284632")</f>
        <v>9791159284632</v>
      </c>
      <c r="BE4665" t="str">
        <f t="shared" ref="BE4665:BE4690" si="630">T("판타지 웹소설 &gt; 현대 판타지")</f>
        <v>판타지 웹소설 &gt; 현대 판타지</v>
      </c>
    </row>
    <row r="4666" spans="1:57" x14ac:dyDescent="0.3">
      <c r="A4666">
        <v>2313007167</v>
      </c>
      <c r="B4666">
        <v>2313007168</v>
      </c>
      <c r="C4666" t="str">
        <f>T("이과생 둘이 회귀했다 2화")</f>
        <v>이과생 둘이 회귀했다 2화</v>
      </c>
      <c r="D4666" t="str">
        <f>T("2")</f>
        <v>2</v>
      </c>
      <c r="E4666" t="str">
        <f t="shared" si="627"/>
        <v>하이후</v>
      </c>
      <c r="H4666" t="str">
        <f t="shared" si="621"/>
        <v>스토리위즈</v>
      </c>
      <c r="I4666" t="str">
        <f t="shared" si="628"/>
        <v>이과생 둘이 회귀했다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1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/>
      <c r="AQ4666">
        <v>0</v>
      </c>
      <c r="AR4666">
        <v>0</v>
      </c>
      <c r="AT4666">
        <v>0</v>
      </c>
      <c r="AU4666">
        <v>0</v>
      </c>
      <c r="AW4666">
        <v>0</v>
      </c>
      <c r="AX4666">
        <v>0</v>
      </c>
      <c r="AY4666">
        <v>0</v>
      </c>
      <c r="BC4666" t="str">
        <f t="shared" si="629"/>
        <v>9791159284632</v>
      </c>
      <c r="BE4666" t="str">
        <f t="shared" si="630"/>
        <v>판타지 웹소설 &gt; 현대 판타지</v>
      </c>
    </row>
    <row r="4667" spans="1:57" x14ac:dyDescent="0.3">
      <c r="A4667">
        <v>2313007167</v>
      </c>
      <c r="B4667">
        <v>2313007169</v>
      </c>
      <c r="C4667" t="str">
        <f>T("이과생 둘이 회귀했다 3화")</f>
        <v>이과생 둘이 회귀했다 3화</v>
      </c>
      <c r="D4667" t="str">
        <f>T("3")</f>
        <v>3</v>
      </c>
      <c r="E4667" t="str">
        <f t="shared" si="627"/>
        <v>하이후</v>
      </c>
      <c r="H4667" t="str">
        <f t="shared" si="621"/>
        <v>스토리위즈</v>
      </c>
      <c r="I4667" t="str">
        <f t="shared" si="628"/>
        <v>이과생 둘이 회귀했다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/>
      <c r="AQ4667">
        <v>0</v>
      </c>
      <c r="AR4667">
        <v>0</v>
      </c>
      <c r="AT4667">
        <v>0</v>
      </c>
      <c r="AU4667">
        <v>0</v>
      </c>
      <c r="AW4667">
        <v>0</v>
      </c>
      <c r="AX4667">
        <v>0</v>
      </c>
      <c r="AY4667">
        <v>0</v>
      </c>
      <c r="BC4667" t="str">
        <f t="shared" si="629"/>
        <v>9791159284632</v>
      </c>
      <c r="BE4667" t="str">
        <f t="shared" si="630"/>
        <v>판타지 웹소설 &gt; 현대 판타지</v>
      </c>
    </row>
    <row r="4668" spans="1:57" x14ac:dyDescent="0.3">
      <c r="A4668">
        <v>2313007167</v>
      </c>
      <c r="B4668">
        <v>2313007170</v>
      </c>
      <c r="C4668" t="str">
        <f>T("이과생 둘이 회귀했다 4화")</f>
        <v>이과생 둘이 회귀했다 4화</v>
      </c>
      <c r="D4668" t="str">
        <f>T("4")</f>
        <v>4</v>
      </c>
      <c r="E4668" t="str">
        <f t="shared" si="627"/>
        <v>하이후</v>
      </c>
      <c r="H4668" t="str">
        <f t="shared" si="621"/>
        <v>스토리위즈</v>
      </c>
      <c r="I4668" t="str">
        <f t="shared" si="628"/>
        <v>이과생 둘이 회귀했다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/>
      <c r="AQ4668">
        <v>0</v>
      </c>
      <c r="AR4668">
        <v>0</v>
      </c>
      <c r="AT4668">
        <v>0</v>
      </c>
      <c r="AU4668">
        <v>0</v>
      </c>
      <c r="AW4668">
        <v>0</v>
      </c>
      <c r="AX4668">
        <v>0</v>
      </c>
      <c r="AY4668">
        <v>0</v>
      </c>
      <c r="BC4668" t="str">
        <f t="shared" si="629"/>
        <v>9791159284632</v>
      </c>
      <c r="BE4668" t="str">
        <f t="shared" si="630"/>
        <v>판타지 웹소설 &gt; 현대 판타지</v>
      </c>
    </row>
    <row r="4669" spans="1:57" x14ac:dyDescent="0.3">
      <c r="A4669">
        <v>2313007167</v>
      </c>
      <c r="B4669">
        <v>2313007171</v>
      </c>
      <c r="C4669" t="str">
        <f>T("이과생 둘이 회귀했다 5화")</f>
        <v>이과생 둘이 회귀했다 5화</v>
      </c>
      <c r="D4669" t="str">
        <f>T("5")</f>
        <v>5</v>
      </c>
      <c r="E4669" t="str">
        <f t="shared" si="627"/>
        <v>하이후</v>
      </c>
      <c r="H4669" t="str">
        <f t="shared" si="621"/>
        <v>스토리위즈</v>
      </c>
      <c r="I4669" t="str">
        <f t="shared" si="628"/>
        <v>이과생 둘이 회귀했다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/>
      <c r="AQ4669">
        <v>0</v>
      </c>
      <c r="AR4669">
        <v>0</v>
      </c>
      <c r="AT4669">
        <v>0</v>
      </c>
      <c r="AU4669">
        <v>0</v>
      </c>
      <c r="AW4669">
        <v>0</v>
      </c>
      <c r="AX4669">
        <v>0</v>
      </c>
      <c r="AY4669">
        <v>0</v>
      </c>
      <c r="BC4669" t="str">
        <f t="shared" si="629"/>
        <v>9791159284632</v>
      </c>
      <c r="BE4669" t="str">
        <f t="shared" si="630"/>
        <v>판타지 웹소설 &gt; 현대 판타지</v>
      </c>
    </row>
    <row r="4670" spans="1:57" x14ac:dyDescent="0.3">
      <c r="A4670">
        <v>2313007167</v>
      </c>
      <c r="B4670">
        <v>2313007172</v>
      </c>
      <c r="C4670" t="str">
        <f>T("이과생 둘이 회귀했다 6화")</f>
        <v>이과생 둘이 회귀했다 6화</v>
      </c>
      <c r="D4670" t="str">
        <f>T("6")</f>
        <v>6</v>
      </c>
      <c r="E4670" t="str">
        <f t="shared" si="627"/>
        <v>하이후</v>
      </c>
      <c r="H4670" t="str">
        <f t="shared" si="621"/>
        <v>스토리위즈</v>
      </c>
      <c r="I4670" t="str">
        <f t="shared" si="628"/>
        <v>이과생 둘이 회귀했다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/>
      <c r="AQ4670">
        <v>0</v>
      </c>
      <c r="AR4670">
        <v>0</v>
      </c>
      <c r="AT4670">
        <v>0</v>
      </c>
      <c r="AU4670">
        <v>0</v>
      </c>
      <c r="AW4670">
        <v>0</v>
      </c>
      <c r="AX4670">
        <v>0</v>
      </c>
      <c r="AY4670">
        <v>0</v>
      </c>
      <c r="BC4670" t="str">
        <f t="shared" si="629"/>
        <v>9791159284632</v>
      </c>
      <c r="BE4670" t="str">
        <f t="shared" si="630"/>
        <v>판타지 웹소설 &gt; 현대 판타지</v>
      </c>
    </row>
    <row r="4671" spans="1:57" x14ac:dyDescent="0.3">
      <c r="A4671">
        <v>2313007167</v>
      </c>
      <c r="B4671">
        <v>2313007173</v>
      </c>
      <c r="C4671" t="str">
        <f>T("이과생 둘이 회귀했다 7화")</f>
        <v>이과생 둘이 회귀했다 7화</v>
      </c>
      <c r="D4671" t="str">
        <f>T("7")</f>
        <v>7</v>
      </c>
      <c r="E4671" t="str">
        <f t="shared" si="627"/>
        <v>하이후</v>
      </c>
      <c r="H4671" t="str">
        <f t="shared" si="621"/>
        <v>스토리위즈</v>
      </c>
      <c r="I4671" t="str">
        <f t="shared" si="628"/>
        <v>이과생 둘이 회귀했다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/>
      <c r="AQ4671">
        <v>0</v>
      </c>
      <c r="AR4671">
        <v>0</v>
      </c>
      <c r="AT4671">
        <v>0</v>
      </c>
      <c r="AU4671">
        <v>0</v>
      </c>
      <c r="AW4671">
        <v>0</v>
      </c>
      <c r="AX4671">
        <v>0</v>
      </c>
      <c r="AY4671">
        <v>0</v>
      </c>
      <c r="BC4671" t="str">
        <f t="shared" si="629"/>
        <v>9791159284632</v>
      </c>
      <c r="BE4671" t="str">
        <f t="shared" si="630"/>
        <v>판타지 웹소설 &gt; 현대 판타지</v>
      </c>
    </row>
    <row r="4672" spans="1:57" x14ac:dyDescent="0.3">
      <c r="A4672">
        <v>2313007167</v>
      </c>
      <c r="B4672">
        <v>2313007174</v>
      </c>
      <c r="C4672" t="str">
        <f>T("이과생 둘이 회귀했다 8화")</f>
        <v>이과생 둘이 회귀했다 8화</v>
      </c>
      <c r="D4672" t="str">
        <f>T("8")</f>
        <v>8</v>
      </c>
      <c r="E4672" t="str">
        <f t="shared" si="627"/>
        <v>하이후</v>
      </c>
      <c r="H4672" t="str">
        <f t="shared" si="621"/>
        <v>스토리위즈</v>
      </c>
      <c r="I4672" t="str">
        <f t="shared" si="628"/>
        <v>이과생 둘이 회귀했다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/>
      <c r="AQ4672">
        <v>0</v>
      </c>
      <c r="AR4672">
        <v>0</v>
      </c>
      <c r="AT4672">
        <v>0</v>
      </c>
      <c r="AU4672">
        <v>0</v>
      </c>
      <c r="AW4672">
        <v>0</v>
      </c>
      <c r="AX4672">
        <v>0</v>
      </c>
      <c r="AY4672">
        <v>0</v>
      </c>
      <c r="BC4672" t="str">
        <f t="shared" si="629"/>
        <v>9791159284632</v>
      </c>
      <c r="BE4672" t="str">
        <f t="shared" si="630"/>
        <v>판타지 웹소설 &gt; 현대 판타지</v>
      </c>
    </row>
    <row r="4673" spans="1:57" x14ac:dyDescent="0.3">
      <c r="A4673">
        <v>2313007167</v>
      </c>
      <c r="B4673">
        <v>2313007175</v>
      </c>
      <c r="C4673" t="str">
        <f>T("이과생 둘이 회귀했다 9화")</f>
        <v>이과생 둘이 회귀했다 9화</v>
      </c>
      <c r="D4673" t="str">
        <f>T("9")</f>
        <v>9</v>
      </c>
      <c r="E4673" t="str">
        <f t="shared" si="627"/>
        <v>하이후</v>
      </c>
      <c r="H4673" t="str">
        <f t="shared" si="621"/>
        <v>스토리위즈</v>
      </c>
      <c r="I4673" t="str">
        <f t="shared" si="628"/>
        <v>이과생 둘이 회귀했다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/>
      <c r="AQ4673">
        <v>0</v>
      </c>
      <c r="AR4673">
        <v>0</v>
      </c>
      <c r="AT4673">
        <v>0</v>
      </c>
      <c r="AU4673">
        <v>0</v>
      </c>
      <c r="AW4673">
        <v>0</v>
      </c>
      <c r="AX4673">
        <v>0</v>
      </c>
      <c r="AY4673">
        <v>0</v>
      </c>
      <c r="BC4673" t="str">
        <f t="shared" si="629"/>
        <v>9791159284632</v>
      </c>
      <c r="BE4673" t="str">
        <f t="shared" si="630"/>
        <v>판타지 웹소설 &gt; 현대 판타지</v>
      </c>
    </row>
    <row r="4674" spans="1:57" x14ac:dyDescent="0.3">
      <c r="A4674">
        <v>2313007167</v>
      </c>
      <c r="B4674">
        <v>2313007176</v>
      </c>
      <c r="C4674" t="str">
        <f>T("이과생 둘이 회귀했다 10화")</f>
        <v>이과생 둘이 회귀했다 10화</v>
      </c>
      <c r="D4674" t="str">
        <f>T("10")</f>
        <v>10</v>
      </c>
      <c r="E4674" t="str">
        <f t="shared" si="627"/>
        <v>하이후</v>
      </c>
      <c r="H4674" t="str">
        <f t="shared" si="621"/>
        <v>스토리위즈</v>
      </c>
      <c r="I4674" t="str">
        <f t="shared" si="628"/>
        <v>이과생 둘이 회귀했다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/>
      <c r="AQ4674">
        <v>0</v>
      </c>
      <c r="AR4674">
        <v>0</v>
      </c>
      <c r="AT4674">
        <v>0</v>
      </c>
      <c r="AU4674">
        <v>0</v>
      </c>
      <c r="AW4674">
        <v>0</v>
      </c>
      <c r="AX4674">
        <v>0</v>
      </c>
      <c r="AY4674">
        <v>0</v>
      </c>
      <c r="BC4674" t="str">
        <f t="shared" si="629"/>
        <v>9791159284632</v>
      </c>
      <c r="BE4674" t="str">
        <f t="shared" si="630"/>
        <v>판타지 웹소설 &gt; 현대 판타지</v>
      </c>
    </row>
    <row r="4675" spans="1:57" x14ac:dyDescent="0.3">
      <c r="A4675">
        <v>2313007167</v>
      </c>
      <c r="B4675">
        <v>2313007177</v>
      </c>
      <c r="C4675" t="str">
        <f>T("이과생 둘이 회귀했다 11화")</f>
        <v>이과생 둘이 회귀했다 11화</v>
      </c>
      <c r="D4675" t="str">
        <f>T("11")</f>
        <v>11</v>
      </c>
      <c r="E4675" t="str">
        <f t="shared" si="627"/>
        <v>하이후</v>
      </c>
      <c r="H4675" t="str">
        <f t="shared" si="621"/>
        <v>스토리위즈</v>
      </c>
      <c r="I4675" t="str">
        <f t="shared" si="628"/>
        <v>이과생 둘이 회귀했다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/>
      <c r="AQ4675">
        <v>0</v>
      </c>
      <c r="AR4675">
        <v>0</v>
      </c>
      <c r="AT4675">
        <v>0</v>
      </c>
      <c r="AU4675">
        <v>0</v>
      </c>
      <c r="AW4675">
        <v>0</v>
      </c>
      <c r="AX4675">
        <v>0</v>
      </c>
      <c r="AY4675">
        <v>0</v>
      </c>
      <c r="BC4675" t="str">
        <f t="shared" si="629"/>
        <v>9791159284632</v>
      </c>
      <c r="BE4675" t="str">
        <f t="shared" si="630"/>
        <v>판타지 웹소설 &gt; 현대 판타지</v>
      </c>
    </row>
    <row r="4676" spans="1:57" x14ac:dyDescent="0.3">
      <c r="A4676">
        <v>2313007167</v>
      </c>
      <c r="B4676">
        <v>2313007178</v>
      </c>
      <c r="C4676" t="str">
        <f>T("이과생 둘이 회귀했다 12화")</f>
        <v>이과생 둘이 회귀했다 12화</v>
      </c>
      <c r="D4676" t="str">
        <f>T("12")</f>
        <v>12</v>
      </c>
      <c r="E4676" t="str">
        <f t="shared" si="627"/>
        <v>하이후</v>
      </c>
      <c r="H4676" t="str">
        <f t="shared" si="621"/>
        <v>스토리위즈</v>
      </c>
      <c r="I4676" t="str">
        <f t="shared" si="628"/>
        <v>이과생 둘이 회귀했다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1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/>
      <c r="AQ4676">
        <v>0</v>
      </c>
      <c r="AR4676">
        <v>0</v>
      </c>
      <c r="AT4676">
        <v>0</v>
      </c>
      <c r="AU4676">
        <v>0</v>
      </c>
      <c r="AW4676">
        <v>0</v>
      </c>
      <c r="AX4676">
        <v>0</v>
      </c>
      <c r="AY4676">
        <v>0</v>
      </c>
      <c r="BC4676" t="str">
        <f t="shared" si="629"/>
        <v>9791159284632</v>
      </c>
      <c r="BE4676" t="str">
        <f t="shared" si="630"/>
        <v>판타지 웹소설 &gt; 현대 판타지</v>
      </c>
    </row>
    <row r="4677" spans="1:57" x14ac:dyDescent="0.3">
      <c r="A4677">
        <v>2313007167</v>
      </c>
      <c r="B4677">
        <v>2313007179</v>
      </c>
      <c r="C4677" t="str">
        <f>T("이과생 둘이 회귀했다 13화")</f>
        <v>이과생 둘이 회귀했다 13화</v>
      </c>
      <c r="D4677" t="str">
        <f>T("13")</f>
        <v>13</v>
      </c>
      <c r="E4677" t="str">
        <f t="shared" si="627"/>
        <v>하이후</v>
      </c>
      <c r="H4677" t="str">
        <f t="shared" si="621"/>
        <v>스토리위즈</v>
      </c>
      <c r="I4677" t="str">
        <f t="shared" si="628"/>
        <v>이과생 둘이 회귀했다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1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/>
      <c r="AQ4677">
        <v>0</v>
      </c>
      <c r="AR4677">
        <v>0</v>
      </c>
      <c r="AT4677">
        <v>0</v>
      </c>
      <c r="AU4677">
        <v>0</v>
      </c>
      <c r="AW4677">
        <v>0</v>
      </c>
      <c r="AX4677">
        <v>0</v>
      </c>
      <c r="AY4677">
        <v>0</v>
      </c>
      <c r="BC4677" t="str">
        <f t="shared" si="629"/>
        <v>9791159284632</v>
      </c>
      <c r="BE4677" t="str">
        <f t="shared" si="630"/>
        <v>판타지 웹소설 &gt; 현대 판타지</v>
      </c>
    </row>
    <row r="4678" spans="1:57" x14ac:dyDescent="0.3">
      <c r="A4678">
        <v>2313007167</v>
      </c>
      <c r="B4678">
        <v>2313007180</v>
      </c>
      <c r="C4678" t="str">
        <f>T("이과생 둘이 회귀했다 14화")</f>
        <v>이과생 둘이 회귀했다 14화</v>
      </c>
      <c r="D4678" t="str">
        <f>T("14")</f>
        <v>14</v>
      </c>
      <c r="E4678" t="str">
        <f t="shared" si="627"/>
        <v>하이후</v>
      </c>
      <c r="H4678" t="str">
        <f t="shared" si="621"/>
        <v>스토리위즈</v>
      </c>
      <c r="I4678" t="str">
        <f t="shared" si="628"/>
        <v>이과생 둘이 회귀했다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/>
      <c r="AQ4678">
        <v>0</v>
      </c>
      <c r="AR4678">
        <v>0</v>
      </c>
      <c r="AT4678">
        <v>0</v>
      </c>
      <c r="AU4678">
        <v>0</v>
      </c>
      <c r="AW4678">
        <v>0</v>
      </c>
      <c r="AX4678">
        <v>0</v>
      </c>
      <c r="AY4678">
        <v>0</v>
      </c>
      <c r="BC4678" t="str">
        <f t="shared" si="629"/>
        <v>9791159284632</v>
      </c>
      <c r="BE4678" t="str">
        <f t="shared" si="630"/>
        <v>판타지 웹소설 &gt; 현대 판타지</v>
      </c>
    </row>
    <row r="4679" spans="1:57" x14ac:dyDescent="0.3">
      <c r="A4679">
        <v>2313007167</v>
      </c>
      <c r="B4679">
        <v>2313007181</v>
      </c>
      <c r="C4679" t="str">
        <f>T("이과생 둘이 회귀했다 15화")</f>
        <v>이과생 둘이 회귀했다 15화</v>
      </c>
      <c r="D4679" t="str">
        <f>T("15")</f>
        <v>15</v>
      </c>
      <c r="E4679" t="str">
        <f t="shared" si="627"/>
        <v>하이후</v>
      </c>
      <c r="H4679" t="str">
        <f t="shared" si="621"/>
        <v>스토리위즈</v>
      </c>
      <c r="I4679" t="str">
        <f t="shared" si="628"/>
        <v>이과생 둘이 회귀했다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/>
      <c r="AQ4679">
        <v>0</v>
      </c>
      <c r="AR4679">
        <v>0</v>
      </c>
      <c r="AT4679">
        <v>0</v>
      </c>
      <c r="AU4679">
        <v>0</v>
      </c>
      <c r="AW4679">
        <v>0</v>
      </c>
      <c r="AX4679">
        <v>0</v>
      </c>
      <c r="AY4679">
        <v>0</v>
      </c>
      <c r="BC4679" t="str">
        <f t="shared" si="629"/>
        <v>9791159284632</v>
      </c>
      <c r="BE4679" t="str">
        <f t="shared" si="630"/>
        <v>판타지 웹소설 &gt; 현대 판타지</v>
      </c>
    </row>
    <row r="4680" spans="1:57" x14ac:dyDescent="0.3">
      <c r="A4680">
        <v>2313007167</v>
      </c>
      <c r="B4680">
        <v>2313007182</v>
      </c>
      <c r="C4680" t="str">
        <f>T("이과생 둘이 회귀했다 16화")</f>
        <v>이과생 둘이 회귀했다 16화</v>
      </c>
      <c r="D4680" t="str">
        <f>T("16")</f>
        <v>16</v>
      </c>
      <c r="E4680" t="str">
        <f t="shared" si="627"/>
        <v>하이후</v>
      </c>
      <c r="H4680" t="str">
        <f t="shared" si="621"/>
        <v>스토리위즈</v>
      </c>
      <c r="I4680" t="str">
        <f t="shared" si="628"/>
        <v>이과생 둘이 회귀했다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/>
      <c r="AQ4680">
        <v>0</v>
      </c>
      <c r="AR4680">
        <v>0</v>
      </c>
      <c r="AT4680">
        <v>0</v>
      </c>
      <c r="AU4680">
        <v>0</v>
      </c>
      <c r="AW4680">
        <v>0</v>
      </c>
      <c r="AX4680">
        <v>0</v>
      </c>
      <c r="AY4680">
        <v>0</v>
      </c>
      <c r="BC4680" t="str">
        <f t="shared" si="629"/>
        <v>9791159284632</v>
      </c>
      <c r="BE4680" t="str">
        <f t="shared" si="630"/>
        <v>판타지 웹소설 &gt; 현대 판타지</v>
      </c>
    </row>
    <row r="4681" spans="1:57" x14ac:dyDescent="0.3">
      <c r="A4681">
        <v>2313007167</v>
      </c>
      <c r="B4681">
        <v>2313007183</v>
      </c>
      <c r="C4681" t="str">
        <f>T("이과생 둘이 회귀했다 17화")</f>
        <v>이과생 둘이 회귀했다 17화</v>
      </c>
      <c r="D4681" t="str">
        <f>T("17")</f>
        <v>17</v>
      </c>
      <c r="E4681" t="str">
        <f t="shared" si="627"/>
        <v>하이후</v>
      </c>
      <c r="H4681" t="str">
        <f t="shared" si="621"/>
        <v>스토리위즈</v>
      </c>
      <c r="I4681" t="str">
        <f t="shared" si="628"/>
        <v>이과생 둘이 회귀했다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/>
      <c r="AQ4681">
        <v>0</v>
      </c>
      <c r="AR4681">
        <v>0</v>
      </c>
      <c r="AT4681">
        <v>0</v>
      </c>
      <c r="AU4681">
        <v>0</v>
      </c>
      <c r="AW4681">
        <v>0</v>
      </c>
      <c r="AX4681">
        <v>0</v>
      </c>
      <c r="AY4681">
        <v>0</v>
      </c>
      <c r="BC4681" t="str">
        <f t="shared" si="629"/>
        <v>9791159284632</v>
      </c>
      <c r="BE4681" t="str">
        <f t="shared" si="630"/>
        <v>판타지 웹소설 &gt; 현대 판타지</v>
      </c>
    </row>
    <row r="4682" spans="1:57" x14ac:dyDescent="0.3">
      <c r="A4682">
        <v>2313007167</v>
      </c>
      <c r="B4682">
        <v>2313007184</v>
      </c>
      <c r="C4682" t="str">
        <f>T("이과생 둘이 회귀했다 18화")</f>
        <v>이과생 둘이 회귀했다 18화</v>
      </c>
      <c r="D4682" t="str">
        <f>T("18")</f>
        <v>18</v>
      </c>
      <c r="E4682" t="str">
        <f t="shared" si="627"/>
        <v>하이후</v>
      </c>
      <c r="H4682" t="str">
        <f t="shared" si="621"/>
        <v>스토리위즈</v>
      </c>
      <c r="I4682" t="str">
        <f t="shared" si="628"/>
        <v>이과생 둘이 회귀했다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/>
      <c r="AQ4682">
        <v>0</v>
      </c>
      <c r="AR4682">
        <v>0</v>
      </c>
      <c r="AT4682">
        <v>0</v>
      </c>
      <c r="AU4682">
        <v>0</v>
      </c>
      <c r="AW4682">
        <v>0</v>
      </c>
      <c r="AX4682">
        <v>0</v>
      </c>
      <c r="AY4682">
        <v>0</v>
      </c>
      <c r="BC4682" t="str">
        <f t="shared" si="629"/>
        <v>9791159284632</v>
      </c>
      <c r="BE4682" t="str">
        <f t="shared" si="630"/>
        <v>판타지 웹소설 &gt; 현대 판타지</v>
      </c>
    </row>
    <row r="4683" spans="1:57" x14ac:dyDescent="0.3">
      <c r="A4683">
        <v>2313007167</v>
      </c>
      <c r="B4683">
        <v>2313007185</v>
      </c>
      <c r="C4683" t="str">
        <f>T("이과생 둘이 회귀했다 19화")</f>
        <v>이과생 둘이 회귀했다 19화</v>
      </c>
      <c r="D4683" t="str">
        <f>T("19")</f>
        <v>19</v>
      </c>
      <c r="E4683" t="str">
        <f t="shared" si="627"/>
        <v>하이후</v>
      </c>
      <c r="H4683" t="str">
        <f t="shared" si="621"/>
        <v>스토리위즈</v>
      </c>
      <c r="I4683" t="str">
        <f t="shared" si="628"/>
        <v>이과생 둘이 회귀했다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/>
      <c r="AQ4683">
        <v>0</v>
      </c>
      <c r="AR4683">
        <v>0</v>
      </c>
      <c r="AT4683">
        <v>0</v>
      </c>
      <c r="AU4683">
        <v>0</v>
      </c>
      <c r="AW4683">
        <v>0</v>
      </c>
      <c r="AX4683">
        <v>0</v>
      </c>
      <c r="AY4683">
        <v>0</v>
      </c>
      <c r="BC4683" t="str">
        <f t="shared" si="629"/>
        <v>9791159284632</v>
      </c>
      <c r="BE4683" t="str">
        <f t="shared" si="630"/>
        <v>판타지 웹소설 &gt; 현대 판타지</v>
      </c>
    </row>
    <row r="4684" spans="1:57" x14ac:dyDescent="0.3">
      <c r="A4684">
        <v>2313007167</v>
      </c>
      <c r="B4684">
        <v>2313007186</v>
      </c>
      <c r="C4684" t="str">
        <f>T("이과생 둘이 회귀했다 20화")</f>
        <v>이과생 둘이 회귀했다 20화</v>
      </c>
      <c r="D4684" t="str">
        <f>T("20")</f>
        <v>20</v>
      </c>
      <c r="E4684" t="str">
        <f t="shared" si="627"/>
        <v>하이후</v>
      </c>
      <c r="H4684" t="str">
        <f t="shared" si="621"/>
        <v>스토리위즈</v>
      </c>
      <c r="I4684" t="str">
        <f t="shared" si="628"/>
        <v>이과생 둘이 회귀했다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/>
      <c r="AQ4684">
        <v>0</v>
      </c>
      <c r="AR4684">
        <v>0</v>
      </c>
      <c r="AT4684">
        <v>0</v>
      </c>
      <c r="AU4684">
        <v>0</v>
      </c>
      <c r="AW4684">
        <v>0</v>
      </c>
      <c r="AX4684">
        <v>0</v>
      </c>
      <c r="AY4684">
        <v>0</v>
      </c>
      <c r="BC4684" t="str">
        <f t="shared" si="629"/>
        <v>9791159284632</v>
      </c>
      <c r="BE4684" t="str">
        <f t="shared" si="630"/>
        <v>판타지 웹소설 &gt; 현대 판타지</v>
      </c>
    </row>
    <row r="4685" spans="1:57" x14ac:dyDescent="0.3">
      <c r="A4685">
        <v>2313007167</v>
      </c>
      <c r="B4685">
        <v>2313007187</v>
      </c>
      <c r="C4685" t="str">
        <f>T("이과생 둘이 회귀했다 21화")</f>
        <v>이과생 둘이 회귀했다 21화</v>
      </c>
      <c r="D4685" t="str">
        <f>T("21")</f>
        <v>21</v>
      </c>
      <c r="E4685" t="str">
        <f t="shared" si="627"/>
        <v>하이후</v>
      </c>
      <c r="H4685" t="str">
        <f t="shared" si="621"/>
        <v>스토리위즈</v>
      </c>
      <c r="I4685" t="str">
        <f t="shared" si="628"/>
        <v>이과생 둘이 회귀했다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/>
      <c r="AQ4685">
        <v>0</v>
      </c>
      <c r="AR4685">
        <v>0</v>
      </c>
      <c r="AT4685">
        <v>0</v>
      </c>
      <c r="AU4685">
        <v>0</v>
      </c>
      <c r="AW4685">
        <v>0</v>
      </c>
      <c r="AX4685">
        <v>0</v>
      </c>
      <c r="AY4685">
        <v>0</v>
      </c>
      <c r="BC4685" t="str">
        <f t="shared" si="629"/>
        <v>9791159284632</v>
      </c>
      <c r="BE4685" t="str">
        <f t="shared" si="630"/>
        <v>판타지 웹소설 &gt; 현대 판타지</v>
      </c>
    </row>
    <row r="4686" spans="1:57" x14ac:dyDescent="0.3">
      <c r="A4686">
        <v>2313007167</v>
      </c>
      <c r="B4686">
        <v>2313007188</v>
      </c>
      <c r="C4686" t="str">
        <f>T("이과생 둘이 회귀했다 22화")</f>
        <v>이과생 둘이 회귀했다 22화</v>
      </c>
      <c r="D4686" t="str">
        <f>T("22")</f>
        <v>22</v>
      </c>
      <c r="E4686" t="str">
        <f t="shared" si="627"/>
        <v>하이후</v>
      </c>
      <c r="H4686" t="str">
        <f t="shared" ref="H4686:H4749" si="631">T("스토리위즈")</f>
        <v>스토리위즈</v>
      </c>
      <c r="I4686" t="str">
        <f t="shared" si="628"/>
        <v>이과생 둘이 회귀했다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/>
      <c r="AQ4686">
        <v>0</v>
      </c>
      <c r="AR4686">
        <v>0</v>
      </c>
      <c r="AT4686">
        <v>0</v>
      </c>
      <c r="AU4686">
        <v>0</v>
      </c>
      <c r="AW4686">
        <v>0</v>
      </c>
      <c r="AX4686">
        <v>0</v>
      </c>
      <c r="AY4686">
        <v>0</v>
      </c>
      <c r="BC4686" t="str">
        <f t="shared" si="629"/>
        <v>9791159284632</v>
      </c>
      <c r="BE4686" t="str">
        <f t="shared" si="630"/>
        <v>판타지 웹소설 &gt; 현대 판타지</v>
      </c>
    </row>
    <row r="4687" spans="1:57" x14ac:dyDescent="0.3">
      <c r="A4687">
        <v>2313007167</v>
      </c>
      <c r="B4687">
        <v>2313007189</v>
      </c>
      <c r="C4687" t="str">
        <f>T("이과생 둘이 회귀했다 23화")</f>
        <v>이과생 둘이 회귀했다 23화</v>
      </c>
      <c r="D4687" t="str">
        <f>T("23")</f>
        <v>23</v>
      </c>
      <c r="E4687" t="str">
        <f t="shared" si="627"/>
        <v>하이후</v>
      </c>
      <c r="H4687" t="str">
        <f t="shared" si="631"/>
        <v>스토리위즈</v>
      </c>
      <c r="I4687" t="str">
        <f t="shared" si="628"/>
        <v>이과생 둘이 회귀했다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1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/>
      <c r="AQ4687">
        <v>0</v>
      </c>
      <c r="AR4687">
        <v>0</v>
      </c>
      <c r="AT4687">
        <v>0</v>
      </c>
      <c r="AU4687">
        <v>0</v>
      </c>
      <c r="AW4687">
        <v>0</v>
      </c>
      <c r="AX4687">
        <v>0</v>
      </c>
      <c r="AY4687">
        <v>0</v>
      </c>
      <c r="BC4687" t="str">
        <f t="shared" si="629"/>
        <v>9791159284632</v>
      </c>
      <c r="BE4687" t="str">
        <f t="shared" si="630"/>
        <v>판타지 웹소설 &gt; 현대 판타지</v>
      </c>
    </row>
    <row r="4688" spans="1:57" x14ac:dyDescent="0.3">
      <c r="A4688">
        <v>2313007167</v>
      </c>
      <c r="B4688">
        <v>2313007190</v>
      </c>
      <c r="C4688" t="str">
        <f>T("이과생 둘이 회귀했다 24화")</f>
        <v>이과생 둘이 회귀했다 24화</v>
      </c>
      <c r="D4688" t="str">
        <f>T("24")</f>
        <v>24</v>
      </c>
      <c r="E4688" t="str">
        <f t="shared" si="627"/>
        <v>하이후</v>
      </c>
      <c r="H4688" t="str">
        <f t="shared" si="631"/>
        <v>스토리위즈</v>
      </c>
      <c r="I4688" t="str">
        <f t="shared" si="628"/>
        <v>이과생 둘이 회귀했다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/>
      <c r="AQ4688">
        <v>0</v>
      </c>
      <c r="AR4688">
        <v>0</v>
      </c>
      <c r="AT4688">
        <v>0</v>
      </c>
      <c r="AU4688">
        <v>0</v>
      </c>
      <c r="AW4688">
        <v>0</v>
      </c>
      <c r="AX4688">
        <v>0</v>
      </c>
      <c r="AY4688">
        <v>0</v>
      </c>
      <c r="BC4688" t="str">
        <f t="shared" si="629"/>
        <v>9791159284632</v>
      </c>
      <c r="BE4688" t="str">
        <f t="shared" si="630"/>
        <v>판타지 웹소설 &gt; 현대 판타지</v>
      </c>
    </row>
    <row r="4689" spans="1:57" x14ac:dyDescent="0.3">
      <c r="A4689">
        <v>2313007167</v>
      </c>
      <c r="B4689">
        <v>2313007191</v>
      </c>
      <c r="C4689" t="str">
        <f>T("이과생 둘이 회귀했다 25화")</f>
        <v>이과생 둘이 회귀했다 25화</v>
      </c>
      <c r="D4689" t="str">
        <f>T("25")</f>
        <v>25</v>
      </c>
      <c r="E4689" t="str">
        <f t="shared" si="627"/>
        <v>하이후</v>
      </c>
      <c r="H4689" t="str">
        <f t="shared" si="631"/>
        <v>스토리위즈</v>
      </c>
      <c r="I4689" t="str">
        <f t="shared" si="628"/>
        <v>이과생 둘이 회귀했다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/>
      <c r="AQ4689">
        <v>0</v>
      </c>
      <c r="AR4689">
        <v>0</v>
      </c>
      <c r="AT4689">
        <v>0</v>
      </c>
      <c r="AU4689">
        <v>0</v>
      </c>
      <c r="AW4689">
        <v>0</v>
      </c>
      <c r="AX4689">
        <v>0</v>
      </c>
      <c r="AY4689">
        <v>0</v>
      </c>
      <c r="BC4689" t="str">
        <f t="shared" si="629"/>
        <v>9791159284632</v>
      </c>
      <c r="BE4689" t="str">
        <f t="shared" si="630"/>
        <v>판타지 웹소설 &gt; 현대 판타지</v>
      </c>
    </row>
    <row r="4690" spans="1:57" x14ac:dyDescent="0.3">
      <c r="A4690">
        <v>2313007326</v>
      </c>
      <c r="B4690">
        <v>2313007326</v>
      </c>
      <c r="C4690" t="str">
        <f>T("꿈은 이루어진다 1화")</f>
        <v>꿈은 이루어진다 1화</v>
      </c>
      <c r="D4690" t="str">
        <f>T("1")</f>
        <v>1</v>
      </c>
      <c r="E4690" t="str">
        <f>T("벗우")</f>
        <v>벗우</v>
      </c>
      <c r="H4690" t="str">
        <f t="shared" si="631"/>
        <v>스토리위즈</v>
      </c>
      <c r="I4690" t="str">
        <f>T("꿈은 이루어진다")</f>
        <v>꿈은 이루어진다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1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/>
      <c r="AQ4690">
        <v>0</v>
      </c>
      <c r="AR4690">
        <v>0</v>
      </c>
      <c r="AT4690">
        <v>0</v>
      </c>
      <c r="AU4690">
        <v>0</v>
      </c>
      <c r="AW4690">
        <v>0</v>
      </c>
      <c r="AX4690">
        <v>0</v>
      </c>
      <c r="AY4690">
        <v>0</v>
      </c>
      <c r="BC4690" t="str">
        <f>T("9791159288319")</f>
        <v>9791159288319</v>
      </c>
      <c r="BE4690" t="str">
        <f t="shared" si="630"/>
        <v>판타지 웹소설 &gt; 현대 판타지</v>
      </c>
    </row>
    <row r="4691" spans="1:57" x14ac:dyDescent="0.3">
      <c r="A4691">
        <v>2313007845</v>
      </c>
      <c r="B4691">
        <v>2313007845</v>
      </c>
      <c r="C4691" t="str">
        <f>T("간신이 나라를 살림 1화")</f>
        <v>간신이 나라를 살림 1화</v>
      </c>
      <c r="D4691" t="str">
        <f>T("1")</f>
        <v>1</v>
      </c>
      <c r="E4691" t="str">
        <f t="shared" ref="E4691:E4715" si="632">T("루이세")</f>
        <v>루이세</v>
      </c>
      <c r="H4691" t="str">
        <f t="shared" si="631"/>
        <v>스토리위즈</v>
      </c>
      <c r="I4691" t="str">
        <f t="shared" ref="I4691:I4715" si="633">T("간신이 나라를 살림")</f>
        <v>간신이 나라를 살림</v>
      </c>
      <c r="J4691">
        <v>0</v>
      </c>
      <c r="K4691">
        <v>0</v>
      </c>
      <c r="L4691">
        <v>0</v>
      </c>
      <c r="M4691">
        <v>10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10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/>
      <c r="AQ4691">
        <v>0</v>
      </c>
      <c r="AR4691">
        <v>0</v>
      </c>
      <c r="AT4691">
        <v>0</v>
      </c>
      <c r="AU4691">
        <v>0</v>
      </c>
      <c r="AW4691">
        <v>0</v>
      </c>
      <c r="AX4691">
        <v>0</v>
      </c>
      <c r="AY4691">
        <v>0</v>
      </c>
      <c r="BC4691" t="str">
        <f t="shared" ref="BC4691:BC4715" si="634">T("9791159284663")</f>
        <v>9791159284663</v>
      </c>
      <c r="BE4691" t="str">
        <f t="shared" ref="BE4691:BE4740" si="635">T("판타지 웹소설 &gt; 퓨전 판타지")</f>
        <v>판타지 웹소설 &gt; 퓨전 판타지</v>
      </c>
    </row>
    <row r="4692" spans="1:57" x14ac:dyDescent="0.3">
      <c r="A4692">
        <v>2313007845</v>
      </c>
      <c r="B4692">
        <v>2313007846</v>
      </c>
      <c r="C4692" t="str">
        <f>T("간신이 나라를 살림 2화")</f>
        <v>간신이 나라를 살림 2화</v>
      </c>
      <c r="D4692" t="str">
        <f>T("2")</f>
        <v>2</v>
      </c>
      <c r="E4692" t="str">
        <f t="shared" si="632"/>
        <v>루이세</v>
      </c>
      <c r="H4692" t="str">
        <f t="shared" si="631"/>
        <v>스토리위즈</v>
      </c>
      <c r="I4692" t="str">
        <f t="shared" si="633"/>
        <v>간신이 나라를 살림</v>
      </c>
      <c r="J4692">
        <v>0</v>
      </c>
      <c r="K4692">
        <v>0</v>
      </c>
      <c r="L4692">
        <v>0</v>
      </c>
      <c r="M4692">
        <v>9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9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/>
      <c r="AQ4692">
        <v>0</v>
      </c>
      <c r="AR4692">
        <v>0</v>
      </c>
      <c r="AT4692">
        <v>0</v>
      </c>
      <c r="AU4692">
        <v>0</v>
      </c>
      <c r="AW4692">
        <v>0</v>
      </c>
      <c r="AX4692">
        <v>0</v>
      </c>
      <c r="AY4692">
        <v>0</v>
      </c>
      <c r="BC4692" t="str">
        <f t="shared" si="634"/>
        <v>9791159284663</v>
      </c>
      <c r="BE4692" t="str">
        <f t="shared" si="635"/>
        <v>판타지 웹소설 &gt; 퓨전 판타지</v>
      </c>
    </row>
    <row r="4693" spans="1:57" x14ac:dyDescent="0.3">
      <c r="A4693">
        <v>2313007845</v>
      </c>
      <c r="B4693">
        <v>2313007847</v>
      </c>
      <c r="C4693" t="str">
        <f>T("간신이 나라를 살림 3화")</f>
        <v>간신이 나라를 살림 3화</v>
      </c>
      <c r="D4693" t="str">
        <f>T("3")</f>
        <v>3</v>
      </c>
      <c r="E4693" t="str">
        <f t="shared" si="632"/>
        <v>루이세</v>
      </c>
      <c r="H4693" t="str">
        <f t="shared" si="631"/>
        <v>스토리위즈</v>
      </c>
      <c r="I4693" t="str">
        <f t="shared" si="633"/>
        <v>간신이 나라를 살림</v>
      </c>
      <c r="J4693">
        <v>0</v>
      </c>
      <c r="K4693">
        <v>0</v>
      </c>
      <c r="L4693">
        <v>0</v>
      </c>
      <c r="M4693">
        <v>8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8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/>
      <c r="AQ4693">
        <v>0</v>
      </c>
      <c r="AR4693">
        <v>0</v>
      </c>
      <c r="AT4693">
        <v>0</v>
      </c>
      <c r="AU4693">
        <v>0</v>
      </c>
      <c r="AW4693">
        <v>0</v>
      </c>
      <c r="AX4693">
        <v>0</v>
      </c>
      <c r="AY4693">
        <v>0</v>
      </c>
      <c r="BC4693" t="str">
        <f t="shared" si="634"/>
        <v>9791159284663</v>
      </c>
      <c r="BE4693" t="str">
        <f t="shared" si="635"/>
        <v>판타지 웹소설 &gt; 퓨전 판타지</v>
      </c>
    </row>
    <row r="4694" spans="1:57" x14ac:dyDescent="0.3">
      <c r="A4694">
        <v>2313007845</v>
      </c>
      <c r="B4694">
        <v>2313007848</v>
      </c>
      <c r="C4694" t="str">
        <f>T("간신이 나라를 살림 4화")</f>
        <v>간신이 나라를 살림 4화</v>
      </c>
      <c r="D4694" t="str">
        <f>T("4")</f>
        <v>4</v>
      </c>
      <c r="E4694" t="str">
        <f t="shared" si="632"/>
        <v>루이세</v>
      </c>
      <c r="H4694" t="str">
        <f t="shared" si="631"/>
        <v>스토리위즈</v>
      </c>
      <c r="I4694" t="str">
        <f t="shared" si="633"/>
        <v>간신이 나라를 살림</v>
      </c>
      <c r="J4694">
        <v>0</v>
      </c>
      <c r="K4694">
        <v>0</v>
      </c>
      <c r="L4694">
        <v>0</v>
      </c>
      <c r="M4694">
        <v>6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6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/>
      <c r="AQ4694">
        <v>0</v>
      </c>
      <c r="AR4694">
        <v>0</v>
      </c>
      <c r="AT4694">
        <v>0</v>
      </c>
      <c r="AU4694">
        <v>0</v>
      </c>
      <c r="AW4694">
        <v>0</v>
      </c>
      <c r="AX4694">
        <v>0</v>
      </c>
      <c r="AY4694">
        <v>0</v>
      </c>
      <c r="BC4694" t="str">
        <f t="shared" si="634"/>
        <v>9791159284663</v>
      </c>
      <c r="BE4694" t="str">
        <f t="shared" si="635"/>
        <v>판타지 웹소설 &gt; 퓨전 판타지</v>
      </c>
    </row>
    <row r="4695" spans="1:57" x14ac:dyDescent="0.3">
      <c r="A4695">
        <v>2313007845</v>
      </c>
      <c r="B4695">
        <v>2313007849</v>
      </c>
      <c r="C4695" t="str">
        <f>T("간신이 나라를 살림 5화")</f>
        <v>간신이 나라를 살림 5화</v>
      </c>
      <c r="D4695" t="str">
        <f>T("5")</f>
        <v>5</v>
      </c>
      <c r="E4695" t="str">
        <f t="shared" si="632"/>
        <v>루이세</v>
      </c>
      <c r="H4695" t="str">
        <f t="shared" si="631"/>
        <v>스토리위즈</v>
      </c>
      <c r="I4695" t="str">
        <f t="shared" si="633"/>
        <v>간신이 나라를 살림</v>
      </c>
      <c r="J4695">
        <v>0</v>
      </c>
      <c r="K4695">
        <v>0</v>
      </c>
      <c r="L4695">
        <v>0</v>
      </c>
      <c r="M4695">
        <v>4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4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/>
      <c r="AQ4695">
        <v>0</v>
      </c>
      <c r="AR4695">
        <v>0</v>
      </c>
      <c r="AT4695">
        <v>0</v>
      </c>
      <c r="AU4695">
        <v>0</v>
      </c>
      <c r="AW4695">
        <v>0</v>
      </c>
      <c r="AX4695">
        <v>0</v>
      </c>
      <c r="AY4695">
        <v>0</v>
      </c>
      <c r="BC4695" t="str">
        <f t="shared" si="634"/>
        <v>9791159284663</v>
      </c>
      <c r="BE4695" t="str">
        <f t="shared" si="635"/>
        <v>판타지 웹소설 &gt; 퓨전 판타지</v>
      </c>
    </row>
    <row r="4696" spans="1:57" x14ac:dyDescent="0.3">
      <c r="A4696">
        <v>2313007845</v>
      </c>
      <c r="B4696">
        <v>2313007850</v>
      </c>
      <c r="C4696" t="str">
        <f>T("간신이 나라를 살림 6화")</f>
        <v>간신이 나라를 살림 6화</v>
      </c>
      <c r="D4696" t="str">
        <f>T("6")</f>
        <v>6</v>
      </c>
      <c r="E4696" t="str">
        <f t="shared" si="632"/>
        <v>루이세</v>
      </c>
      <c r="H4696" t="str">
        <f t="shared" si="631"/>
        <v>스토리위즈</v>
      </c>
      <c r="I4696" t="str">
        <f t="shared" si="633"/>
        <v>간신이 나라를 살림</v>
      </c>
      <c r="J4696">
        <v>0</v>
      </c>
      <c r="K4696">
        <v>0</v>
      </c>
      <c r="L4696">
        <v>0</v>
      </c>
      <c r="M4696">
        <v>3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3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/>
      <c r="AQ4696">
        <v>0</v>
      </c>
      <c r="AR4696">
        <v>0</v>
      </c>
      <c r="AT4696">
        <v>0</v>
      </c>
      <c r="AU4696">
        <v>0</v>
      </c>
      <c r="AW4696">
        <v>0</v>
      </c>
      <c r="AX4696">
        <v>0</v>
      </c>
      <c r="AY4696">
        <v>0</v>
      </c>
      <c r="BC4696" t="str">
        <f t="shared" si="634"/>
        <v>9791159284663</v>
      </c>
      <c r="BE4696" t="str">
        <f t="shared" si="635"/>
        <v>판타지 웹소설 &gt; 퓨전 판타지</v>
      </c>
    </row>
    <row r="4697" spans="1:57" x14ac:dyDescent="0.3">
      <c r="A4697">
        <v>2313007845</v>
      </c>
      <c r="B4697">
        <v>2313007851</v>
      </c>
      <c r="C4697" t="str">
        <f>T("간신이 나라를 살림 7화")</f>
        <v>간신이 나라를 살림 7화</v>
      </c>
      <c r="D4697" t="str">
        <f>T("7")</f>
        <v>7</v>
      </c>
      <c r="E4697" t="str">
        <f t="shared" si="632"/>
        <v>루이세</v>
      </c>
      <c r="H4697" t="str">
        <f t="shared" si="631"/>
        <v>스토리위즈</v>
      </c>
      <c r="I4697" t="str">
        <f t="shared" si="633"/>
        <v>간신이 나라를 살림</v>
      </c>
      <c r="J4697">
        <v>0</v>
      </c>
      <c r="K4697">
        <v>0</v>
      </c>
      <c r="L4697">
        <v>0</v>
      </c>
      <c r="M4697">
        <v>3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3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/>
      <c r="AQ4697">
        <v>0</v>
      </c>
      <c r="AR4697">
        <v>0</v>
      </c>
      <c r="AT4697">
        <v>0</v>
      </c>
      <c r="AU4697">
        <v>0</v>
      </c>
      <c r="AW4697">
        <v>0</v>
      </c>
      <c r="AX4697">
        <v>0</v>
      </c>
      <c r="AY4697">
        <v>0</v>
      </c>
      <c r="BC4697" t="str">
        <f t="shared" si="634"/>
        <v>9791159284663</v>
      </c>
      <c r="BE4697" t="str">
        <f t="shared" si="635"/>
        <v>판타지 웹소설 &gt; 퓨전 판타지</v>
      </c>
    </row>
    <row r="4698" spans="1:57" x14ac:dyDescent="0.3">
      <c r="A4698">
        <v>2313007845</v>
      </c>
      <c r="B4698">
        <v>2313007852</v>
      </c>
      <c r="C4698" t="str">
        <f>T("간신이 나라를 살림 8화")</f>
        <v>간신이 나라를 살림 8화</v>
      </c>
      <c r="D4698" t="str">
        <f>T("8")</f>
        <v>8</v>
      </c>
      <c r="E4698" t="str">
        <f t="shared" si="632"/>
        <v>루이세</v>
      </c>
      <c r="H4698" t="str">
        <f t="shared" si="631"/>
        <v>스토리위즈</v>
      </c>
      <c r="I4698" t="str">
        <f t="shared" si="633"/>
        <v>간신이 나라를 살림</v>
      </c>
      <c r="J4698">
        <v>0</v>
      </c>
      <c r="K4698">
        <v>0</v>
      </c>
      <c r="L4698">
        <v>0</v>
      </c>
      <c r="M4698">
        <v>3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3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/>
      <c r="AQ4698">
        <v>0</v>
      </c>
      <c r="AR4698">
        <v>0</v>
      </c>
      <c r="AT4698">
        <v>0</v>
      </c>
      <c r="AU4698">
        <v>0</v>
      </c>
      <c r="AW4698">
        <v>0</v>
      </c>
      <c r="AX4698">
        <v>0</v>
      </c>
      <c r="AY4698">
        <v>0</v>
      </c>
      <c r="BC4698" t="str">
        <f t="shared" si="634"/>
        <v>9791159284663</v>
      </c>
      <c r="BE4698" t="str">
        <f t="shared" si="635"/>
        <v>판타지 웹소설 &gt; 퓨전 판타지</v>
      </c>
    </row>
    <row r="4699" spans="1:57" x14ac:dyDescent="0.3">
      <c r="A4699">
        <v>2313007845</v>
      </c>
      <c r="B4699">
        <v>2313007853</v>
      </c>
      <c r="C4699" t="str">
        <f>T("간신이 나라를 살림 9화")</f>
        <v>간신이 나라를 살림 9화</v>
      </c>
      <c r="D4699" t="str">
        <f>T("9")</f>
        <v>9</v>
      </c>
      <c r="E4699" t="str">
        <f t="shared" si="632"/>
        <v>루이세</v>
      </c>
      <c r="H4699" t="str">
        <f t="shared" si="631"/>
        <v>스토리위즈</v>
      </c>
      <c r="I4699" t="str">
        <f t="shared" si="633"/>
        <v>간신이 나라를 살림</v>
      </c>
      <c r="J4699">
        <v>0</v>
      </c>
      <c r="K4699">
        <v>0</v>
      </c>
      <c r="L4699">
        <v>0</v>
      </c>
      <c r="M4699">
        <v>3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3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/>
      <c r="AQ4699">
        <v>0</v>
      </c>
      <c r="AR4699">
        <v>0</v>
      </c>
      <c r="AT4699">
        <v>0</v>
      </c>
      <c r="AU4699">
        <v>0</v>
      </c>
      <c r="AW4699">
        <v>0</v>
      </c>
      <c r="AX4699">
        <v>0</v>
      </c>
      <c r="AY4699">
        <v>0</v>
      </c>
      <c r="BC4699" t="str">
        <f t="shared" si="634"/>
        <v>9791159284663</v>
      </c>
      <c r="BE4699" t="str">
        <f t="shared" si="635"/>
        <v>판타지 웹소설 &gt; 퓨전 판타지</v>
      </c>
    </row>
    <row r="4700" spans="1:57" x14ac:dyDescent="0.3">
      <c r="A4700">
        <v>2313007845</v>
      </c>
      <c r="B4700">
        <v>2313007854</v>
      </c>
      <c r="C4700" t="str">
        <f>T("간신이 나라를 살림 10화")</f>
        <v>간신이 나라를 살림 10화</v>
      </c>
      <c r="D4700" t="str">
        <f>T("10")</f>
        <v>10</v>
      </c>
      <c r="E4700" t="str">
        <f t="shared" si="632"/>
        <v>루이세</v>
      </c>
      <c r="H4700" t="str">
        <f t="shared" si="631"/>
        <v>스토리위즈</v>
      </c>
      <c r="I4700" t="str">
        <f t="shared" si="633"/>
        <v>간신이 나라를 살림</v>
      </c>
      <c r="J4700">
        <v>0</v>
      </c>
      <c r="K4700">
        <v>0</v>
      </c>
      <c r="L4700">
        <v>0</v>
      </c>
      <c r="M4700">
        <v>4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4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/>
      <c r="AQ4700">
        <v>0</v>
      </c>
      <c r="AR4700">
        <v>0</v>
      </c>
      <c r="AT4700">
        <v>0</v>
      </c>
      <c r="AU4700">
        <v>0</v>
      </c>
      <c r="AW4700">
        <v>0</v>
      </c>
      <c r="AX4700">
        <v>0</v>
      </c>
      <c r="AY4700">
        <v>0</v>
      </c>
      <c r="BC4700" t="str">
        <f t="shared" si="634"/>
        <v>9791159284663</v>
      </c>
      <c r="BE4700" t="str">
        <f t="shared" si="635"/>
        <v>판타지 웹소설 &gt; 퓨전 판타지</v>
      </c>
    </row>
    <row r="4701" spans="1:57" x14ac:dyDescent="0.3">
      <c r="A4701">
        <v>2313007845</v>
      </c>
      <c r="B4701">
        <v>2313007855</v>
      </c>
      <c r="C4701" t="str">
        <f>T("간신이 나라를 살림 11화")</f>
        <v>간신이 나라를 살림 11화</v>
      </c>
      <c r="D4701" t="str">
        <f>T("11")</f>
        <v>11</v>
      </c>
      <c r="E4701" t="str">
        <f t="shared" si="632"/>
        <v>루이세</v>
      </c>
      <c r="H4701" t="str">
        <f t="shared" si="631"/>
        <v>스토리위즈</v>
      </c>
      <c r="I4701" t="str">
        <f t="shared" si="633"/>
        <v>간신이 나라를 살림</v>
      </c>
      <c r="J4701">
        <v>0</v>
      </c>
      <c r="K4701">
        <v>0</v>
      </c>
      <c r="L4701">
        <v>0</v>
      </c>
      <c r="M4701">
        <v>2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2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/>
      <c r="AQ4701">
        <v>0</v>
      </c>
      <c r="AR4701">
        <v>0</v>
      </c>
      <c r="AT4701">
        <v>0</v>
      </c>
      <c r="AU4701">
        <v>0</v>
      </c>
      <c r="AW4701">
        <v>0</v>
      </c>
      <c r="AX4701">
        <v>0</v>
      </c>
      <c r="AY4701">
        <v>0</v>
      </c>
      <c r="BC4701" t="str">
        <f t="shared" si="634"/>
        <v>9791159284663</v>
      </c>
      <c r="BE4701" t="str">
        <f t="shared" si="635"/>
        <v>판타지 웹소설 &gt; 퓨전 판타지</v>
      </c>
    </row>
    <row r="4702" spans="1:57" x14ac:dyDescent="0.3">
      <c r="A4702">
        <v>2313007845</v>
      </c>
      <c r="B4702">
        <v>2313007856</v>
      </c>
      <c r="C4702" t="str">
        <f>T("간신이 나라를 살림 12화")</f>
        <v>간신이 나라를 살림 12화</v>
      </c>
      <c r="D4702" t="str">
        <f>T("12")</f>
        <v>12</v>
      </c>
      <c r="E4702" t="str">
        <f t="shared" si="632"/>
        <v>루이세</v>
      </c>
      <c r="H4702" t="str">
        <f t="shared" si="631"/>
        <v>스토리위즈</v>
      </c>
      <c r="I4702" t="str">
        <f t="shared" si="633"/>
        <v>간신이 나라를 살림</v>
      </c>
      <c r="J4702">
        <v>0</v>
      </c>
      <c r="K4702">
        <v>0</v>
      </c>
      <c r="L4702">
        <v>0</v>
      </c>
      <c r="M4702">
        <v>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2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/>
      <c r="AQ4702">
        <v>0</v>
      </c>
      <c r="AR4702">
        <v>0</v>
      </c>
      <c r="AT4702">
        <v>0</v>
      </c>
      <c r="AU4702">
        <v>0</v>
      </c>
      <c r="AW4702">
        <v>0</v>
      </c>
      <c r="AX4702">
        <v>0</v>
      </c>
      <c r="AY4702">
        <v>0</v>
      </c>
      <c r="BC4702" t="str">
        <f t="shared" si="634"/>
        <v>9791159284663</v>
      </c>
      <c r="BE4702" t="str">
        <f t="shared" si="635"/>
        <v>판타지 웹소설 &gt; 퓨전 판타지</v>
      </c>
    </row>
    <row r="4703" spans="1:57" x14ac:dyDescent="0.3">
      <c r="A4703">
        <v>2313007845</v>
      </c>
      <c r="B4703">
        <v>2313007857</v>
      </c>
      <c r="C4703" t="str">
        <f>T("간신이 나라를 살림 13화")</f>
        <v>간신이 나라를 살림 13화</v>
      </c>
      <c r="D4703" t="str">
        <f>T("13")</f>
        <v>13</v>
      </c>
      <c r="E4703" t="str">
        <f t="shared" si="632"/>
        <v>루이세</v>
      </c>
      <c r="H4703" t="str">
        <f t="shared" si="631"/>
        <v>스토리위즈</v>
      </c>
      <c r="I4703" t="str">
        <f t="shared" si="633"/>
        <v>간신이 나라를 살림</v>
      </c>
      <c r="J4703">
        <v>0</v>
      </c>
      <c r="K4703">
        <v>0</v>
      </c>
      <c r="L4703">
        <v>0</v>
      </c>
      <c r="M4703">
        <v>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2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/>
      <c r="AQ4703">
        <v>0</v>
      </c>
      <c r="AR4703">
        <v>0</v>
      </c>
      <c r="AT4703">
        <v>0</v>
      </c>
      <c r="AU4703">
        <v>0</v>
      </c>
      <c r="AW4703">
        <v>0</v>
      </c>
      <c r="AX4703">
        <v>0</v>
      </c>
      <c r="AY4703">
        <v>0</v>
      </c>
      <c r="BC4703" t="str">
        <f t="shared" si="634"/>
        <v>9791159284663</v>
      </c>
      <c r="BE4703" t="str">
        <f t="shared" si="635"/>
        <v>판타지 웹소설 &gt; 퓨전 판타지</v>
      </c>
    </row>
    <row r="4704" spans="1:57" x14ac:dyDescent="0.3">
      <c r="A4704">
        <v>2313007845</v>
      </c>
      <c r="B4704">
        <v>2313007858</v>
      </c>
      <c r="C4704" t="str">
        <f>T("간신이 나라를 살림 14화")</f>
        <v>간신이 나라를 살림 14화</v>
      </c>
      <c r="D4704" t="str">
        <f>T("14")</f>
        <v>14</v>
      </c>
      <c r="E4704" t="str">
        <f t="shared" si="632"/>
        <v>루이세</v>
      </c>
      <c r="H4704" t="str">
        <f t="shared" si="631"/>
        <v>스토리위즈</v>
      </c>
      <c r="I4704" t="str">
        <f t="shared" si="633"/>
        <v>간신이 나라를 살림</v>
      </c>
      <c r="J4704">
        <v>0</v>
      </c>
      <c r="K4704">
        <v>0</v>
      </c>
      <c r="L4704">
        <v>0</v>
      </c>
      <c r="M4704">
        <v>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2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/>
      <c r="AQ4704">
        <v>0</v>
      </c>
      <c r="AR4704">
        <v>0</v>
      </c>
      <c r="AT4704">
        <v>0</v>
      </c>
      <c r="AU4704">
        <v>0</v>
      </c>
      <c r="AW4704">
        <v>0</v>
      </c>
      <c r="AX4704">
        <v>0</v>
      </c>
      <c r="AY4704">
        <v>0</v>
      </c>
      <c r="BC4704" t="str">
        <f t="shared" si="634"/>
        <v>9791159284663</v>
      </c>
      <c r="BE4704" t="str">
        <f t="shared" si="635"/>
        <v>판타지 웹소설 &gt; 퓨전 판타지</v>
      </c>
    </row>
    <row r="4705" spans="1:57" x14ac:dyDescent="0.3">
      <c r="A4705">
        <v>2313007845</v>
      </c>
      <c r="B4705">
        <v>2313007859</v>
      </c>
      <c r="C4705" t="str">
        <f>T("간신이 나라를 살림 15화")</f>
        <v>간신이 나라를 살림 15화</v>
      </c>
      <c r="D4705" t="str">
        <f>T("15")</f>
        <v>15</v>
      </c>
      <c r="E4705" t="str">
        <f t="shared" si="632"/>
        <v>루이세</v>
      </c>
      <c r="H4705" t="str">
        <f t="shared" si="631"/>
        <v>스토리위즈</v>
      </c>
      <c r="I4705" t="str">
        <f t="shared" si="633"/>
        <v>간신이 나라를 살림</v>
      </c>
      <c r="J4705">
        <v>0</v>
      </c>
      <c r="K4705">
        <v>0</v>
      </c>
      <c r="L4705">
        <v>0</v>
      </c>
      <c r="M4705">
        <v>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2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/>
      <c r="AQ4705">
        <v>0</v>
      </c>
      <c r="AR4705">
        <v>0</v>
      </c>
      <c r="AT4705">
        <v>0</v>
      </c>
      <c r="AU4705">
        <v>0</v>
      </c>
      <c r="AW4705">
        <v>0</v>
      </c>
      <c r="AX4705">
        <v>0</v>
      </c>
      <c r="AY4705">
        <v>0</v>
      </c>
      <c r="BC4705" t="str">
        <f t="shared" si="634"/>
        <v>9791159284663</v>
      </c>
      <c r="BE4705" t="str">
        <f t="shared" si="635"/>
        <v>판타지 웹소설 &gt; 퓨전 판타지</v>
      </c>
    </row>
    <row r="4706" spans="1:57" x14ac:dyDescent="0.3">
      <c r="A4706">
        <v>2313007845</v>
      </c>
      <c r="B4706">
        <v>2313007860</v>
      </c>
      <c r="C4706" t="str">
        <f>T("간신이 나라를 살림 16화")</f>
        <v>간신이 나라를 살림 16화</v>
      </c>
      <c r="D4706" t="str">
        <f>T("16")</f>
        <v>16</v>
      </c>
      <c r="E4706" t="str">
        <f t="shared" si="632"/>
        <v>루이세</v>
      </c>
      <c r="H4706" t="str">
        <f t="shared" si="631"/>
        <v>스토리위즈</v>
      </c>
      <c r="I4706" t="str">
        <f t="shared" si="633"/>
        <v>간신이 나라를 살림</v>
      </c>
      <c r="J4706">
        <v>0</v>
      </c>
      <c r="K4706">
        <v>0</v>
      </c>
      <c r="L4706">
        <v>0</v>
      </c>
      <c r="M4706">
        <v>3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3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/>
      <c r="AQ4706">
        <v>0</v>
      </c>
      <c r="AR4706">
        <v>0</v>
      </c>
      <c r="AT4706">
        <v>0</v>
      </c>
      <c r="AU4706">
        <v>0</v>
      </c>
      <c r="AW4706">
        <v>0</v>
      </c>
      <c r="AX4706">
        <v>0</v>
      </c>
      <c r="AY4706">
        <v>0</v>
      </c>
      <c r="BC4706" t="str">
        <f t="shared" si="634"/>
        <v>9791159284663</v>
      </c>
      <c r="BE4706" t="str">
        <f t="shared" si="635"/>
        <v>판타지 웹소설 &gt; 퓨전 판타지</v>
      </c>
    </row>
    <row r="4707" spans="1:57" x14ac:dyDescent="0.3">
      <c r="A4707">
        <v>2313007845</v>
      </c>
      <c r="B4707">
        <v>2313007861</v>
      </c>
      <c r="C4707" t="str">
        <f>T("간신이 나라를 살림 17화")</f>
        <v>간신이 나라를 살림 17화</v>
      </c>
      <c r="D4707" t="str">
        <f>T("17")</f>
        <v>17</v>
      </c>
      <c r="E4707" t="str">
        <f t="shared" si="632"/>
        <v>루이세</v>
      </c>
      <c r="H4707" t="str">
        <f t="shared" si="631"/>
        <v>스토리위즈</v>
      </c>
      <c r="I4707" t="str">
        <f t="shared" si="633"/>
        <v>간신이 나라를 살림</v>
      </c>
      <c r="J4707">
        <v>0</v>
      </c>
      <c r="K4707">
        <v>0</v>
      </c>
      <c r="L4707">
        <v>0</v>
      </c>
      <c r="M4707">
        <v>3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3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/>
      <c r="AQ4707">
        <v>0</v>
      </c>
      <c r="AR4707">
        <v>0</v>
      </c>
      <c r="AT4707">
        <v>0</v>
      </c>
      <c r="AU4707">
        <v>0</v>
      </c>
      <c r="AW4707">
        <v>0</v>
      </c>
      <c r="AX4707">
        <v>0</v>
      </c>
      <c r="AY4707">
        <v>0</v>
      </c>
      <c r="BC4707" t="str">
        <f t="shared" si="634"/>
        <v>9791159284663</v>
      </c>
      <c r="BE4707" t="str">
        <f t="shared" si="635"/>
        <v>판타지 웹소설 &gt; 퓨전 판타지</v>
      </c>
    </row>
    <row r="4708" spans="1:57" x14ac:dyDescent="0.3">
      <c r="A4708">
        <v>2313007845</v>
      </c>
      <c r="B4708">
        <v>2313007862</v>
      </c>
      <c r="C4708" t="str">
        <f>T("간신이 나라를 살림 18화")</f>
        <v>간신이 나라를 살림 18화</v>
      </c>
      <c r="D4708" t="str">
        <f>T("18")</f>
        <v>18</v>
      </c>
      <c r="E4708" t="str">
        <f t="shared" si="632"/>
        <v>루이세</v>
      </c>
      <c r="H4708" t="str">
        <f t="shared" si="631"/>
        <v>스토리위즈</v>
      </c>
      <c r="I4708" t="str">
        <f t="shared" si="633"/>
        <v>간신이 나라를 살림</v>
      </c>
      <c r="J4708">
        <v>0</v>
      </c>
      <c r="K4708">
        <v>0</v>
      </c>
      <c r="L4708">
        <v>0</v>
      </c>
      <c r="M4708">
        <v>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2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/>
      <c r="AQ4708">
        <v>0</v>
      </c>
      <c r="AR4708">
        <v>0</v>
      </c>
      <c r="AT4708">
        <v>0</v>
      </c>
      <c r="AU4708">
        <v>0</v>
      </c>
      <c r="AW4708">
        <v>0</v>
      </c>
      <c r="AX4708">
        <v>0</v>
      </c>
      <c r="AY4708">
        <v>0</v>
      </c>
      <c r="BC4708" t="str">
        <f t="shared" si="634"/>
        <v>9791159284663</v>
      </c>
      <c r="BE4708" t="str">
        <f t="shared" si="635"/>
        <v>판타지 웹소설 &gt; 퓨전 판타지</v>
      </c>
    </row>
    <row r="4709" spans="1:57" x14ac:dyDescent="0.3">
      <c r="A4709">
        <v>2313007845</v>
      </c>
      <c r="B4709">
        <v>2313007863</v>
      </c>
      <c r="C4709" t="str">
        <f>T("간신이 나라를 살림 19화")</f>
        <v>간신이 나라를 살림 19화</v>
      </c>
      <c r="D4709" t="str">
        <f>T("19")</f>
        <v>19</v>
      </c>
      <c r="E4709" t="str">
        <f t="shared" si="632"/>
        <v>루이세</v>
      </c>
      <c r="H4709" t="str">
        <f t="shared" si="631"/>
        <v>스토리위즈</v>
      </c>
      <c r="I4709" t="str">
        <f t="shared" si="633"/>
        <v>간신이 나라를 살림</v>
      </c>
      <c r="J4709">
        <v>0</v>
      </c>
      <c r="K4709">
        <v>0</v>
      </c>
      <c r="L4709">
        <v>0</v>
      </c>
      <c r="M4709">
        <v>3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3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/>
      <c r="AQ4709">
        <v>0</v>
      </c>
      <c r="AR4709">
        <v>0</v>
      </c>
      <c r="AT4709">
        <v>0</v>
      </c>
      <c r="AU4709">
        <v>0</v>
      </c>
      <c r="AW4709">
        <v>0</v>
      </c>
      <c r="AX4709">
        <v>0</v>
      </c>
      <c r="AY4709">
        <v>0</v>
      </c>
      <c r="BC4709" t="str">
        <f t="shared" si="634"/>
        <v>9791159284663</v>
      </c>
      <c r="BE4709" t="str">
        <f t="shared" si="635"/>
        <v>판타지 웹소설 &gt; 퓨전 판타지</v>
      </c>
    </row>
    <row r="4710" spans="1:57" x14ac:dyDescent="0.3">
      <c r="A4710">
        <v>2313007845</v>
      </c>
      <c r="B4710">
        <v>2313007864</v>
      </c>
      <c r="C4710" t="str">
        <f>T("간신이 나라를 살림 20화")</f>
        <v>간신이 나라를 살림 20화</v>
      </c>
      <c r="D4710" t="str">
        <f>T("20")</f>
        <v>20</v>
      </c>
      <c r="E4710" t="str">
        <f t="shared" si="632"/>
        <v>루이세</v>
      </c>
      <c r="H4710" t="str">
        <f t="shared" si="631"/>
        <v>스토리위즈</v>
      </c>
      <c r="I4710" t="str">
        <f t="shared" si="633"/>
        <v>간신이 나라를 살림</v>
      </c>
      <c r="J4710">
        <v>0</v>
      </c>
      <c r="K4710">
        <v>0</v>
      </c>
      <c r="L4710">
        <v>0</v>
      </c>
      <c r="M4710">
        <v>3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3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/>
      <c r="AQ4710">
        <v>0</v>
      </c>
      <c r="AR4710">
        <v>0</v>
      </c>
      <c r="AT4710">
        <v>0</v>
      </c>
      <c r="AU4710">
        <v>0</v>
      </c>
      <c r="AW4710">
        <v>0</v>
      </c>
      <c r="AX4710">
        <v>0</v>
      </c>
      <c r="AY4710">
        <v>0</v>
      </c>
      <c r="BC4710" t="str">
        <f t="shared" si="634"/>
        <v>9791159284663</v>
      </c>
      <c r="BE4710" t="str">
        <f t="shared" si="635"/>
        <v>판타지 웹소설 &gt; 퓨전 판타지</v>
      </c>
    </row>
    <row r="4711" spans="1:57" x14ac:dyDescent="0.3">
      <c r="A4711">
        <v>2313007845</v>
      </c>
      <c r="B4711">
        <v>2313007865</v>
      </c>
      <c r="C4711" t="str">
        <f>T("간신이 나라를 살림 21화")</f>
        <v>간신이 나라를 살림 21화</v>
      </c>
      <c r="D4711" t="str">
        <f>T("21")</f>
        <v>21</v>
      </c>
      <c r="E4711" t="str">
        <f t="shared" si="632"/>
        <v>루이세</v>
      </c>
      <c r="H4711" t="str">
        <f t="shared" si="631"/>
        <v>스토리위즈</v>
      </c>
      <c r="I4711" t="str">
        <f t="shared" si="633"/>
        <v>간신이 나라를 살림</v>
      </c>
      <c r="J4711">
        <v>0</v>
      </c>
      <c r="K4711">
        <v>0</v>
      </c>
      <c r="L4711">
        <v>0</v>
      </c>
      <c r="M4711">
        <v>3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3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/>
      <c r="AQ4711">
        <v>0</v>
      </c>
      <c r="AR4711">
        <v>0</v>
      </c>
      <c r="AT4711">
        <v>0</v>
      </c>
      <c r="AU4711">
        <v>0</v>
      </c>
      <c r="AW4711">
        <v>0</v>
      </c>
      <c r="AX4711">
        <v>0</v>
      </c>
      <c r="AY4711">
        <v>0</v>
      </c>
      <c r="BC4711" t="str">
        <f t="shared" si="634"/>
        <v>9791159284663</v>
      </c>
      <c r="BE4711" t="str">
        <f t="shared" si="635"/>
        <v>판타지 웹소설 &gt; 퓨전 판타지</v>
      </c>
    </row>
    <row r="4712" spans="1:57" x14ac:dyDescent="0.3">
      <c r="A4712">
        <v>2313007845</v>
      </c>
      <c r="B4712">
        <v>2313007866</v>
      </c>
      <c r="C4712" t="str">
        <f>T("간신이 나라를 살림 22화")</f>
        <v>간신이 나라를 살림 22화</v>
      </c>
      <c r="D4712" t="str">
        <f>T("22")</f>
        <v>22</v>
      </c>
      <c r="E4712" t="str">
        <f t="shared" si="632"/>
        <v>루이세</v>
      </c>
      <c r="H4712" t="str">
        <f t="shared" si="631"/>
        <v>스토리위즈</v>
      </c>
      <c r="I4712" t="str">
        <f t="shared" si="633"/>
        <v>간신이 나라를 살림</v>
      </c>
      <c r="J4712">
        <v>0</v>
      </c>
      <c r="K4712">
        <v>0</v>
      </c>
      <c r="L4712">
        <v>0</v>
      </c>
      <c r="M4712">
        <v>4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4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/>
      <c r="AQ4712">
        <v>0</v>
      </c>
      <c r="AR4712">
        <v>0</v>
      </c>
      <c r="AT4712">
        <v>0</v>
      </c>
      <c r="AU4712">
        <v>0</v>
      </c>
      <c r="AW4712">
        <v>0</v>
      </c>
      <c r="AX4712">
        <v>0</v>
      </c>
      <c r="AY4712">
        <v>0</v>
      </c>
      <c r="BC4712" t="str">
        <f t="shared" si="634"/>
        <v>9791159284663</v>
      </c>
      <c r="BE4712" t="str">
        <f t="shared" si="635"/>
        <v>판타지 웹소설 &gt; 퓨전 판타지</v>
      </c>
    </row>
    <row r="4713" spans="1:57" x14ac:dyDescent="0.3">
      <c r="A4713">
        <v>2313007845</v>
      </c>
      <c r="B4713">
        <v>2313007867</v>
      </c>
      <c r="C4713" t="str">
        <f>T("간신이 나라를 살림 23화")</f>
        <v>간신이 나라를 살림 23화</v>
      </c>
      <c r="D4713" t="str">
        <f>T("23")</f>
        <v>23</v>
      </c>
      <c r="E4713" t="str">
        <f t="shared" si="632"/>
        <v>루이세</v>
      </c>
      <c r="H4713" t="str">
        <f t="shared" si="631"/>
        <v>스토리위즈</v>
      </c>
      <c r="I4713" t="str">
        <f t="shared" si="633"/>
        <v>간신이 나라를 살림</v>
      </c>
      <c r="J4713">
        <v>0</v>
      </c>
      <c r="K4713">
        <v>0</v>
      </c>
      <c r="L4713">
        <v>0</v>
      </c>
      <c r="M4713">
        <v>4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4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/>
      <c r="AQ4713">
        <v>0</v>
      </c>
      <c r="AR4713">
        <v>0</v>
      </c>
      <c r="AT4713">
        <v>0</v>
      </c>
      <c r="AU4713">
        <v>0</v>
      </c>
      <c r="AW4713">
        <v>0</v>
      </c>
      <c r="AX4713">
        <v>0</v>
      </c>
      <c r="AY4713">
        <v>0</v>
      </c>
      <c r="BC4713" t="str">
        <f t="shared" si="634"/>
        <v>9791159284663</v>
      </c>
      <c r="BE4713" t="str">
        <f t="shared" si="635"/>
        <v>판타지 웹소설 &gt; 퓨전 판타지</v>
      </c>
    </row>
    <row r="4714" spans="1:57" x14ac:dyDescent="0.3">
      <c r="A4714">
        <v>2313007845</v>
      </c>
      <c r="B4714">
        <v>2313007868</v>
      </c>
      <c r="C4714" t="str">
        <f>T("간신이 나라를 살림 24화")</f>
        <v>간신이 나라를 살림 24화</v>
      </c>
      <c r="D4714" t="str">
        <f>T("24")</f>
        <v>24</v>
      </c>
      <c r="E4714" t="str">
        <f t="shared" si="632"/>
        <v>루이세</v>
      </c>
      <c r="H4714" t="str">
        <f t="shared" si="631"/>
        <v>스토리위즈</v>
      </c>
      <c r="I4714" t="str">
        <f t="shared" si="633"/>
        <v>간신이 나라를 살림</v>
      </c>
      <c r="J4714">
        <v>0</v>
      </c>
      <c r="K4714">
        <v>0</v>
      </c>
      <c r="L4714">
        <v>0</v>
      </c>
      <c r="M4714">
        <v>4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4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/>
      <c r="AQ4714">
        <v>0</v>
      </c>
      <c r="AR4714">
        <v>0</v>
      </c>
      <c r="AT4714">
        <v>0</v>
      </c>
      <c r="AU4714">
        <v>0</v>
      </c>
      <c r="AW4714">
        <v>0</v>
      </c>
      <c r="AX4714">
        <v>0</v>
      </c>
      <c r="AY4714">
        <v>0</v>
      </c>
      <c r="BC4714" t="str">
        <f t="shared" si="634"/>
        <v>9791159284663</v>
      </c>
      <c r="BE4714" t="str">
        <f t="shared" si="635"/>
        <v>판타지 웹소설 &gt; 퓨전 판타지</v>
      </c>
    </row>
    <row r="4715" spans="1:57" x14ac:dyDescent="0.3">
      <c r="A4715">
        <v>2313007845</v>
      </c>
      <c r="B4715">
        <v>2313007869</v>
      </c>
      <c r="C4715" t="str">
        <f>T("간신이 나라를 살림 25화")</f>
        <v>간신이 나라를 살림 25화</v>
      </c>
      <c r="D4715" t="str">
        <f>T("25")</f>
        <v>25</v>
      </c>
      <c r="E4715" t="str">
        <f t="shared" si="632"/>
        <v>루이세</v>
      </c>
      <c r="H4715" t="str">
        <f t="shared" si="631"/>
        <v>스토리위즈</v>
      </c>
      <c r="I4715" t="str">
        <f t="shared" si="633"/>
        <v>간신이 나라를 살림</v>
      </c>
      <c r="J4715">
        <v>0</v>
      </c>
      <c r="K4715">
        <v>0</v>
      </c>
      <c r="L4715">
        <v>0</v>
      </c>
      <c r="M4715">
        <v>5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5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/>
      <c r="AQ4715">
        <v>0</v>
      </c>
      <c r="AR4715">
        <v>0</v>
      </c>
      <c r="AT4715">
        <v>0</v>
      </c>
      <c r="AU4715">
        <v>0</v>
      </c>
      <c r="AW4715">
        <v>0</v>
      </c>
      <c r="AX4715">
        <v>0</v>
      </c>
      <c r="AY4715">
        <v>0</v>
      </c>
      <c r="BC4715" t="str">
        <f t="shared" si="634"/>
        <v>9791159284663</v>
      </c>
      <c r="BE4715" t="str">
        <f t="shared" si="635"/>
        <v>판타지 웹소설 &gt; 퓨전 판타지</v>
      </c>
    </row>
    <row r="4716" spans="1:57" x14ac:dyDescent="0.3">
      <c r="A4716">
        <v>2313008150</v>
      </c>
      <c r="B4716">
        <v>2313008150</v>
      </c>
      <c r="C4716" t="str">
        <f>T("기사가문 망나니는 10클래스 1화")</f>
        <v>기사가문 망나니는 10클래스 1화</v>
      </c>
      <c r="D4716" t="str">
        <f>T("1")</f>
        <v>1</v>
      </c>
      <c r="E4716" t="str">
        <f t="shared" ref="E4716:E4740" si="636">T("예로나")</f>
        <v>예로나</v>
      </c>
      <c r="H4716" t="str">
        <f t="shared" si="631"/>
        <v>스토리위즈</v>
      </c>
      <c r="I4716" t="str">
        <f t="shared" ref="I4716:I4740" si="637">T("기사가문 망나니는 10클래스")</f>
        <v>기사가문 망나니는 10클래스</v>
      </c>
      <c r="J4716">
        <v>0</v>
      </c>
      <c r="K4716">
        <v>0</v>
      </c>
      <c r="L4716">
        <v>0</v>
      </c>
      <c r="M4716">
        <v>4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4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/>
      <c r="AQ4716">
        <v>0</v>
      </c>
      <c r="AR4716">
        <v>0</v>
      </c>
      <c r="AT4716">
        <v>0</v>
      </c>
      <c r="AU4716">
        <v>0</v>
      </c>
      <c r="AW4716">
        <v>0</v>
      </c>
      <c r="AX4716">
        <v>0</v>
      </c>
      <c r="AY4716">
        <v>0</v>
      </c>
      <c r="BC4716" t="str">
        <f t="shared" ref="BC4716:BC4740" si="638">T("9791165310370")</f>
        <v>9791165310370</v>
      </c>
      <c r="BE4716" t="str">
        <f t="shared" si="635"/>
        <v>판타지 웹소설 &gt; 퓨전 판타지</v>
      </c>
    </row>
    <row r="4717" spans="1:57" x14ac:dyDescent="0.3">
      <c r="A4717">
        <v>2313008150</v>
      </c>
      <c r="B4717">
        <v>2313008151</v>
      </c>
      <c r="C4717" t="str">
        <f>T("기사가문 망나니는 10클래스 2화")</f>
        <v>기사가문 망나니는 10클래스 2화</v>
      </c>
      <c r="D4717" t="str">
        <f>T("2")</f>
        <v>2</v>
      </c>
      <c r="E4717" t="str">
        <f t="shared" si="636"/>
        <v>예로나</v>
      </c>
      <c r="H4717" t="str">
        <f t="shared" si="631"/>
        <v>스토리위즈</v>
      </c>
      <c r="I4717" t="str">
        <f t="shared" si="637"/>
        <v>기사가문 망나니는 10클래스</v>
      </c>
      <c r="J4717">
        <v>0</v>
      </c>
      <c r="K4717">
        <v>0</v>
      </c>
      <c r="L4717">
        <v>0</v>
      </c>
      <c r="M4717">
        <v>5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5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/>
      <c r="AQ4717">
        <v>0</v>
      </c>
      <c r="AR4717">
        <v>0</v>
      </c>
      <c r="AT4717">
        <v>0</v>
      </c>
      <c r="AU4717">
        <v>0</v>
      </c>
      <c r="AW4717">
        <v>0</v>
      </c>
      <c r="AX4717">
        <v>0</v>
      </c>
      <c r="AY4717">
        <v>0</v>
      </c>
      <c r="BC4717" t="str">
        <f t="shared" si="638"/>
        <v>9791165310370</v>
      </c>
      <c r="BE4717" t="str">
        <f t="shared" si="635"/>
        <v>판타지 웹소설 &gt; 퓨전 판타지</v>
      </c>
    </row>
    <row r="4718" spans="1:57" x14ac:dyDescent="0.3">
      <c r="A4718">
        <v>2313008150</v>
      </c>
      <c r="B4718">
        <v>2313008152</v>
      </c>
      <c r="C4718" t="str">
        <f>T("기사가문 망나니는 10클래스 3화")</f>
        <v>기사가문 망나니는 10클래스 3화</v>
      </c>
      <c r="D4718" t="str">
        <f>T("3")</f>
        <v>3</v>
      </c>
      <c r="E4718" t="str">
        <f t="shared" si="636"/>
        <v>예로나</v>
      </c>
      <c r="H4718" t="str">
        <f t="shared" si="631"/>
        <v>스토리위즈</v>
      </c>
      <c r="I4718" t="str">
        <f t="shared" si="637"/>
        <v>기사가문 망나니는 10클래스</v>
      </c>
      <c r="J4718">
        <v>0</v>
      </c>
      <c r="K4718">
        <v>0</v>
      </c>
      <c r="L4718">
        <v>0</v>
      </c>
      <c r="M4718">
        <v>5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5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/>
      <c r="AQ4718">
        <v>0</v>
      </c>
      <c r="AR4718">
        <v>0</v>
      </c>
      <c r="AT4718">
        <v>0</v>
      </c>
      <c r="AU4718">
        <v>0</v>
      </c>
      <c r="AW4718">
        <v>0</v>
      </c>
      <c r="AX4718">
        <v>0</v>
      </c>
      <c r="AY4718">
        <v>0</v>
      </c>
      <c r="BC4718" t="str">
        <f t="shared" si="638"/>
        <v>9791165310370</v>
      </c>
      <c r="BE4718" t="str">
        <f t="shared" si="635"/>
        <v>판타지 웹소설 &gt; 퓨전 판타지</v>
      </c>
    </row>
    <row r="4719" spans="1:57" x14ac:dyDescent="0.3">
      <c r="A4719">
        <v>2313008150</v>
      </c>
      <c r="B4719">
        <v>2313008153</v>
      </c>
      <c r="C4719" t="str">
        <f>T("기사가문 망나니는 10클래스 4화")</f>
        <v>기사가문 망나니는 10클래스 4화</v>
      </c>
      <c r="D4719" t="str">
        <f>T("4")</f>
        <v>4</v>
      </c>
      <c r="E4719" t="str">
        <f t="shared" si="636"/>
        <v>예로나</v>
      </c>
      <c r="H4719" t="str">
        <f t="shared" si="631"/>
        <v>스토리위즈</v>
      </c>
      <c r="I4719" t="str">
        <f t="shared" si="637"/>
        <v>기사가문 망나니는 10클래스</v>
      </c>
      <c r="J4719">
        <v>0</v>
      </c>
      <c r="K4719">
        <v>0</v>
      </c>
      <c r="L4719">
        <v>0</v>
      </c>
      <c r="M4719">
        <v>5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5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/>
      <c r="AQ4719">
        <v>0</v>
      </c>
      <c r="AR4719">
        <v>0</v>
      </c>
      <c r="AT4719">
        <v>0</v>
      </c>
      <c r="AU4719">
        <v>0</v>
      </c>
      <c r="AW4719">
        <v>0</v>
      </c>
      <c r="AX4719">
        <v>0</v>
      </c>
      <c r="AY4719">
        <v>0</v>
      </c>
      <c r="BC4719" t="str">
        <f t="shared" si="638"/>
        <v>9791165310370</v>
      </c>
      <c r="BE4719" t="str">
        <f t="shared" si="635"/>
        <v>판타지 웹소설 &gt; 퓨전 판타지</v>
      </c>
    </row>
    <row r="4720" spans="1:57" x14ac:dyDescent="0.3">
      <c r="A4720">
        <v>2313008150</v>
      </c>
      <c r="B4720">
        <v>2313008154</v>
      </c>
      <c r="C4720" t="str">
        <f>T("기사가문 망나니는 10클래스 5화")</f>
        <v>기사가문 망나니는 10클래스 5화</v>
      </c>
      <c r="D4720" t="str">
        <f>T("5")</f>
        <v>5</v>
      </c>
      <c r="E4720" t="str">
        <f t="shared" si="636"/>
        <v>예로나</v>
      </c>
      <c r="H4720" t="str">
        <f t="shared" si="631"/>
        <v>스토리위즈</v>
      </c>
      <c r="I4720" t="str">
        <f t="shared" si="637"/>
        <v>기사가문 망나니는 10클래스</v>
      </c>
      <c r="J4720">
        <v>0</v>
      </c>
      <c r="K4720">
        <v>0</v>
      </c>
      <c r="L4720">
        <v>0</v>
      </c>
      <c r="M4720">
        <v>5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5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/>
      <c r="AQ4720">
        <v>0</v>
      </c>
      <c r="AR4720">
        <v>0</v>
      </c>
      <c r="AT4720">
        <v>0</v>
      </c>
      <c r="AU4720">
        <v>0</v>
      </c>
      <c r="AW4720">
        <v>0</v>
      </c>
      <c r="AX4720">
        <v>0</v>
      </c>
      <c r="AY4720">
        <v>0</v>
      </c>
      <c r="BC4720" t="str">
        <f t="shared" si="638"/>
        <v>9791165310370</v>
      </c>
      <c r="BE4720" t="str">
        <f t="shared" si="635"/>
        <v>판타지 웹소설 &gt; 퓨전 판타지</v>
      </c>
    </row>
    <row r="4721" spans="1:57" x14ac:dyDescent="0.3">
      <c r="A4721">
        <v>2313008150</v>
      </c>
      <c r="B4721">
        <v>2313008155</v>
      </c>
      <c r="C4721" t="str">
        <f>T("기사가문 망나니는 10클래스 6화")</f>
        <v>기사가문 망나니는 10클래스 6화</v>
      </c>
      <c r="D4721" t="str">
        <f>T("6")</f>
        <v>6</v>
      </c>
      <c r="E4721" t="str">
        <f t="shared" si="636"/>
        <v>예로나</v>
      </c>
      <c r="H4721" t="str">
        <f t="shared" si="631"/>
        <v>스토리위즈</v>
      </c>
      <c r="I4721" t="str">
        <f t="shared" si="637"/>
        <v>기사가문 망나니는 10클래스</v>
      </c>
      <c r="J4721">
        <v>0</v>
      </c>
      <c r="K4721">
        <v>0</v>
      </c>
      <c r="L4721">
        <v>0</v>
      </c>
      <c r="M4721">
        <v>3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3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/>
      <c r="AQ4721">
        <v>0</v>
      </c>
      <c r="AR4721">
        <v>0</v>
      </c>
      <c r="AT4721">
        <v>0</v>
      </c>
      <c r="AU4721">
        <v>0</v>
      </c>
      <c r="AW4721">
        <v>0</v>
      </c>
      <c r="AX4721">
        <v>0</v>
      </c>
      <c r="AY4721">
        <v>0</v>
      </c>
      <c r="BC4721" t="str">
        <f t="shared" si="638"/>
        <v>9791165310370</v>
      </c>
      <c r="BE4721" t="str">
        <f t="shared" si="635"/>
        <v>판타지 웹소설 &gt; 퓨전 판타지</v>
      </c>
    </row>
    <row r="4722" spans="1:57" x14ac:dyDescent="0.3">
      <c r="A4722">
        <v>2313008150</v>
      </c>
      <c r="B4722">
        <v>2313008156</v>
      </c>
      <c r="C4722" t="str">
        <f>T("기사가문 망나니는 10클래스 7화")</f>
        <v>기사가문 망나니는 10클래스 7화</v>
      </c>
      <c r="D4722" t="str">
        <f>T("7")</f>
        <v>7</v>
      </c>
      <c r="E4722" t="str">
        <f t="shared" si="636"/>
        <v>예로나</v>
      </c>
      <c r="H4722" t="str">
        <f t="shared" si="631"/>
        <v>스토리위즈</v>
      </c>
      <c r="I4722" t="str">
        <f t="shared" si="637"/>
        <v>기사가문 망나니는 10클래스</v>
      </c>
      <c r="J4722">
        <v>0</v>
      </c>
      <c r="K4722">
        <v>0</v>
      </c>
      <c r="L4722">
        <v>0</v>
      </c>
      <c r="M4722">
        <v>3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3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/>
      <c r="AQ4722">
        <v>0</v>
      </c>
      <c r="AR4722">
        <v>0</v>
      </c>
      <c r="AT4722">
        <v>0</v>
      </c>
      <c r="AU4722">
        <v>0</v>
      </c>
      <c r="AW4722">
        <v>0</v>
      </c>
      <c r="AX4722">
        <v>0</v>
      </c>
      <c r="AY4722">
        <v>0</v>
      </c>
      <c r="BC4722" t="str">
        <f t="shared" si="638"/>
        <v>9791165310370</v>
      </c>
      <c r="BE4722" t="str">
        <f t="shared" si="635"/>
        <v>판타지 웹소설 &gt; 퓨전 판타지</v>
      </c>
    </row>
    <row r="4723" spans="1:57" x14ac:dyDescent="0.3">
      <c r="A4723">
        <v>2313008150</v>
      </c>
      <c r="B4723">
        <v>2313008157</v>
      </c>
      <c r="C4723" t="str">
        <f>T("기사가문 망나니는 10클래스 8화")</f>
        <v>기사가문 망나니는 10클래스 8화</v>
      </c>
      <c r="D4723" t="str">
        <f>T("8")</f>
        <v>8</v>
      </c>
      <c r="E4723" t="str">
        <f t="shared" si="636"/>
        <v>예로나</v>
      </c>
      <c r="H4723" t="str">
        <f t="shared" si="631"/>
        <v>스토리위즈</v>
      </c>
      <c r="I4723" t="str">
        <f t="shared" si="637"/>
        <v>기사가문 망나니는 10클래스</v>
      </c>
      <c r="J4723">
        <v>0</v>
      </c>
      <c r="K4723">
        <v>0</v>
      </c>
      <c r="L4723">
        <v>0</v>
      </c>
      <c r="M4723">
        <v>3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3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/>
      <c r="AQ4723">
        <v>0</v>
      </c>
      <c r="AR4723">
        <v>0</v>
      </c>
      <c r="AT4723">
        <v>0</v>
      </c>
      <c r="AU4723">
        <v>0</v>
      </c>
      <c r="AW4723">
        <v>0</v>
      </c>
      <c r="AX4723">
        <v>0</v>
      </c>
      <c r="AY4723">
        <v>0</v>
      </c>
      <c r="BC4723" t="str">
        <f t="shared" si="638"/>
        <v>9791165310370</v>
      </c>
      <c r="BE4723" t="str">
        <f t="shared" si="635"/>
        <v>판타지 웹소설 &gt; 퓨전 판타지</v>
      </c>
    </row>
    <row r="4724" spans="1:57" x14ac:dyDescent="0.3">
      <c r="A4724">
        <v>2313008150</v>
      </c>
      <c r="B4724">
        <v>2313008158</v>
      </c>
      <c r="C4724" t="str">
        <f>T("기사가문 망나니는 10클래스 9화")</f>
        <v>기사가문 망나니는 10클래스 9화</v>
      </c>
      <c r="D4724" t="str">
        <f>T("9")</f>
        <v>9</v>
      </c>
      <c r="E4724" t="str">
        <f t="shared" si="636"/>
        <v>예로나</v>
      </c>
      <c r="H4724" t="str">
        <f t="shared" si="631"/>
        <v>스토리위즈</v>
      </c>
      <c r="I4724" t="str">
        <f t="shared" si="637"/>
        <v>기사가문 망나니는 10클래스</v>
      </c>
      <c r="J4724">
        <v>0</v>
      </c>
      <c r="K4724">
        <v>0</v>
      </c>
      <c r="L4724">
        <v>0</v>
      </c>
      <c r="M4724">
        <v>3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3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/>
      <c r="AQ4724">
        <v>0</v>
      </c>
      <c r="AR4724">
        <v>0</v>
      </c>
      <c r="AT4724">
        <v>0</v>
      </c>
      <c r="AU4724">
        <v>0</v>
      </c>
      <c r="AW4724">
        <v>0</v>
      </c>
      <c r="AX4724">
        <v>0</v>
      </c>
      <c r="AY4724">
        <v>0</v>
      </c>
      <c r="BC4724" t="str">
        <f t="shared" si="638"/>
        <v>9791165310370</v>
      </c>
      <c r="BE4724" t="str">
        <f t="shared" si="635"/>
        <v>판타지 웹소설 &gt; 퓨전 판타지</v>
      </c>
    </row>
    <row r="4725" spans="1:57" x14ac:dyDescent="0.3">
      <c r="A4725">
        <v>2313008150</v>
      </c>
      <c r="B4725">
        <v>2313008159</v>
      </c>
      <c r="C4725" t="str">
        <f>T("기사가문 망나니는 10클래스 10화")</f>
        <v>기사가문 망나니는 10클래스 10화</v>
      </c>
      <c r="D4725" t="str">
        <f>T("10")</f>
        <v>10</v>
      </c>
      <c r="E4725" t="str">
        <f t="shared" si="636"/>
        <v>예로나</v>
      </c>
      <c r="H4725" t="str">
        <f t="shared" si="631"/>
        <v>스토리위즈</v>
      </c>
      <c r="I4725" t="str">
        <f t="shared" si="637"/>
        <v>기사가문 망나니는 10클래스</v>
      </c>
      <c r="J4725">
        <v>0</v>
      </c>
      <c r="K4725">
        <v>0</v>
      </c>
      <c r="L4725">
        <v>0</v>
      </c>
      <c r="M4725">
        <v>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2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/>
      <c r="AQ4725">
        <v>0</v>
      </c>
      <c r="AR4725">
        <v>0</v>
      </c>
      <c r="AT4725">
        <v>0</v>
      </c>
      <c r="AU4725">
        <v>0</v>
      </c>
      <c r="AW4725">
        <v>0</v>
      </c>
      <c r="AX4725">
        <v>0</v>
      </c>
      <c r="AY4725">
        <v>0</v>
      </c>
      <c r="BC4725" t="str">
        <f t="shared" si="638"/>
        <v>9791165310370</v>
      </c>
      <c r="BE4725" t="str">
        <f t="shared" si="635"/>
        <v>판타지 웹소설 &gt; 퓨전 판타지</v>
      </c>
    </row>
    <row r="4726" spans="1:57" x14ac:dyDescent="0.3">
      <c r="A4726">
        <v>2313008150</v>
      </c>
      <c r="B4726">
        <v>2313008160</v>
      </c>
      <c r="C4726" t="str">
        <f>T("기사가문 망나니는 10클래스 11화")</f>
        <v>기사가문 망나니는 10클래스 11화</v>
      </c>
      <c r="D4726" t="str">
        <f>T("11")</f>
        <v>11</v>
      </c>
      <c r="E4726" t="str">
        <f t="shared" si="636"/>
        <v>예로나</v>
      </c>
      <c r="H4726" t="str">
        <f t="shared" si="631"/>
        <v>스토리위즈</v>
      </c>
      <c r="I4726" t="str">
        <f t="shared" si="637"/>
        <v>기사가문 망나니는 10클래스</v>
      </c>
      <c r="J4726">
        <v>0</v>
      </c>
      <c r="K4726">
        <v>0</v>
      </c>
      <c r="L4726">
        <v>0</v>
      </c>
      <c r="M4726">
        <v>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2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/>
      <c r="AQ4726">
        <v>0</v>
      </c>
      <c r="AR4726">
        <v>0</v>
      </c>
      <c r="AT4726">
        <v>0</v>
      </c>
      <c r="AU4726">
        <v>0</v>
      </c>
      <c r="AW4726">
        <v>0</v>
      </c>
      <c r="AX4726">
        <v>0</v>
      </c>
      <c r="AY4726">
        <v>0</v>
      </c>
      <c r="BC4726" t="str">
        <f t="shared" si="638"/>
        <v>9791165310370</v>
      </c>
      <c r="BE4726" t="str">
        <f t="shared" si="635"/>
        <v>판타지 웹소설 &gt; 퓨전 판타지</v>
      </c>
    </row>
    <row r="4727" spans="1:57" x14ac:dyDescent="0.3">
      <c r="A4727">
        <v>2313008150</v>
      </c>
      <c r="B4727">
        <v>2313008161</v>
      </c>
      <c r="C4727" t="str">
        <f>T("기사가문 망나니는 10클래스 12화")</f>
        <v>기사가문 망나니는 10클래스 12화</v>
      </c>
      <c r="D4727" t="str">
        <f>T("12")</f>
        <v>12</v>
      </c>
      <c r="E4727" t="str">
        <f t="shared" si="636"/>
        <v>예로나</v>
      </c>
      <c r="H4727" t="str">
        <f t="shared" si="631"/>
        <v>스토리위즈</v>
      </c>
      <c r="I4727" t="str">
        <f t="shared" si="637"/>
        <v>기사가문 망나니는 10클래스</v>
      </c>
      <c r="J4727">
        <v>0</v>
      </c>
      <c r="K4727">
        <v>0</v>
      </c>
      <c r="L4727">
        <v>0</v>
      </c>
      <c r="M4727">
        <v>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2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/>
      <c r="AQ4727">
        <v>0</v>
      </c>
      <c r="AR4727">
        <v>0</v>
      </c>
      <c r="AT4727">
        <v>0</v>
      </c>
      <c r="AU4727">
        <v>0</v>
      </c>
      <c r="AW4727">
        <v>0</v>
      </c>
      <c r="AX4727">
        <v>0</v>
      </c>
      <c r="AY4727">
        <v>0</v>
      </c>
      <c r="BC4727" t="str">
        <f t="shared" si="638"/>
        <v>9791165310370</v>
      </c>
      <c r="BE4727" t="str">
        <f t="shared" si="635"/>
        <v>판타지 웹소설 &gt; 퓨전 판타지</v>
      </c>
    </row>
    <row r="4728" spans="1:57" x14ac:dyDescent="0.3">
      <c r="A4728">
        <v>2313008150</v>
      </c>
      <c r="B4728">
        <v>2313008162</v>
      </c>
      <c r="C4728" t="str">
        <f>T("기사가문 망나니는 10클래스 13화")</f>
        <v>기사가문 망나니는 10클래스 13화</v>
      </c>
      <c r="D4728" t="str">
        <f>T("13")</f>
        <v>13</v>
      </c>
      <c r="E4728" t="str">
        <f t="shared" si="636"/>
        <v>예로나</v>
      </c>
      <c r="H4728" t="str">
        <f t="shared" si="631"/>
        <v>스토리위즈</v>
      </c>
      <c r="I4728" t="str">
        <f t="shared" si="637"/>
        <v>기사가문 망나니는 10클래스</v>
      </c>
      <c r="J4728">
        <v>0</v>
      </c>
      <c r="K4728">
        <v>0</v>
      </c>
      <c r="L4728">
        <v>0</v>
      </c>
      <c r="M4728">
        <v>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2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/>
      <c r="AQ4728">
        <v>0</v>
      </c>
      <c r="AR4728">
        <v>0</v>
      </c>
      <c r="AT4728">
        <v>0</v>
      </c>
      <c r="AU4728">
        <v>0</v>
      </c>
      <c r="AW4728">
        <v>0</v>
      </c>
      <c r="AX4728">
        <v>0</v>
      </c>
      <c r="AY4728">
        <v>0</v>
      </c>
      <c r="BC4728" t="str">
        <f t="shared" si="638"/>
        <v>9791165310370</v>
      </c>
      <c r="BE4728" t="str">
        <f t="shared" si="635"/>
        <v>판타지 웹소설 &gt; 퓨전 판타지</v>
      </c>
    </row>
    <row r="4729" spans="1:57" x14ac:dyDescent="0.3">
      <c r="A4729">
        <v>2313008150</v>
      </c>
      <c r="B4729">
        <v>2313008163</v>
      </c>
      <c r="C4729" t="str">
        <f>T("기사가문 망나니는 10클래스 14화")</f>
        <v>기사가문 망나니는 10클래스 14화</v>
      </c>
      <c r="D4729" t="str">
        <f>T("14")</f>
        <v>14</v>
      </c>
      <c r="E4729" t="str">
        <f t="shared" si="636"/>
        <v>예로나</v>
      </c>
      <c r="H4729" t="str">
        <f t="shared" si="631"/>
        <v>스토리위즈</v>
      </c>
      <c r="I4729" t="str">
        <f t="shared" si="637"/>
        <v>기사가문 망나니는 10클래스</v>
      </c>
      <c r="J4729">
        <v>0</v>
      </c>
      <c r="K4729">
        <v>0</v>
      </c>
      <c r="L4729">
        <v>0</v>
      </c>
      <c r="M4729">
        <v>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2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/>
      <c r="AQ4729">
        <v>0</v>
      </c>
      <c r="AR4729">
        <v>0</v>
      </c>
      <c r="AT4729">
        <v>0</v>
      </c>
      <c r="AU4729">
        <v>0</v>
      </c>
      <c r="AW4729">
        <v>0</v>
      </c>
      <c r="AX4729">
        <v>0</v>
      </c>
      <c r="AY4729">
        <v>0</v>
      </c>
      <c r="BC4729" t="str">
        <f t="shared" si="638"/>
        <v>9791165310370</v>
      </c>
      <c r="BE4729" t="str">
        <f t="shared" si="635"/>
        <v>판타지 웹소설 &gt; 퓨전 판타지</v>
      </c>
    </row>
    <row r="4730" spans="1:57" x14ac:dyDescent="0.3">
      <c r="A4730">
        <v>2313008150</v>
      </c>
      <c r="B4730">
        <v>2313008164</v>
      </c>
      <c r="C4730" t="str">
        <f>T("기사가문 망나니는 10클래스 15화")</f>
        <v>기사가문 망나니는 10클래스 15화</v>
      </c>
      <c r="D4730" t="str">
        <f>T("15")</f>
        <v>15</v>
      </c>
      <c r="E4730" t="str">
        <f t="shared" si="636"/>
        <v>예로나</v>
      </c>
      <c r="H4730" t="str">
        <f t="shared" si="631"/>
        <v>스토리위즈</v>
      </c>
      <c r="I4730" t="str">
        <f t="shared" si="637"/>
        <v>기사가문 망나니는 10클래스</v>
      </c>
      <c r="J4730">
        <v>0</v>
      </c>
      <c r="K4730">
        <v>0</v>
      </c>
      <c r="L4730">
        <v>0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2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/>
      <c r="AQ4730">
        <v>0</v>
      </c>
      <c r="AR4730">
        <v>0</v>
      </c>
      <c r="AT4730">
        <v>0</v>
      </c>
      <c r="AU4730">
        <v>0</v>
      </c>
      <c r="AW4730">
        <v>0</v>
      </c>
      <c r="AX4730">
        <v>0</v>
      </c>
      <c r="AY4730">
        <v>0</v>
      </c>
      <c r="BC4730" t="str">
        <f t="shared" si="638"/>
        <v>9791165310370</v>
      </c>
      <c r="BE4730" t="str">
        <f t="shared" si="635"/>
        <v>판타지 웹소설 &gt; 퓨전 판타지</v>
      </c>
    </row>
    <row r="4731" spans="1:57" x14ac:dyDescent="0.3">
      <c r="A4731">
        <v>2313008150</v>
      </c>
      <c r="B4731">
        <v>2313008165</v>
      </c>
      <c r="C4731" t="str">
        <f>T("기사가문 망나니는 10클래스 16화")</f>
        <v>기사가문 망나니는 10클래스 16화</v>
      </c>
      <c r="D4731" t="str">
        <f>T("16")</f>
        <v>16</v>
      </c>
      <c r="E4731" t="str">
        <f t="shared" si="636"/>
        <v>예로나</v>
      </c>
      <c r="H4731" t="str">
        <f t="shared" si="631"/>
        <v>스토리위즈</v>
      </c>
      <c r="I4731" t="str">
        <f t="shared" si="637"/>
        <v>기사가문 망나니는 10클래스</v>
      </c>
      <c r="J4731">
        <v>0</v>
      </c>
      <c r="K4731">
        <v>0</v>
      </c>
      <c r="L4731">
        <v>0</v>
      </c>
      <c r="M4731">
        <v>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2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/>
      <c r="AQ4731">
        <v>0</v>
      </c>
      <c r="AR4731">
        <v>0</v>
      </c>
      <c r="AT4731">
        <v>0</v>
      </c>
      <c r="AU4731">
        <v>0</v>
      </c>
      <c r="AW4731">
        <v>0</v>
      </c>
      <c r="AX4731">
        <v>0</v>
      </c>
      <c r="AY4731">
        <v>0</v>
      </c>
      <c r="BC4731" t="str">
        <f t="shared" si="638"/>
        <v>9791165310370</v>
      </c>
      <c r="BE4731" t="str">
        <f t="shared" si="635"/>
        <v>판타지 웹소설 &gt; 퓨전 판타지</v>
      </c>
    </row>
    <row r="4732" spans="1:57" x14ac:dyDescent="0.3">
      <c r="A4732">
        <v>2313008150</v>
      </c>
      <c r="B4732">
        <v>2313008166</v>
      </c>
      <c r="C4732" t="str">
        <f>T("기사가문 망나니는 10클래스 17화")</f>
        <v>기사가문 망나니는 10클래스 17화</v>
      </c>
      <c r="D4732" t="str">
        <f>T("17")</f>
        <v>17</v>
      </c>
      <c r="E4732" t="str">
        <f t="shared" si="636"/>
        <v>예로나</v>
      </c>
      <c r="H4732" t="str">
        <f t="shared" si="631"/>
        <v>스토리위즈</v>
      </c>
      <c r="I4732" t="str">
        <f t="shared" si="637"/>
        <v>기사가문 망나니는 10클래스</v>
      </c>
      <c r="J4732">
        <v>0</v>
      </c>
      <c r="K4732">
        <v>0</v>
      </c>
      <c r="L4732">
        <v>0</v>
      </c>
      <c r="M4732">
        <v>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2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/>
      <c r="AQ4732">
        <v>0</v>
      </c>
      <c r="AR4732">
        <v>0</v>
      </c>
      <c r="AT4732">
        <v>0</v>
      </c>
      <c r="AU4732">
        <v>0</v>
      </c>
      <c r="AW4732">
        <v>0</v>
      </c>
      <c r="AX4732">
        <v>0</v>
      </c>
      <c r="AY4732">
        <v>0</v>
      </c>
      <c r="BC4732" t="str">
        <f t="shared" si="638"/>
        <v>9791165310370</v>
      </c>
      <c r="BE4732" t="str">
        <f t="shared" si="635"/>
        <v>판타지 웹소설 &gt; 퓨전 판타지</v>
      </c>
    </row>
    <row r="4733" spans="1:57" x14ac:dyDescent="0.3">
      <c r="A4733">
        <v>2313008150</v>
      </c>
      <c r="B4733">
        <v>2313008167</v>
      </c>
      <c r="C4733" t="str">
        <f>T("기사가문 망나니는 10클래스 18화")</f>
        <v>기사가문 망나니는 10클래스 18화</v>
      </c>
      <c r="D4733" t="str">
        <f>T("18")</f>
        <v>18</v>
      </c>
      <c r="E4733" t="str">
        <f t="shared" si="636"/>
        <v>예로나</v>
      </c>
      <c r="H4733" t="str">
        <f t="shared" si="631"/>
        <v>스토리위즈</v>
      </c>
      <c r="I4733" t="str">
        <f t="shared" si="637"/>
        <v>기사가문 망나니는 10클래스</v>
      </c>
      <c r="J4733">
        <v>0</v>
      </c>
      <c r="K4733">
        <v>0</v>
      </c>
      <c r="L4733">
        <v>0</v>
      </c>
      <c r="M4733">
        <v>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2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/>
      <c r="AQ4733">
        <v>0</v>
      </c>
      <c r="AR4733">
        <v>0</v>
      </c>
      <c r="AT4733">
        <v>0</v>
      </c>
      <c r="AU4733">
        <v>0</v>
      </c>
      <c r="AW4733">
        <v>0</v>
      </c>
      <c r="AX4733">
        <v>0</v>
      </c>
      <c r="AY4733">
        <v>0</v>
      </c>
      <c r="BC4733" t="str">
        <f t="shared" si="638"/>
        <v>9791165310370</v>
      </c>
      <c r="BE4733" t="str">
        <f t="shared" si="635"/>
        <v>판타지 웹소설 &gt; 퓨전 판타지</v>
      </c>
    </row>
    <row r="4734" spans="1:57" x14ac:dyDescent="0.3">
      <c r="A4734">
        <v>2313008150</v>
      </c>
      <c r="B4734">
        <v>2313008168</v>
      </c>
      <c r="C4734" t="str">
        <f>T("기사가문 망나니는 10클래스 19화")</f>
        <v>기사가문 망나니는 10클래스 19화</v>
      </c>
      <c r="D4734" t="str">
        <f>T("19")</f>
        <v>19</v>
      </c>
      <c r="E4734" t="str">
        <f t="shared" si="636"/>
        <v>예로나</v>
      </c>
      <c r="H4734" t="str">
        <f t="shared" si="631"/>
        <v>스토리위즈</v>
      </c>
      <c r="I4734" t="str">
        <f t="shared" si="637"/>
        <v>기사가문 망나니는 10클래스</v>
      </c>
      <c r="J4734">
        <v>0</v>
      </c>
      <c r="K4734">
        <v>0</v>
      </c>
      <c r="L4734">
        <v>0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2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/>
      <c r="AQ4734">
        <v>0</v>
      </c>
      <c r="AR4734">
        <v>0</v>
      </c>
      <c r="AT4734">
        <v>0</v>
      </c>
      <c r="AU4734">
        <v>0</v>
      </c>
      <c r="AW4734">
        <v>0</v>
      </c>
      <c r="AX4734">
        <v>0</v>
      </c>
      <c r="AY4734">
        <v>0</v>
      </c>
      <c r="BC4734" t="str">
        <f t="shared" si="638"/>
        <v>9791165310370</v>
      </c>
      <c r="BE4734" t="str">
        <f t="shared" si="635"/>
        <v>판타지 웹소설 &gt; 퓨전 판타지</v>
      </c>
    </row>
    <row r="4735" spans="1:57" x14ac:dyDescent="0.3">
      <c r="A4735">
        <v>2313008150</v>
      </c>
      <c r="B4735">
        <v>2313008169</v>
      </c>
      <c r="C4735" t="str">
        <f>T("기사가문 망나니는 10클래스 20화")</f>
        <v>기사가문 망나니는 10클래스 20화</v>
      </c>
      <c r="D4735" t="str">
        <f>T("20")</f>
        <v>20</v>
      </c>
      <c r="E4735" t="str">
        <f t="shared" si="636"/>
        <v>예로나</v>
      </c>
      <c r="H4735" t="str">
        <f t="shared" si="631"/>
        <v>스토리위즈</v>
      </c>
      <c r="I4735" t="str">
        <f t="shared" si="637"/>
        <v>기사가문 망나니는 10클래스</v>
      </c>
      <c r="J4735">
        <v>0</v>
      </c>
      <c r="K4735">
        <v>0</v>
      </c>
      <c r="L4735">
        <v>0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2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/>
      <c r="AQ4735">
        <v>0</v>
      </c>
      <c r="AR4735">
        <v>0</v>
      </c>
      <c r="AT4735">
        <v>0</v>
      </c>
      <c r="AU4735">
        <v>0</v>
      </c>
      <c r="AW4735">
        <v>0</v>
      </c>
      <c r="AX4735">
        <v>0</v>
      </c>
      <c r="AY4735">
        <v>0</v>
      </c>
      <c r="BC4735" t="str">
        <f t="shared" si="638"/>
        <v>9791165310370</v>
      </c>
      <c r="BE4735" t="str">
        <f t="shared" si="635"/>
        <v>판타지 웹소설 &gt; 퓨전 판타지</v>
      </c>
    </row>
    <row r="4736" spans="1:57" x14ac:dyDescent="0.3">
      <c r="A4736">
        <v>2313008150</v>
      </c>
      <c r="B4736">
        <v>2313008170</v>
      </c>
      <c r="C4736" t="str">
        <f>T("기사가문 망나니는 10클래스 21화")</f>
        <v>기사가문 망나니는 10클래스 21화</v>
      </c>
      <c r="D4736" t="str">
        <f>T("21")</f>
        <v>21</v>
      </c>
      <c r="E4736" t="str">
        <f t="shared" si="636"/>
        <v>예로나</v>
      </c>
      <c r="H4736" t="str">
        <f t="shared" si="631"/>
        <v>스토리위즈</v>
      </c>
      <c r="I4736" t="str">
        <f t="shared" si="637"/>
        <v>기사가문 망나니는 10클래스</v>
      </c>
      <c r="J4736">
        <v>0</v>
      </c>
      <c r="K4736">
        <v>0</v>
      </c>
      <c r="L4736">
        <v>0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2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/>
      <c r="AQ4736">
        <v>0</v>
      </c>
      <c r="AR4736">
        <v>0</v>
      </c>
      <c r="AT4736">
        <v>0</v>
      </c>
      <c r="AU4736">
        <v>0</v>
      </c>
      <c r="AW4736">
        <v>0</v>
      </c>
      <c r="AX4736">
        <v>0</v>
      </c>
      <c r="AY4736">
        <v>0</v>
      </c>
      <c r="BC4736" t="str">
        <f t="shared" si="638"/>
        <v>9791165310370</v>
      </c>
      <c r="BE4736" t="str">
        <f t="shared" si="635"/>
        <v>판타지 웹소설 &gt; 퓨전 판타지</v>
      </c>
    </row>
    <row r="4737" spans="1:57" x14ac:dyDescent="0.3">
      <c r="A4737">
        <v>2313008150</v>
      </c>
      <c r="B4737">
        <v>2313008171</v>
      </c>
      <c r="C4737" t="str">
        <f>T("기사가문 망나니는 10클래스 22화")</f>
        <v>기사가문 망나니는 10클래스 22화</v>
      </c>
      <c r="D4737" t="str">
        <f>T("22")</f>
        <v>22</v>
      </c>
      <c r="E4737" t="str">
        <f t="shared" si="636"/>
        <v>예로나</v>
      </c>
      <c r="H4737" t="str">
        <f t="shared" si="631"/>
        <v>스토리위즈</v>
      </c>
      <c r="I4737" t="str">
        <f t="shared" si="637"/>
        <v>기사가문 망나니는 10클래스</v>
      </c>
      <c r="J4737">
        <v>0</v>
      </c>
      <c r="K4737">
        <v>0</v>
      </c>
      <c r="L4737">
        <v>0</v>
      </c>
      <c r="M4737">
        <v>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2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/>
      <c r="AQ4737">
        <v>0</v>
      </c>
      <c r="AR4737">
        <v>0</v>
      </c>
      <c r="AT4737">
        <v>0</v>
      </c>
      <c r="AU4737">
        <v>0</v>
      </c>
      <c r="AW4737">
        <v>0</v>
      </c>
      <c r="AX4737">
        <v>0</v>
      </c>
      <c r="AY4737">
        <v>0</v>
      </c>
      <c r="BC4737" t="str">
        <f t="shared" si="638"/>
        <v>9791165310370</v>
      </c>
      <c r="BE4737" t="str">
        <f t="shared" si="635"/>
        <v>판타지 웹소설 &gt; 퓨전 판타지</v>
      </c>
    </row>
    <row r="4738" spans="1:57" x14ac:dyDescent="0.3">
      <c r="A4738">
        <v>2313008150</v>
      </c>
      <c r="B4738">
        <v>2313008172</v>
      </c>
      <c r="C4738" t="str">
        <f>T("기사가문 망나니는 10클래스 23화")</f>
        <v>기사가문 망나니는 10클래스 23화</v>
      </c>
      <c r="D4738" t="str">
        <f>T("23")</f>
        <v>23</v>
      </c>
      <c r="E4738" t="str">
        <f t="shared" si="636"/>
        <v>예로나</v>
      </c>
      <c r="H4738" t="str">
        <f t="shared" si="631"/>
        <v>스토리위즈</v>
      </c>
      <c r="I4738" t="str">
        <f t="shared" si="637"/>
        <v>기사가문 망나니는 10클래스</v>
      </c>
      <c r="J4738">
        <v>0</v>
      </c>
      <c r="K4738">
        <v>0</v>
      </c>
      <c r="L4738">
        <v>0</v>
      </c>
      <c r="M4738">
        <v>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2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/>
      <c r="AQ4738">
        <v>0</v>
      </c>
      <c r="AR4738">
        <v>0</v>
      </c>
      <c r="AT4738">
        <v>0</v>
      </c>
      <c r="AU4738">
        <v>0</v>
      </c>
      <c r="AW4738">
        <v>0</v>
      </c>
      <c r="AX4738">
        <v>0</v>
      </c>
      <c r="AY4738">
        <v>0</v>
      </c>
      <c r="BC4738" t="str">
        <f t="shared" si="638"/>
        <v>9791165310370</v>
      </c>
      <c r="BE4738" t="str">
        <f t="shared" si="635"/>
        <v>판타지 웹소설 &gt; 퓨전 판타지</v>
      </c>
    </row>
    <row r="4739" spans="1:57" x14ac:dyDescent="0.3">
      <c r="A4739">
        <v>2313008150</v>
      </c>
      <c r="B4739">
        <v>2313008173</v>
      </c>
      <c r="C4739" t="str">
        <f>T("기사가문 망나니는 10클래스 24화")</f>
        <v>기사가문 망나니는 10클래스 24화</v>
      </c>
      <c r="D4739" t="str">
        <f>T("24")</f>
        <v>24</v>
      </c>
      <c r="E4739" t="str">
        <f t="shared" si="636"/>
        <v>예로나</v>
      </c>
      <c r="H4739" t="str">
        <f t="shared" si="631"/>
        <v>스토리위즈</v>
      </c>
      <c r="I4739" t="str">
        <f t="shared" si="637"/>
        <v>기사가문 망나니는 10클래스</v>
      </c>
      <c r="J4739">
        <v>0</v>
      </c>
      <c r="K4739">
        <v>0</v>
      </c>
      <c r="L4739">
        <v>0</v>
      </c>
      <c r="M4739">
        <v>2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2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/>
      <c r="AQ4739">
        <v>0</v>
      </c>
      <c r="AR4739">
        <v>0</v>
      </c>
      <c r="AT4739">
        <v>0</v>
      </c>
      <c r="AU4739">
        <v>0</v>
      </c>
      <c r="AW4739">
        <v>0</v>
      </c>
      <c r="AX4739">
        <v>0</v>
      </c>
      <c r="AY4739">
        <v>0</v>
      </c>
      <c r="BC4739" t="str">
        <f t="shared" si="638"/>
        <v>9791165310370</v>
      </c>
      <c r="BE4739" t="str">
        <f t="shared" si="635"/>
        <v>판타지 웹소설 &gt; 퓨전 판타지</v>
      </c>
    </row>
    <row r="4740" spans="1:57" x14ac:dyDescent="0.3">
      <c r="A4740">
        <v>2313008150</v>
      </c>
      <c r="B4740">
        <v>2313008174</v>
      </c>
      <c r="C4740" t="str">
        <f>T("기사가문 망나니는 10클래스 25화")</f>
        <v>기사가문 망나니는 10클래스 25화</v>
      </c>
      <c r="D4740" t="str">
        <f>T("25")</f>
        <v>25</v>
      </c>
      <c r="E4740" t="str">
        <f t="shared" si="636"/>
        <v>예로나</v>
      </c>
      <c r="H4740" t="str">
        <f t="shared" si="631"/>
        <v>스토리위즈</v>
      </c>
      <c r="I4740" t="str">
        <f t="shared" si="637"/>
        <v>기사가문 망나니는 10클래스</v>
      </c>
      <c r="J4740">
        <v>0</v>
      </c>
      <c r="K4740">
        <v>0</v>
      </c>
      <c r="L4740">
        <v>0</v>
      </c>
      <c r="M4740">
        <v>3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3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/>
      <c r="AQ4740">
        <v>0</v>
      </c>
      <c r="AR4740">
        <v>0</v>
      </c>
      <c r="AT4740">
        <v>0</v>
      </c>
      <c r="AU4740">
        <v>0</v>
      </c>
      <c r="AW4740">
        <v>0</v>
      </c>
      <c r="AX4740">
        <v>0</v>
      </c>
      <c r="AY4740">
        <v>0</v>
      </c>
      <c r="BC4740" t="str">
        <f t="shared" si="638"/>
        <v>9791165310370</v>
      </c>
      <c r="BE4740" t="str">
        <f t="shared" si="635"/>
        <v>판타지 웹소설 &gt; 퓨전 판타지</v>
      </c>
    </row>
    <row r="4741" spans="1:57" x14ac:dyDescent="0.3">
      <c r="A4741">
        <v>2313008324</v>
      </c>
      <c r="B4741">
        <v>2313008324</v>
      </c>
      <c r="C4741" t="str">
        <f>T("[e북]간신이 나라를 살림 1권")</f>
        <v>[e북]간신이 나라를 살림 1권</v>
      </c>
      <c r="D4741" t="str">
        <f>T("1")</f>
        <v>1</v>
      </c>
      <c r="E4741" t="str">
        <f>T("루이세")</f>
        <v>루이세</v>
      </c>
      <c r="H4741" t="str">
        <f t="shared" si="631"/>
        <v>스토리위즈</v>
      </c>
      <c r="I4741" t="str">
        <f>T("[e북]간신이 나라를 살림")</f>
        <v>[e북]간신이 나라를 살림</v>
      </c>
      <c r="J4741">
        <v>0</v>
      </c>
      <c r="K4741">
        <v>0</v>
      </c>
      <c r="L4741">
        <v>0</v>
      </c>
      <c r="M4741">
        <v>90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76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4</v>
      </c>
      <c r="AE4741">
        <v>0</v>
      </c>
      <c r="AF4741">
        <v>0</v>
      </c>
      <c r="AG4741">
        <v>0</v>
      </c>
      <c r="AH4741">
        <v>166</v>
      </c>
      <c r="AI4741">
        <v>0</v>
      </c>
      <c r="AJ4741">
        <v>4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/>
      <c r="AQ4741">
        <v>0</v>
      </c>
      <c r="AR4741">
        <v>0</v>
      </c>
      <c r="AT4741">
        <v>0</v>
      </c>
      <c r="AU4741">
        <v>0</v>
      </c>
      <c r="AW4741">
        <v>0</v>
      </c>
      <c r="AX4741">
        <v>0</v>
      </c>
      <c r="AY4741">
        <v>0</v>
      </c>
      <c r="BC4741" t="str">
        <f>T("9791165310714")</f>
        <v>9791165310714</v>
      </c>
      <c r="BE4741" t="str">
        <f>T("판타지 e북 &gt; 퓨전 판타지")</f>
        <v>판타지 e북 &gt; 퓨전 판타지</v>
      </c>
    </row>
    <row r="4742" spans="1:57" x14ac:dyDescent="0.3">
      <c r="A4742">
        <v>2313008382</v>
      </c>
      <c r="B4742">
        <v>2313008382</v>
      </c>
      <c r="C4742" t="str">
        <f>T("[e북]베놈 마스터 1권")</f>
        <v>[e북]베놈 마스터 1권</v>
      </c>
      <c r="D4742" t="str">
        <f>T("1")</f>
        <v>1</v>
      </c>
      <c r="E4742" t="str">
        <f>T("시계태엽오란씨")</f>
        <v>시계태엽오란씨</v>
      </c>
      <c r="H4742" t="str">
        <f t="shared" si="631"/>
        <v>스토리위즈</v>
      </c>
      <c r="I4742" t="str">
        <f>T("[e북]베놈 마스터")</f>
        <v>[e북]베놈 마스터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/>
      <c r="AQ4742">
        <v>0</v>
      </c>
      <c r="AR4742">
        <v>0</v>
      </c>
      <c r="AT4742">
        <v>0</v>
      </c>
      <c r="AU4742">
        <v>0</v>
      </c>
      <c r="AW4742">
        <v>0</v>
      </c>
      <c r="AX4742">
        <v>0</v>
      </c>
      <c r="AY4742">
        <v>0</v>
      </c>
      <c r="BA4742" t="str">
        <f>T("0000000000000")</f>
        <v>0000000000000</v>
      </c>
      <c r="BC4742" t="str">
        <f>T("9791165310868")</f>
        <v>9791165310868</v>
      </c>
      <c r="BE4742" t="str">
        <f>T("판타지 e북 &gt; 게임 판타지")</f>
        <v>판타지 e북 &gt; 게임 판타지</v>
      </c>
    </row>
    <row r="4743" spans="1:57" x14ac:dyDescent="0.3">
      <c r="A4743">
        <v>2313008398</v>
      </c>
      <c r="B4743">
        <v>2313008398</v>
      </c>
      <c r="C4743" t="str">
        <f>T("[e북]기사가문 망나니는 10클래스 1권")</f>
        <v>[e북]기사가문 망나니는 10클래스 1권</v>
      </c>
      <c r="D4743" t="str">
        <f>T("1")</f>
        <v>1</v>
      </c>
      <c r="E4743" t="str">
        <f>T("예로나")</f>
        <v>예로나</v>
      </c>
      <c r="H4743" t="str">
        <f t="shared" si="631"/>
        <v>스토리위즈</v>
      </c>
      <c r="I4743" t="str">
        <f>T("[e북]기사가문 망나니는 10클래스")</f>
        <v>[e북]기사가문 망나니는 10클래스</v>
      </c>
      <c r="J4743">
        <v>0</v>
      </c>
      <c r="K4743">
        <v>0</v>
      </c>
      <c r="L4743">
        <v>0</v>
      </c>
      <c r="M4743">
        <v>7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7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/>
      <c r="AQ4743">
        <v>0</v>
      </c>
      <c r="AR4743">
        <v>0</v>
      </c>
      <c r="AT4743">
        <v>0</v>
      </c>
      <c r="AU4743">
        <v>0</v>
      </c>
      <c r="AW4743">
        <v>0</v>
      </c>
      <c r="AX4743">
        <v>0</v>
      </c>
      <c r="AY4743">
        <v>0</v>
      </c>
      <c r="BA4743" t="str">
        <f>T("0000000000000")</f>
        <v>0000000000000</v>
      </c>
      <c r="BC4743" t="str">
        <f>T("9791165311612")</f>
        <v>9791165311612</v>
      </c>
      <c r="BE4743" t="str">
        <f>T("판타지 e북 &gt; 퓨전 판타지")</f>
        <v>판타지 e북 &gt; 퓨전 판타지</v>
      </c>
    </row>
    <row r="4744" spans="1:57" x14ac:dyDescent="0.3">
      <c r="A4744">
        <v>2313008438</v>
      </c>
      <c r="B4744">
        <v>2313008438</v>
      </c>
      <c r="C4744" t="str">
        <f>T("말빨 1화")</f>
        <v>말빨 1화</v>
      </c>
      <c r="D4744" t="str">
        <f>T("1")</f>
        <v>1</v>
      </c>
      <c r="E4744" t="str">
        <f t="shared" ref="E4744:E4761" si="639">T("이동열")</f>
        <v>이동열</v>
      </c>
      <c r="H4744" t="str">
        <f t="shared" si="631"/>
        <v>스토리위즈</v>
      </c>
      <c r="I4744" t="str">
        <f t="shared" ref="I4744:I4761" si="640">T("말빨")</f>
        <v>말빨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/>
      <c r="AQ4744">
        <v>0</v>
      </c>
      <c r="AR4744">
        <v>0</v>
      </c>
      <c r="AT4744">
        <v>0</v>
      </c>
      <c r="AU4744">
        <v>0</v>
      </c>
      <c r="AW4744">
        <v>0</v>
      </c>
      <c r="AX4744">
        <v>0</v>
      </c>
      <c r="AY4744">
        <v>0</v>
      </c>
      <c r="BC4744" t="str">
        <f t="shared" ref="BC4744:BC4761" si="641">T("9791165310820")</f>
        <v>9791165310820</v>
      </c>
      <c r="BE4744" t="str">
        <f t="shared" ref="BE4744:BE4786" si="642">T("판타지 웹소설 &gt; 퓨전 판타지")</f>
        <v>판타지 웹소설 &gt; 퓨전 판타지</v>
      </c>
    </row>
    <row r="4745" spans="1:57" x14ac:dyDescent="0.3">
      <c r="A4745">
        <v>2313008438</v>
      </c>
      <c r="B4745">
        <v>2313008439</v>
      </c>
      <c r="C4745" t="str">
        <f>T("말빨 2화")</f>
        <v>말빨 2화</v>
      </c>
      <c r="D4745" t="str">
        <f>T("2")</f>
        <v>2</v>
      </c>
      <c r="E4745" t="str">
        <f t="shared" si="639"/>
        <v>이동열</v>
      </c>
      <c r="H4745" t="str">
        <f t="shared" si="631"/>
        <v>스토리위즈</v>
      </c>
      <c r="I4745" t="str">
        <f t="shared" si="640"/>
        <v>말빨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1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/>
      <c r="AQ4745">
        <v>0</v>
      </c>
      <c r="AR4745">
        <v>0</v>
      </c>
      <c r="AT4745">
        <v>0</v>
      </c>
      <c r="AU4745">
        <v>0</v>
      </c>
      <c r="AW4745">
        <v>0</v>
      </c>
      <c r="AX4745">
        <v>0</v>
      </c>
      <c r="AY4745">
        <v>0</v>
      </c>
      <c r="BC4745" t="str">
        <f t="shared" si="641"/>
        <v>9791165310820</v>
      </c>
      <c r="BE4745" t="str">
        <f t="shared" si="642"/>
        <v>판타지 웹소설 &gt; 퓨전 판타지</v>
      </c>
    </row>
    <row r="4746" spans="1:57" x14ac:dyDescent="0.3">
      <c r="A4746">
        <v>2313008438</v>
      </c>
      <c r="B4746">
        <v>2313008440</v>
      </c>
      <c r="C4746" t="str">
        <f>T("말빨 3화")</f>
        <v>말빨 3화</v>
      </c>
      <c r="D4746" t="str">
        <f>T("3")</f>
        <v>3</v>
      </c>
      <c r="E4746" t="str">
        <f t="shared" si="639"/>
        <v>이동열</v>
      </c>
      <c r="H4746" t="str">
        <f t="shared" si="631"/>
        <v>스토리위즈</v>
      </c>
      <c r="I4746" t="str">
        <f t="shared" si="640"/>
        <v>말빨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/>
      <c r="AQ4746">
        <v>0</v>
      </c>
      <c r="AR4746">
        <v>0</v>
      </c>
      <c r="AT4746">
        <v>0</v>
      </c>
      <c r="AU4746">
        <v>0</v>
      </c>
      <c r="AW4746">
        <v>0</v>
      </c>
      <c r="AX4746">
        <v>0</v>
      </c>
      <c r="AY4746">
        <v>0</v>
      </c>
      <c r="BC4746" t="str">
        <f t="shared" si="641"/>
        <v>9791165310820</v>
      </c>
      <c r="BE4746" t="str">
        <f t="shared" si="642"/>
        <v>판타지 웹소설 &gt; 퓨전 판타지</v>
      </c>
    </row>
    <row r="4747" spans="1:57" x14ac:dyDescent="0.3">
      <c r="A4747">
        <v>2313008438</v>
      </c>
      <c r="B4747">
        <v>2313008441</v>
      </c>
      <c r="C4747" t="str">
        <f>T("말빨 4화")</f>
        <v>말빨 4화</v>
      </c>
      <c r="D4747" t="str">
        <f>T("4")</f>
        <v>4</v>
      </c>
      <c r="E4747" t="str">
        <f t="shared" si="639"/>
        <v>이동열</v>
      </c>
      <c r="H4747" t="str">
        <f t="shared" si="631"/>
        <v>스토리위즈</v>
      </c>
      <c r="I4747" t="str">
        <f t="shared" si="640"/>
        <v>말빨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1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/>
      <c r="AQ4747">
        <v>0</v>
      </c>
      <c r="AR4747">
        <v>0</v>
      </c>
      <c r="AT4747">
        <v>0</v>
      </c>
      <c r="AU4747">
        <v>0</v>
      </c>
      <c r="AW4747">
        <v>0</v>
      </c>
      <c r="AX4747">
        <v>0</v>
      </c>
      <c r="AY4747">
        <v>0</v>
      </c>
      <c r="BC4747" t="str">
        <f t="shared" si="641"/>
        <v>9791165310820</v>
      </c>
      <c r="BE4747" t="str">
        <f t="shared" si="642"/>
        <v>판타지 웹소설 &gt; 퓨전 판타지</v>
      </c>
    </row>
    <row r="4748" spans="1:57" x14ac:dyDescent="0.3">
      <c r="A4748">
        <v>2313008438</v>
      </c>
      <c r="B4748">
        <v>2313008442</v>
      </c>
      <c r="C4748" t="str">
        <f>T("말빨 5화")</f>
        <v>말빨 5화</v>
      </c>
      <c r="D4748" t="str">
        <f>T("5")</f>
        <v>5</v>
      </c>
      <c r="E4748" t="str">
        <f t="shared" si="639"/>
        <v>이동열</v>
      </c>
      <c r="H4748" t="str">
        <f t="shared" si="631"/>
        <v>스토리위즈</v>
      </c>
      <c r="I4748" t="str">
        <f t="shared" si="640"/>
        <v>말빨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/>
      <c r="AQ4748">
        <v>0</v>
      </c>
      <c r="AR4748">
        <v>0</v>
      </c>
      <c r="AT4748">
        <v>0</v>
      </c>
      <c r="AU4748">
        <v>0</v>
      </c>
      <c r="AW4748">
        <v>0</v>
      </c>
      <c r="AX4748">
        <v>0</v>
      </c>
      <c r="AY4748">
        <v>0</v>
      </c>
      <c r="BC4748" t="str">
        <f t="shared" si="641"/>
        <v>9791165310820</v>
      </c>
      <c r="BE4748" t="str">
        <f t="shared" si="642"/>
        <v>판타지 웹소설 &gt; 퓨전 판타지</v>
      </c>
    </row>
    <row r="4749" spans="1:57" x14ac:dyDescent="0.3">
      <c r="A4749">
        <v>2313008438</v>
      </c>
      <c r="B4749">
        <v>2313008443</v>
      </c>
      <c r="C4749" t="str">
        <f>T("말빨 6화")</f>
        <v>말빨 6화</v>
      </c>
      <c r="D4749" t="str">
        <f>T("6")</f>
        <v>6</v>
      </c>
      <c r="E4749" t="str">
        <f t="shared" si="639"/>
        <v>이동열</v>
      </c>
      <c r="H4749" t="str">
        <f t="shared" si="631"/>
        <v>스토리위즈</v>
      </c>
      <c r="I4749" t="str">
        <f t="shared" si="640"/>
        <v>말빨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/>
      <c r="AQ4749">
        <v>0</v>
      </c>
      <c r="AR4749">
        <v>0</v>
      </c>
      <c r="AT4749">
        <v>0</v>
      </c>
      <c r="AU4749">
        <v>0</v>
      </c>
      <c r="AW4749">
        <v>0</v>
      </c>
      <c r="AX4749">
        <v>0</v>
      </c>
      <c r="AY4749">
        <v>0</v>
      </c>
      <c r="BC4749" t="str">
        <f t="shared" si="641"/>
        <v>9791165310820</v>
      </c>
      <c r="BE4749" t="str">
        <f t="shared" si="642"/>
        <v>판타지 웹소설 &gt; 퓨전 판타지</v>
      </c>
    </row>
    <row r="4750" spans="1:57" x14ac:dyDescent="0.3">
      <c r="A4750">
        <v>2313008438</v>
      </c>
      <c r="B4750">
        <v>2313008444</v>
      </c>
      <c r="C4750" t="str">
        <f>T("말빨 7화")</f>
        <v>말빨 7화</v>
      </c>
      <c r="D4750" t="str">
        <f>T("7")</f>
        <v>7</v>
      </c>
      <c r="E4750" t="str">
        <f t="shared" si="639"/>
        <v>이동열</v>
      </c>
      <c r="H4750" t="str">
        <f t="shared" ref="H4750:H4813" si="643">T("스토리위즈")</f>
        <v>스토리위즈</v>
      </c>
      <c r="I4750" t="str">
        <f t="shared" si="640"/>
        <v>말빨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/>
      <c r="AQ4750">
        <v>0</v>
      </c>
      <c r="AR4750">
        <v>0</v>
      </c>
      <c r="AT4750">
        <v>0</v>
      </c>
      <c r="AU4750">
        <v>0</v>
      </c>
      <c r="AW4750">
        <v>0</v>
      </c>
      <c r="AX4750">
        <v>0</v>
      </c>
      <c r="AY4750">
        <v>0</v>
      </c>
      <c r="BC4750" t="str">
        <f t="shared" si="641"/>
        <v>9791165310820</v>
      </c>
      <c r="BE4750" t="str">
        <f t="shared" si="642"/>
        <v>판타지 웹소설 &gt; 퓨전 판타지</v>
      </c>
    </row>
    <row r="4751" spans="1:57" x14ac:dyDescent="0.3">
      <c r="A4751">
        <v>2313008438</v>
      </c>
      <c r="B4751">
        <v>2313008445</v>
      </c>
      <c r="C4751" t="str">
        <f>T("말빨 8화")</f>
        <v>말빨 8화</v>
      </c>
      <c r="D4751" t="str">
        <f>T("8")</f>
        <v>8</v>
      </c>
      <c r="E4751" t="str">
        <f t="shared" si="639"/>
        <v>이동열</v>
      </c>
      <c r="H4751" t="str">
        <f t="shared" si="643"/>
        <v>스토리위즈</v>
      </c>
      <c r="I4751" t="str">
        <f t="shared" si="640"/>
        <v>말빨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/>
      <c r="AQ4751">
        <v>0</v>
      </c>
      <c r="AR4751">
        <v>0</v>
      </c>
      <c r="AT4751">
        <v>0</v>
      </c>
      <c r="AU4751">
        <v>0</v>
      </c>
      <c r="AW4751">
        <v>0</v>
      </c>
      <c r="AX4751">
        <v>0</v>
      </c>
      <c r="AY4751">
        <v>0</v>
      </c>
      <c r="BC4751" t="str">
        <f t="shared" si="641"/>
        <v>9791165310820</v>
      </c>
      <c r="BE4751" t="str">
        <f t="shared" si="642"/>
        <v>판타지 웹소설 &gt; 퓨전 판타지</v>
      </c>
    </row>
    <row r="4752" spans="1:57" x14ac:dyDescent="0.3">
      <c r="A4752">
        <v>2313008438</v>
      </c>
      <c r="B4752">
        <v>2313008446</v>
      </c>
      <c r="C4752" t="str">
        <f>T("말빨 9화")</f>
        <v>말빨 9화</v>
      </c>
      <c r="D4752" t="str">
        <f>T("9")</f>
        <v>9</v>
      </c>
      <c r="E4752" t="str">
        <f t="shared" si="639"/>
        <v>이동열</v>
      </c>
      <c r="H4752" t="str">
        <f t="shared" si="643"/>
        <v>스토리위즈</v>
      </c>
      <c r="I4752" t="str">
        <f t="shared" si="640"/>
        <v>말빨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/>
      <c r="AQ4752">
        <v>0</v>
      </c>
      <c r="AR4752">
        <v>0</v>
      </c>
      <c r="AT4752">
        <v>0</v>
      </c>
      <c r="AU4752">
        <v>0</v>
      </c>
      <c r="AW4752">
        <v>0</v>
      </c>
      <c r="AX4752">
        <v>0</v>
      </c>
      <c r="AY4752">
        <v>0</v>
      </c>
      <c r="BC4752" t="str">
        <f t="shared" si="641"/>
        <v>9791165310820</v>
      </c>
      <c r="BE4752" t="str">
        <f t="shared" si="642"/>
        <v>판타지 웹소설 &gt; 퓨전 판타지</v>
      </c>
    </row>
    <row r="4753" spans="1:57" x14ac:dyDescent="0.3">
      <c r="A4753">
        <v>2313008438</v>
      </c>
      <c r="B4753">
        <v>2313008447</v>
      </c>
      <c r="C4753" t="str">
        <f>T("말빨 10화")</f>
        <v>말빨 10화</v>
      </c>
      <c r="D4753" t="str">
        <f>T("10")</f>
        <v>10</v>
      </c>
      <c r="E4753" t="str">
        <f t="shared" si="639"/>
        <v>이동열</v>
      </c>
      <c r="H4753" t="str">
        <f t="shared" si="643"/>
        <v>스토리위즈</v>
      </c>
      <c r="I4753" t="str">
        <f t="shared" si="640"/>
        <v>말빨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/>
      <c r="AQ4753">
        <v>0</v>
      </c>
      <c r="AR4753">
        <v>0</v>
      </c>
      <c r="AT4753">
        <v>0</v>
      </c>
      <c r="AU4753">
        <v>0</v>
      </c>
      <c r="AW4753">
        <v>0</v>
      </c>
      <c r="AX4753">
        <v>0</v>
      </c>
      <c r="AY4753">
        <v>0</v>
      </c>
      <c r="BC4753" t="str">
        <f t="shared" si="641"/>
        <v>9791165310820</v>
      </c>
      <c r="BE4753" t="str">
        <f t="shared" si="642"/>
        <v>판타지 웹소설 &gt; 퓨전 판타지</v>
      </c>
    </row>
    <row r="4754" spans="1:57" x14ac:dyDescent="0.3">
      <c r="A4754">
        <v>2313008438</v>
      </c>
      <c r="B4754">
        <v>2313008448</v>
      </c>
      <c r="C4754" t="str">
        <f>T("말빨 11화")</f>
        <v>말빨 11화</v>
      </c>
      <c r="D4754" t="str">
        <f>T("11")</f>
        <v>11</v>
      </c>
      <c r="E4754" t="str">
        <f t="shared" si="639"/>
        <v>이동열</v>
      </c>
      <c r="H4754" t="str">
        <f t="shared" si="643"/>
        <v>스토리위즈</v>
      </c>
      <c r="I4754" t="str">
        <f t="shared" si="640"/>
        <v>말빨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/>
      <c r="AQ4754">
        <v>0</v>
      </c>
      <c r="AR4754">
        <v>0</v>
      </c>
      <c r="AT4754">
        <v>0</v>
      </c>
      <c r="AU4754">
        <v>0</v>
      </c>
      <c r="AW4754">
        <v>0</v>
      </c>
      <c r="AX4754">
        <v>0</v>
      </c>
      <c r="AY4754">
        <v>0</v>
      </c>
      <c r="BC4754" t="str">
        <f t="shared" si="641"/>
        <v>9791165310820</v>
      </c>
      <c r="BE4754" t="str">
        <f t="shared" si="642"/>
        <v>판타지 웹소설 &gt; 퓨전 판타지</v>
      </c>
    </row>
    <row r="4755" spans="1:57" x14ac:dyDescent="0.3">
      <c r="A4755">
        <v>2313008438</v>
      </c>
      <c r="B4755">
        <v>2313008449</v>
      </c>
      <c r="C4755" t="str">
        <f>T("말빨 12화")</f>
        <v>말빨 12화</v>
      </c>
      <c r="D4755" t="str">
        <f>T("12")</f>
        <v>12</v>
      </c>
      <c r="E4755" t="str">
        <f t="shared" si="639"/>
        <v>이동열</v>
      </c>
      <c r="H4755" t="str">
        <f t="shared" si="643"/>
        <v>스토리위즈</v>
      </c>
      <c r="I4755" t="str">
        <f t="shared" si="640"/>
        <v>말빨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/>
      <c r="AQ4755">
        <v>0</v>
      </c>
      <c r="AR4755">
        <v>0</v>
      </c>
      <c r="AT4755">
        <v>0</v>
      </c>
      <c r="AU4755">
        <v>0</v>
      </c>
      <c r="AW4755">
        <v>0</v>
      </c>
      <c r="AX4755">
        <v>0</v>
      </c>
      <c r="AY4755">
        <v>0</v>
      </c>
      <c r="BC4755" t="str">
        <f t="shared" si="641"/>
        <v>9791165310820</v>
      </c>
      <c r="BE4755" t="str">
        <f t="shared" si="642"/>
        <v>판타지 웹소설 &gt; 퓨전 판타지</v>
      </c>
    </row>
    <row r="4756" spans="1:57" x14ac:dyDescent="0.3">
      <c r="A4756">
        <v>2313008438</v>
      </c>
      <c r="B4756">
        <v>2313008450</v>
      </c>
      <c r="C4756" t="str">
        <f>T("말빨 13화")</f>
        <v>말빨 13화</v>
      </c>
      <c r="D4756" t="str">
        <f>T("13")</f>
        <v>13</v>
      </c>
      <c r="E4756" t="str">
        <f t="shared" si="639"/>
        <v>이동열</v>
      </c>
      <c r="H4756" t="str">
        <f t="shared" si="643"/>
        <v>스토리위즈</v>
      </c>
      <c r="I4756" t="str">
        <f t="shared" si="640"/>
        <v>말빨</v>
      </c>
      <c r="J4756">
        <v>0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/>
      <c r="AQ4756">
        <v>0</v>
      </c>
      <c r="AR4756">
        <v>0</v>
      </c>
      <c r="AT4756">
        <v>0</v>
      </c>
      <c r="AU4756">
        <v>0</v>
      </c>
      <c r="AW4756">
        <v>0</v>
      </c>
      <c r="AX4756">
        <v>0</v>
      </c>
      <c r="AY4756">
        <v>0</v>
      </c>
      <c r="BC4756" t="str">
        <f t="shared" si="641"/>
        <v>9791165310820</v>
      </c>
      <c r="BE4756" t="str">
        <f t="shared" si="642"/>
        <v>판타지 웹소설 &gt; 퓨전 판타지</v>
      </c>
    </row>
    <row r="4757" spans="1:57" x14ac:dyDescent="0.3">
      <c r="A4757">
        <v>2313008438</v>
      </c>
      <c r="B4757">
        <v>2313008451</v>
      </c>
      <c r="C4757" t="str">
        <f>T("말빨 14화")</f>
        <v>말빨 14화</v>
      </c>
      <c r="D4757" t="str">
        <f>T("14")</f>
        <v>14</v>
      </c>
      <c r="E4757" t="str">
        <f t="shared" si="639"/>
        <v>이동열</v>
      </c>
      <c r="H4757" t="str">
        <f t="shared" si="643"/>
        <v>스토리위즈</v>
      </c>
      <c r="I4757" t="str">
        <f t="shared" si="640"/>
        <v>말빨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/>
      <c r="AQ4757">
        <v>0</v>
      </c>
      <c r="AR4757">
        <v>0</v>
      </c>
      <c r="AT4757">
        <v>0</v>
      </c>
      <c r="AU4757">
        <v>0</v>
      </c>
      <c r="AW4757">
        <v>0</v>
      </c>
      <c r="AX4757">
        <v>0</v>
      </c>
      <c r="AY4757">
        <v>0</v>
      </c>
      <c r="BC4757" t="str">
        <f t="shared" si="641"/>
        <v>9791165310820</v>
      </c>
      <c r="BE4757" t="str">
        <f t="shared" si="642"/>
        <v>판타지 웹소설 &gt; 퓨전 판타지</v>
      </c>
    </row>
    <row r="4758" spans="1:57" x14ac:dyDescent="0.3">
      <c r="A4758">
        <v>2313008438</v>
      </c>
      <c r="B4758">
        <v>2313008452</v>
      </c>
      <c r="C4758" t="str">
        <f>T("말빨 15화")</f>
        <v>말빨 15화</v>
      </c>
      <c r="D4758" t="str">
        <f>T("15")</f>
        <v>15</v>
      </c>
      <c r="E4758" t="str">
        <f t="shared" si="639"/>
        <v>이동열</v>
      </c>
      <c r="H4758" t="str">
        <f t="shared" si="643"/>
        <v>스토리위즈</v>
      </c>
      <c r="I4758" t="str">
        <f t="shared" si="640"/>
        <v>말빨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/>
      <c r="AQ4758">
        <v>0</v>
      </c>
      <c r="AR4758">
        <v>0</v>
      </c>
      <c r="AT4758">
        <v>0</v>
      </c>
      <c r="AU4758">
        <v>0</v>
      </c>
      <c r="AW4758">
        <v>0</v>
      </c>
      <c r="AX4758">
        <v>0</v>
      </c>
      <c r="AY4758">
        <v>0</v>
      </c>
      <c r="BC4758" t="str">
        <f t="shared" si="641"/>
        <v>9791165310820</v>
      </c>
      <c r="BE4758" t="str">
        <f t="shared" si="642"/>
        <v>판타지 웹소설 &gt; 퓨전 판타지</v>
      </c>
    </row>
    <row r="4759" spans="1:57" x14ac:dyDescent="0.3">
      <c r="A4759">
        <v>2313008438</v>
      </c>
      <c r="B4759">
        <v>2313008453</v>
      </c>
      <c r="C4759" t="str">
        <f>T("말빨 16화")</f>
        <v>말빨 16화</v>
      </c>
      <c r="D4759" t="str">
        <f>T("16")</f>
        <v>16</v>
      </c>
      <c r="E4759" t="str">
        <f t="shared" si="639"/>
        <v>이동열</v>
      </c>
      <c r="H4759" t="str">
        <f t="shared" si="643"/>
        <v>스토리위즈</v>
      </c>
      <c r="I4759" t="str">
        <f t="shared" si="640"/>
        <v>말빨</v>
      </c>
      <c r="J4759">
        <v>0</v>
      </c>
      <c r="K4759">
        <v>0</v>
      </c>
      <c r="L4759">
        <v>0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/>
      <c r="AQ4759">
        <v>0</v>
      </c>
      <c r="AR4759">
        <v>0</v>
      </c>
      <c r="AT4759">
        <v>0</v>
      </c>
      <c r="AU4759">
        <v>0</v>
      </c>
      <c r="AW4759">
        <v>0</v>
      </c>
      <c r="AX4759">
        <v>0</v>
      </c>
      <c r="AY4759">
        <v>0</v>
      </c>
      <c r="BC4759" t="str">
        <f t="shared" si="641"/>
        <v>9791165310820</v>
      </c>
      <c r="BE4759" t="str">
        <f t="shared" si="642"/>
        <v>판타지 웹소설 &gt; 퓨전 판타지</v>
      </c>
    </row>
    <row r="4760" spans="1:57" x14ac:dyDescent="0.3">
      <c r="A4760">
        <v>2313008438</v>
      </c>
      <c r="B4760">
        <v>2313008454</v>
      </c>
      <c r="C4760" t="str">
        <f>T("말빨 17화")</f>
        <v>말빨 17화</v>
      </c>
      <c r="D4760" t="str">
        <f>T("17")</f>
        <v>17</v>
      </c>
      <c r="E4760" t="str">
        <f t="shared" si="639"/>
        <v>이동열</v>
      </c>
      <c r="H4760" t="str">
        <f t="shared" si="643"/>
        <v>스토리위즈</v>
      </c>
      <c r="I4760" t="str">
        <f t="shared" si="640"/>
        <v>말빨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/>
      <c r="AQ4760">
        <v>0</v>
      </c>
      <c r="AR4760">
        <v>0</v>
      </c>
      <c r="AT4760">
        <v>0</v>
      </c>
      <c r="AU4760">
        <v>0</v>
      </c>
      <c r="AW4760">
        <v>0</v>
      </c>
      <c r="AX4760">
        <v>0</v>
      </c>
      <c r="AY4760">
        <v>0</v>
      </c>
      <c r="BC4760" t="str">
        <f t="shared" si="641"/>
        <v>9791165310820</v>
      </c>
      <c r="BE4760" t="str">
        <f t="shared" si="642"/>
        <v>판타지 웹소설 &gt; 퓨전 판타지</v>
      </c>
    </row>
    <row r="4761" spans="1:57" x14ac:dyDescent="0.3">
      <c r="A4761">
        <v>2313008438</v>
      </c>
      <c r="B4761">
        <v>2313008455</v>
      </c>
      <c r="C4761" t="str">
        <f>T("말빨 18화")</f>
        <v>말빨 18화</v>
      </c>
      <c r="D4761" t="str">
        <f>T("18")</f>
        <v>18</v>
      </c>
      <c r="E4761" t="str">
        <f t="shared" si="639"/>
        <v>이동열</v>
      </c>
      <c r="H4761" t="str">
        <f t="shared" si="643"/>
        <v>스토리위즈</v>
      </c>
      <c r="I4761" t="str">
        <f t="shared" si="640"/>
        <v>말빨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1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/>
      <c r="AQ4761">
        <v>0</v>
      </c>
      <c r="AR4761">
        <v>0</v>
      </c>
      <c r="AT4761">
        <v>0</v>
      </c>
      <c r="AU4761">
        <v>0</v>
      </c>
      <c r="AW4761">
        <v>0</v>
      </c>
      <c r="AX4761">
        <v>0</v>
      </c>
      <c r="AY4761">
        <v>0</v>
      </c>
      <c r="BC4761" t="str">
        <f t="shared" si="641"/>
        <v>9791165310820</v>
      </c>
      <c r="BE4761" t="str">
        <f t="shared" si="642"/>
        <v>판타지 웹소설 &gt; 퓨전 판타지</v>
      </c>
    </row>
    <row r="4762" spans="1:57" x14ac:dyDescent="0.3">
      <c r="A4762">
        <v>2313008716</v>
      </c>
      <c r="B4762">
        <v>2313008716</v>
      </c>
      <c r="C4762" t="str">
        <f>T("게임 속 유닛 1화")</f>
        <v>게임 속 유닛 1화</v>
      </c>
      <c r="D4762" t="str">
        <f>T("1")</f>
        <v>1</v>
      </c>
      <c r="E4762" t="str">
        <f t="shared" ref="E4762:E4786" si="644">T("찬동")</f>
        <v>찬동</v>
      </c>
      <c r="H4762" t="str">
        <f t="shared" si="643"/>
        <v>스토리위즈</v>
      </c>
      <c r="I4762" t="str">
        <f t="shared" ref="I4762:I4786" si="645">T("게임 속 유닛")</f>
        <v>게임 속 유닛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/>
      <c r="AQ4762">
        <v>0</v>
      </c>
      <c r="AR4762">
        <v>0</v>
      </c>
      <c r="AT4762">
        <v>0</v>
      </c>
      <c r="AU4762">
        <v>0</v>
      </c>
      <c r="AW4762">
        <v>0</v>
      </c>
      <c r="AX4762">
        <v>0</v>
      </c>
      <c r="AY4762">
        <v>0</v>
      </c>
      <c r="BC4762" t="str">
        <f t="shared" ref="BC4762:BC4786" si="646">T("9791197098475")</f>
        <v>9791197098475</v>
      </c>
      <c r="BE4762" t="str">
        <f t="shared" si="642"/>
        <v>판타지 웹소설 &gt; 퓨전 판타지</v>
      </c>
    </row>
    <row r="4763" spans="1:57" x14ac:dyDescent="0.3">
      <c r="A4763">
        <v>2313008716</v>
      </c>
      <c r="B4763">
        <v>2313008717</v>
      </c>
      <c r="C4763" t="str">
        <f>T("게임 속 유닛 2화")</f>
        <v>게임 속 유닛 2화</v>
      </c>
      <c r="D4763" t="str">
        <f>T("2")</f>
        <v>2</v>
      </c>
      <c r="E4763" t="str">
        <f t="shared" si="644"/>
        <v>찬동</v>
      </c>
      <c r="H4763" t="str">
        <f t="shared" si="643"/>
        <v>스토리위즈</v>
      </c>
      <c r="I4763" t="str">
        <f t="shared" si="645"/>
        <v>게임 속 유닛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/>
      <c r="AQ4763">
        <v>0</v>
      </c>
      <c r="AR4763">
        <v>0</v>
      </c>
      <c r="AT4763">
        <v>0</v>
      </c>
      <c r="AU4763">
        <v>0</v>
      </c>
      <c r="AW4763">
        <v>0</v>
      </c>
      <c r="AX4763">
        <v>0</v>
      </c>
      <c r="AY4763">
        <v>0</v>
      </c>
      <c r="BC4763" t="str">
        <f t="shared" si="646"/>
        <v>9791197098475</v>
      </c>
      <c r="BE4763" t="str">
        <f t="shared" si="642"/>
        <v>판타지 웹소설 &gt; 퓨전 판타지</v>
      </c>
    </row>
    <row r="4764" spans="1:57" x14ac:dyDescent="0.3">
      <c r="A4764">
        <v>2313008716</v>
      </c>
      <c r="B4764">
        <v>2313008718</v>
      </c>
      <c r="C4764" t="str">
        <f>T("게임 속 유닛 3화")</f>
        <v>게임 속 유닛 3화</v>
      </c>
      <c r="D4764" t="str">
        <f>T("3")</f>
        <v>3</v>
      </c>
      <c r="E4764" t="str">
        <f t="shared" si="644"/>
        <v>찬동</v>
      </c>
      <c r="H4764" t="str">
        <f t="shared" si="643"/>
        <v>스토리위즈</v>
      </c>
      <c r="I4764" t="str">
        <f t="shared" si="645"/>
        <v>게임 속 유닛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/>
      <c r="AQ4764">
        <v>0</v>
      </c>
      <c r="AR4764">
        <v>0</v>
      </c>
      <c r="AT4764">
        <v>0</v>
      </c>
      <c r="AU4764">
        <v>0</v>
      </c>
      <c r="AW4764">
        <v>0</v>
      </c>
      <c r="AX4764">
        <v>0</v>
      </c>
      <c r="AY4764">
        <v>0</v>
      </c>
      <c r="BC4764" t="str">
        <f t="shared" si="646"/>
        <v>9791197098475</v>
      </c>
      <c r="BE4764" t="str">
        <f t="shared" si="642"/>
        <v>판타지 웹소설 &gt; 퓨전 판타지</v>
      </c>
    </row>
    <row r="4765" spans="1:57" x14ac:dyDescent="0.3">
      <c r="A4765">
        <v>2313008716</v>
      </c>
      <c r="B4765">
        <v>2313008719</v>
      </c>
      <c r="C4765" t="str">
        <f>T("게임 속 유닛 4화")</f>
        <v>게임 속 유닛 4화</v>
      </c>
      <c r="D4765" t="str">
        <f>T("4")</f>
        <v>4</v>
      </c>
      <c r="E4765" t="str">
        <f t="shared" si="644"/>
        <v>찬동</v>
      </c>
      <c r="H4765" t="str">
        <f t="shared" si="643"/>
        <v>스토리위즈</v>
      </c>
      <c r="I4765" t="str">
        <f t="shared" si="645"/>
        <v>게임 속 유닛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/>
      <c r="AQ4765">
        <v>0</v>
      </c>
      <c r="AR4765">
        <v>0</v>
      </c>
      <c r="AT4765">
        <v>0</v>
      </c>
      <c r="AU4765">
        <v>0</v>
      </c>
      <c r="AW4765">
        <v>0</v>
      </c>
      <c r="AX4765">
        <v>0</v>
      </c>
      <c r="AY4765">
        <v>0</v>
      </c>
      <c r="BC4765" t="str">
        <f t="shared" si="646"/>
        <v>9791197098475</v>
      </c>
      <c r="BE4765" t="str">
        <f t="shared" si="642"/>
        <v>판타지 웹소설 &gt; 퓨전 판타지</v>
      </c>
    </row>
    <row r="4766" spans="1:57" x14ac:dyDescent="0.3">
      <c r="A4766">
        <v>2313008716</v>
      </c>
      <c r="B4766">
        <v>2313008720</v>
      </c>
      <c r="C4766" t="str">
        <f>T("게임 속 유닛 5화")</f>
        <v>게임 속 유닛 5화</v>
      </c>
      <c r="D4766" t="str">
        <f>T("5")</f>
        <v>5</v>
      </c>
      <c r="E4766" t="str">
        <f t="shared" si="644"/>
        <v>찬동</v>
      </c>
      <c r="H4766" t="str">
        <f t="shared" si="643"/>
        <v>스토리위즈</v>
      </c>
      <c r="I4766" t="str">
        <f t="shared" si="645"/>
        <v>게임 속 유닛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/>
      <c r="AQ4766">
        <v>0</v>
      </c>
      <c r="AR4766">
        <v>0</v>
      </c>
      <c r="AT4766">
        <v>0</v>
      </c>
      <c r="AU4766">
        <v>0</v>
      </c>
      <c r="AW4766">
        <v>0</v>
      </c>
      <c r="AX4766">
        <v>0</v>
      </c>
      <c r="AY4766">
        <v>0</v>
      </c>
      <c r="BC4766" t="str">
        <f t="shared" si="646"/>
        <v>9791197098475</v>
      </c>
      <c r="BE4766" t="str">
        <f t="shared" si="642"/>
        <v>판타지 웹소설 &gt; 퓨전 판타지</v>
      </c>
    </row>
    <row r="4767" spans="1:57" x14ac:dyDescent="0.3">
      <c r="A4767">
        <v>2313008716</v>
      </c>
      <c r="B4767">
        <v>2313008721</v>
      </c>
      <c r="C4767" t="str">
        <f>T("게임 속 유닛 6화")</f>
        <v>게임 속 유닛 6화</v>
      </c>
      <c r="D4767" t="str">
        <f>T("6")</f>
        <v>6</v>
      </c>
      <c r="E4767" t="str">
        <f t="shared" si="644"/>
        <v>찬동</v>
      </c>
      <c r="H4767" t="str">
        <f t="shared" si="643"/>
        <v>스토리위즈</v>
      </c>
      <c r="I4767" t="str">
        <f t="shared" si="645"/>
        <v>게임 속 유닛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/>
      <c r="AQ4767">
        <v>0</v>
      </c>
      <c r="AR4767">
        <v>0</v>
      </c>
      <c r="AT4767">
        <v>0</v>
      </c>
      <c r="AU4767">
        <v>0</v>
      </c>
      <c r="AW4767">
        <v>0</v>
      </c>
      <c r="AX4767">
        <v>0</v>
      </c>
      <c r="AY4767">
        <v>0</v>
      </c>
      <c r="BC4767" t="str">
        <f t="shared" si="646"/>
        <v>9791197098475</v>
      </c>
      <c r="BE4767" t="str">
        <f t="shared" si="642"/>
        <v>판타지 웹소설 &gt; 퓨전 판타지</v>
      </c>
    </row>
    <row r="4768" spans="1:57" x14ac:dyDescent="0.3">
      <c r="A4768">
        <v>2313008716</v>
      </c>
      <c r="B4768">
        <v>2313008722</v>
      </c>
      <c r="C4768" t="str">
        <f>T("게임 속 유닛 7화")</f>
        <v>게임 속 유닛 7화</v>
      </c>
      <c r="D4768" t="str">
        <f>T("7")</f>
        <v>7</v>
      </c>
      <c r="E4768" t="str">
        <f t="shared" si="644"/>
        <v>찬동</v>
      </c>
      <c r="H4768" t="str">
        <f t="shared" si="643"/>
        <v>스토리위즈</v>
      </c>
      <c r="I4768" t="str">
        <f t="shared" si="645"/>
        <v>게임 속 유닛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/>
      <c r="AQ4768">
        <v>0</v>
      </c>
      <c r="AR4768">
        <v>0</v>
      </c>
      <c r="AT4768">
        <v>0</v>
      </c>
      <c r="AU4768">
        <v>0</v>
      </c>
      <c r="AW4768">
        <v>0</v>
      </c>
      <c r="AX4768">
        <v>0</v>
      </c>
      <c r="AY4768">
        <v>0</v>
      </c>
      <c r="BC4768" t="str">
        <f t="shared" si="646"/>
        <v>9791197098475</v>
      </c>
      <c r="BE4768" t="str">
        <f t="shared" si="642"/>
        <v>판타지 웹소설 &gt; 퓨전 판타지</v>
      </c>
    </row>
    <row r="4769" spans="1:57" x14ac:dyDescent="0.3">
      <c r="A4769">
        <v>2313008716</v>
      </c>
      <c r="B4769">
        <v>2313008723</v>
      </c>
      <c r="C4769" t="str">
        <f>T("게임 속 유닛 8화")</f>
        <v>게임 속 유닛 8화</v>
      </c>
      <c r="D4769" t="str">
        <f>T("8")</f>
        <v>8</v>
      </c>
      <c r="E4769" t="str">
        <f t="shared" si="644"/>
        <v>찬동</v>
      </c>
      <c r="H4769" t="str">
        <f t="shared" si="643"/>
        <v>스토리위즈</v>
      </c>
      <c r="I4769" t="str">
        <f t="shared" si="645"/>
        <v>게임 속 유닛</v>
      </c>
      <c r="J4769">
        <v>0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1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/>
      <c r="AQ4769">
        <v>0</v>
      </c>
      <c r="AR4769">
        <v>0</v>
      </c>
      <c r="AT4769">
        <v>0</v>
      </c>
      <c r="AU4769">
        <v>0</v>
      </c>
      <c r="AW4769">
        <v>0</v>
      </c>
      <c r="AX4769">
        <v>0</v>
      </c>
      <c r="AY4769">
        <v>0</v>
      </c>
      <c r="BC4769" t="str">
        <f t="shared" si="646"/>
        <v>9791197098475</v>
      </c>
      <c r="BE4769" t="str">
        <f t="shared" si="642"/>
        <v>판타지 웹소설 &gt; 퓨전 판타지</v>
      </c>
    </row>
    <row r="4770" spans="1:57" x14ac:dyDescent="0.3">
      <c r="A4770">
        <v>2313008716</v>
      </c>
      <c r="B4770">
        <v>2313008724</v>
      </c>
      <c r="C4770" t="str">
        <f>T("게임 속 유닛 9화")</f>
        <v>게임 속 유닛 9화</v>
      </c>
      <c r="D4770" t="str">
        <f>T("9")</f>
        <v>9</v>
      </c>
      <c r="E4770" t="str">
        <f t="shared" si="644"/>
        <v>찬동</v>
      </c>
      <c r="H4770" t="str">
        <f t="shared" si="643"/>
        <v>스토리위즈</v>
      </c>
      <c r="I4770" t="str">
        <f t="shared" si="645"/>
        <v>게임 속 유닛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/>
      <c r="AQ4770">
        <v>0</v>
      </c>
      <c r="AR4770">
        <v>0</v>
      </c>
      <c r="AT4770">
        <v>0</v>
      </c>
      <c r="AU4770">
        <v>0</v>
      </c>
      <c r="AW4770">
        <v>0</v>
      </c>
      <c r="AX4770">
        <v>0</v>
      </c>
      <c r="AY4770">
        <v>0</v>
      </c>
      <c r="BC4770" t="str">
        <f t="shared" si="646"/>
        <v>9791197098475</v>
      </c>
      <c r="BE4770" t="str">
        <f t="shared" si="642"/>
        <v>판타지 웹소설 &gt; 퓨전 판타지</v>
      </c>
    </row>
    <row r="4771" spans="1:57" x14ac:dyDescent="0.3">
      <c r="A4771">
        <v>2313008716</v>
      </c>
      <c r="B4771">
        <v>2313008725</v>
      </c>
      <c r="C4771" t="str">
        <f>T("게임 속 유닛 10화")</f>
        <v>게임 속 유닛 10화</v>
      </c>
      <c r="D4771" t="str">
        <f>T("10")</f>
        <v>10</v>
      </c>
      <c r="E4771" t="str">
        <f t="shared" si="644"/>
        <v>찬동</v>
      </c>
      <c r="H4771" t="str">
        <f t="shared" si="643"/>
        <v>스토리위즈</v>
      </c>
      <c r="I4771" t="str">
        <f t="shared" si="645"/>
        <v>게임 속 유닛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/>
      <c r="AQ4771">
        <v>0</v>
      </c>
      <c r="AR4771">
        <v>0</v>
      </c>
      <c r="AT4771">
        <v>0</v>
      </c>
      <c r="AU4771">
        <v>0</v>
      </c>
      <c r="AW4771">
        <v>0</v>
      </c>
      <c r="AX4771">
        <v>0</v>
      </c>
      <c r="AY4771">
        <v>0</v>
      </c>
      <c r="BC4771" t="str">
        <f t="shared" si="646"/>
        <v>9791197098475</v>
      </c>
      <c r="BE4771" t="str">
        <f t="shared" si="642"/>
        <v>판타지 웹소설 &gt; 퓨전 판타지</v>
      </c>
    </row>
    <row r="4772" spans="1:57" x14ac:dyDescent="0.3">
      <c r="A4772">
        <v>2313008716</v>
      </c>
      <c r="B4772">
        <v>2313008726</v>
      </c>
      <c r="C4772" t="str">
        <f>T("게임 속 유닛 11화")</f>
        <v>게임 속 유닛 11화</v>
      </c>
      <c r="D4772" t="str">
        <f>T("11")</f>
        <v>11</v>
      </c>
      <c r="E4772" t="str">
        <f t="shared" si="644"/>
        <v>찬동</v>
      </c>
      <c r="H4772" t="str">
        <f t="shared" si="643"/>
        <v>스토리위즈</v>
      </c>
      <c r="I4772" t="str">
        <f t="shared" si="645"/>
        <v>게임 속 유닛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1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/>
      <c r="AQ4772">
        <v>0</v>
      </c>
      <c r="AR4772">
        <v>0</v>
      </c>
      <c r="AT4772">
        <v>0</v>
      </c>
      <c r="AU4772">
        <v>0</v>
      </c>
      <c r="AW4772">
        <v>0</v>
      </c>
      <c r="AX4772">
        <v>0</v>
      </c>
      <c r="AY4772">
        <v>0</v>
      </c>
      <c r="BC4772" t="str">
        <f t="shared" si="646"/>
        <v>9791197098475</v>
      </c>
      <c r="BE4772" t="str">
        <f t="shared" si="642"/>
        <v>판타지 웹소설 &gt; 퓨전 판타지</v>
      </c>
    </row>
    <row r="4773" spans="1:57" x14ac:dyDescent="0.3">
      <c r="A4773">
        <v>2313008716</v>
      </c>
      <c r="B4773">
        <v>2313008727</v>
      </c>
      <c r="C4773" t="str">
        <f>T("게임 속 유닛 12화")</f>
        <v>게임 속 유닛 12화</v>
      </c>
      <c r="D4773" t="str">
        <f>T("12")</f>
        <v>12</v>
      </c>
      <c r="E4773" t="str">
        <f t="shared" si="644"/>
        <v>찬동</v>
      </c>
      <c r="H4773" t="str">
        <f t="shared" si="643"/>
        <v>스토리위즈</v>
      </c>
      <c r="I4773" t="str">
        <f t="shared" si="645"/>
        <v>게임 속 유닛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/>
      <c r="AQ4773">
        <v>0</v>
      </c>
      <c r="AR4773">
        <v>0</v>
      </c>
      <c r="AT4773">
        <v>0</v>
      </c>
      <c r="AU4773">
        <v>0</v>
      </c>
      <c r="AW4773">
        <v>0</v>
      </c>
      <c r="AX4773">
        <v>0</v>
      </c>
      <c r="AY4773">
        <v>0</v>
      </c>
      <c r="BC4773" t="str">
        <f t="shared" si="646"/>
        <v>9791197098475</v>
      </c>
      <c r="BE4773" t="str">
        <f t="shared" si="642"/>
        <v>판타지 웹소설 &gt; 퓨전 판타지</v>
      </c>
    </row>
    <row r="4774" spans="1:57" x14ac:dyDescent="0.3">
      <c r="A4774">
        <v>2313008716</v>
      </c>
      <c r="B4774">
        <v>2313008728</v>
      </c>
      <c r="C4774" t="str">
        <f>T("게임 속 유닛 13화")</f>
        <v>게임 속 유닛 13화</v>
      </c>
      <c r="D4774" t="str">
        <f>T("13")</f>
        <v>13</v>
      </c>
      <c r="E4774" t="str">
        <f t="shared" si="644"/>
        <v>찬동</v>
      </c>
      <c r="H4774" t="str">
        <f t="shared" si="643"/>
        <v>스토리위즈</v>
      </c>
      <c r="I4774" t="str">
        <f t="shared" si="645"/>
        <v>게임 속 유닛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/>
      <c r="AQ4774">
        <v>0</v>
      </c>
      <c r="AR4774">
        <v>0</v>
      </c>
      <c r="AT4774">
        <v>0</v>
      </c>
      <c r="AU4774">
        <v>0</v>
      </c>
      <c r="AW4774">
        <v>0</v>
      </c>
      <c r="AX4774">
        <v>0</v>
      </c>
      <c r="AY4774">
        <v>0</v>
      </c>
      <c r="BC4774" t="str">
        <f t="shared" si="646"/>
        <v>9791197098475</v>
      </c>
      <c r="BE4774" t="str">
        <f t="shared" si="642"/>
        <v>판타지 웹소설 &gt; 퓨전 판타지</v>
      </c>
    </row>
    <row r="4775" spans="1:57" x14ac:dyDescent="0.3">
      <c r="A4775">
        <v>2313008716</v>
      </c>
      <c r="B4775">
        <v>2313008729</v>
      </c>
      <c r="C4775" t="str">
        <f>T("게임 속 유닛 14화")</f>
        <v>게임 속 유닛 14화</v>
      </c>
      <c r="D4775" t="str">
        <f>T("14")</f>
        <v>14</v>
      </c>
      <c r="E4775" t="str">
        <f t="shared" si="644"/>
        <v>찬동</v>
      </c>
      <c r="H4775" t="str">
        <f t="shared" si="643"/>
        <v>스토리위즈</v>
      </c>
      <c r="I4775" t="str">
        <f t="shared" si="645"/>
        <v>게임 속 유닛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/>
      <c r="AQ4775">
        <v>0</v>
      </c>
      <c r="AR4775">
        <v>0</v>
      </c>
      <c r="AT4775">
        <v>0</v>
      </c>
      <c r="AU4775">
        <v>0</v>
      </c>
      <c r="AW4775">
        <v>0</v>
      </c>
      <c r="AX4775">
        <v>0</v>
      </c>
      <c r="AY4775">
        <v>0</v>
      </c>
      <c r="BC4775" t="str">
        <f t="shared" si="646"/>
        <v>9791197098475</v>
      </c>
      <c r="BE4775" t="str">
        <f t="shared" si="642"/>
        <v>판타지 웹소설 &gt; 퓨전 판타지</v>
      </c>
    </row>
    <row r="4776" spans="1:57" x14ac:dyDescent="0.3">
      <c r="A4776">
        <v>2313008716</v>
      </c>
      <c r="B4776">
        <v>2313008730</v>
      </c>
      <c r="C4776" t="str">
        <f>T("게임 속 유닛 15화")</f>
        <v>게임 속 유닛 15화</v>
      </c>
      <c r="D4776" t="str">
        <f>T("15")</f>
        <v>15</v>
      </c>
      <c r="E4776" t="str">
        <f t="shared" si="644"/>
        <v>찬동</v>
      </c>
      <c r="H4776" t="str">
        <f t="shared" si="643"/>
        <v>스토리위즈</v>
      </c>
      <c r="I4776" t="str">
        <f t="shared" si="645"/>
        <v>게임 속 유닛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/>
      <c r="AQ4776">
        <v>0</v>
      </c>
      <c r="AR4776">
        <v>0</v>
      </c>
      <c r="AT4776">
        <v>0</v>
      </c>
      <c r="AU4776">
        <v>0</v>
      </c>
      <c r="AW4776">
        <v>0</v>
      </c>
      <c r="AX4776">
        <v>0</v>
      </c>
      <c r="AY4776">
        <v>0</v>
      </c>
      <c r="BC4776" t="str">
        <f t="shared" si="646"/>
        <v>9791197098475</v>
      </c>
      <c r="BE4776" t="str">
        <f t="shared" si="642"/>
        <v>판타지 웹소설 &gt; 퓨전 판타지</v>
      </c>
    </row>
    <row r="4777" spans="1:57" x14ac:dyDescent="0.3">
      <c r="A4777">
        <v>2313008716</v>
      </c>
      <c r="B4777">
        <v>2313008731</v>
      </c>
      <c r="C4777" t="str">
        <f>T("게임 속 유닛 16화")</f>
        <v>게임 속 유닛 16화</v>
      </c>
      <c r="D4777" t="str">
        <f>T("16")</f>
        <v>16</v>
      </c>
      <c r="E4777" t="str">
        <f t="shared" si="644"/>
        <v>찬동</v>
      </c>
      <c r="H4777" t="str">
        <f t="shared" si="643"/>
        <v>스토리위즈</v>
      </c>
      <c r="I4777" t="str">
        <f t="shared" si="645"/>
        <v>게임 속 유닛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/>
      <c r="AQ4777">
        <v>0</v>
      </c>
      <c r="AR4777">
        <v>0</v>
      </c>
      <c r="AT4777">
        <v>0</v>
      </c>
      <c r="AU4777">
        <v>0</v>
      </c>
      <c r="AW4777">
        <v>0</v>
      </c>
      <c r="AX4777">
        <v>0</v>
      </c>
      <c r="AY4777">
        <v>0</v>
      </c>
      <c r="BC4777" t="str">
        <f t="shared" si="646"/>
        <v>9791197098475</v>
      </c>
      <c r="BE4777" t="str">
        <f t="shared" si="642"/>
        <v>판타지 웹소설 &gt; 퓨전 판타지</v>
      </c>
    </row>
    <row r="4778" spans="1:57" x14ac:dyDescent="0.3">
      <c r="A4778">
        <v>2313008716</v>
      </c>
      <c r="B4778">
        <v>2313008732</v>
      </c>
      <c r="C4778" t="str">
        <f>T("게임 속 유닛 17화")</f>
        <v>게임 속 유닛 17화</v>
      </c>
      <c r="D4778" t="str">
        <f>T("17")</f>
        <v>17</v>
      </c>
      <c r="E4778" t="str">
        <f t="shared" si="644"/>
        <v>찬동</v>
      </c>
      <c r="H4778" t="str">
        <f t="shared" si="643"/>
        <v>스토리위즈</v>
      </c>
      <c r="I4778" t="str">
        <f t="shared" si="645"/>
        <v>게임 속 유닛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/>
      <c r="AQ4778">
        <v>0</v>
      </c>
      <c r="AR4778">
        <v>0</v>
      </c>
      <c r="AT4778">
        <v>0</v>
      </c>
      <c r="AU4778">
        <v>0</v>
      </c>
      <c r="AW4778">
        <v>0</v>
      </c>
      <c r="AX4778">
        <v>0</v>
      </c>
      <c r="AY4778">
        <v>0</v>
      </c>
      <c r="BC4778" t="str">
        <f t="shared" si="646"/>
        <v>9791197098475</v>
      </c>
      <c r="BE4778" t="str">
        <f t="shared" si="642"/>
        <v>판타지 웹소설 &gt; 퓨전 판타지</v>
      </c>
    </row>
    <row r="4779" spans="1:57" x14ac:dyDescent="0.3">
      <c r="A4779">
        <v>2313008716</v>
      </c>
      <c r="B4779">
        <v>2313008733</v>
      </c>
      <c r="C4779" t="str">
        <f>T("게임 속 유닛 18화")</f>
        <v>게임 속 유닛 18화</v>
      </c>
      <c r="D4779" t="str">
        <f>T("18")</f>
        <v>18</v>
      </c>
      <c r="E4779" t="str">
        <f t="shared" si="644"/>
        <v>찬동</v>
      </c>
      <c r="H4779" t="str">
        <f t="shared" si="643"/>
        <v>스토리위즈</v>
      </c>
      <c r="I4779" t="str">
        <f t="shared" si="645"/>
        <v>게임 속 유닛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/>
      <c r="AQ4779">
        <v>0</v>
      </c>
      <c r="AR4779">
        <v>0</v>
      </c>
      <c r="AT4779">
        <v>0</v>
      </c>
      <c r="AU4779">
        <v>0</v>
      </c>
      <c r="AW4779">
        <v>0</v>
      </c>
      <c r="AX4779">
        <v>0</v>
      </c>
      <c r="AY4779">
        <v>0</v>
      </c>
      <c r="BC4779" t="str">
        <f t="shared" si="646"/>
        <v>9791197098475</v>
      </c>
      <c r="BE4779" t="str">
        <f t="shared" si="642"/>
        <v>판타지 웹소설 &gt; 퓨전 판타지</v>
      </c>
    </row>
    <row r="4780" spans="1:57" x14ac:dyDescent="0.3">
      <c r="A4780">
        <v>2313008716</v>
      </c>
      <c r="B4780">
        <v>2313008734</v>
      </c>
      <c r="C4780" t="str">
        <f>T("게임 속 유닛 19화")</f>
        <v>게임 속 유닛 19화</v>
      </c>
      <c r="D4780" t="str">
        <f>T("19")</f>
        <v>19</v>
      </c>
      <c r="E4780" t="str">
        <f t="shared" si="644"/>
        <v>찬동</v>
      </c>
      <c r="H4780" t="str">
        <f t="shared" si="643"/>
        <v>스토리위즈</v>
      </c>
      <c r="I4780" t="str">
        <f t="shared" si="645"/>
        <v>게임 속 유닛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/>
      <c r="AQ4780">
        <v>0</v>
      </c>
      <c r="AR4780">
        <v>0</v>
      </c>
      <c r="AT4780">
        <v>0</v>
      </c>
      <c r="AU4780">
        <v>0</v>
      </c>
      <c r="AW4780">
        <v>0</v>
      </c>
      <c r="AX4780">
        <v>0</v>
      </c>
      <c r="AY4780">
        <v>0</v>
      </c>
      <c r="BC4780" t="str">
        <f t="shared" si="646"/>
        <v>9791197098475</v>
      </c>
      <c r="BE4780" t="str">
        <f t="shared" si="642"/>
        <v>판타지 웹소설 &gt; 퓨전 판타지</v>
      </c>
    </row>
    <row r="4781" spans="1:57" x14ac:dyDescent="0.3">
      <c r="A4781">
        <v>2313008716</v>
      </c>
      <c r="B4781">
        <v>2313008735</v>
      </c>
      <c r="C4781" t="str">
        <f>T("게임 속 유닛 20화")</f>
        <v>게임 속 유닛 20화</v>
      </c>
      <c r="D4781" t="str">
        <f>T("20")</f>
        <v>20</v>
      </c>
      <c r="E4781" t="str">
        <f t="shared" si="644"/>
        <v>찬동</v>
      </c>
      <c r="H4781" t="str">
        <f t="shared" si="643"/>
        <v>스토리위즈</v>
      </c>
      <c r="I4781" t="str">
        <f t="shared" si="645"/>
        <v>게임 속 유닛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1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/>
      <c r="AQ4781">
        <v>0</v>
      </c>
      <c r="AR4781">
        <v>0</v>
      </c>
      <c r="AT4781">
        <v>0</v>
      </c>
      <c r="AU4781">
        <v>0</v>
      </c>
      <c r="AW4781">
        <v>0</v>
      </c>
      <c r="AX4781">
        <v>0</v>
      </c>
      <c r="AY4781">
        <v>0</v>
      </c>
      <c r="BC4781" t="str">
        <f t="shared" si="646"/>
        <v>9791197098475</v>
      </c>
      <c r="BE4781" t="str">
        <f t="shared" si="642"/>
        <v>판타지 웹소설 &gt; 퓨전 판타지</v>
      </c>
    </row>
    <row r="4782" spans="1:57" x14ac:dyDescent="0.3">
      <c r="A4782">
        <v>2313008716</v>
      </c>
      <c r="B4782">
        <v>2313008736</v>
      </c>
      <c r="C4782" t="str">
        <f>T("게임 속 유닛 21화")</f>
        <v>게임 속 유닛 21화</v>
      </c>
      <c r="D4782" t="str">
        <f>T("21")</f>
        <v>21</v>
      </c>
      <c r="E4782" t="str">
        <f t="shared" si="644"/>
        <v>찬동</v>
      </c>
      <c r="H4782" t="str">
        <f t="shared" si="643"/>
        <v>스토리위즈</v>
      </c>
      <c r="I4782" t="str">
        <f t="shared" si="645"/>
        <v>게임 속 유닛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/>
      <c r="AQ4782">
        <v>0</v>
      </c>
      <c r="AR4782">
        <v>0</v>
      </c>
      <c r="AT4782">
        <v>0</v>
      </c>
      <c r="AU4782">
        <v>0</v>
      </c>
      <c r="AW4782">
        <v>0</v>
      </c>
      <c r="AX4782">
        <v>0</v>
      </c>
      <c r="AY4782">
        <v>0</v>
      </c>
      <c r="BC4782" t="str">
        <f t="shared" si="646"/>
        <v>9791197098475</v>
      </c>
      <c r="BE4782" t="str">
        <f t="shared" si="642"/>
        <v>판타지 웹소설 &gt; 퓨전 판타지</v>
      </c>
    </row>
    <row r="4783" spans="1:57" x14ac:dyDescent="0.3">
      <c r="A4783">
        <v>2313008716</v>
      </c>
      <c r="B4783">
        <v>2313008737</v>
      </c>
      <c r="C4783" t="str">
        <f>T("게임 속 유닛 22화")</f>
        <v>게임 속 유닛 22화</v>
      </c>
      <c r="D4783" t="str">
        <f>T("22")</f>
        <v>22</v>
      </c>
      <c r="E4783" t="str">
        <f t="shared" si="644"/>
        <v>찬동</v>
      </c>
      <c r="H4783" t="str">
        <f t="shared" si="643"/>
        <v>스토리위즈</v>
      </c>
      <c r="I4783" t="str">
        <f t="shared" si="645"/>
        <v>게임 속 유닛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/>
      <c r="AQ4783">
        <v>0</v>
      </c>
      <c r="AR4783">
        <v>0</v>
      </c>
      <c r="AT4783">
        <v>0</v>
      </c>
      <c r="AU4783">
        <v>0</v>
      </c>
      <c r="AW4783">
        <v>0</v>
      </c>
      <c r="AX4783">
        <v>0</v>
      </c>
      <c r="AY4783">
        <v>0</v>
      </c>
      <c r="BC4783" t="str">
        <f t="shared" si="646"/>
        <v>9791197098475</v>
      </c>
      <c r="BE4783" t="str">
        <f t="shared" si="642"/>
        <v>판타지 웹소설 &gt; 퓨전 판타지</v>
      </c>
    </row>
    <row r="4784" spans="1:57" x14ac:dyDescent="0.3">
      <c r="A4784">
        <v>2313008716</v>
      </c>
      <c r="B4784">
        <v>2313008738</v>
      </c>
      <c r="C4784" t="str">
        <f>T("게임 속 유닛 23화")</f>
        <v>게임 속 유닛 23화</v>
      </c>
      <c r="D4784" t="str">
        <f>T("23")</f>
        <v>23</v>
      </c>
      <c r="E4784" t="str">
        <f t="shared" si="644"/>
        <v>찬동</v>
      </c>
      <c r="H4784" t="str">
        <f t="shared" si="643"/>
        <v>스토리위즈</v>
      </c>
      <c r="I4784" t="str">
        <f t="shared" si="645"/>
        <v>게임 속 유닛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/>
      <c r="AQ4784">
        <v>0</v>
      </c>
      <c r="AR4784">
        <v>0</v>
      </c>
      <c r="AT4784">
        <v>0</v>
      </c>
      <c r="AU4784">
        <v>0</v>
      </c>
      <c r="AW4784">
        <v>0</v>
      </c>
      <c r="AX4784">
        <v>0</v>
      </c>
      <c r="AY4784">
        <v>0</v>
      </c>
      <c r="BC4784" t="str">
        <f t="shared" si="646"/>
        <v>9791197098475</v>
      </c>
      <c r="BE4784" t="str">
        <f t="shared" si="642"/>
        <v>판타지 웹소설 &gt; 퓨전 판타지</v>
      </c>
    </row>
    <row r="4785" spans="1:57" x14ac:dyDescent="0.3">
      <c r="A4785">
        <v>2313008716</v>
      </c>
      <c r="B4785">
        <v>2313008739</v>
      </c>
      <c r="C4785" t="str">
        <f>T("게임 속 유닛 24화")</f>
        <v>게임 속 유닛 24화</v>
      </c>
      <c r="D4785" t="str">
        <f>T("24")</f>
        <v>24</v>
      </c>
      <c r="E4785" t="str">
        <f t="shared" si="644"/>
        <v>찬동</v>
      </c>
      <c r="H4785" t="str">
        <f t="shared" si="643"/>
        <v>스토리위즈</v>
      </c>
      <c r="I4785" t="str">
        <f t="shared" si="645"/>
        <v>게임 속 유닛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/>
      <c r="AQ4785">
        <v>0</v>
      </c>
      <c r="AR4785">
        <v>0</v>
      </c>
      <c r="AT4785">
        <v>0</v>
      </c>
      <c r="AU4785">
        <v>0</v>
      </c>
      <c r="AW4785">
        <v>0</v>
      </c>
      <c r="AX4785">
        <v>0</v>
      </c>
      <c r="AY4785">
        <v>0</v>
      </c>
      <c r="BC4785" t="str">
        <f t="shared" si="646"/>
        <v>9791197098475</v>
      </c>
      <c r="BE4785" t="str">
        <f t="shared" si="642"/>
        <v>판타지 웹소설 &gt; 퓨전 판타지</v>
      </c>
    </row>
    <row r="4786" spans="1:57" x14ac:dyDescent="0.3">
      <c r="A4786">
        <v>2313008716</v>
      </c>
      <c r="B4786">
        <v>2313008740</v>
      </c>
      <c r="C4786" t="str">
        <f>T("게임 속 유닛 25화")</f>
        <v>게임 속 유닛 25화</v>
      </c>
      <c r="D4786" t="str">
        <f>T("25")</f>
        <v>25</v>
      </c>
      <c r="E4786" t="str">
        <f t="shared" si="644"/>
        <v>찬동</v>
      </c>
      <c r="H4786" t="str">
        <f t="shared" si="643"/>
        <v>스토리위즈</v>
      </c>
      <c r="I4786" t="str">
        <f t="shared" si="645"/>
        <v>게임 속 유닛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/>
      <c r="AQ4786">
        <v>0</v>
      </c>
      <c r="AR4786">
        <v>0</v>
      </c>
      <c r="AT4786">
        <v>0</v>
      </c>
      <c r="AU4786">
        <v>0</v>
      </c>
      <c r="AW4786">
        <v>0</v>
      </c>
      <c r="AX4786">
        <v>0</v>
      </c>
      <c r="AY4786">
        <v>0</v>
      </c>
      <c r="BC4786" t="str">
        <f t="shared" si="646"/>
        <v>9791197098475</v>
      </c>
      <c r="BE4786" t="str">
        <f t="shared" si="642"/>
        <v>판타지 웹소설 &gt; 퓨전 판타지</v>
      </c>
    </row>
    <row r="4787" spans="1:57" x14ac:dyDescent="0.3">
      <c r="A4787">
        <v>2313009409</v>
      </c>
      <c r="B4787">
        <v>2313009409</v>
      </c>
      <c r="C4787" t="str">
        <f>T("[e북]말빨 1권")</f>
        <v>[e북]말빨 1권</v>
      </c>
      <c r="D4787" t="str">
        <f>T("1")</f>
        <v>1</v>
      </c>
      <c r="E4787" t="str">
        <f>T("이동열")</f>
        <v>이동열</v>
      </c>
      <c r="H4787" t="str">
        <f t="shared" si="643"/>
        <v>스토리위즈</v>
      </c>
      <c r="I4787" t="str">
        <f>T("[e북]말빨")</f>
        <v>[e북]말빨</v>
      </c>
      <c r="J4787">
        <v>0</v>
      </c>
      <c r="K4787">
        <v>0</v>
      </c>
      <c r="L4787">
        <v>0</v>
      </c>
      <c r="M4787">
        <v>3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3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/>
      <c r="AQ4787">
        <v>0</v>
      </c>
      <c r="AR4787">
        <v>0</v>
      </c>
      <c r="AT4787">
        <v>0</v>
      </c>
      <c r="AU4787">
        <v>0</v>
      </c>
      <c r="AW4787">
        <v>0</v>
      </c>
      <c r="AX4787">
        <v>0</v>
      </c>
      <c r="AY4787">
        <v>0</v>
      </c>
      <c r="BA4787" t="str">
        <f>T("0000000000000")</f>
        <v>0000000000000</v>
      </c>
      <c r="BC4787" t="str">
        <f>T("9791165311759")</f>
        <v>9791165311759</v>
      </c>
      <c r="BE4787" t="str">
        <f>T("판타지 e북 &gt; 게임 판타지")</f>
        <v>판타지 e북 &gt; 게임 판타지</v>
      </c>
    </row>
    <row r="4788" spans="1:57" x14ac:dyDescent="0.3">
      <c r="A4788">
        <v>2313009418</v>
      </c>
      <c r="B4788">
        <v>2313009418</v>
      </c>
      <c r="C4788" t="str">
        <f>T("은천검제(2부 화산검제) 1화")</f>
        <v>은천검제(2부 화산검제) 1화</v>
      </c>
      <c r="D4788" t="str">
        <f>T("1")</f>
        <v>1</v>
      </c>
      <c r="E4788" t="str">
        <f>T("무장")</f>
        <v>무장</v>
      </c>
      <c r="H4788" t="str">
        <f t="shared" si="643"/>
        <v>스토리위즈</v>
      </c>
      <c r="I4788" t="str">
        <f>T("은천검제(2부 화산검제)")</f>
        <v>은천검제(2부 화산검제)</v>
      </c>
      <c r="J4788">
        <v>0</v>
      </c>
      <c r="K4788">
        <v>0</v>
      </c>
      <c r="L4788">
        <v>0</v>
      </c>
      <c r="M4788">
        <v>5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5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/>
      <c r="AQ4788">
        <v>0</v>
      </c>
      <c r="AR4788">
        <v>0</v>
      </c>
      <c r="AT4788">
        <v>0</v>
      </c>
      <c r="AU4788">
        <v>0</v>
      </c>
      <c r="AW4788">
        <v>0</v>
      </c>
      <c r="AX4788">
        <v>0</v>
      </c>
      <c r="AY4788">
        <v>0</v>
      </c>
      <c r="BC4788" t="str">
        <f>T("9791166067464")</f>
        <v>9791166067464</v>
      </c>
      <c r="BE4788" t="str">
        <f>T("판타지 웹소설 &gt; 무협 소설")</f>
        <v>판타지 웹소설 &gt; 무협 소설</v>
      </c>
    </row>
    <row r="4789" spans="1:57" x14ac:dyDescent="0.3">
      <c r="A4789">
        <v>2313009418</v>
      </c>
      <c r="B4789">
        <v>2313009419</v>
      </c>
      <c r="C4789" t="str">
        <f>T("은천검제(2부 화산검제) 2화")</f>
        <v>은천검제(2부 화산검제) 2화</v>
      </c>
      <c r="D4789" t="str">
        <f>T("2")</f>
        <v>2</v>
      </c>
      <c r="E4789" t="str">
        <f>T("무장")</f>
        <v>무장</v>
      </c>
      <c r="H4789" t="str">
        <f t="shared" si="643"/>
        <v>스토리위즈</v>
      </c>
      <c r="I4789" t="str">
        <f>T("은천검제(2부 화산검제)")</f>
        <v>은천검제(2부 화산검제)</v>
      </c>
      <c r="J4789">
        <v>0</v>
      </c>
      <c r="K4789">
        <v>0</v>
      </c>
      <c r="L4789">
        <v>0</v>
      </c>
      <c r="M4789">
        <v>3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3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/>
      <c r="AQ4789">
        <v>0</v>
      </c>
      <c r="AR4789">
        <v>0</v>
      </c>
      <c r="AT4789">
        <v>0</v>
      </c>
      <c r="AU4789">
        <v>0</v>
      </c>
      <c r="AW4789">
        <v>0</v>
      </c>
      <c r="AX4789">
        <v>0</v>
      </c>
      <c r="AY4789">
        <v>0</v>
      </c>
      <c r="BC4789" t="str">
        <f>T("9791166067464")</f>
        <v>9791166067464</v>
      </c>
      <c r="BE4789" t="str">
        <f>T("판타지 웹소설 &gt; 무협 소설")</f>
        <v>판타지 웹소설 &gt; 무협 소설</v>
      </c>
    </row>
    <row r="4790" spans="1:57" x14ac:dyDescent="0.3">
      <c r="A4790">
        <v>2313009418</v>
      </c>
      <c r="B4790">
        <v>2313009420</v>
      </c>
      <c r="C4790" t="str">
        <f>T("은천검제(2부 화산검제) 3화")</f>
        <v>은천검제(2부 화산검제) 3화</v>
      </c>
      <c r="D4790" t="str">
        <f>T("3")</f>
        <v>3</v>
      </c>
      <c r="E4790" t="str">
        <f>T("무장")</f>
        <v>무장</v>
      </c>
      <c r="H4790" t="str">
        <f t="shared" si="643"/>
        <v>스토리위즈</v>
      </c>
      <c r="I4790" t="str">
        <f>T("은천검제(2부 화산검제)")</f>
        <v>은천검제(2부 화산검제)</v>
      </c>
      <c r="J4790">
        <v>0</v>
      </c>
      <c r="K4790">
        <v>0</v>
      </c>
      <c r="L4790">
        <v>0</v>
      </c>
      <c r="M4790">
        <v>2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2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/>
      <c r="AQ4790">
        <v>0</v>
      </c>
      <c r="AR4790">
        <v>0</v>
      </c>
      <c r="AT4790">
        <v>0</v>
      </c>
      <c r="AU4790">
        <v>0</v>
      </c>
      <c r="AW4790">
        <v>0</v>
      </c>
      <c r="AX4790">
        <v>0</v>
      </c>
      <c r="AY4790">
        <v>0</v>
      </c>
      <c r="BC4790" t="str">
        <f>T("9791166067464")</f>
        <v>9791166067464</v>
      </c>
      <c r="BE4790" t="str">
        <f>T("판타지 웹소설 &gt; 무협 소설")</f>
        <v>판타지 웹소설 &gt; 무협 소설</v>
      </c>
    </row>
    <row r="4791" spans="1:57" x14ac:dyDescent="0.3">
      <c r="A4791">
        <v>2313009418</v>
      </c>
      <c r="B4791">
        <v>2313009421</v>
      </c>
      <c r="C4791" t="str">
        <f>T("은천검제(2부 화산검제) 4화")</f>
        <v>은천검제(2부 화산검제) 4화</v>
      </c>
      <c r="D4791" t="str">
        <f>T("4")</f>
        <v>4</v>
      </c>
      <c r="E4791" t="str">
        <f>T("무장")</f>
        <v>무장</v>
      </c>
      <c r="H4791" t="str">
        <f t="shared" si="643"/>
        <v>스토리위즈</v>
      </c>
      <c r="I4791" t="str">
        <f>T("은천검제(2부 화산검제)")</f>
        <v>은천검제(2부 화산검제)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1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/>
      <c r="AQ4791">
        <v>0</v>
      </c>
      <c r="AR4791">
        <v>0</v>
      </c>
      <c r="AT4791">
        <v>0</v>
      </c>
      <c r="AU4791">
        <v>0</v>
      </c>
      <c r="AW4791">
        <v>0</v>
      </c>
      <c r="AX4791">
        <v>0</v>
      </c>
      <c r="AY4791">
        <v>0</v>
      </c>
      <c r="BE4791" t="str">
        <f>T("판타지 웹소설 &gt; 무협 소설")</f>
        <v>판타지 웹소설 &gt; 무협 소설</v>
      </c>
    </row>
    <row r="4792" spans="1:57" x14ac:dyDescent="0.3">
      <c r="A4792">
        <v>2313009749</v>
      </c>
      <c r="B4792">
        <v>2313009749</v>
      </c>
      <c r="C4792" t="str">
        <f>T("리얼 머니 1화")</f>
        <v>리얼 머니 1화</v>
      </c>
      <c r="D4792" t="str">
        <f>T("1")</f>
        <v>1</v>
      </c>
      <c r="E4792" t="str">
        <f t="shared" ref="E4792:E4816" si="647">T("진문")</f>
        <v>진문</v>
      </c>
      <c r="H4792" t="str">
        <f t="shared" si="643"/>
        <v>스토리위즈</v>
      </c>
      <c r="I4792" t="str">
        <f t="shared" ref="I4792:I4816" si="648">T("리얼 머니")</f>
        <v>리얼 머니</v>
      </c>
      <c r="J4792">
        <v>0</v>
      </c>
      <c r="K4792">
        <v>0</v>
      </c>
      <c r="L4792">
        <v>0</v>
      </c>
      <c r="M4792">
        <v>7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7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/>
      <c r="AQ4792">
        <v>0</v>
      </c>
      <c r="AR4792">
        <v>0</v>
      </c>
      <c r="AT4792">
        <v>0</v>
      </c>
      <c r="AU4792">
        <v>0</v>
      </c>
      <c r="AW4792">
        <v>0</v>
      </c>
      <c r="AX4792">
        <v>0</v>
      </c>
      <c r="AY4792">
        <v>0</v>
      </c>
      <c r="BC4792" t="str">
        <f t="shared" ref="BC4792:BC4816" si="649">T("9791166068942")</f>
        <v>9791166068942</v>
      </c>
      <c r="BE4792" t="str">
        <f t="shared" ref="BE4792:BE4816" si="650">T("판타지 웹소설 &gt; 현대 판타지")</f>
        <v>판타지 웹소설 &gt; 현대 판타지</v>
      </c>
    </row>
    <row r="4793" spans="1:57" x14ac:dyDescent="0.3">
      <c r="A4793">
        <v>2313009749</v>
      </c>
      <c r="B4793">
        <v>2313009750</v>
      </c>
      <c r="C4793" t="str">
        <f>T("리얼 머니 2화")</f>
        <v>리얼 머니 2화</v>
      </c>
      <c r="D4793" t="str">
        <f>T("2")</f>
        <v>2</v>
      </c>
      <c r="E4793" t="str">
        <f t="shared" si="647"/>
        <v>진문</v>
      </c>
      <c r="H4793" t="str">
        <f t="shared" si="643"/>
        <v>스토리위즈</v>
      </c>
      <c r="I4793" t="str">
        <f t="shared" si="648"/>
        <v>리얼 머니</v>
      </c>
      <c r="J4793">
        <v>0</v>
      </c>
      <c r="K4793">
        <v>0</v>
      </c>
      <c r="L4793">
        <v>0</v>
      </c>
      <c r="M4793">
        <v>6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6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/>
      <c r="AQ4793">
        <v>0</v>
      </c>
      <c r="AR4793">
        <v>0</v>
      </c>
      <c r="AT4793">
        <v>0</v>
      </c>
      <c r="AU4793">
        <v>0</v>
      </c>
      <c r="AW4793">
        <v>0</v>
      </c>
      <c r="AX4793">
        <v>0</v>
      </c>
      <c r="AY4793">
        <v>0</v>
      </c>
      <c r="BC4793" t="str">
        <f t="shared" si="649"/>
        <v>9791166068942</v>
      </c>
      <c r="BE4793" t="str">
        <f t="shared" si="650"/>
        <v>판타지 웹소설 &gt; 현대 판타지</v>
      </c>
    </row>
    <row r="4794" spans="1:57" x14ac:dyDescent="0.3">
      <c r="A4794">
        <v>2313009749</v>
      </c>
      <c r="B4794">
        <v>2313009751</v>
      </c>
      <c r="C4794" t="str">
        <f>T("리얼 머니 3화")</f>
        <v>리얼 머니 3화</v>
      </c>
      <c r="D4794" t="str">
        <f>T("3")</f>
        <v>3</v>
      </c>
      <c r="E4794" t="str">
        <f t="shared" si="647"/>
        <v>진문</v>
      </c>
      <c r="H4794" t="str">
        <f t="shared" si="643"/>
        <v>스토리위즈</v>
      </c>
      <c r="I4794" t="str">
        <f t="shared" si="648"/>
        <v>리얼 머니</v>
      </c>
      <c r="J4794">
        <v>0</v>
      </c>
      <c r="K4794">
        <v>0</v>
      </c>
      <c r="L4794">
        <v>0</v>
      </c>
      <c r="M4794">
        <v>5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5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/>
      <c r="AQ4794">
        <v>0</v>
      </c>
      <c r="AR4794">
        <v>0</v>
      </c>
      <c r="AT4794">
        <v>0</v>
      </c>
      <c r="AU4794">
        <v>0</v>
      </c>
      <c r="AW4794">
        <v>0</v>
      </c>
      <c r="AX4794">
        <v>0</v>
      </c>
      <c r="AY4794">
        <v>0</v>
      </c>
      <c r="BC4794" t="str">
        <f t="shared" si="649"/>
        <v>9791166068942</v>
      </c>
      <c r="BE4794" t="str">
        <f t="shared" si="650"/>
        <v>판타지 웹소설 &gt; 현대 판타지</v>
      </c>
    </row>
    <row r="4795" spans="1:57" x14ac:dyDescent="0.3">
      <c r="A4795">
        <v>2313009749</v>
      </c>
      <c r="B4795">
        <v>2313009752</v>
      </c>
      <c r="C4795" t="str">
        <f>T("리얼 머니 4화")</f>
        <v>리얼 머니 4화</v>
      </c>
      <c r="D4795" t="str">
        <f>T("4")</f>
        <v>4</v>
      </c>
      <c r="E4795" t="str">
        <f t="shared" si="647"/>
        <v>진문</v>
      </c>
      <c r="H4795" t="str">
        <f t="shared" si="643"/>
        <v>스토리위즈</v>
      </c>
      <c r="I4795" t="str">
        <f t="shared" si="648"/>
        <v>리얼 머니</v>
      </c>
      <c r="J4795">
        <v>0</v>
      </c>
      <c r="K4795">
        <v>0</v>
      </c>
      <c r="L4795">
        <v>0</v>
      </c>
      <c r="M4795">
        <v>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4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/>
      <c r="AQ4795">
        <v>0</v>
      </c>
      <c r="AR4795">
        <v>0</v>
      </c>
      <c r="AT4795">
        <v>0</v>
      </c>
      <c r="AU4795">
        <v>0</v>
      </c>
      <c r="AW4795">
        <v>0</v>
      </c>
      <c r="AX4795">
        <v>0</v>
      </c>
      <c r="AY4795">
        <v>0</v>
      </c>
      <c r="BC4795" t="str">
        <f t="shared" si="649"/>
        <v>9791166068942</v>
      </c>
      <c r="BE4795" t="str">
        <f t="shared" si="650"/>
        <v>판타지 웹소설 &gt; 현대 판타지</v>
      </c>
    </row>
    <row r="4796" spans="1:57" x14ac:dyDescent="0.3">
      <c r="A4796">
        <v>2313009749</v>
      </c>
      <c r="B4796">
        <v>2313009753</v>
      </c>
      <c r="C4796" t="str">
        <f>T("리얼 머니 5화")</f>
        <v>리얼 머니 5화</v>
      </c>
      <c r="D4796" t="str">
        <f>T("5")</f>
        <v>5</v>
      </c>
      <c r="E4796" t="str">
        <f t="shared" si="647"/>
        <v>진문</v>
      </c>
      <c r="H4796" t="str">
        <f t="shared" si="643"/>
        <v>스토리위즈</v>
      </c>
      <c r="I4796" t="str">
        <f t="shared" si="648"/>
        <v>리얼 머니</v>
      </c>
      <c r="J4796">
        <v>0</v>
      </c>
      <c r="K4796">
        <v>0</v>
      </c>
      <c r="L4796">
        <v>0</v>
      </c>
      <c r="M4796">
        <v>3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3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/>
      <c r="AQ4796">
        <v>0</v>
      </c>
      <c r="AR4796">
        <v>0</v>
      </c>
      <c r="AT4796">
        <v>0</v>
      </c>
      <c r="AU4796">
        <v>0</v>
      </c>
      <c r="AW4796">
        <v>0</v>
      </c>
      <c r="AX4796">
        <v>0</v>
      </c>
      <c r="AY4796">
        <v>0</v>
      </c>
      <c r="BC4796" t="str">
        <f t="shared" si="649"/>
        <v>9791166068942</v>
      </c>
      <c r="BE4796" t="str">
        <f t="shared" si="650"/>
        <v>판타지 웹소설 &gt; 현대 판타지</v>
      </c>
    </row>
    <row r="4797" spans="1:57" x14ac:dyDescent="0.3">
      <c r="A4797">
        <v>2313009749</v>
      </c>
      <c r="B4797">
        <v>2313009754</v>
      </c>
      <c r="C4797" t="str">
        <f>T("리얼 머니 6화")</f>
        <v>리얼 머니 6화</v>
      </c>
      <c r="D4797" t="str">
        <f>T("6")</f>
        <v>6</v>
      </c>
      <c r="E4797" t="str">
        <f t="shared" si="647"/>
        <v>진문</v>
      </c>
      <c r="H4797" t="str">
        <f t="shared" si="643"/>
        <v>스토리위즈</v>
      </c>
      <c r="I4797" t="str">
        <f t="shared" si="648"/>
        <v>리얼 머니</v>
      </c>
      <c r="J4797">
        <v>0</v>
      </c>
      <c r="K4797">
        <v>0</v>
      </c>
      <c r="L4797">
        <v>0</v>
      </c>
      <c r="M4797">
        <v>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2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/>
      <c r="AQ4797">
        <v>0</v>
      </c>
      <c r="AR4797">
        <v>0</v>
      </c>
      <c r="AT4797">
        <v>0</v>
      </c>
      <c r="AU4797">
        <v>0</v>
      </c>
      <c r="AW4797">
        <v>0</v>
      </c>
      <c r="AX4797">
        <v>0</v>
      </c>
      <c r="AY4797">
        <v>0</v>
      </c>
      <c r="BC4797" t="str">
        <f t="shared" si="649"/>
        <v>9791166068942</v>
      </c>
      <c r="BE4797" t="str">
        <f t="shared" si="650"/>
        <v>판타지 웹소설 &gt; 현대 판타지</v>
      </c>
    </row>
    <row r="4798" spans="1:57" x14ac:dyDescent="0.3">
      <c r="A4798">
        <v>2313009749</v>
      </c>
      <c r="B4798">
        <v>2313009755</v>
      </c>
      <c r="C4798" t="str">
        <f>T("리얼 머니 7화")</f>
        <v>리얼 머니 7화</v>
      </c>
      <c r="D4798" t="str">
        <f>T("7")</f>
        <v>7</v>
      </c>
      <c r="E4798" t="str">
        <f t="shared" si="647"/>
        <v>진문</v>
      </c>
      <c r="H4798" t="str">
        <f t="shared" si="643"/>
        <v>스토리위즈</v>
      </c>
      <c r="I4798" t="str">
        <f t="shared" si="648"/>
        <v>리얼 머니</v>
      </c>
      <c r="J4798">
        <v>0</v>
      </c>
      <c r="K4798">
        <v>0</v>
      </c>
      <c r="L4798">
        <v>0</v>
      </c>
      <c r="M4798">
        <v>2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2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/>
      <c r="AQ4798">
        <v>0</v>
      </c>
      <c r="AR4798">
        <v>0</v>
      </c>
      <c r="AT4798">
        <v>0</v>
      </c>
      <c r="AU4798">
        <v>0</v>
      </c>
      <c r="AW4798">
        <v>0</v>
      </c>
      <c r="AX4798">
        <v>0</v>
      </c>
      <c r="AY4798">
        <v>0</v>
      </c>
      <c r="BC4798" t="str">
        <f t="shared" si="649"/>
        <v>9791166068942</v>
      </c>
      <c r="BE4798" t="str">
        <f t="shared" si="650"/>
        <v>판타지 웹소설 &gt; 현대 판타지</v>
      </c>
    </row>
    <row r="4799" spans="1:57" x14ac:dyDescent="0.3">
      <c r="A4799">
        <v>2313009749</v>
      </c>
      <c r="B4799">
        <v>2313009756</v>
      </c>
      <c r="C4799" t="str">
        <f>T("리얼 머니 8화")</f>
        <v>리얼 머니 8화</v>
      </c>
      <c r="D4799" t="str">
        <f>T("8")</f>
        <v>8</v>
      </c>
      <c r="E4799" t="str">
        <f t="shared" si="647"/>
        <v>진문</v>
      </c>
      <c r="H4799" t="str">
        <f t="shared" si="643"/>
        <v>스토리위즈</v>
      </c>
      <c r="I4799" t="str">
        <f t="shared" si="648"/>
        <v>리얼 머니</v>
      </c>
      <c r="J4799">
        <v>0</v>
      </c>
      <c r="K4799">
        <v>0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2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/>
      <c r="AQ4799">
        <v>0</v>
      </c>
      <c r="AR4799">
        <v>0</v>
      </c>
      <c r="AT4799">
        <v>0</v>
      </c>
      <c r="AU4799">
        <v>0</v>
      </c>
      <c r="AW4799">
        <v>0</v>
      </c>
      <c r="AX4799">
        <v>0</v>
      </c>
      <c r="AY4799">
        <v>0</v>
      </c>
      <c r="BC4799" t="str">
        <f t="shared" si="649"/>
        <v>9791166068942</v>
      </c>
      <c r="BE4799" t="str">
        <f t="shared" si="650"/>
        <v>판타지 웹소설 &gt; 현대 판타지</v>
      </c>
    </row>
    <row r="4800" spans="1:57" x14ac:dyDescent="0.3">
      <c r="A4800">
        <v>2313009749</v>
      </c>
      <c r="B4800">
        <v>2313009757</v>
      </c>
      <c r="C4800" t="str">
        <f>T("리얼 머니 9화")</f>
        <v>리얼 머니 9화</v>
      </c>
      <c r="D4800" t="str">
        <f>T("9")</f>
        <v>9</v>
      </c>
      <c r="E4800" t="str">
        <f t="shared" si="647"/>
        <v>진문</v>
      </c>
      <c r="H4800" t="str">
        <f t="shared" si="643"/>
        <v>스토리위즈</v>
      </c>
      <c r="I4800" t="str">
        <f t="shared" si="648"/>
        <v>리얼 머니</v>
      </c>
      <c r="J4800">
        <v>0</v>
      </c>
      <c r="K4800">
        <v>0</v>
      </c>
      <c r="L4800">
        <v>0</v>
      </c>
      <c r="M4800">
        <v>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2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/>
      <c r="AQ4800">
        <v>0</v>
      </c>
      <c r="AR4800">
        <v>0</v>
      </c>
      <c r="AT4800">
        <v>0</v>
      </c>
      <c r="AU4800">
        <v>0</v>
      </c>
      <c r="AW4800">
        <v>0</v>
      </c>
      <c r="AX4800">
        <v>0</v>
      </c>
      <c r="AY4800">
        <v>0</v>
      </c>
      <c r="BC4800" t="str">
        <f t="shared" si="649"/>
        <v>9791166068942</v>
      </c>
      <c r="BE4800" t="str">
        <f t="shared" si="650"/>
        <v>판타지 웹소설 &gt; 현대 판타지</v>
      </c>
    </row>
    <row r="4801" spans="1:57" x14ac:dyDescent="0.3">
      <c r="A4801">
        <v>2313009749</v>
      </c>
      <c r="B4801">
        <v>2313009758</v>
      </c>
      <c r="C4801" t="str">
        <f>T("리얼 머니 10화")</f>
        <v>리얼 머니 10화</v>
      </c>
      <c r="D4801" t="str">
        <f>T("10")</f>
        <v>10</v>
      </c>
      <c r="E4801" t="str">
        <f t="shared" si="647"/>
        <v>진문</v>
      </c>
      <c r="H4801" t="str">
        <f t="shared" si="643"/>
        <v>스토리위즈</v>
      </c>
      <c r="I4801" t="str">
        <f t="shared" si="648"/>
        <v>리얼 머니</v>
      </c>
      <c r="J4801">
        <v>0</v>
      </c>
      <c r="K4801">
        <v>0</v>
      </c>
      <c r="L4801">
        <v>0</v>
      </c>
      <c r="M4801">
        <v>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2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/>
      <c r="AQ4801">
        <v>0</v>
      </c>
      <c r="AR4801">
        <v>0</v>
      </c>
      <c r="AT4801">
        <v>0</v>
      </c>
      <c r="AU4801">
        <v>0</v>
      </c>
      <c r="AW4801">
        <v>0</v>
      </c>
      <c r="AX4801">
        <v>0</v>
      </c>
      <c r="AY4801">
        <v>0</v>
      </c>
      <c r="BC4801" t="str">
        <f t="shared" si="649"/>
        <v>9791166068942</v>
      </c>
      <c r="BE4801" t="str">
        <f t="shared" si="650"/>
        <v>판타지 웹소설 &gt; 현대 판타지</v>
      </c>
    </row>
    <row r="4802" spans="1:57" x14ac:dyDescent="0.3">
      <c r="A4802">
        <v>2313009749</v>
      </c>
      <c r="B4802">
        <v>2313009759</v>
      </c>
      <c r="C4802" t="str">
        <f>T("리얼 머니 11화")</f>
        <v>리얼 머니 11화</v>
      </c>
      <c r="D4802" t="str">
        <f>T("11")</f>
        <v>11</v>
      </c>
      <c r="E4802" t="str">
        <f t="shared" si="647"/>
        <v>진문</v>
      </c>
      <c r="H4802" t="str">
        <f t="shared" si="643"/>
        <v>스토리위즈</v>
      </c>
      <c r="I4802" t="str">
        <f t="shared" si="648"/>
        <v>리얼 머니</v>
      </c>
      <c r="J4802">
        <v>0</v>
      </c>
      <c r="K4802">
        <v>0</v>
      </c>
      <c r="L4802">
        <v>0</v>
      </c>
      <c r="M4802">
        <v>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2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/>
      <c r="AQ4802">
        <v>0</v>
      </c>
      <c r="AR4802">
        <v>0</v>
      </c>
      <c r="AT4802">
        <v>0</v>
      </c>
      <c r="AU4802">
        <v>0</v>
      </c>
      <c r="AW4802">
        <v>0</v>
      </c>
      <c r="AX4802">
        <v>0</v>
      </c>
      <c r="AY4802">
        <v>0</v>
      </c>
      <c r="BC4802" t="str">
        <f t="shared" si="649"/>
        <v>9791166068942</v>
      </c>
      <c r="BE4802" t="str">
        <f t="shared" si="650"/>
        <v>판타지 웹소설 &gt; 현대 판타지</v>
      </c>
    </row>
    <row r="4803" spans="1:57" x14ac:dyDescent="0.3">
      <c r="A4803">
        <v>2313009749</v>
      </c>
      <c r="B4803">
        <v>2313009760</v>
      </c>
      <c r="C4803" t="str">
        <f>T("리얼 머니 12화")</f>
        <v>리얼 머니 12화</v>
      </c>
      <c r="D4803" t="str">
        <f>T("12")</f>
        <v>12</v>
      </c>
      <c r="E4803" t="str">
        <f t="shared" si="647"/>
        <v>진문</v>
      </c>
      <c r="H4803" t="str">
        <f t="shared" si="643"/>
        <v>스토리위즈</v>
      </c>
      <c r="I4803" t="str">
        <f t="shared" si="648"/>
        <v>리얼 머니</v>
      </c>
      <c r="J4803">
        <v>0</v>
      </c>
      <c r="K4803">
        <v>0</v>
      </c>
      <c r="L4803">
        <v>0</v>
      </c>
      <c r="M4803">
        <v>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2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/>
      <c r="AQ4803">
        <v>0</v>
      </c>
      <c r="AR4803">
        <v>0</v>
      </c>
      <c r="AT4803">
        <v>0</v>
      </c>
      <c r="AU4803">
        <v>0</v>
      </c>
      <c r="AW4803">
        <v>0</v>
      </c>
      <c r="AX4803">
        <v>0</v>
      </c>
      <c r="AY4803">
        <v>0</v>
      </c>
      <c r="BC4803" t="str">
        <f t="shared" si="649"/>
        <v>9791166068942</v>
      </c>
      <c r="BE4803" t="str">
        <f t="shared" si="650"/>
        <v>판타지 웹소설 &gt; 현대 판타지</v>
      </c>
    </row>
    <row r="4804" spans="1:57" x14ac:dyDescent="0.3">
      <c r="A4804">
        <v>2313009749</v>
      </c>
      <c r="B4804">
        <v>2313009761</v>
      </c>
      <c r="C4804" t="str">
        <f>T("리얼 머니 13화")</f>
        <v>리얼 머니 13화</v>
      </c>
      <c r="D4804" t="str">
        <f>T("13")</f>
        <v>13</v>
      </c>
      <c r="E4804" t="str">
        <f t="shared" si="647"/>
        <v>진문</v>
      </c>
      <c r="H4804" t="str">
        <f t="shared" si="643"/>
        <v>스토리위즈</v>
      </c>
      <c r="I4804" t="str">
        <f t="shared" si="648"/>
        <v>리얼 머니</v>
      </c>
      <c r="J4804">
        <v>0</v>
      </c>
      <c r="K4804">
        <v>0</v>
      </c>
      <c r="L4804">
        <v>0</v>
      </c>
      <c r="M4804">
        <v>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2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/>
      <c r="AQ4804">
        <v>0</v>
      </c>
      <c r="AR4804">
        <v>0</v>
      </c>
      <c r="AT4804">
        <v>0</v>
      </c>
      <c r="AU4804">
        <v>0</v>
      </c>
      <c r="AW4804">
        <v>0</v>
      </c>
      <c r="AX4804">
        <v>0</v>
      </c>
      <c r="AY4804">
        <v>0</v>
      </c>
      <c r="BC4804" t="str">
        <f t="shared" si="649"/>
        <v>9791166068942</v>
      </c>
      <c r="BE4804" t="str">
        <f t="shared" si="650"/>
        <v>판타지 웹소설 &gt; 현대 판타지</v>
      </c>
    </row>
    <row r="4805" spans="1:57" x14ac:dyDescent="0.3">
      <c r="A4805">
        <v>2313009749</v>
      </c>
      <c r="B4805">
        <v>2313009762</v>
      </c>
      <c r="C4805" t="str">
        <f>T("리얼 머니 14화")</f>
        <v>리얼 머니 14화</v>
      </c>
      <c r="D4805" t="str">
        <f>T("14")</f>
        <v>14</v>
      </c>
      <c r="E4805" t="str">
        <f t="shared" si="647"/>
        <v>진문</v>
      </c>
      <c r="H4805" t="str">
        <f t="shared" si="643"/>
        <v>스토리위즈</v>
      </c>
      <c r="I4805" t="str">
        <f t="shared" si="648"/>
        <v>리얼 머니</v>
      </c>
      <c r="J4805">
        <v>0</v>
      </c>
      <c r="K4805">
        <v>0</v>
      </c>
      <c r="L4805">
        <v>0</v>
      </c>
      <c r="M4805">
        <v>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2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/>
      <c r="AQ4805">
        <v>0</v>
      </c>
      <c r="AR4805">
        <v>0</v>
      </c>
      <c r="AT4805">
        <v>0</v>
      </c>
      <c r="AU4805">
        <v>0</v>
      </c>
      <c r="AW4805">
        <v>0</v>
      </c>
      <c r="AX4805">
        <v>0</v>
      </c>
      <c r="AY4805">
        <v>0</v>
      </c>
      <c r="BC4805" t="str">
        <f t="shared" si="649"/>
        <v>9791166068942</v>
      </c>
      <c r="BE4805" t="str">
        <f t="shared" si="650"/>
        <v>판타지 웹소설 &gt; 현대 판타지</v>
      </c>
    </row>
    <row r="4806" spans="1:57" x14ac:dyDescent="0.3">
      <c r="A4806">
        <v>2313009749</v>
      </c>
      <c r="B4806">
        <v>2313009763</v>
      </c>
      <c r="C4806" t="str">
        <f>T("리얼 머니 15화")</f>
        <v>리얼 머니 15화</v>
      </c>
      <c r="D4806" t="str">
        <f>T("15")</f>
        <v>15</v>
      </c>
      <c r="E4806" t="str">
        <f t="shared" si="647"/>
        <v>진문</v>
      </c>
      <c r="H4806" t="str">
        <f t="shared" si="643"/>
        <v>스토리위즈</v>
      </c>
      <c r="I4806" t="str">
        <f t="shared" si="648"/>
        <v>리얼 머니</v>
      </c>
      <c r="J4806">
        <v>0</v>
      </c>
      <c r="K4806">
        <v>0</v>
      </c>
      <c r="L4806">
        <v>0</v>
      </c>
      <c r="M4806">
        <v>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2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/>
      <c r="AQ4806">
        <v>0</v>
      </c>
      <c r="AR4806">
        <v>0</v>
      </c>
      <c r="AT4806">
        <v>0</v>
      </c>
      <c r="AU4806">
        <v>0</v>
      </c>
      <c r="AW4806">
        <v>0</v>
      </c>
      <c r="AX4806">
        <v>0</v>
      </c>
      <c r="AY4806">
        <v>0</v>
      </c>
      <c r="BC4806" t="str">
        <f t="shared" si="649"/>
        <v>9791166068942</v>
      </c>
      <c r="BE4806" t="str">
        <f t="shared" si="650"/>
        <v>판타지 웹소설 &gt; 현대 판타지</v>
      </c>
    </row>
    <row r="4807" spans="1:57" x14ac:dyDescent="0.3">
      <c r="A4807">
        <v>2313009749</v>
      </c>
      <c r="B4807">
        <v>2313009764</v>
      </c>
      <c r="C4807" t="str">
        <f>T("리얼 머니 16화")</f>
        <v>리얼 머니 16화</v>
      </c>
      <c r="D4807" t="str">
        <f>T("16")</f>
        <v>16</v>
      </c>
      <c r="E4807" t="str">
        <f t="shared" si="647"/>
        <v>진문</v>
      </c>
      <c r="H4807" t="str">
        <f t="shared" si="643"/>
        <v>스토리위즈</v>
      </c>
      <c r="I4807" t="str">
        <f t="shared" si="648"/>
        <v>리얼 머니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/>
      <c r="AQ4807">
        <v>0</v>
      </c>
      <c r="AR4807">
        <v>0</v>
      </c>
      <c r="AT4807">
        <v>0</v>
      </c>
      <c r="AU4807">
        <v>0</v>
      </c>
      <c r="AW4807">
        <v>0</v>
      </c>
      <c r="AX4807">
        <v>0</v>
      </c>
      <c r="AY4807">
        <v>0</v>
      </c>
      <c r="BC4807" t="str">
        <f t="shared" si="649"/>
        <v>9791166068942</v>
      </c>
      <c r="BE4807" t="str">
        <f t="shared" si="650"/>
        <v>판타지 웹소설 &gt; 현대 판타지</v>
      </c>
    </row>
    <row r="4808" spans="1:57" x14ac:dyDescent="0.3">
      <c r="A4808">
        <v>2313009749</v>
      </c>
      <c r="B4808">
        <v>2313009765</v>
      </c>
      <c r="C4808" t="str">
        <f>T("리얼 머니 17화")</f>
        <v>리얼 머니 17화</v>
      </c>
      <c r="D4808" t="str">
        <f>T("17")</f>
        <v>17</v>
      </c>
      <c r="E4808" t="str">
        <f t="shared" si="647"/>
        <v>진문</v>
      </c>
      <c r="H4808" t="str">
        <f t="shared" si="643"/>
        <v>스토리위즈</v>
      </c>
      <c r="I4808" t="str">
        <f t="shared" si="648"/>
        <v>리얼 머니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1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/>
      <c r="AQ4808">
        <v>0</v>
      </c>
      <c r="AR4808">
        <v>0</v>
      </c>
      <c r="AT4808">
        <v>0</v>
      </c>
      <c r="AU4808">
        <v>0</v>
      </c>
      <c r="AW4808">
        <v>0</v>
      </c>
      <c r="AX4808">
        <v>0</v>
      </c>
      <c r="AY4808">
        <v>0</v>
      </c>
      <c r="BC4808" t="str">
        <f t="shared" si="649"/>
        <v>9791166068942</v>
      </c>
      <c r="BE4808" t="str">
        <f t="shared" si="650"/>
        <v>판타지 웹소설 &gt; 현대 판타지</v>
      </c>
    </row>
    <row r="4809" spans="1:57" x14ac:dyDescent="0.3">
      <c r="A4809">
        <v>2313009749</v>
      </c>
      <c r="B4809">
        <v>2313009766</v>
      </c>
      <c r="C4809" t="str">
        <f>T("리얼 머니 18화")</f>
        <v>리얼 머니 18화</v>
      </c>
      <c r="D4809" t="str">
        <f>T("18")</f>
        <v>18</v>
      </c>
      <c r="E4809" t="str">
        <f t="shared" si="647"/>
        <v>진문</v>
      </c>
      <c r="H4809" t="str">
        <f t="shared" si="643"/>
        <v>스토리위즈</v>
      </c>
      <c r="I4809" t="str">
        <f t="shared" si="648"/>
        <v>리얼 머니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/>
      <c r="AQ4809">
        <v>0</v>
      </c>
      <c r="AR4809">
        <v>0</v>
      </c>
      <c r="AT4809">
        <v>0</v>
      </c>
      <c r="AU4809">
        <v>0</v>
      </c>
      <c r="AW4809">
        <v>0</v>
      </c>
      <c r="AX4809">
        <v>0</v>
      </c>
      <c r="AY4809">
        <v>0</v>
      </c>
      <c r="BC4809" t="str">
        <f t="shared" si="649"/>
        <v>9791166068942</v>
      </c>
      <c r="BE4809" t="str">
        <f t="shared" si="650"/>
        <v>판타지 웹소설 &gt; 현대 판타지</v>
      </c>
    </row>
    <row r="4810" spans="1:57" x14ac:dyDescent="0.3">
      <c r="A4810">
        <v>2313009749</v>
      </c>
      <c r="B4810">
        <v>2313009767</v>
      </c>
      <c r="C4810" t="str">
        <f>T("리얼 머니 19화")</f>
        <v>리얼 머니 19화</v>
      </c>
      <c r="D4810" t="str">
        <f>T("19")</f>
        <v>19</v>
      </c>
      <c r="E4810" t="str">
        <f t="shared" si="647"/>
        <v>진문</v>
      </c>
      <c r="H4810" t="str">
        <f t="shared" si="643"/>
        <v>스토리위즈</v>
      </c>
      <c r="I4810" t="str">
        <f t="shared" si="648"/>
        <v>리얼 머니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/>
      <c r="AQ4810">
        <v>0</v>
      </c>
      <c r="AR4810">
        <v>0</v>
      </c>
      <c r="AT4810">
        <v>0</v>
      </c>
      <c r="AU4810">
        <v>0</v>
      </c>
      <c r="AW4810">
        <v>0</v>
      </c>
      <c r="AX4810">
        <v>0</v>
      </c>
      <c r="AY4810">
        <v>0</v>
      </c>
      <c r="BC4810" t="str">
        <f t="shared" si="649"/>
        <v>9791166068942</v>
      </c>
      <c r="BE4810" t="str">
        <f t="shared" si="650"/>
        <v>판타지 웹소설 &gt; 현대 판타지</v>
      </c>
    </row>
    <row r="4811" spans="1:57" x14ac:dyDescent="0.3">
      <c r="A4811">
        <v>2313009749</v>
      </c>
      <c r="B4811">
        <v>2313009768</v>
      </c>
      <c r="C4811" t="str">
        <f>T("리얼 머니 20화")</f>
        <v>리얼 머니 20화</v>
      </c>
      <c r="D4811" t="str">
        <f>T("20")</f>
        <v>20</v>
      </c>
      <c r="E4811" t="str">
        <f t="shared" si="647"/>
        <v>진문</v>
      </c>
      <c r="H4811" t="str">
        <f t="shared" si="643"/>
        <v>스토리위즈</v>
      </c>
      <c r="I4811" t="str">
        <f t="shared" si="648"/>
        <v>리얼 머니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/>
      <c r="AQ4811">
        <v>0</v>
      </c>
      <c r="AR4811">
        <v>0</v>
      </c>
      <c r="AT4811">
        <v>0</v>
      </c>
      <c r="AU4811">
        <v>0</v>
      </c>
      <c r="AW4811">
        <v>0</v>
      </c>
      <c r="AX4811">
        <v>0</v>
      </c>
      <c r="AY4811">
        <v>0</v>
      </c>
      <c r="BC4811" t="str">
        <f t="shared" si="649"/>
        <v>9791166068942</v>
      </c>
      <c r="BE4811" t="str">
        <f t="shared" si="650"/>
        <v>판타지 웹소설 &gt; 현대 판타지</v>
      </c>
    </row>
    <row r="4812" spans="1:57" x14ac:dyDescent="0.3">
      <c r="A4812">
        <v>2313009749</v>
      </c>
      <c r="B4812">
        <v>2313009769</v>
      </c>
      <c r="C4812" t="str">
        <f>T("리얼 머니 21화")</f>
        <v>리얼 머니 21화</v>
      </c>
      <c r="D4812" t="str">
        <f>T("21")</f>
        <v>21</v>
      </c>
      <c r="E4812" t="str">
        <f t="shared" si="647"/>
        <v>진문</v>
      </c>
      <c r="H4812" t="str">
        <f t="shared" si="643"/>
        <v>스토리위즈</v>
      </c>
      <c r="I4812" t="str">
        <f t="shared" si="648"/>
        <v>리얼 머니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1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/>
      <c r="AQ4812">
        <v>0</v>
      </c>
      <c r="AR4812">
        <v>0</v>
      </c>
      <c r="AT4812">
        <v>0</v>
      </c>
      <c r="AU4812">
        <v>0</v>
      </c>
      <c r="AW4812">
        <v>0</v>
      </c>
      <c r="AX4812">
        <v>0</v>
      </c>
      <c r="AY4812">
        <v>0</v>
      </c>
      <c r="BC4812" t="str">
        <f t="shared" si="649"/>
        <v>9791166068942</v>
      </c>
      <c r="BE4812" t="str">
        <f t="shared" si="650"/>
        <v>판타지 웹소설 &gt; 현대 판타지</v>
      </c>
    </row>
    <row r="4813" spans="1:57" x14ac:dyDescent="0.3">
      <c r="A4813">
        <v>2313009749</v>
      </c>
      <c r="B4813">
        <v>2313009770</v>
      </c>
      <c r="C4813" t="str">
        <f>T("리얼 머니 22화")</f>
        <v>리얼 머니 22화</v>
      </c>
      <c r="D4813" t="str">
        <f>T("22")</f>
        <v>22</v>
      </c>
      <c r="E4813" t="str">
        <f t="shared" si="647"/>
        <v>진문</v>
      </c>
      <c r="H4813" t="str">
        <f t="shared" si="643"/>
        <v>스토리위즈</v>
      </c>
      <c r="I4813" t="str">
        <f t="shared" si="648"/>
        <v>리얼 머니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/>
      <c r="AQ4813">
        <v>0</v>
      </c>
      <c r="AR4813">
        <v>0</v>
      </c>
      <c r="AT4813">
        <v>0</v>
      </c>
      <c r="AU4813">
        <v>0</v>
      </c>
      <c r="AW4813">
        <v>0</v>
      </c>
      <c r="AX4813">
        <v>0</v>
      </c>
      <c r="AY4813">
        <v>0</v>
      </c>
      <c r="BC4813" t="str">
        <f t="shared" si="649"/>
        <v>9791166068942</v>
      </c>
      <c r="BE4813" t="str">
        <f t="shared" si="650"/>
        <v>판타지 웹소설 &gt; 현대 판타지</v>
      </c>
    </row>
    <row r="4814" spans="1:57" x14ac:dyDescent="0.3">
      <c r="A4814">
        <v>2313009749</v>
      </c>
      <c r="B4814">
        <v>2313009771</v>
      </c>
      <c r="C4814" t="str">
        <f>T("리얼 머니 23화")</f>
        <v>리얼 머니 23화</v>
      </c>
      <c r="D4814" t="str">
        <f>T("23")</f>
        <v>23</v>
      </c>
      <c r="E4814" t="str">
        <f t="shared" si="647"/>
        <v>진문</v>
      </c>
      <c r="H4814" t="str">
        <f t="shared" ref="H4814:H4820" si="651">T("스토리위즈")</f>
        <v>스토리위즈</v>
      </c>
      <c r="I4814" t="str">
        <f t="shared" si="648"/>
        <v>리얼 머니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/>
      <c r="AQ4814">
        <v>0</v>
      </c>
      <c r="AR4814">
        <v>0</v>
      </c>
      <c r="AT4814">
        <v>0</v>
      </c>
      <c r="AU4814">
        <v>0</v>
      </c>
      <c r="AW4814">
        <v>0</v>
      </c>
      <c r="AX4814">
        <v>0</v>
      </c>
      <c r="AY4814">
        <v>0</v>
      </c>
      <c r="BC4814" t="str">
        <f t="shared" si="649"/>
        <v>9791166068942</v>
      </c>
      <c r="BE4814" t="str">
        <f t="shared" si="650"/>
        <v>판타지 웹소설 &gt; 현대 판타지</v>
      </c>
    </row>
    <row r="4815" spans="1:57" x14ac:dyDescent="0.3">
      <c r="A4815">
        <v>2313009749</v>
      </c>
      <c r="B4815">
        <v>2313009772</v>
      </c>
      <c r="C4815" t="str">
        <f>T("리얼 머니 24화")</f>
        <v>리얼 머니 24화</v>
      </c>
      <c r="D4815" t="str">
        <f>T("24")</f>
        <v>24</v>
      </c>
      <c r="E4815" t="str">
        <f t="shared" si="647"/>
        <v>진문</v>
      </c>
      <c r="H4815" t="str">
        <f t="shared" si="651"/>
        <v>스토리위즈</v>
      </c>
      <c r="I4815" t="str">
        <f t="shared" si="648"/>
        <v>리얼 머니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1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/>
      <c r="AQ4815">
        <v>0</v>
      </c>
      <c r="AR4815">
        <v>0</v>
      </c>
      <c r="AT4815">
        <v>0</v>
      </c>
      <c r="AU4815">
        <v>0</v>
      </c>
      <c r="AW4815">
        <v>0</v>
      </c>
      <c r="AX4815">
        <v>0</v>
      </c>
      <c r="AY4815">
        <v>0</v>
      </c>
      <c r="BC4815" t="str">
        <f t="shared" si="649"/>
        <v>9791166068942</v>
      </c>
      <c r="BE4815" t="str">
        <f t="shared" si="650"/>
        <v>판타지 웹소설 &gt; 현대 판타지</v>
      </c>
    </row>
    <row r="4816" spans="1:57" x14ac:dyDescent="0.3">
      <c r="A4816">
        <v>2313009749</v>
      </c>
      <c r="B4816">
        <v>2313009773</v>
      </c>
      <c r="C4816" t="str">
        <f>T("리얼 머니 25화")</f>
        <v>리얼 머니 25화</v>
      </c>
      <c r="D4816" t="str">
        <f>T("25")</f>
        <v>25</v>
      </c>
      <c r="E4816" t="str">
        <f t="shared" si="647"/>
        <v>진문</v>
      </c>
      <c r="H4816" t="str">
        <f t="shared" si="651"/>
        <v>스토리위즈</v>
      </c>
      <c r="I4816" t="str">
        <f t="shared" si="648"/>
        <v>리얼 머니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/>
      <c r="AQ4816">
        <v>0</v>
      </c>
      <c r="AR4816">
        <v>0</v>
      </c>
      <c r="AT4816">
        <v>0</v>
      </c>
      <c r="AU4816">
        <v>0</v>
      </c>
      <c r="AW4816">
        <v>0</v>
      </c>
      <c r="AX4816">
        <v>0</v>
      </c>
      <c r="AY4816">
        <v>0</v>
      </c>
      <c r="BC4816" t="str">
        <f t="shared" si="649"/>
        <v>9791166068942</v>
      </c>
      <c r="BE4816" t="str">
        <f t="shared" si="650"/>
        <v>판타지 웹소설 &gt; 현대 판타지</v>
      </c>
    </row>
    <row r="4817" spans="1:57" x14ac:dyDescent="0.3">
      <c r="A4817">
        <v>2313009971</v>
      </c>
      <c r="B4817">
        <v>2313009971</v>
      </c>
      <c r="C4817" t="str">
        <f>T("[e북]1부 은천검제 1권")</f>
        <v>[e북]1부 은천검제 1권</v>
      </c>
      <c r="D4817" t="str">
        <f>T("1")</f>
        <v>1</v>
      </c>
      <c r="E4817" t="str">
        <f>T("무장")</f>
        <v>무장</v>
      </c>
      <c r="H4817" t="str">
        <f t="shared" si="651"/>
        <v>스토리위즈</v>
      </c>
      <c r="I4817" t="str">
        <f>T("[e북]은천검제(2부 화산검제)")</f>
        <v>[e북]은천검제(2부 화산검제)</v>
      </c>
      <c r="J4817">
        <v>0</v>
      </c>
      <c r="K4817">
        <v>0</v>
      </c>
      <c r="L4817">
        <v>0</v>
      </c>
      <c r="M4817">
        <v>6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6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/>
      <c r="AQ4817">
        <v>0</v>
      </c>
      <c r="AR4817">
        <v>0</v>
      </c>
      <c r="AT4817">
        <v>0</v>
      </c>
      <c r="AU4817">
        <v>0</v>
      </c>
      <c r="AW4817">
        <v>0</v>
      </c>
      <c r="AX4817">
        <v>0</v>
      </c>
      <c r="AY4817">
        <v>0</v>
      </c>
      <c r="BC4817" t="str">
        <f>T("9791166060175")</f>
        <v>9791166060175</v>
      </c>
      <c r="BE4817" t="str">
        <f>T("판타지 e북 &gt; 신무협")</f>
        <v>판타지 e북 &gt; 신무협</v>
      </c>
    </row>
    <row r="4818" spans="1:57" x14ac:dyDescent="0.3">
      <c r="A4818">
        <v>2313009986</v>
      </c>
      <c r="B4818">
        <v>2313009986</v>
      </c>
      <c r="C4818" t="str">
        <f>T("[e북]리얼 머니 1권")</f>
        <v>[e북]리얼 머니 1권</v>
      </c>
      <c r="D4818" t="str">
        <f>T("1")</f>
        <v>1</v>
      </c>
      <c r="E4818" t="str">
        <f>T("진문")</f>
        <v>진문</v>
      </c>
      <c r="H4818" t="str">
        <f t="shared" si="651"/>
        <v>스토리위즈</v>
      </c>
      <c r="I4818" t="str">
        <f>T("[e북]리얼 머니")</f>
        <v>[e북]리얼 머니</v>
      </c>
      <c r="J4818">
        <v>0</v>
      </c>
      <c r="K4818">
        <v>0</v>
      </c>
      <c r="L4818">
        <v>0</v>
      </c>
      <c r="M4818">
        <v>3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3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/>
      <c r="AQ4818">
        <v>0</v>
      </c>
      <c r="AR4818">
        <v>0</v>
      </c>
      <c r="AT4818">
        <v>0</v>
      </c>
      <c r="AU4818">
        <v>0</v>
      </c>
      <c r="AW4818">
        <v>0</v>
      </c>
      <c r="AX4818">
        <v>0</v>
      </c>
      <c r="AY4818">
        <v>0</v>
      </c>
      <c r="BC4818" t="str">
        <f>T("9791166068058")</f>
        <v>9791166068058</v>
      </c>
      <c r="BE4818" t="str">
        <f>T("판타지 e북 &gt; 현대 판타지")</f>
        <v>판타지 e북 &gt; 현대 판타지</v>
      </c>
    </row>
    <row r="4819" spans="1:57" x14ac:dyDescent="0.3">
      <c r="A4819">
        <v>2313009995</v>
      </c>
      <c r="B4819">
        <v>2313009995</v>
      </c>
      <c r="C4819" t="str">
        <f>T("[e북]이과생 둘이 회귀했다 1권")</f>
        <v>[e북]이과생 둘이 회귀했다 1권</v>
      </c>
      <c r="D4819" t="str">
        <f>T("1")</f>
        <v>1</v>
      </c>
      <c r="E4819" t="str">
        <f>T("하이후")</f>
        <v>하이후</v>
      </c>
      <c r="H4819" t="str">
        <f t="shared" si="651"/>
        <v>스토리위즈</v>
      </c>
      <c r="I4819" t="str">
        <f>T("[e북]이과생 둘이 회귀했다")</f>
        <v>[e북]이과생 둘이 회귀했다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1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/>
      <c r="AQ4819">
        <v>0</v>
      </c>
      <c r="AR4819">
        <v>0</v>
      </c>
      <c r="AT4819">
        <v>0</v>
      </c>
      <c r="AU4819">
        <v>0</v>
      </c>
      <c r="AW4819">
        <v>0</v>
      </c>
      <c r="AX4819">
        <v>0</v>
      </c>
      <c r="AY4819">
        <v>0</v>
      </c>
      <c r="BC4819" t="str">
        <f>T("9791166065125")</f>
        <v>9791166065125</v>
      </c>
      <c r="BE4819" t="str">
        <f>T("판타지 e북 &gt; 현대 판타지")</f>
        <v>판타지 e북 &gt; 현대 판타지</v>
      </c>
    </row>
    <row r="4820" spans="1:57" x14ac:dyDescent="0.3">
      <c r="A4820">
        <v>2313010010</v>
      </c>
      <c r="B4820">
        <v>2313010010</v>
      </c>
      <c r="C4820" t="str">
        <f>T("[e북]게임 속 유닛 1권")</f>
        <v>[e북]게임 속 유닛 1권</v>
      </c>
      <c r="D4820" t="str">
        <f>T("1")</f>
        <v>1</v>
      </c>
      <c r="E4820" t="str">
        <f>T("찬동")</f>
        <v>찬동</v>
      </c>
      <c r="H4820" t="str">
        <f t="shared" si="651"/>
        <v>스토리위즈</v>
      </c>
      <c r="I4820" t="str">
        <f>T("[e북]게임 속 유닛")</f>
        <v>[e북]게임 속 유닛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/>
      <c r="AQ4820">
        <v>0</v>
      </c>
      <c r="AR4820">
        <v>0</v>
      </c>
      <c r="AT4820">
        <v>0</v>
      </c>
      <c r="AU4820">
        <v>0</v>
      </c>
      <c r="AW4820">
        <v>0</v>
      </c>
      <c r="AX4820">
        <v>0</v>
      </c>
      <c r="AY4820">
        <v>0</v>
      </c>
      <c r="BC4820" t="str">
        <f>T("9791166065279")</f>
        <v>9791166065279</v>
      </c>
      <c r="BE4820" t="str">
        <f>T("판타지 e북 &gt; 퓨전 판타지")</f>
        <v>판타지 e북 &gt; 퓨전 판타지</v>
      </c>
    </row>
    <row r="4821" spans="1:57" x14ac:dyDescent="0.3">
      <c r="A4821">
        <v>2313010290</v>
      </c>
      <c r="B4821">
        <v>2313010290</v>
      </c>
      <c r="C4821" t="str">
        <f>T("아저씨, 내 기분 왜 이래요? 1화")</f>
        <v>아저씨, 내 기분 왜 이래요? 1화</v>
      </c>
      <c r="D4821" t="str">
        <f>T("1")</f>
        <v>1</v>
      </c>
      <c r="E4821" t="str">
        <f>T("Livingston")</f>
        <v>Livingston</v>
      </c>
      <c r="H4821" t="str">
        <f>T("블레슈(Blesshuu)")</f>
        <v>블레슈(Blesshuu)</v>
      </c>
      <c r="I4821" t="str">
        <f>T("아저씨, 내 기분 왜 이래요?")</f>
        <v>아저씨, 내 기분 왜 이래요?</v>
      </c>
      <c r="J4821">
        <v>0</v>
      </c>
      <c r="K4821">
        <v>0</v>
      </c>
      <c r="L4821">
        <v>0</v>
      </c>
      <c r="M4821">
        <v>5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5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/>
      <c r="AQ4821">
        <v>0</v>
      </c>
      <c r="AR4821">
        <v>0</v>
      </c>
      <c r="AT4821">
        <v>0</v>
      </c>
      <c r="AU4821">
        <v>0</v>
      </c>
      <c r="AW4821">
        <v>0</v>
      </c>
      <c r="AX4821">
        <v>0</v>
      </c>
      <c r="AY4821">
        <v>0</v>
      </c>
      <c r="BC4821" t="str">
        <f>T("9791166069482")</f>
        <v>9791166069482</v>
      </c>
      <c r="BE4821" t="str">
        <f>T("로맨스 웹소설 &gt; 현대물")</f>
        <v>로맨스 웹소설 &gt; 현대물</v>
      </c>
    </row>
    <row r="4822" spans="1:57" x14ac:dyDescent="0.3">
      <c r="A4822">
        <v>2313010290</v>
      </c>
      <c r="B4822">
        <v>2313010291</v>
      </c>
      <c r="C4822" t="str">
        <f>T("아저씨, 내 기분 왜 이래요? 2화")</f>
        <v>아저씨, 내 기분 왜 이래요? 2화</v>
      </c>
      <c r="D4822" t="str">
        <f>T("2")</f>
        <v>2</v>
      </c>
      <c r="E4822" t="str">
        <f>T("Livingston")</f>
        <v>Livingston</v>
      </c>
      <c r="H4822" t="str">
        <f>T("블레슈(Blesshuu)")</f>
        <v>블레슈(Blesshuu)</v>
      </c>
      <c r="I4822" t="str">
        <f>T("아저씨, 내 기분 왜 이래요?")</f>
        <v>아저씨, 내 기분 왜 이래요?</v>
      </c>
      <c r="J4822">
        <v>0</v>
      </c>
      <c r="K4822">
        <v>0</v>
      </c>
      <c r="L4822">
        <v>0</v>
      </c>
      <c r="M4822">
        <v>5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5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/>
      <c r="AQ4822">
        <v>0</v>
      </c>
      <c r="AR4822">
        <v>0</v>
      </c>
      <c r="AT4822">
        <v>0</v>
      </c>
      <c r="AU4822">
        <v>0</v>
      </c>
      <c r="AW4822">
        <v>0</v>
      </c>
      <c r="AX4822">
        <v>0</v>
      </c>
      <c r="AY4822">
        <v>0</v>
      </c>
      <c r="BC4822" t="str">
        <f>T("9791166069482")</f>
        <v>9791166069482</v>
      </c>
      <c r="BE4822" t="str">
        <f>T("로맨스 웹소설 &gt; 현대물")</f>
        <v>로맨스 웹소설 &gt; 현대물</v>
      </c>
    </row>
    <row r="4823" spans="1:57" x14ac:dyDescent="0.3">
      <c r="A4823">
        <v>2313010290</v>
      </c>
      <c r="B4823">
        <v>2313010292</v>
      </c>
      <c r="C4823" t="str">
        <f>T("아저씨, 내 기분 왜 이래요? 3화")</f>
        <v>아저씨, 내 기분 왜 이래요? 3화</v>
      </c>
      <c r="D4823" t="str">
        <f>T("3")</f>
        <v>3</v>
      </c>
      <c r="E4823" t="str">
        <f>T("Livingston")</f>
        <v>Livingston</v>
      </c>
      <c r="H4823" t="str">
        <f>T("블레슈(Blesshuu)")</f>
        <v>블레슈(Blesshuu)</v>
      </c>
      <c r="I4823" t="str">
        <f>T("아저씨, 내 기분 왜 이래요?")</f>
        <v>아저씨, 내 기분 왜 이래요?</v>
      </c>
      <c r="J4823">
        <v>0</v>
      </c>
      <c r="K4823">
        <v>0</v>
      </c>
      <c r="L4823">
        <v>0</v>
      </c>
      <c r="M4823">
        <v>6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6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/>
      <c r="AQ4823">
        <v>0</v>
      </c>
      <c r="AR4823">
        <v>0</v>
      </c>
      <c r="AT4823">
        <v>0</v>
      </c>
      <c r="AU4823">
        <v>0</v>
      </c>
      <c r="AW4823">
        <v>0</v>
      </c>
      <c r="AX4823">
        <v>0</v>
      </c>
      <c r="AY4823">
        <v>0</v>
      </c>
      <c r="BC4823" t="str">
        <f>T("9791166069482")</f>
        <v>9791166069482</v>
      </c>
      <c r="BE4823" t="str">
        <f>T("로맨스 웹소설 &gt; 현대물")</f>
        <v>로맨스 웹소설 &gt; 현대물</v>
      </c>
    </row>
    <row r="4824" spans="1:57" x14ac:dyDescent="0.3">
      <c r="A4824">
        <v>2313010364</v>
      </c>
      <c r="B4824">
        <v>2313010364</v>
      </c>
      <c r="C4824" t="str">
        <f>T("절대자의 귀환 1화")</f>
        <v>절대자의 귀환 1화</v>
      </c>
      <c r="D4824" t="str">
        <f>T("1")</f>
        <v>1</v>
      </c>
      <c r="E4824" t="str">
        <f t="shared" ref="E4824:E4849" si="652">T("장유진")</f>
        <v>장유진</v>
      </c>
      <c r="H4824" t="str">
        <f t="shared" ref="H4824:H4887" si="653">T("스토리위즈")</f>
        <v>스토리위즈</v>
      </c>
      <c r="I4824" t="str">
        <f t="shared" ref="I4824:I4848" si="654">T("절대자의 귀환")</f>
        <v>절대자의 귀환</v>
      </c>
      <c r="J4824">
        <v>0</v>
      </c>
      <c r="K4824">
        <v>0</v>
      </c>
      <c r="L4824">
        <v>0</v>
      </c>
      <c r="M4824">
        <v>3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3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/>
      <c r="AQ4824">
        <v>0</v>
      </c>
      <c r="AR4824">
        <v>0</v>
      </c>
      <c r="AT4824">
        <v>0</v>
      </c>
      <c r="AU4824">
        <v>0</v>
      </c>
      <c r="AW4824">
        <v>0</v>
      </c>
      <c r="AX4824">
        <v>0</v>
      </c>
      <c r="AY4824">
        <v>0</v>
      </c>
      <c r="BC4824" t="str">
        <f t="shared" ref="BC4824:BC4848" si="655">T("9791166069154")</f>
        <v>9791166069154</v>
      </c>
      <c r="BE4824" t="str">
        <f t="shared" ref="BE4824:BE4848" si="656">T("판타지 웹소설 &gt; 퓨전 판타지")</f>
        <v>판타지 웹소설 &gt; 퓨전 판타지</v>
      </c>
    </row>
    <row r="4825" spans="1:57" x14ac:dyDescent="0.3">
      <c r="A4825">
        <v>2313010364</v>
      </c>
      <c r="B4825">
        <v>2313010365</v>
      </c>
      <c r="C4825" t="str">
        <f>T("절대자의 귀환 2화")</f>
        <v>절대자의 귀환 2화</v>
      </c>
      <c r="D4825" t="str">
        <f>T("2")</f>
        <v>2</v>
      </c>
      <c r="E4825" t="str">
        <f t="shared" si="652"/>
        <v>장유진</v>
      </c>
      <c r="H4825" t="str">
        <f t="shared" si="653"/>
        <v>스토리위즈</v>
      </c>
      <c r="I4825" t="str">
        <f t="shared" si="654"/>
        <v>절대자의 귀환</v>
      </c>
      <c r="J4825">
        <v>0</v>
      </c>
      <c r="K4825">
        <v>0</v>
      </c>
      <c r="L4825">
        <v>0</v>
      </c>
      <c r="M4825">
        <v>4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4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/>
      <c r="AQ4825">
        <v>0</v>
      </c>
      <c r="AR4825">
        <v>0</v>
      </c>
      <c r="AT4825">
        <v>0</v>
      </c>
      <c r="AU4825">
        <v>0</v>
      </c>
      <c r="AW4825">
        <v>0</v>
      </c>
      <c r="AX4825">
        <v>0</v>
      </c>
      <c r="AY4825">
        <v>0</v>
      </c>
      <c r="BC4825" t="str">
        <f t="shared" si="655"/>
        <v>9791166069154</v>
      </c>
      <c r="BE4825" t="str">
        <f t="shared" si="656"/>
        <v>판타지 웹소설 &gt; 퓨전 판타지</v>
      </c>
    </row>
    <row r="4826" spans="1:57" x14ac:dyDescent="0.3">
      <c r="A4826">
        <v>2313010364</v>
      </c>
      <c r="B4826">
        <v>2313010366</v>
      </c>
      <c r="C4826" t="str">
        <f>T("절대자의 귀환 3화")</f>
        <v>절대자의 귀환 3화</v>
      </c>
      <c r="D4826" t="str">
        <f>T("3")</f>
        <v>3</v>
      </c>
      <c r="E4826" t="str">
        <f t="shared" si="652"/>
        <v>장유진</v>
      </c>
      <c r="H4826" t="str">
        <f t="shared" si="653"/>
        <v>스토리위즈</v>
      </c>
      <c r="I4826" t="str">
        <f t="shared" si="654"/>
        <v>절대자의 귀환</v>
      </c>
      <c r="J4826">
        <v>0</v>
      </c>
      <c r="K4826">
        <v>0</v>
      </c>
      <c r="L4826">
        <v>0</v>
      </c>
      <c r="M4826">
        <v>4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4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/>
      <c r="AQ4826">
        <v>0</v>
      </c>
      <c r="AR4826">
        <v>0</v>
      </c>
      <c r="AT4826">
        <v>0</v>
      </c>
      <c r="AU4826">
        <v>0</v>
      </c>
      <c r="AW4826">
        <v>0</v>
      </c>
      <c r="AX4826">
        <v>0</v>
      </c>
      <c r="AY4826">
        <v>0</v>
      </c>
      <c r="BC4826" t="str">
        <f t="shared" si="655"/>
        <v>9791166069154</v>
      </c>
      <c r="BE4826" t="str">
        <f t="shared" si="656"/>
        <v>판타지 웹소설 &gt; 퓨전 판타지</v>
      </c>
    </row>
    <row r="4827" spans="1:57" x14ac:dyDescent="0.3">
      <c r="A4827">
        <v>2313010364</v>
      </c>
      <c r="B4827">
        <v>2313010367</v>
      </c>
      <c r="C4827" t="str">
        <f>T("절대자의 귀환 4화")</f>
        <v>절대자의 귀환 4화</v>
      </c>
      <c r="D4827" t="str">
        <f>T("4")</f>
        <v>4</v>
      </c>
      <c r="E4827" t="str">
        <f t="shared" si="652"/>
        <v>장유진</v>
      </c>
      <c r="H4827" t="str">
        <f t="shared" si="653"/>
        <v>스토리위즈</v>
      </c>
      <c r="I4827" t="str">
        <f t="shared" si="654"/>
        <v>절대자의 귀환</v>
      </c>
      <c r="J4827">
        <v>0</v>
      </c>
      <c r="K4827">
        <v>0</v>
      </c>
      <c r="L4827">
        <v>0</v>
      </c>
      <c r="M4827">
        <v>4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4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/>
      <c r="AQ4827">
        <v>0</v>
      </c>
      <c r="AR4827">
        <v>0</v>
      </c>
      <c r="AT4827">
        <v>0</v>
      </c>
      <c r="AU4827">
        <v>0</v>
      </c>
      <c r="AW4827">
        <v>0</v>
      </c>
      <c r="AX4827">
        <v>0</v>
      </c>
      <c r="AY4827">
        <v>0</v>
      </c>
      <c r="BC4827" t="str">
        <f t="shared" si="655"/>
        <v>9791166069154</v>
      </c>
      <c r="BE4827" t="str">
        <f t="shared" si="656"/>
        <v>판타지 웹소설 &gt; 퓨전 판타지</v>
      </c>
    </row>
    <row r="4828" spans="1:57" x14ac:dyDescent="0.3">
      <c r="A4828">
        <v>2313010364</v>
      </c>
      <c r="B4828">
        <v>2313010368</v>
      </c>
      <c r="C4828" t="str">
        <f>T("절대자의 귀환 5화")</f>
        <v>절대자의 귀환 5화</v>
      </c>
      <c r="D4828" t="str">
        <f>T("5")</f>
        <v>5</v>
      </c>
      <c r="E4828" t="str">
        <f t="shared" si="652"/>
        <v>장유진</v>
      </c>
      <c r="H4828" t="str">
        <f t="shared" si="653"/>
        <v>스토리위즈</v>
      </c>
      <c r="I4828" t="str">
        <f t="shared" si="654"/>
        <v>절대자의 귀환</v>
      </c>
      <c r="J4828">
        <v>0</v>
      </c>
      <c r="K4828">
        <v>0</v>
      </c>
      <c r="L4828">
        <v>0</v>
      </c>
      <c r="M4828">
        <v>3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3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/>
      <c r="AQ4828">
        <v>0</v>
      </c>
      <c r="AR4828">
        <v>0</v>
      </c>
      <c r="AT4828">
        <v>0</v>
      </c>
      <c r="AU4828">
        <v>0</v>
      </c>
      <c r="AW4828">
        <v>0</v>
      </c>
      <c r="AX4828">
        <v>0</v>
      </c>
      <c r="AY4828">
        <v>0</v>
      </c>
      <c r="BC4828" t="str">
        <f t="shared" si="655"/>
        <v>9791166069154</v>
      </c>
      <c r="BE4828" t="str">
        <f t="shared" si="656"/>
        <v>판타지 웹소설 &gt; 퓨전 판타지</v>
      </c>
    </row>
    <row r="4829" spans="1:57" x14ac:dyDescent="0.3">
      <c r="A4829">
        <v>2313010364</v>
      </c>
      <c r="B4829">
        <v>2313010369</v>
      </c>
      <c r="C4829" t="str">
        <f>T("절대자의 귀환 6화")</f>
        <v>절대자의 귀환 6화</v>
      </c>
      <c r="D4829" t="str">
        <f>T("6")</f>
        <v>6</v>
      </c>
      <c r="E4829" t="str">
        <f t="shared" si="652"/>
        <v>장유진</v>
      </c>
      <c r="H4829" t="str">
        <f t="shared" si="653"/>
        <v>스토리위즈</v>
      </c>
      <c r="I4829" t="str">
        <f t="shared" si="654"/>
        <v>절대자의 귀환</v>
      </c>
      <c r="J4829">
        <v>0</v>
      </c>
      <c r="K4829">
        <v>0</v>
      </c>
      <c r="L4829">
        <v>0</v>
      </c>
      <c r="M4829">
        <v>3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3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/>
      <c r="AQ4829">
        <v>0</v>
      </c>
      <c r="AR4829">
        <v>0</v>
      </c>
      <c r="AT4829">
        <v>0</v>
      </c>
      <c r="AU4829">
        <v>0</v>
      </c>
      <c r="AW4829">
        <v>0</v>
      </c>
      <c r="AX4829">
        <v>0</v>
      </c>
      <c r="AY4829">
        <v>0</v>
      </c>
      <c r="BC4829" t="str">
        <f t="shared" si="655"/>
        <v>9791166069154</v>
      </c>
      <c r="BE4829" t="str">
        <f t="shared" si="656"/>
        <v>판타지 웹소설 &gt; 퓨전 판타지</v>
      </c>
    </row>
    <row r="4830" spans="1:57" x14ac:dyDescent="0.3">
      <c r="A4830">
        <v>2313010364</v>
      </c>
      <c r="B4830">
        <v>2313010370</v>
      </c>
      <c r="C4830" t="str">
        <f>T("절대자의 귀환 7화")</f>
        <v>절대자의 귀환 7화</v>
      </c>
      <c r="D4830" t="str">
        <f>T("7")</f>
        <v>7</v>
      </c>
      <c r="E4830" t="str">
        <f t="shared" si="652"/>
        <v>장유진</v>
      </c>
      <c r="H4830" t="str">
        <f t="shared" si="653"/>
        <v>스토리위즈</v>
      </c>
      <c r="I4830" t="str">
        <f t="shared" si="654"/>
        <v>절대자의 귀환</v>
      </c>
      <c r="J4830">
        <v>0</v>
      </c>
      <c r="K4830">
        <v>0</v>
      </c>
      <c r="L4830">
        <v>0</v>
      </c>
      <c r="M4830">
        <v>3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3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/>
      <c r="AQ4830">
        <v>0</v>
      </c>
      <c r="AR4830">
        <v>0</v>
      </c>
      <c r="AT4830">
        <v>0</v>
      </c>
      <c r="AU4830">
        <v>0</v>
      </c>
      <c r="AW4830">
        <v>0</v>
      </c>
      <c r="AX4830">
        <v>0</v>
      </c>
      <c r="AY4830">
        <v>0</v>
      </c>
      <c r="BC4830" t="str">
        <f t="shared" si="655"/>
        <v>9791166069154</v>
      </c>
      <c r="BE4830" t="str">
        <f t="shared" si="656"/>
        <v>판타지 웹소설 &gt; 퓨전 판타지</v>
      </c>
    </row>
    <row r="4831" spans="1:57" x14ac:dyDescent="0.3">
      <c r="A4831">
        <v>2313010364</v>
      </c>
      <c r="B4831">
        <v>2313010371</v>
      </c>
      <c r="C4831" t="str">
        <f>T("절대자의 귀환 8화")</f>
        <v>절대자의 귀환 8화</v>
      </c>
      <c r="D4831" t="str">
        <f>T("8")</f>
        <v>8</v>
      </c>
      <c r="E4831" t="str">
        <f t="shared" si="652"/>
        <v>장유진</v>
      </c>
      <c r="H4831" t="str">
        <f t="shared" si="653"/>
        <v>스토리위즈</v>
      </c>
      <c r="I4831" t="str">
        <f t="shared" si="654"/>
        <v>절대자의 귀환</v>
      </c>
      <c r="J4831">
        <v>0</v>
      </c>
      <c r="K4831">
        <v>0</v>
      </c>
      <c r="L4831">
        <v>0</v>
      </c>
      <c r="M4831">
        <v>3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3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/>
      <c r="AQ4831">
        <v>0</v>
      </c>
      <c r="AR4831">
        <v>0</v>
      </c>
      <c r="AT4831">
        <v>0</v>
      </c>
      <c r="AU4831">
        <v>0</v>
      </c>
      <c r="AW4831">
        <v>0</v>
      </c>
      <c r="AX4831">
        <v>0</v>
      </c>
      <c r="AY4831">
        <v>0</v>
      </c>
      <c r="BC4831" t="str">
        <f t="shared" si="655"/>
        <v>9791166069154</v>
      </c>
      <c r="BE4831" t="str">
        <f t="shared" si="656"/>
        <v>판타지 웹소설 &gt; 퓨전 판타지</v>
      </c>
    </row>
    <row r="4832" spans="1:57" x14ac:dyDescent="0.3">
      <c r="A4832">
        <v>2313010364</v>
      </c>
      <c r="B4832">
        <v>2313010372</v>
      </c>
      <c r="C4832" t="str">
        <f>T("절대자의 귀환 9화")</f>
        <v>절대자의 귀환 9화</v>
      </c>
      <c r="D4832" t="str">
        <f>T("9")</f>
        <v>9</v>
      </c>
      <c r="E4832" t="str">
        <f t="shared" si="652"/>
        <v>장유진</v>
      </c>
      <c r="H4832" t="str">
        <f t="shared" si="653"/>
        <v>스토리위즈</v>
      </c>
      <c r="I4832" t="str">
        <f t="shared" si="654"/>
        <v>절대자의 귀환</v>
      </c>
      <c r="J4832">
        <v>0</v>
      </c>
      <c r="K4832">
        <v>0</v>
      </c>
      <c r="L4832">
        <v>0</v>
      </c>
      <c r="M4832">
        <v>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3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/>
      <c r="AQ4832">
        <v>0</v>
      </c>
      <c r="AR4832">
        <v>0</v>
      </c>
      <c r="AT4832">
        <v>0</v>
      </c>
      <c r="AU4832">
        <v>0</v>
      </c>
      <c r="AW4832">
        <v>0</v>
      </c>
      <c r="AX4832">
        <v>0</v>
      </c>
      <c r="AY4832">
        <v>0</v>
      </c>
      <c r="BC4832" t="str">
        <f t="shared" si="655"/>
        <v>9791166069154</v>
      </c>
      <c r="BE4832" t="str">
        <f t="shared" si="656"/>
        <v>판타지 웹소설 &gt; 퓨전 판타지</v>
      </c>
    </row>
    <row r="4833" spans="1:57" x14ac:dyDescent="0.3">
      <c r="A4833">
        <v>2313010364</v>
      </c>
      <c r="B4833">
        <v>2313010373</v>
      </c>
      <c r="C4833" t="str">
        <f>T("절대자의 귀환 10화")</f>
        <v>절대자의 귀환 10화</v>
      </c>
      <c r="D4833" t="str">
        <f>T("10")</f>
        <v>10</v>
      </c>
      <c r="E4833" t="str">
        <f t="shared" si="652"/>
        <v>장유진</v>
      </c>
      <c r="H4833" t="str">
        <f t="shared" si="653"/>
        <v>스토리위즈</v>
      </c>
      <c r="I4833" t="str">
        <f t="shared" si="654"/>
        <v>절대자의 귀환</v>
      </c>
      <c r="J4833">
        <v>0</v>
      </c>
      <c r="K4833">
        <v>0</v>
      </c>
      <c r="L4833">
        <v>0</v>
      </c>
      <c r="M4833">
        <v>3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3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/>
      <c r="AQ4833">
        <v>0</v>
      </c>
      <c r="AR4833">
        <v>0</v>
      </c>
      <c r="AT4833">
        <v>0</v>
      </c>
      <c r="AU4833">
        <v>0</v>
      </c>
      <c r="AW4833">
        <v>0</v>
      </c>
      <c r="AX4833">
        <v>0</v>
      </c>
      <c r="AY4833">
        <v>0</v>
      </c>
      <c r="BC4833" t="str">
        <f t="shared" si="655"/>
        <v>9791166069154</v>
      </c>
      <c r="BE4833" t="str">
        <f t="shared" si="656"/>
        <v>판타지 웹소설 &gt; 퓨전 판타지</v>
      </c>
    </row>
    <row r="4834" spans="1:57" x14ac:dyDescent="0.3">
      <c r="A4834">
        <v>2313010364</v>
      </c>
      <c r="B4834">
        <v>2313010374</v>
      </c>
      <c r="C4834" t="str">
        <f>T("절대자의 귀환 11화")</f>
        <v>절대자의 귀환 11화</v>
      </c>
      <c r="D4834" t="str">
        <f>T("11")</f>
        <v>11</v>
      </c>
      <c r="E4834" t="str">
        <f t="shared" si="652"/>
        <v>장유진</v>
      </c>
      <c r="H4834" t="str">
        <f t="shared" si="653"/>
        <v>스토리위즈</v>
      </c>
      <c r="I4834" t="str">
        <f t="shared" si="654"/>
        <v>절대자의 귀환</v>
      </c>
      <c r="J4834">
        <v>0</v>
      </c>
      <c r="K4834">
        <v>0</v>
      </c>
      <c r="L4834">
        <v>0</v>
      </c>
      <c r="M4834">
        <v>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2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/>
      <c r="AQ4834">
        <v>0</v>
      </c>
      <c r="AR4834">
        <v>0</v>
      </c>
      <c r="AT4834">
        <v>0</v>
      </c>
      <c r="AU4834">
        <v>0</v>
      </c>
      <c r="AW4834">
        <v>0</v>
      </c>
      <c r="AX4834">
        <v>0</v>
      </c>
      <c r="AY4834">
        <v>0</v>
      </c>
      <c r="BC4834" t="str">
        <f t="shared" si="655"/>
        <v>9791166069154</v>
      </c>
      <c r="BE4834" t="str">
        <f t="shared" si="656"/>
        <v>판타지 웹소설 &gt; 퓨전 판타지</v>
      </c>
    </row>
    <row r="4835" spans="1:57" x14ac:dyDescent="0.3">
      <c r="A4835">
        <v>2313010364</v>
      </c>
      <c r="B4835">
        <v>2313010375</v>
      </c>
      <c r="C4835" t="str">
        <f>T("절대자의 귀환 12화")</f>
        <v>절대자의 귀환 12화</v>
      </c>
      <c r="D4835" t="str">
        <f>T("12")</f>
        <v>12</v>
      </c>
      <c r="E4835" t="str">
        <f t="shared" si="652"/>
        <v>장유진</v>
      </c>
      <c r="H4835" t="str">
        <f t="shared" si="653"/>
        <v>스토리위즈</v>
      </c>
      <c r="I4835" t="str">
        <f t="shared" si="654"/>
        <v>절대자의 귀환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/>
      <c r="AQ4835">
        <v>0</v>
      </c>
      <c r="AR4835">
        <v>0</v>
      </c>
      <c r="AT4835">
        <v>0</v>
      </c>
      <c r="AU4835">
        <v>0</v>
      </c>
      <c r="AW4835">
        <v>0</v>
      </c>
      <c r="AX4835">
        <v>0</v>
      </c>
      <c r="AY4835">
        <v>0</v>
      </c>
      <c r="BC4835" t="str">
        <f t="shared" si="655"/>
        <v>9791166069154</v>
      </c>
      <c r="BE4835" t="str">
        <f t="shared" si="656"/>
        <v>판타지 웹소설 &gt; 퓨전 판타지</v>
      </c>
    </row>
    <row r="4836" spans="1:57" x14ac:dyDescent="0.3">
      <c r="A4836">
        <v>2313010364</v>
      </c>
      <c r="B4836">
        <v>2313010376</v>
      </c>
      <c r="C4836" t="str">
        <f>T("절대자의 귀환 13화")</f>
        <v>절대자의 귀환 13화</v>
      </c>
      <c r="D4836" t="str">
        <f>T("13")</f>
        <v>13</v>
      </c>
      <c r="E4836" t="str">
        <f t="shared" si="652"/>
        <v>장유진</v>
      </c>
      <c r="H4836" t="str">
        <f t="shared" si="653"/>
        <v>스토리위즈</v>
      </c>
      <c r="I4836" t="str">
        <f t="shared" si="654"/>
        <v>절대자의 귀환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/>
      <c r="AQ4836">
        <v>0</v>
      </c>
      <c r="AR4836">
        <v>0</v>
      </c>
      <c r="AT4836">
        <v>0</v>
      </c>
      <c r="AU4836">
        <v>0</v>
      </c>
      <c r="AW4836">
        <v>0</v>
      </c>
      <c r="AX4836">
        <v>0</v>
      </c>
      <c r="AY4836">
        <v>0</v>
      </c>
      <c r="BC4836" t="str">
        <f t="shared" si="655"/>
        <v>9791166069154</v>
      </c>
      <c r="BE4836" t="str">
        <f t="shared" si="656"/>
        <v>판타지 웹소설 &gt; 퓨전 판타지</v>
      </c>
    </row>
    <row r="4837" spans="1:57" x14ac:dyDescent="0.3">
      <c r="A4837">
        <v>2313010364</v>
      </c>
      <c r="B4837">
        <v>2313010377</v>
      </c>
      <c r="C4837" t="str">
        <f>T("절대자의 귀환 14화")</f>
        <v>절대자의 귀환 14화</v>
      </c>
      <c r="D4837" t="str">
        <f>T("14")</f>
        <v>14</v>
      </c>
      <c r="E4837" t="str">
        <f t="shared" si="652"/>
        <v>장유진</v>
      </c>
      <c r="H4837" t="str">
        <f t="shared" si="653"/>
        <v>스토리위즈</v>
      </c>
      <c r="I4837" t="str">
        <f t="shared" si="654"/>
        <v>절대자의 귀환</v>
      </c>
      <c r="J4837">
        <v>0</v>
      </c>
      <c r="K4837">
        <v>0</v>
      </c>
      <c r="L4837">
        <v>0</v>
      </c>
      <c r="M4837">
        <v>2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2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/>
      <c r="AQ4837">
        <v>0</v>
      </c>
      <c r="AR4837">
        <v>0</v>
      </c>
      <c r="AT4837">
        <v>0</v>
      </c>
      <c r="AU4837">
        <v>0</v>
      </c>
      <c r="AW4837">
        <v>0</v>
      </c>
      <c r="AX4837">
        <v>0</v>
      </c>
      <c r="AY4837">
        <v>0</v>
      </c>
      <c r="BC4837" t="str">
        <f t="shared" si="655"/>
        <v>9791166069154</v>
      </c>
      <c r="BE4837" t="str">
        <f t="shared" si="656"/>
        <v>판타지 웹소설 &gt; 퓨전 판타지</v>
      </c>
    </row>
    <row r="4838" spans="1:57" x14ac:dyDescent="0.3">
      <c r="A4838">
        <v>2313010364</v>
      </c>
      <c r="B4838">
        <v>2313010378</v>
      </c>
      <c r="C4838" t="str">
        <f>T("절대자의 귀환 15화")</f>
        <v>절대자의 귀환 15화</v>
      </c>
      <c r="D4838" t="str">
        <f>T("15")</f>
        <v>15</v>
      </c>
      <c r="E4838" t="str">
        <f t="shared" si="652"/>
        <v>장유진</v>
      </c>
      <c r="H4838" t="str">
        <f t="shared" si="653"/>
        <v>스토리위즈</v>
      </c>
      <c r="I4838" t="str">
        <f t="shared" si="654"/>
        <v>절대자의 귀환</v>
      </c>
      <c r="J4838">
        <v>0</v>
      </c>
      <c r="K4838">
        <v>0</v>
      </c>
      <c r="L4838">
        <v>0</v>
      </c>
      <c r="M4838">
        <v>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2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/>
      <c r="AQ4838">
        <v>0</v>
      </c>
      <c r="AR4838">
        <v>0</v>
      </c>
      <c r="AT4838">
        <v>0</v>
      </c>
      <c r="AU4838">
        <v>0</v>
      </c>
      <c r="AW4838">
        <v>0</v>
      </c>
      <c r="AX4838">
        <v>0</v>
      </c>
      <c r="AY4838">
        <v>0</v>
      </c>
      <c r="BC4838" t="str">
        <f t="shared" si="655"/>
        <v>9791166069154</v>
      </c>
      <c r="BE4838" t="str">
        <f t="shared" si="656"/>
        <v>판타지 웹소설 &gt; 퓨전 판타지</v>
      </c>
    </row>
    <row r="4839" spans="1:57" x14ac:dyDescent="0.3">
      <c r="A4839">
        <v>2313010364</v>
      </c>
      <c r="B4839">
        <v>2313010379</v>
      </c>
      <c r="C4839" t="str">
        <f>T("절대자의 귀환 16화")</f>
        <v>절대자의 귀환 16화</v>
      </c>
      <c r="D4839" t="str">
        <f>T("16")</f>
        <v>16</v>
      </c>
      <c r="E4839" t="str">
        <f t="shared" si="652"/>
        <v>장유진</v>
      </c>
      <c r="H4839" t="str">
        <f t="shared" si="653"/>
        <v>스토리위즈</v>
      </c>
      <c r="I4839" t="str">
        <f t="shared" si="654"/>
        <v>절대자의 귀환</v>
      </c>
      <c r="J4839">
        <v>0</v>
      </c>
      <c r="K4839">
        <v>0</v>
      </c>
      <c r="L4839">
        <v>0</v>
      </c>
      <c r="M4839">
        <v>2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2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/>
      <c r="AQ4839">
        <v>0</v>
      </c>
      <c r="AR4839">
        <v>0</v>
      </c>
      <c r="AT4839">
        <v>0</v>
      </c>
      <c r="AU4839">
        <v>0</v>
      </c>
      <c r="AW4839">
        <v>0</v>
      </c>
      <c r="AX4839">
        <v>0</v>
      </c>
      <c r="AY4839">
        <v>0</v>
      </c>
      <c r="BC4839" t="str">
        <f t="shared" si="655"/>
        <v>9791166069154</v>
      </c>
      <c r="BE4839" t="str">
        <f t="shared" si="656"/>
        <v>판타지 웹소설 &gt; 퓨전 판타지</v>
      </c>
    </row>
    <row r="4840" spans="1:57" x14ac:dyDescent="0.3">
      <c r="A4840">
        <v>2313010364</v>
      </c>
      <c r="B4840">
        <v>2313010380</v>
      </c>
      <c r="C4840" t="str">
        <f>T("절대자의 귀환 17화")</f>
        <v>절대자의 귀환 17화</v>
      </c>
      <c r="D4840" t="str">
        <f>T("17")</f>
        <v>17</v>
      </c>
      <c r="E4840" t="str">
        <f t="shared" si="652"/>
        <v>장유진</v>
      </c>
      <c r="H4840" t="str">
        <f t="shared" si="653"/>
        <v>스토리위즈</v>
      </c>
      <c r="I4840" t="str">
        <f t="shared" si="654"/>
        <v>절대자의 귀환</v>
      </c>
      <c r="J4840">
        <v>0</v>
      </c>
      <c r="K4840">
        <v>0</v>
      </c>
      <c r="L4840">
        <v>0</v>
      </c>
      <c r="M4840">
        <v>2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2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/>
      <c r="AQ4840">
        <v>0</v>
      </c>
      <c r="AR4840">
        <v>0</v>
      </c>
      <c r="AT4840">
        <v>0</v>
      </c>
      <c r="AU4840">
        <v>0</v>
      </c>
      <c r="AW4840">
        <v>0</v>
      </c>
      <c r="AX4840">
        <v>0</v>
      </c>
      <c r="AY4840">
        <v>0</v>
      </c>
      <c r="BC4840" t="str">
        <f t="shared" si="655"/>
        <v>9791166069154</v>
      </c>
      <c r="BE4840" t="str">
        <f t="shared" si="656"/>
        <v>판타지 웹소설 &gt; 퓨전 판타지</v>
      </c>
    </row>
    <row r="4841" spans="1:57" x14ac:dyDescent="0.3">
      <c r="A4841">
        <v>2313010364</v>
      </c>
      <c r="B4841">
        <v>2313010381</v>
      </c>
      <c r="C4841" t="str">
        <f>T("절대자의 귀환 18화")</f>
        <v>절대자의 귀환 18화</v>
      </c>
      <c r="D4841" t="str">
        <f>T("18")</f>
        <v>18</v>
      </c>
      <c r="E4841" t="str">
        <f t="shared" si="652"/>
        <v>장유진</v>
      </c>
      <c r="H4841" t="str">
        <f t="shared" si="653"/>
        <v>스토리위즈</v>
      </c>
      <c r="I4841" t="str">
        <f t="shared" si="654"/>
        <v>절대자의 귀환</v>
      </c>
      <c r="J4841">
        <v>0</v>
      </c>
      <c r="K4841">
        <v>0</v>
      </c>
      <c r="L4841">
        <v>0</v>
      </c>
      <c r="M4841">
        <v>2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2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/>
      <c r="AQ4841">
        <v>0</v>
      </c>
      <c r="AR4841">
        <v>0</v>
      </c>
      <c r="AT4841">
        <v>0</v>
      </c>
      <c r="AU4841">
        <v>0</v>
      </c>
      <c r="AW4841">
        <v>0</v>
      </c>
      <c r="AX4841">
        <v>0</v>
      </c>
      <c r="AY4841">
        <v>0</v>
      </c>
      <c r="BC4841" t="str">
        <f t="shared" si="655"/>
        <v>9791166069154</v>
      </c>
      <c r="BE4841" t="str">
        <f t="shared" si="656"/>
        <v>판타지 웹소설 &gt; 퓨전 판타지</v>
      </c>
    </row>
    <row r="4842" spans="1:57" x14ac:dyDescent="0.3">
      <c r="A4842">
        <v>2313010364</v>
      </c>
      <c r="B4842">
        <v>2313010382</v>
      </c>
      <c r="C4842" t="str">
        <f>T("절대자의 귀환 19화")</f>
        <v>절대자의 귀환 19화</v>
      </c>
      <c r="D4842" t="str">
        <f>T("19")</f>
        <v>19</v>
      </c>
      <c r="E4842" t="str">
        <f t="shared" si="652"/>
        <v>장유진</v>
      </c>
      <c r="H4842" t="str">
        <f t="shared" si="653"/>
        <v>스토리위즈</v>
      </c>
      <c r="I4842" t="str">
        <f t="shared" si="654"/>
        <v>절대자의 귀환</v>
      </c>
      <c r="J4842">
        <v>0</v>
      </c>
      <c r="K4842">
        <v>0</v>
      </c>
      <c r="L4842">
        <v>0</v>
      </c>
      <c r="M4842">
        <v>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2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/>
      <c r="AQ4842">
        <v>0</v>
      </c>
      <c r="AR4842">
        <v>0</v>
      </c>
      <c r="AT4842">
        <v>0</v>
      </c>
      <c r="AU4842">
        <v>0</v>
      </c>
      <c r="AW4842">
        <v>0</v>
      </c>
      <c r="AX4842">
        <v>0</v>
      </c>
      <c r="AY4842">
        <v>0</v>
      </c>
      <c r="BC4842" t="str">
        <f t="shared" si="655"/>
        <v>9791166069154</v>
      </c>
      <c r="BE4842" t="str">
        <f t="shared" si="656"/>
        <v>판타지 웹소설 &gt; 퓨전 판타지</v>
      </c>
    </row>
    <row r="4843" spans="1:57" x14ac:dyDescent="0.3">
      <c r="A4843">
        <v>2313010364</v>
      </c>
      <c r="B4843">
        <v>2313010383</v>
      </c>
      <c r="C4843" t="str">
        <f>T("절대자의 귀환 20화")</f>
        <v>절대자의 귀환 20화</v>
      </c>
      <c r="D4843" t="str">
        <f>T("20")</f>
        <v>20</v>
      </c>
      <c r="E4843" t="str">
        <f t="shared" si="652"/>
        <v>장유진</v>
      </c>
      <c r="H4843" t="str">
        <f t="shared" si="653"/>
        <v>스토리위즈</v>
      </c>
      <c r="I4843" t="str">
        <f t="shared" si="654"/>
        <v>절대자의 귀환</v>
      </c>
      <c r="J4843">
        <v>0</v>
      </c>
      <c r="K4843">
        <v>0</v>
      </c>
      <c r="L4843">
        <v>0</v>
      </c>
      <c r="M4843">
        <v>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2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/>
      <c r="AQ4843">
        <v>0</v>
      </c>
      <c r="AR4843">
        <v>0</v>
      </c>
      <c r="AT4843">
        <v>0</v>
      </c>
      <c r="AU4843">
        <v>0</v>
      </c>
      <c r="AW4843">
        <v>0</v>
      </c>
      <c r="AX4843">
        <v>0</v>
      </c>
      <c r="AY4843">
        <v>0</v>
      </c>
      <c r="BC4843" t="str">
        <f t="shared" si="655"/>
        <v>9791166069154</v>
      </c>
      <c r="BE4843" t="str">
        <f t="shared" si="656"/>
        <v>판타지 웹소설 &gt; 퓨전 판타지</v>
      </c>
    </row>
    <row r="4844" spans="1:57" x14ac:dyDescent="0.3">
      <c r="A4844">
        <v>2313010364</v>
      </c>
      <c r="B4844">
        <v>2313010384</v>
      </c>
      <c r="C4844" t="str">
        <f>T("절대자의 귀환 21화")</f>
        <v>절대자의 귀환 21화</v>
      </c>
      <c r="D4844" t="str">
        <f>T("21")</f>
        <v>21</v>
      </c>
      <c r="E4844" t="str">
        <f t="shared" si="652"/>
        <v>장유진</v>
      </c>
      <c r="H4844" t="str">
        <f t="shared" si="653"/>
        <v>스토리위즈</v>
      </c>
      <c r="I4844" t="str">
        <f t="shared" si="654"/>
        <v>절대자의 귀환</v>
      </c>
      <c r="J4844">
        <v>0</v>
      </c>
      <c r="K4844">
        <v>0</v>
      </c>
      <c r="L4844">
        <v>0</v>
      </c>
      <c r="M4844">
        <v>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2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/>
      <c r="AQ4844">
        <v>0</v>
      </c>
      <c r="AR4844">
        <v>0</v>
      </c>
      <c r="AT4844">
        <v>0</v>
      </c>
      <c r="AU4844">
        <v>0</v>
      </c>
      <c r="AW4844">
        <v>0</v>
      </c>
      <c r="AX4844">
        <v>0</v>
      </c>
      <c r="AY4844">
        <v>0</v>
      </c>
      <c r="BC4844" t="str">
        <f t="shared" si="655"/>
        <v>9791166069154</v>
      </c>
      <c r="BE4844" t="str">
        <f t="shared" si="656"/>
        <v>판타지 웹소설 &gt; 퓨전 판타지</v>
      </c>
    </row>
    <row r="4845" spans="1:57" x14ac:dyDescent="0.3">
      <c r="A4845">
        <v>2313010364</v>
      </c>
      <c r="B4845">
        <v>2313010385</v>
      </c>
      <c r="C4845" t="str">
        <f>T("절대자의 귀환 22화")</f>
        <v>절대자의 귀환 22화</v>
      </c>
      <c r="D4845" t="str">
        <f>T("22")</f>
        <v>22</v>
      </c>
      <c r="E4845" t="str">
        <f t="shared" si="652"/>
        <v>장유진</v>
      </c>
      <c r="H4845" t="str">
        <f t="shared" si="653"/>
        <v>스토리위즈</v>
      </c>
      <c r="I4845" t="str">
        <f t="shared" si="654"/>
        <v>절대자의 귀환</v>
      </c>
      <c r="J4845">
        <v>0</v>
      </c>
      <c r="K4845">
        <v>0</v>
      </c>
      <c r="L4845">
        <v>0</v>
      </c>
      <c r="M4845">
        <v>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2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/>
      <c r="AQ4845">
        <v>0</v>
      </c>
      <c r="AR4845">
        <v>0</v>
      </c>
      <c r="AT4845">
        <v>0</v>
      </c>
      <c r="AU4845">
        <v>0</v>
      </c>
      <c r="AW4845">
        <v>0</v>
      </c>
      <c r="AX4845">
        <v>0</v>
      </c>
      <c r="AY4845">
        <v>0</v>
      </c>
      <c r="BC4845" t="str">
        <f t="shared" si="655"/>
        <v>9791166069154</v>
      </c>
      <c r="BE4845" t="str">
        <f t="shared" si="656"/>
        <v>판타지 웹소설 &gt; 퓨전 판타지</v>
      </c>
    </row>
    <row r="4846" spans="1:57" x14ac:dyDescent="0.3">
      <c r="A4846">
        <v>2313010364</v>
      </c>
      <c r="B4846">
        <v>2313010386</v>
      </c>
      <c r="C4846" t="str">
        <f>T("절대자의 귀환 23화")</f>
        <v>절대자의 귀환 23화</v>
      </c>
      <c r="D4846" t="str">
        <f>T("23")</f>
        <v>23</v>
      </c>
      <c r="E4846" t="str">
        <f t="shared" si="652"/>
        <v>장유진</v>
      </c>
      <c r="H4846" t="str">
        <f t="shared" si="653"/>
        <v>스토리위즈</v>
      </c>
      <c r="I4846" t="str">
        <f t="shared" si="654"/>
        <v>절대자의 귀환</v>
      </c>
      <c r="J4846">
        <v>0</v>
      </c>
      <c r="K4846">
        <v>0</v>
      </c>
      <c r="L4846">
        <v>0</v>
      </c>
      <c r="M4846">
        <v>2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2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/>
      <c r="AQ4846">
        <v>0</v>
      </c>
      <c r="AR4846">
        <v>0</v>
      </c>
      <c r="AT4846">
        <v>0</v>
      </c>
      <c r="AU4846">
        <v>0</v>
      </c>
      <c r="AW4846">
        <v>0</v>
      </c>
      <c r="AX4846">
        <v>0</v>
      </c>
      <c r="AY4846">
        <v>0</v>
      </c>
      <c r="BC4846" t="str">
        <f t="shared" si="655"/>
        <v>9791166069154</v>
      </c>
      <c r="BE4846" t="str">
        <f t="shared" si="656"/>
        <v>판타지 웹소설 &gt; 퓨전 판타지</v>
      </c>
    </row>
    <row r="4847" spans="1:57" x14ac:dyDescent="0.3">
      <c r="A4847">
        <v>2313010364</v>
      </c>
      <c r="B4847">
        <v>2313010387</v>
      </c>
      <c r="C4847" t="str">
        <f>T("절대자의 귀환 24화")</f>
        <v>절대자의 귀환 24화</v>
      </c>
      <c r="D4847" t="str">
        <f>T("24")</f>
        <v>24</v>
      </c>
      <c r="E4847" t="str">
        <f t="shared" si="652"/>
        <v>장유진</v>
      </c>
      <c r="H4847" t="str">
        <f t="shared" si="653"/>
        <v>스토리위즈</v>
      </c>
      <c r="I4847" t="str">
        <f t="shared" si="654"/>
        <v>절대자의 귀환</v>
      </c>
      <c r="J4847">
        <v>0</v>
      </c>
      <c r="K4847">
        <v>0</v>
      </c>
      <c r="L4847">
        <v>0</v>
      </c>
      <c r="M4847">
        <v>2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2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/>
      <c r="AQ4847">
        <v>0</v>
      </c>
      <c r="AR4847">
        <v>0</v>
      </c>
      <c r="AT4847">
        <v>0</v>
      </c>
      <c r="AU4847">
        <v>0</v>
      </c>
      <c r="AW4847">
        <v>0</v>
      </c>
      <c r="AX4847">
        <v>0</v>
      </c>
      <c r="AY4847">
        <v>0</v>
      </c>
      <c r="BC4847" t="str">
        <f t="shared" si="655"/>
        <v>9791166069154</v>
      </c>
      <c r="BE4847" t="str">
        <f t="shared" si="656"/>
        <v>판타지 웹소설 &gt; 퓨전 판타지</v>
      </c>
    </row>
    <row r="4848" spans="1:57" x14ac:dyDescent="0.3">
      <c r="A4848">
        <v>2313010364</v>
      </c>
      <c r="B4848">
        <v>2313010388</v>
      </c>
      <c r="C4848" t="str">
        <f>T("절대자의 귀환 25화")</f>
        <v>절대자의 귀환 25화</v>
      </c>
      <c r="D4848" t="str">
        <f>T("25")</f>
        <v>25</v>
      </c>
      <c r="E4848" t="str">
        <f t="shared" si="652"/>
        <v>장유진</v>
      </c>
      <c r="H4848" t="str">
        <f t="shared" si="653"/>
        <v>스토리위즈</v>
      </c>
      <c r="I4848" t="str">
        <f t="shared" si="654"/>
        <v>절대자의 귀환</v>
      </c>
      <c r="J4848">
        <v>0</v>
      </c>
      <c r="K4848">
        <v>0</v>
      </c>
      <c r="L4848">
        <v>0</v>
      </c>
      <c r="M4848">
        <v>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2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/>
      <c r="AQ4848">
        <v>0</v>
      </c>
      <c r="AR4848">
        <v>0</v>
      </c>
      <c r="AT4848">
        <v>0</v>
      </c>
      <c r="AU4848">
        <v>0</v>
      </c>
      <c r="AW4848">
        <v>0</v>
      </c>
      <c r="AX4848">
        <v>0</v>
      </c>
      <c r="AY4848">
        <v>0</v>
      </c>
      <c r="BC4848" t="str">
        <f t="shared" si="655"/>
        <v>9791166069154</v>
      </c>
      <c r="BE4848" t="str">
        <f t="shared" si="656"/>
        <v>판타지 웹소설 &gt; 퓨전 판타지</v>
      </c>
    </row>
    <row r="4849" spans="1:57" x14ac:dyDescent="0.3">
      <c r="A4849">
        <v>2313010576</v>
      </c>
      <c r="B4849">
        <v>2313010576</v>
      </c>
      <c r="C4849" t="str">
        <f>T("[e북]절대자의 귀환 1권")</f>
        <v>[e북]절대자의 귀환 1권</v>
      </c>
      <c r="D4849" t="str">
        <f>T("1")</f>
        <v>1</v>
      </c>
      <c r="E4849" t="str">
        <f t="shared" si="652"/>
        <v>장유진</v>
      </c>
      <c r="H4849" t="str">
        <f t="shared" si="653"/>
        <v>스토리위즈</v>
      </c>
      <c r="I4849" t="str">
        <f>T("[e북]절대자의 귀환")</f>
        <v>[e북]절대자의 귀환</v>
      </c>
      <c r="J4849">
        <v>0</v>
      </c>
      <c r="K4849">
        <v>0</v>
      </c>
      <c r="L4849">
        <v>0</v>
      </c>
      <c r="M4849">
        <v>3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3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/>
      <c r="AQ4849">
        <v>0</v>
      </c>
      <c r="AR4849">
        <v>0</v>
      </c>
      <c r="AT4849">
        <v>0</v>
      </c>
      <c r="AU4849">
        <v>0</v>
      </c>
      <c r="AW4849">
        <v>0</v>
      </c>
      <c r="AX4849">
        <v>0</v>
      </c>
      <c r="AY4849">
        <v>0</v>
      </c>
      <c r="BC4849" t="str">
        <f>T("9791166069765")</f>
        <v>9791166069765</v>
      </c>
      <c r="BE4849" t="str">
        <f>T("판타지 e북 &gt; 퓨전 판타지")</f>
        <v>판타지 e북 &gt; 퓨전 판타지</v>
      </c>
    </row>
    <row r="4850" spans="1:57" x14ac:dyDescent="0.3">
      <c r="A4850">
        <v>2313010585</v>
      </c>
      <c r="B4850">
        <v>2313010589</v>
      </c>
      <c r="C4850" t="str">
        <f>T("라스트 서바이버 5화")</f>
        <v>라스트 서바이버 5화</v>
      </c>
      <c r="D4850" t="str">
        <f>T("5")</f>
        <v>5</v>
      </c>
      <c r="E4850" t="str">
        <f t="shared" ref="E4850:E4856" si="657">T("청빙")</f>
        <v>청빙</v>
      </c>
      <c r="H4850" t="str">
        <f t="shared" si="653"/>
        <v>스토리위즈</v>
      </c>
      <c r="I4850" t="str">
        <f t="shared" ref="I4850:I4856" si="658">T("라스트 서바이버")</f>
        <v>라스트 서바이버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/>
      <c r="AQ4850">
        <v>0</v>
      </c>
      <c r="AR4850">
        <v>0</v>
      </c>
      <c r="AT4850">
        <v>0</v>
      </c>
      <c r="AU4850">
        <v>0</v>
      </c>
      <c r="AW4850">
        <v>0</v>
      </c>
      <c r="AX4850">
        <v>0</v>
      </c>
      <c r="AY4850">
        <v>0</v>
      </c>
      <c r="BC4850" t="str">
        <f t="shared" ref="BC4850:BC4856" si="659">T("9791137600119")</f>
        <v>9791137600119</v>
      </c>
      <c r="BE4850" t="str">
        <f t="shared" ref="BE4850:BE4856" si="660">T("판타지 웹소설 &gt; 퓨전 판타지")</f>
        <v>판타지 웹소설 &gt; 퓨전 판타지</v>
      </c>
    </row>
    <row r="4851" spans="1:57" x14ac:dyDescent="0.3">
      <c r="A4851">
        <v>2313010585</v>
      </c>
      <c r="B4851">
        <v>2313010590</v>
      </c>
      <c r="C4851" t="str">
        <f>T("라스트 서바이버 6화")</f>
        <v>라스트 서바이버 6화</v>
      </c>
      <c r="D4851" t="str">
        <f>T("6")</f>
        <v>6</v>
      </c>
      <c r="E4851" t="str">
        <f t="shared" si="657"/>
        <v>청빙</v>
      </c>
      <c r="H4851" t="str">
        <f t="shared" si="653"/>
        <v>스토리위즈</v>
      </c>
      <c r="I4851" t="str">
        <f t="shared" si="658"/>
        <v>라스트 서바이버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1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/>
      <c r="AQ4851">
        <v>0</v>
      </c>
      <c r="AR4851">
        <v>0</v>
      </c>
      <c r="AT4851">
        <v>0</v>
      </c>
      <c r="AU4851">
        <v>0</v>
      </c>
      <c r="AW4851">
        <v>0</v>
      </c>
      <c r="AX4851">
        <v>0</v>
      </c>
      <c r="AY4851">
        <v>0</v>
      </c>
      <c r="BC4851" t="str">
        <f t="shared" si="659"/>
        <v>9791137600119</v>
      </c>
      <c r="BE4851" t="str">
        <f t="shared" si="660"/>
        <v>판타지 웹소설 &gt; 퓨전 판타지</v>
      </c>
    </row>
    <row r="4852" spans="1:57" x14ac:dyDescent="0.3">
      <c r="A4852">
        <v>2313010585</v>
      </c>
      <c r="B4852">
        <v>2313010591</v>
      </c>
      <c r="C4852" t="str">
        <f>T("라스트 서바이버 7화")</f>
        <v>라스트 서바이버 7화</v>
      </c>
      <c r="D4852" t="str">
        <f>T("7")</f>
        <v>7</v>
      </c>
      <c r="E4852" t="str">
        <f t="shared" si="657"/>
        <v>청빙</v>
      </c>
      <c r="H4852" t="str">
        <f t="shared" si="653"/>
        <v>스토리위즈</v>
      </c>
      <c r="I4852" t="str">
        <f t="shared" si="658"/>
        <v>라스트 서바이버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/>
      <c r="AQ4852">
        <v>0</v>
      </c>
      <c r="AR4852">
        <v>0</v>
      </c>
      <c r="AT4852">
        <v>0</v>
      </c>
      <c r="AU4852">
        <v>0</v>
      </c>
      <c r="AW4852">
        <v>0</v>
      </c>
      <c r="AX4852">
        <v>0</v>
      </c>
      <c r="AY4852">
        <v>0</v>
      </c>
      <c r="BC4852" t="str">
        <f t="shared" si="659"/>
        <v>9791137600119</v>
      </c>
      <c r="BE4852" t="str">
        <f t="shared" si="660"/>
        <v>판타지 웹소설 &gt; 퓨전 판타지</v>
      </c>
    </row>
    <row r="4853" spans="1:57" x14ac:dyDescent="0.3">
      <c r="A4853">
        <v>2313010585</v>
      </c>
      <c r="B4853">
        <v>2313010592</v>
      </c>
      <c r="C4853" t="str">
        <f>T("라스트 서바이버 8화")</f>
        <v>라스트 서바이버 8화</v>
      </c>
      <c r="D4853" t="str">
        <f>T("8")</f>
        <v>8</v>
      </c>
      <c r="E4853" t="str">
        <f t="shared" si="657"/>
        <v>청빙</v>
      </c>
      <c r="H4853" t="str">
        <f t="shared" si="653"/>
        <v>스토리위즈</v>
      </c>
      <c r="I4853" t="str">
        <f t="shared" si="658"/>
        <v>라스트 서바이버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1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/>
      <c r="AQ4853">
        <v>0</v>
      </c>
      <c r="AR4853">
        <v>0</v>
      </c>
      <c r="AT4853">
        <v>0</v>
      </c>
      <c r="AU4853">
        <v>0</v>
      </c>
      <c r="AW4853">
        <v>0</v>
      </c>
      <c r="AX4853">
        <v>0</v>
      </c>
      <c r="AY4853">
        <v>0</v>
      </c>
      <c r="BC4853" t="str">
        <f t="shared" si="659"/>
        <v>9791137600119</v>
      </c>
      <c r="BE4853" t="str">
        <f t="shared" si="660"/>
        <v>판타지 웹소설 &gt; 퓨전 판타지</v>
      </c>
    </row>
    <row r="4854" spans="1:57" x14ac:dyDescent="0.3">
      <c r="A4854">
        <v>2313010585</v>
      </c>
      <c r="B4854">
        <v>2313010593</v>
      </c>
      <c r="C4854" t="str">
        <f>T("라스트 서바이버 9화")</f>
        <v>라스트 서바이버 9화</v>
      </c>
      <c r="D4854" t="str">
        <f>T("9")</f>
        <v>9</v>
      </c>
      <c r="E4854" t="str">
        <f t="shared" si="657"/>
        <v>청빙</v>
      </c>
      <c r="H4854" t="str">
        <f t="shared" si="653"/>
        <v>스토리위즈</v>
      </c>
      <c r="I4854" t="str">
        <f t="shared" si="658"/>
        <v>라스트 서바이버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/>
      <c r="AQ4854">
        <v>0</v>
      </c>
      <c r="AR4854">
        <v>0</v>
      </c>
      <c r="AT4854">
        <v>0</v>
      </c>
      <c r="AU4854">
        <v>0</v>
      </c>
      <c r="AW4854">
        <v>0</v>
      </c>
      <c r="AX4854">
        <v>0</v>
      </c>
      <c r="AY4854">
        <v>0</v>
      </c>
      <c r="BC4854" t="str">
        <f t="shared" si="659"/>
        <v>9791137600119</v>
      </c>
      <c r="BE4854" t="str">
        <f t="shared" si="660"/>
        <v>판타지 웹소설 &gt; 퓨전 판타지</v>
      </c>
    </row>
    <row r="4855" spans="1:57" x14ac:dyDescent="0.3">
      <c r="A4855">
        <v>2313010585</v>
      </c>
      <c r="B4855">
        <v>2313010594</v>
      </c>
      <c r="C4855" t="str">
        <f>T("라스트 서바이버 10화")</f>
        <v>라스트 서바이버 10화</v>
      </c>
      <c r="D4855" t="str">
        <f>T("10")</f>
        <v>10</v>
      </c>
      <c r="E4855" t="str">
        <f t="shared" si="657"/>
        <v>청빙</v>
      </c>
      <c r="H4855" t="str">
        <f t="shared" si="653"/>
        <v>스토리위즈</v>
      </c>
      <c r="I4855" t="str">
        <f t="shared" si="658"/>
        <v>라스트 서바이버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/>
      <c r="AQ4855">
        <v>0</v>
      </c>
      <c r="AR4855">
        <v>0</v>
      </c>
      <c r="AT4855">
        <v>0</v>
      </c>
      <c r="AU4855">
        <v>0</v>
      </c>
      <c r="AW4855">
        <v>0</v>
      </c>
      <c r="AX4855">
        <v>0</v>
      </c>
      <c r="AY4855">
        <v>0</v>
      </c>
      <c r="BC4855" t="str">
        <f t="shared" si="659"/>
        <v>9791137600119</v>
      </c>
      <c r="BE4855" t="str">
        <f t="shared" si="660"/>
        <v>판타지 웹소설 &gt; 퓨전 판타지</v>
      </c>
    </row>
    <row r="4856" spans="1:57" x14ac:dyDescent="0.3">
      <c r="A4856">
        <v>2313010585</v>
      </c>
      <c r="B4856">
        <v>2313010595</v>
      </c>
      <c r="C4856" t="str">
        <f>T("라스트 서바이버 11화")</f>
        <v>라스트 서바이버 11화</v>
      </c>
      <c r="D4856" t="str">
        <f>T("11")</f>
        <v>11</v>
      </c>
      <c r="E4856" t="str">
        <f t="shared" si="657"/>
        <v>청빙</v>
      </c>
      <c r="H4856" t="str">
        <f t="shared" si="653"/>
        <v>스토리위즈</v>
      </c>
      <c r="I4856" t="str">
        <f t="shared" si="658"/>
        <v>라스트 서바이버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/>
      <c r="AQ4856">
        <v>0</v>
      </c>
      <c r="AR4856">
        <v>0</v>
      </c>
      <c r="AT4856">
        <v>0</v>
      </c>
      <c r="AU4856">
        <v>0</v>
      </c>
      <c r="AW4856">
        <v>0</v>
      </c>
      <c r="AX4856">
        <v>0</v>
      </c>
      <c r="AY4856">
        <v>0</v>
      </c>
      <c r="BC4856" t="str">
        <f t="shared" si="659"/>
        <v>9791137600119</v>
      </c>
      <c r="BE4856" t="str">
        <f t="shared" si="660"/>
        <v>판타지 웹소설 &gt; 퓨전 판타지</v>
      </c>
    </row>
    <row r="4857" spans="1:57" x14ac:dyDescent="0.3">
      <c r="A4857">
        <v>2313011156</v>
      </c>
      <c r="B4857">
        <v>2313011156</v>
      </c>
      <c r="C4857" t="str">
        <f>T("마신부활 1화")</f>
        <v>마신부활 1화</v>
      </c>
      <c r="D4857" t="str">
        <f>T("1")</f>
        <v>1</v>
      </c>
      <c r="E4857" t="str">
        <f>T("만렙도끼")</f>
        <v>만렙도끼</v>
      </c>
      <c r="H4857" t="str">
        <f t="shared" si="653"/>
        <v>스토리위즈</v>
      </c>
      <c r="I4857" t="str">
        <f>T("마신부활")</f>
        <v>마신부활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/>
      <c r="AQ4857">
        <v>0</v>
      </c>
      <c r="AR4857">
        <v>0</v>
      </c>
      <c r="AT4857">
        <v>0</v>
      </c>
      <c r="AU4857">
        <v>0</v>
      </c>
      <c r="AW4857">
        <v>0</v>
      </c>
      <c r="AX4857">
        <v>0</v>
      </c>
      <c r="AY4857">
        <v>0</v>
      </c>
      <c r="BC4857" t="str">
        <f>T("9791166061318")</f>
        <v>9791166061318</v>
      </c>
      <c r="BE4857" t="str">
        <f>T("판타지 웹소설 &gt; 무협 소설")</f>
        <v>판타지 웹소설 &gt; 무협 소설</v>
      </c>
    </row>
    <row r="4858" spans="1:57" x14ac:dyDescent="0.3">
      <c r="A4858">
        <v>2313011156</v>
      </c>
      <c r="B4858">
        <v>2313011157</v>
      </c>
      <c r="C4858" t="str">
        <f>T("마신부활 2화")</f>
        <v>마신부활 2화</v>
      </c>
      <c r="D4858" t="str">
        <f>T("2")</f>
        <v>2</v>
      </c>
      <c r="E4858" t="str">
        <f>T("만렙도끼")</f>
        <v>만렙도끼</v>
      </c>
      <c r="H4858" t="str">
        <f t="shared" si="653"/>
        <v>스토리위즈</v>
      </c>
      <c r="I4858" t="str">
        <f>T("마신부활")</f>
        <v>마신부활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/>
      <c r="AQ4858">
        <v>0</v>
      </c>
      <c r="AR4858">
        <v>0</v>
      </c>
      <c r="AT4858">
        <v>0</v>
      </c>
      <c r="AU4858">
        <v>0</v>
      </c>
      <c r="AW4858">
        <v>0</v>
      </c>
      <c r="AX4858">
        <v>0</v>
      </c>
      <c r="AY4858">
        <v>0</v>
      </c>
      <c r="BC4858" t="str">
        <f>T("9791166061318")</f>
        <v>9791166061318</v>
      </c>
      <c r="BE4858" t="str">
        <f>T("판타지 웹소설 &gt; 무협 소설")</f>
        <v>판타지 웹소설 &gt; 무협 소설</v>
      </c>
    </row>
    <row r="4859" spans="1:57" x14ac:dyDescent="0.3">
      <c r="A4859">
        <v>2313011156</v>
      </c>
      <c r="B4859">
        <v>2313011158</v>
      </c>
      <c r="C4859" t="str">
        <f>T("마신부활 3화")</f>
        <v>마신부활 3화</v>
      </c>
      <c r="D4859" t="str">
        <f>T("3")</f>
        <v>3</v>
      </c>
      <c r="E4859" t="str">
        <f>T("만렙도끼")</f>
        <v>만렙도끼</v>
      </c>
      <c r="H4859" t="str">
        <f t="shared" si="653"/>
        <v>스토리위즈</v>
      </c>
      <c r="I4859" t="str">
        <f>T("마신부활")</f>
        <v>마신부활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/>
      <c r="AQ4859">
        <v>0</v>
      </c>
      <c r="AR4859">
        <v>0</v>
      </c>
      <c r="AT4859">
        <v>0</v>
      </c>
      <c r="AU4859">
        <v>0</v>
      </c>
      <c r="AW4859">
        <v>0</v>
      </c>
      <c r="AX4859">
        <v>0</v>
      </c>
      <c r="AY4859">
        <v>0</v>
      </c>
      <c r="BC4859" t="str">
        <f>T("9791166061318")</f>
        <v>9791166061318</v>
      </c>
      <c r="BE4859" t="str">
        <f>T("판타지 웹소설 &gt; 무협 소설")</f>
        <v>판타지 웹소설 &gt; 무협 소설</v>
      </c>
    </row>
    <row r="4860" spans="1:57" x14ac:dyDescent="0.3">
      <c r="A4860">
        <v>2313011372</v>
      </c>
      <c r="B4860">
        <v>2313011372</v>
      </c>
      <c r="C4860" t="str">
        <f>T("[e북]라스트 서바이버 : 진화로 살아남아라! 1권")</f>
        <v>[e북]라스트 서바이버 : 진화로 살아남아라! 1권</v>
      </c>
      <c r="D4860" t="str">
        <f>T("1")</f>
        <v>1</v>
      </c>
      <c r="E4860" t="str">
        <f>T("청빙")</f>
        <v>청빙</v>
      </c>
      <c r="H4860" t="str">
        <f t="shared" si="653"/>
        <v>스토리위즈</v>
      </c>
      <c r="I4860" t="str">
        <f>T("[e북]라스트 서바이버 : 진화로 살아남아라!")</f>
        <v>[e북]라스트 서바이버 : 진화로 살아남아라!</v>
      </c>
      <c r="J4860">
        <v>0</v>
      </c>
      <c r="K4860">
        <v>0</v>
      </c>
      <c r="L4860">
        <v>0</v>
      </c>
      <c r="M4860">
        <v>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2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/>
      <c r="AQ4860">
        <v>0</v>
      </c>
      <c r="AR4860">
        <v>0</v>
      </c>
      <c r="AT4860">
        <v>0</v>
      </c>
      <c r="AU4860">
        <v>0</v>
      </c>
      <c r="AW4860">
        <v>0</v>
      </c>
      <c r="AX4860">
        <v>0</v>
      </c>
      <c r="AY4860">
        <v>0</v>
      </c>
      <c r="BC4860" t="str">
        <f>T("9791137600546")</f>
        <v>9791137600546</v>
      </c>
      <c r="BE4860" t="str">
        <f>T("판타지 e북 &gt; 퓨전 판타지")</f>
        <v>판타지 e북 &gt; 퓨전 판타지</v>
      </c>
    </row>
    <row r="4861" spans="1:57" x14ac:dyDescent="0.3">
      <c r="A4861">
        <v>2313011400</v>
      </c>
      <c r="B4861">
        <v>2313011400</v>
      </c>
      <c r="C4861" t="str">
        <f>T("최종 보스 1권 1화")</f>
        <v>최종 보스 1권 1화</v>
      </c>
      <c r="D4861" t="str">
        <f>T("1")</f>
        <v>1</v>
      </c>
      <c r="E4861" t="str">
        <f t="shared" ref="E4861:E4922" si="661">T("무장")</f>
        <v>무장</v>
      </c>
      <c r="H4861" t="str">
        <f t="shared" si="653"/>
        <v>스토리위즈</v>
      </c>
      <c r="I4861" t="str">
        <f t="shared" ref="I4861:I4882" si="662">T("최종 보스 : 빛을 향해 달리는 그림자")</f>
        <v>최종 보스 : 빛을 향해 달리는 그림자</v>
      </c>
      <c r="J4861">
        <v>0</v>
      </c>
      <c r="K4861">
        <v>0</v>
      </c>
      <c r="L4861">
        <v>0</v>
      </c>
      <c r="M4861">
        <v>7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7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/>
      <c r="AQ4861">
        <v>0</v>
      </c>
      <c r="AR4861">
        <v>0</v>
      </c>
      <c r="AT4861">
        <v>0</v>
      </c>
      <c r="AU4861">
        <v>0</v>
      </c>
      <c r="AW4861">
        <v>0</v>
      </c>
      <c r="AX4861">
        <v>0</v>
      </c>
      <c r="AY4861">
        <v>0</v>
      </c>
      <c r="BC4861" t="str">
        <f t="shared" ref="BC4861:BC4882" si="663">T("9791166067563")</f>
        <v>9791166067563</v>
      </c>
      <c r="BE4861" t="str">
        <f t="shared" ref="BE4861:BE4882" si="664">T("판타지 웹소설 &gt; 현대 판타지")</f>
        <v>판타지 웹소설 &gt; 현대 판타지</v>
      </c>
    </row>
    <row r="4862" spans="1:57" x14ac:dyDescent="0.3">
      <c r="A4862">
        <v>2313011400</v>
      </c>
      <c r="B4862">
        <v>2313011401</v>
      </c>
      <c r="C4862" t="str">
        <f>T("최종 보스 1권 2화")</f>
        <v>최종 보스 1권 2화</v>
      </c>
      <c r="D4862" t="str">
        <f>T("2")</f>
        <v>2</v>
      </c>
      <c r="E4862" t="str">
        <f t="shared" si="661"/>
        <v>무장</v>
      </c>
      <c r="H4862" t="str">
        <f t="shared" si="653"/>
        <v>스토리위즈</v>
      </c>
      <c r="I4862" t="str">
        <f t="shared" si="662"/>
        <v>최종 보스 : 빛을 향해 달리는 그림자</v>
      </c>
      <c r="J4862">
        <v>0</v>
      </c>
      <c r="K4862">
        <v>0</v>
      </c>
      <c r="L4862">
        <v>0</v>
      </c>
      <c r="M4862">
        <v>3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3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/>
      <c r="AQ4862">
        <v>0</v>
      </c>
      <c r="AR4862">
        <v>0</v>
      </c>
      <c r="AT4862">
        <v>0</v>
      </c>
      <c r="AU4862">
        <v>0</v>
      </c>
      <c r="AW4862">
        <v>0</v>
      </c>
      <c r="AX4862">
        <v>0</v>
      </c>
      <c r="AY4862">
        <v>0</v>
      </c>
      <c r="BC4862" t="str">
        <f t="shared" si="663"/>
        <v>9791166067563</v>
      </c>
      <c r="BE4862" t="str">
        <f t="shared" si="664"/>
        <v>판타지 웹소설 &gt; 현대 판타지</v>
      </c>
    </row>
    <row r="4863" spans="1:57" x14ac:dyDescent="0.3">
      <c r="A4863">
        <v>2313011400</v>
      </c>
      <c r="B4863">
        <v>2313011402</v>
      </c>
      <c r="C4863" t="str">
        <f>T("최종 보스 1권 3화")</f>
        <v>최종 보스 1권 3화</v>
      </c>
      <c r="D4863" t="str">
        <f>T("3")</f>
        <v>3</v>
      </c>
      <c r="E4863" t="str">
        <f t="shared" si="661"/>
        <v>무장</v>
      </c>
      <c r="H4863" t="str">
        <f t="shared" si="653"/>
        <v>스토리위즈</v>
      </c>
      <c r="I4863" t="str">
        <f t="shared" si="662"/>
        <v>최종 보스 : 빛을 향해 달리는 그림자</v>
      </c>
      <c r="J4863">
        <v>0</v>
      </c>
      <c r="K4863">
        <v>0</v>
      </c>
      <c r="L4863">
        <v>0</v>
      </c>
      <c r="M4863">
        <v>3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3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/>
      <c r="AQ4863">
        <v>0</v>
      </c>
      <c r="AR4863">
        <v>0</v>
      </c>
      <c r="AT4863">
        <v>0</v>
      </c>
      <c r="AU4863">
        <v>0</v>
      </c>
      <c r="AW4863">
        <v>0</v>
      </c>
      <c r="AX4863">
        <v>0</v>
      </c>
      <c r="AY4863">
        <v>0</v>
      </c>
      <c r="BC4863" t="str">
        <f t="shared" si="663"/>
        <v>9791166067563</v>
      </c>
      <c r="BE4863" t="str">
        <f t="shared" si="664"/>
        <v>판타지 웹소설 &gt; 현대 판타지</v>
      </c>
    </row>
    <row r="4864" spans="1:57" x14ac:dyDescent="0.3">
      <c r="A4864">
        <v>2313011400</v>
      </c>
      <c r="B4864">
        <v>2313011403</v>
      </c>
      <c r="C4864" t="str">
        <f>T("최종 보스 1권 4화")</f>
        <v>최종 보스 1권 4화</v>
      </c>
      <c r="D4864" t="str">
        <f>T("4")</f>
        <v>4</v>
      </c>
      <c r="E4864" t="str">
        <f t="shared" si="661"/>
        <v>무장</v>
      </c>
      <c r="H4864" t="str">
        <f t="shared" si="653"/>
        <v>스토리위즈</v>
      </c>
      <c r="I4864" t="str">
        <f t="shared" si="662"/>
        <v>최종 보스 : 빛을 향해 달리는 그림자</v>
      </c>
      <c r="J4864">
        <v>0</v>
      </c>
      <c r="K4864">
        <v>0</v>
      </c>
      <c r="L4864">
        <v>0</v>
      </c>
      <c r="M4864">
        <v>3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3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/>
      <c r="AQ4864">
        <v>0</v>
      </c>
      <c r="AR4864">
        <v>0</v>
      </c>
      <c r="AT4864">
        <v>0</v>
      </c>
      <c r="AU4864">
        <v>0</v>
      </c>
      <c r="AW4864">
        <v>0</v>
      </c>
      <c r="AX4864">
        <v>0</v>
      </c>
      <c r="AY4864">
        <v>0</v>
      </c>
      <c r="BC4864" t="str">
        <f t="shared" si="663"/>
        <v>9791166067563</v>
      </c>
      <c r="BE4864" t="str">
        <f t="shared" si="664"/>
        <v>판타지 웹소설 &gt; 현대 판타지</v>
      </c>
    </row>
    <row r="4865" spans="1:57" x14ac:dyDescent="0.3">
      <c r="A4865">
        <v>2313011400</v>
      </c>
      <c r="B4865">
        <v>2313011404</v>
      </c>
      <c r="C4865" t="str">
        <f>T("최종 보스 1권 5화")</f>
        <v>최종 보스 1권 5화</v>
      </c>
      <c r="D4865" t="str">
        <f>T("5")</f>
        <v>5</v>
      </c>
      <c r="E4865" t="str">
        <f t="shared" si="661"/>
        <v>무장</v>
      </c>
      <c r="H4865" t="str">
        <f t="shared" si="653"/>
        <v>스토리위즈</v>
      </c>
      <c r="I4865" t="str">
        <f t="shared" si="662"/>
        <v>최종 보스 : 빛을 향해 달리는 그림자</v>
      </c>
      <c r="J4865">
        <v>0</v>
      </c>
      <c r="K4865">
        <v>0</v>
      </c>
      <c r="L4865">
        <v>0</v>
      </c>
      <c r="M4865">
        <v>2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2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/>
      <c r="AQ4865">
        <v>0</v>
      </c>
      <c r="AR4865">
        <v>0</v>
      </c>
      <c r="AT4865">
        <v>0</v>
      </c>
      <c r="AU4865">
        <v>0</v>
      </c>
      <c r="AW4865">
        <v>0</v>
      </c>
      <c r="AX4865">
        <v>0</v>
      </c>
      <c r="AY4865">
        <v>0</v>
      </c>
      <c r="BC4865" t="str">
        <f t="shared" si="663"/>
        <v>9791166067563</v>
      </c>
      <c r="BE4865" t="str">
        <f t="shared" si="664"/>
        <v>판타지 웹소설 &gt; 현대 판타지</v>
      </c>
    </row>
    <row r="4866" spans="1:57" x14ac:dyDescent="0.3">
      <c r="A4866">
        <v>2313011400</v>
      </c>
      <c r="B4866">
        <v>2313011405</v>
      </c>
      <c r="C4866" t="str">
        <f>T("최종 보스 1권 6화")</f>
        <v>최종 보스 1권 6화</v>
      </c>
      <c r="D4866" t="str">
        <f>T("6")</f>
        <v>6</v>
      </c>
      <c r="E4866" t="str">
        <f t="shared" si="661"/>
        <v>무장</v>
      </c>
      <c r="H4866" t="str">
        <f t="shared" si="653"/>
        <v>스토리위즈</v>
      </c>
      <c r="I4866" t="str">
        <f t="shared" si="662"/>
        <v>최종 보스 : 빛을 향해 달리는 그림자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/>
      <c r="AQ4866">
        <v>0</v>
      </c>
      <c r="AR4866">
        <v>0</v>
      </c>
      <c r="AT4866">
        <v>0</v>
      </c>
      <c r="AU4866">
        <v>0</v>
      </c>
      <c r="AW4866">
        <v>0</v>
      </c>
      <c r="AX4866">
        <v>0</v>
      </c>
      <c r="AY4866">
        <v>0</v>
      </c>
      <c r="BC4866" t="str">
        <f t="shared" si="663"/>
        <v>9791166067563</v>
      </c>
      <c r="BE4866" t="str">
        <f t="shared" si="664"/>
        <v>판타지 웹소설 &gt; 현대 판타지</v>
      </c>
    </row>
    <row r="4867" spans="1:57" x14ac:dyDescent="0.3">
      <c r="A4867">
        <v>2313011400</v>
      </c>
      <c r="B4867">
        <v>2313011406</v>
      </c>
      <c r="C4867" t="str">
        <f>T("최종 보스 1권 7화")</f>
        <v>최종 보스 1권 7화</v>
      </c>
      <c r="D4867" t="str">
        <f>T("7")</f>
        <v>7</v>
      </c>
      <c r="E4867" t="str">
        <f t="shared" si="661"/>
        <v>무장</v>
      </c>
      <c r="H4867" t="str">
        <f t="shared" si="653"/>
        <v>스토리위즈</v>
      </c>
      <c r="I4867" t="str">
        <f t="shared" si="662"/>
        <v>최종 보스 : 빛을 향해 달리는 그림자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1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/>
      <c r="AQ4867">
        <v>0</v>
      </c>
      <c r="AR4867">
        <v>0</v>
      </c>
      <c r="AT4867">
        <v>0</v>
      </c>
      <c r="AU4867">
        <v>0</v>
      </c>
      <c r="AW4867">
        <v>0</v>
      </c>
      <c r="AX4867">
        <v>0</v>
      </c>
      <c r="AY4867">
        <v>0</v>
      </c>
      <c r="BC4867" t="str">
        <f t="shared" si="663"/>
        <v>9791166067563</v>
      </c>
      <c r="BE4867" t="str">
        <f t="shared" si="664"/>
        <v>판타지 웹소설 &gt; 현대 판타지</v>
      </c>
    </row>
    <row r="4868" spans="1:57" x14ac:dyDescent="0.3">
      <c r="A4868">
        <v>2313011400</v>
      </c>
      <c r="B4868">
        <v>2313011407</v>
      </c>
      <c r="C4868" t="str">
        <f>T("최종 보스 1권 8화")</f>
        <v>최종 보스 1권 8화</v>
      </c>
      <c r="D4868" t="str">
        <f>T("8")</f>
        <v>8</v>
      </c>
      <c r="E4868" t="str">
        <f t="shared" si="661"/>
        <v>무장</v>
      </c>
      <c r="H4868" t="str">
        <f t="shared" si="653"/>
        <v>스토리위즈</v>
      </c>
      <c r="I4868" t="str">
        <f t="shared" si="662"/>
        <v>최종 보스 : 빛을 향해 달리는 그림자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/>
      <c r="AQ4868">
        <v>0</v>
      </c>
      <c r="AR4868">
        <v>0</v>
      </c>
      <c r="AT4868">
        <v>0</v>
      </c>
      <c r="AU4868">
        <v>0</v>
      </c>
      <c r="AW4868">
        <v>0</v>
      </c>
      <c r="AX4868">
        <v>0</v>
      </c>
      <c r="AY4868">
        <v>0</v>
      </c>
      <c r="BC4868" t="str">
        <f t="shared" si="663"/>
        <v>9791166067563</v>
      </c>
      <c r="BE4868" t="str">
        <f t="shared" si="664"/>
        <v>판타지 웹소설 &gt; 현대 판타지</v>
      </c>
    </row>
    <row r="4869" spans="1:57" x14ac:dyDescent="0.3">
      <c r="A4869">
        <v>2313011400</v>
      </c>
      <c r="B4869">
        <v>2313011408</v>
      </c>
      <c r="C4869" t="str">
        <f>T("최종 보스 1권 9화")</f>
        <v>최종 보스 1권 9화</v>
      </c>
      <c r="D4869" t="str">
        <f>T("9")</f>
        <v>9</v>
      </c>
      <c r="E4869" t="str">
        <f t="shared" si="661"/>
        <v>무장</v>
      </c>
      <c r="H4869" t="str">
        <f t="shared" si="653"/>
        <v>스토리위즈</v>
      </c>
      <c r="I4869" t="str">
        <f t="shared" si="662"/>
        <v>최종 보스 : 빛을 향해 달리는 그림자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/>
      <c r="AQ4869">
        <v>0</v>
      </c>
      <c r="AR4869">
        <v>0</v>
      </c>
      <c r="AT4869">
        <v>0</v>
      </c>
      <c r="AU4869">
        <v>0</v>
      </c>
      <c r="AW4869">
        <v>0</v>
      </c>
      <c r="AX4869">
        <v>0</v>
      </c>
      <c r="AY4869">
        <v>0</v>
      </c>
      <c r="BC4869" t="str">
        <f t="shared" si="663"/>
        <v>9791166067563</v>
      </c>
      <c r="BE4869" t="str">
        <f t="shared" si="664"/>
        <v>판타지 웹소설 &gt; 현대 판타지</v>
      </c>
    </row>
    <row r="4870" spans="1:57" x14ac:dyDescent="0.3">
      <c r="A4870">
        <v>2313011400</v>
      </c>
      <c r="B4870">
        <v>2313011409</v>
      </c>
      <c r="C4870" t="str">
        <f>T("최종 보스 1권 10화")</f>
        <v>최종 보스 1권 10화</v>
      </c>
      <c r="D4870" t="str">
        <f>T("10")</f>
        <v>10</v>
      </c>
      <c r="E4870" t="str">
        <f t="shared" si="661"/>
        <v>무장</v>
      </c>
      <c r="H4870" t="str">
        <f t="shared" si="653"/>
        <v>스토리위즈</v>
      </c>
      <c r="I4870" t="str">
        <f t="shared" si="662"/>
        <v>최종 보스 : 빛을 향해 달리는 그림자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/>
      <c r="AQ4870">
        <v>0</v>
      </c>
      <c r="AR4870">
        <v>0</v>
      </c>
      <c r="AT4870">
        <v>0</v>
      </c>
      <c r="AU4870">
        <v>0</v>
      </c>
      <c r="AW4870">
        <v>0</v>
      </c>
      <c r="AX4870">
        <v>0</v>
      </c>
      <c r="AY4870">
        <v>0</v>
      </c>
      <c r="BC4870" t="str">
        <f t="shared" si="663"/>
        <v>9791166067563</v>
      </c>
      <c r="BE4870" t="str">
        <f t="shared" si="664"/>
        <v>판타지 웹소설 &gt; 현대 판타지</v>
      </c>
    </row>
    <row r="4871" spans="1:57" x14ac:dyDescent="0.3">
      <c r="A4871">
        <v>2313011400</v>
      </c>
      <c r="B4871">
        <v>2313011410</v>
      </c>
      <c r="C4871" t="str">
        <f>T("최종 보스 1권 11화")</f>
        <v>최종 보스 1권 11화</v>
      </c>
      <c r="D4871" t="str">
        <f>T("11")</f>
        <v>11</v>
      </c>
      <c r="E4871" t="str">
        <f t="shared" si="661"/>
        <v>무장</v>
      </c>
      <c r="H4871" t="str">
        <f t="shared" si="653"/>
        <v>스토리위즈</v>
      </c>
      <c r="I4871" t="str">
        <f t="shared" si="662"/>
        <v>최종 보스 : 빛을 향해 달리는 그림자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1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/>
      <c r="AQ4871">
        <v>0</v>
      </c>
      <c r="AR4871">
        <v>0</v>
      </c>
      <c r="AT4871">
        <v>0</v>
      </c>
      <c r="AU4871">
        <v>0</v>
      </c>
      <c r="AW4871">
        <v>0</v>
      </c>
      <c r="AX4871">
        <v>0</v>
      </c>
      <c r="AY4871">
        <v>0</v>
      </c>
      <c r="BC4871" t="str">
        <f t="shared" si="663"/>
        <v>9791166067563</v>
      </c>
      <c r="BE4871" t="str">
        <f t="shared" si="664"/>
        <v>판타지 웹소설 &gt; 현대 판타지</v>
      </c>
    </row>
    <row r="4872" spans="1:57" x14ac:dyDescent="0.3">
      <c r="A4872">
        <v>2313011400</v>
      </c>
      <c r="B4872">
        <v>2313011411</v>
      </c>
      <c r="C4872" t="str">
        <f>T("최종 보스 1권 12화")</f>
        <v>최종 보스 1권 12화</v>
      </c>
      <c r="D4872" t="str">
        <f>T("12")</f>
        <v>12</v>
      </c>
      <c r="E4872" t="str">
        <f t="shared" si="661"/>
        <v>무장</v>
      </c>
      <c r="H4872" t="str">
        <f t="shared" si="653"/>
        <v>스토리위즈</v>
      </c>
      <c r="I4872" t="str">
        <f t="shared" si="662"/>
        <v>최종 보스 : 빛을 향해 달리는 그림자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1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/>
      <c r="AQ4872">
        <v>0</v>
      </c>
      <c r="AR4872">
        <v>0</v>
      </c>
      <c r="AT4872">
        <v>0</v>
      </c>
      <c r="AU4872">
        <v>0</v>
      </c>
      <c r="AW4872">
        <v>0</v>
      </c>
      <c r="AX4872">
        <v>0</v>
      </c>
      <c r="AY4872">
        <v>0</v>
      </c>
      <c r="BC4872" t="str">
        <f t="shared" si="663"/>
        <v>9791166067563</v>
      </c>
      <c r="BE4872" t="str">
        <f t="shared" si="664"/>
        <v>판타지 웹소설 &gt; 현대 판타지</v>
      </c>
    </row>
    <row r="4873" spans="1:57" x14ac:dyDescent="0.3">
      <c r="A4873">
        <v>2313011400</v>
      </c>
      <c r="B4873">
        <v>2313011412</v>
      </c>
      <c r="C4873" t="str">
        <f>T("최종 보스 1권 13화")</f>
        <v>최종 보스 1권 13화</v>
      </c>
      <c r="D4873" t="str">
        <f>T("13")</f>
        <v>13</v>
      </c>
      <c r="E4873" t="str">
        <f t="shared" si="661"/>
        <v>무장</v>
      </c>
      <c r="H4873" t="str">
        <f t="shared" si="653"/>
        <v>스토리위즈</v>
      </c>
      <c r="I4873" t="str">
        <f t="shared" si="662"/>
        <v>최종 보스 : 빛을 향해 달리는 그림자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/>
      <c r="AQ4873">
        <v>0</v>
      </c>
      <c r="AR4873">
        <v>0</v>
      </c>
      <c r="AT4873">
        <v>0</v>
      </c>
      <c r="AU4873">
        <v>0</v>
      </c>
      <c r="AW4873">
        <v>0</v>
      </c>
      <c r="AX4873">
        <v>0</v>
      </c>
      <c r="AY4873">
        <v>0</v>
      </c>
      <c r="BC4873" t="str">
        <f t="shared" si="663"/>
        <v>9791166067563</v>
      </c>
      <c r="BE4873" t="str">
        <f t="shared" si="664"/>
        <v>판타지 웹소설 &gt; 현대 판타지</v>
      </c>
    </row>
    <row r="4874" spans="1:57" x14ac:dyDescent="0.3">
      <c r="A4874">
        <v>2313011400</v>
      </c>
      <c r="B4874">
        <v>2313011413</v>
      </c>
      <c r="C4874" t="str">
        <f>T("최종 보스 1권 14화")</f>
        <v>최종 보스 1권 14화</v>
      </c>
      <c r="D4874" t="str">
        <f>T("14")</f>
        <v>14</v>
      </c>
      <c r="E4874" t="str">
        <f t="shared" si="661"/>
        <v>무장</v>
      </c>
      <c r="H4874" t="str">
        <f t="shared" si="653"/>
        <v>스토리위즈</v>
      </c>
      <c r="I4874" t="str">
        <f t="shared" si="662"/>
        <v>최종 보스 : 빛을 향해 달리는 그림자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/>
      <c r="AQ4874">
        <v>0</v>
      </c>
      <c r="AR4874">
        <v>0</v>
      </c>
      <c r="AT4874">
        <v>0</v>
      </c>
      <c r="AU4874">
        <v>0</v>
      </c>
      <c r="AW4874">
        <v>0</v>
      </c>
      <c r="AX4874">
        <v>0</v>
      </c>
      <c r="AY4874">
        <v>0</v>
      </c>
      <c r="BC4874" t="str">
        <f t="shared" si="663"/>
        <v>9791166067563</v>
      </c>
      <c r="BE4874" t="str">
        <f t="shared" si="664"/>
        <v>판타지 웹소설 &gt; 현대 판타지</v>
      </c>
    </row>
    <row r="4875" spans="1:57" x14ac:dyDescent="0.3">
      <c r="A4875">
        <v>2313011400</v>
      </c>
      <c r="B4875">
        <v>2313011414</v>
      </c>
      <c r="C4875" t="str">
        <f>T("최종 보스 1권 15화")</f>
        <v>최종 보스 1권 15화</v>
      </c>
      <c r="D4875" t="str">
        <f>T("15")</f>
        <v>15</v>
      </c>
      <c r="E4875" t="str">
        <f t="shared" si="661"/>
        <v>무장</v>
      </c>
      <c r="H4875" t="str">
        <f t="shared" si="653"/>
        <v>스토리위즈</v>
      </c>
      <c r="I4875" t="str">
        <f t="shared" si="662"/>
        <v>최종 보스 : 빛을 향해 달리는 그림자</v>
      </c>
      <c r="J4875">
        <v>0</v>
      </c>
      <c r="K4875">
        <v>0</v>
      </c>
      <c r="L4875">
        <v>0</v>
      </c>
      <c r="M4875">
        <v>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2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/>
      <c r="AQ4875">
        <v>0</v>
      </c>
      <c r="AR4875">
        <v>0</v>
      </c>
      <c r="AT4875">
        <v>0</v>
      </c>
      <c r="AU4875">
        <v>0</v>
      </c>
      <c r="AW4875">
        <v>0</v>
      </c>
      <c r="AX4875">
        <v>0</v>
      </c>
      <c r="AY4875">
        <v>0</v>
      </c>
      <c r="BC4875" t="str">
        <f t="shared" si="663"/>
        <v>9791166067563</v>
      </c>
      <c r="BE4875" t="str">
        <f t="shared" si="664"/>
        <v>판타지 웹소설 &gt; 현대 판타지</v>
      </c>
    </row>
    <row r="4876" spans="1:57" x14ac:dyDescent="0.3">
      <c r="A4876">
        <v>2313011400</v>
      </c>
      <c r="B4876">
        <v>2313011415</v>
      </c>
      <c r="C4876" t="str">
        <f>T("최종 보스 1권 16화")</f>
        <v>최종 보스 1권 16화</v>
      </c>
      <c r="D4876" t="str">
        <f>T("16")</f>
        <v>16</v>
      </c>
      <c r="E4876" t="str">
        <f t="shared" si="661"/>
        <v>무장</v>
      </c>
      <c r="H4876" t="str">
        <f t="shared" si="653"/>
        <v>스토리위즈</v>
      </c>
      <c r="I4876" t="str">
        <f t="shared" si="662"/>
        <v>최종 보스 : 빛을 향해 달리는 그림자</v>
      </c>
      <c r="J4876">
        <v>0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2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/>
      <c r="AQ4876">
        <v>0</v>
      </c>
      <c r="AR4876">
        <v>0</v>
      </c>
      <c r="AT4876">
        <v>0</v>
      </c>
      <c r="AU4876">
        <v>0</v>
      </c>
      <c r="AW4876">
        <v>0</v>
      </c>
      <c r="AX4876">
        <v>0</v>
      </c>
      <c r="AY4876">
        <v>0</v>
      </c>
      <c r="BC4876" t="str">
        <f t="shared" si="663"/>
        <v>9791166067563</v>
      </c>
      <c r="BE4876" t="str">
        <f t="shared" si="664"/>
        <v>판타지 웹소설 &gt; 현대 판타지</v>
      </c>
    </row>
    <row r="4877" spans="1:57" x14ac:dyDescent="0.3">
      <c r="A4877">
        <v>2313011400</v>
      </c>
      <c r="B4877">
        <v>2313011416</v>
      </c>
      <c r="C4877" t="str">
        <f>T("최종 보스 1권 17화")</f>
        <v>최종 보스 1권 17화</v>
      </c>
      <c r="D4877" t="str">
        <f>T("17")</f>
        <v>17</v>
      </c>
      <c r="E4877" t="str">
        <f t="shared" si="661"/>
        <v>무장</v>
      </c>
      <c r="H4877" t="str">
        <f t="shared" si="653"/>
        <v>스토리위즈</v>
      </c>
      <c r="I4877" t="str">
        <f t="shared" si="662"/>
        <v>최종 보스 : 빛을 향해 달리는 그림자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2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/>
      <c r="AQ4877">
        <v>0</v>
      </c>
      <c r="AR4877">
        <v>0</v>
      </c>
      <c r="AT4877">
        <v>0</v>
      </c>
      <c r="AU4877">
        <v>0</v>
      </c>
      <c r="AW4877">
        <v>0</v>
      </c>
      <c r="AX4877">
        <v>0</v>
      </c>
      <c r="AY4877">
        <v>0</v>
      </c>
      <c r="BC4877" t="str">
        <f t="shared" si="663"/>
        <v>9791166067563</v>
      </c>
      <c r="BE4877" t="str">
        <f t="shared" si="664"/>
        <v>판타지 웹소설 &gt; 현대 판타지</v>
      </c>
    </row>
    <row r="4878" spans="1:57" x14ac:dyDescent="0.3">
      <c r="A4878">
        <v>2313011400</v>
      </c>
      <c r="B4878">
        <v>2313011417</v>
      </c>
      <c r="C4878" t="str">
        <f>T("최종 보스 1권 18화")</f>
        <v>최종 보스 1권 18화</v>
      </c>
      <c r="D4878" t="str">
        <f>T("18")</f>
        <v>18</v>
      </c>
      <c r="E4878" t="str">
        <f t="shared" si="661"/>
        <v>무장</v>
      </c>
      <c r="H4878" t="str">
        <f t="shared" si="653"/>
        <v>스토리위즈</v>
      </c>
      <c r="I4878" t="str">
        <f t="shared" si="662"/>
        <v>최종 보스 : 빛을 향해 달리는 그림자</v>
      </c>
      <c r="J4878">
        <v>0</v>
      </c>
      <c r="K4878">
        <v>0</v>
      </c>
      <c r="L4878">
        <v>0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2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/>
      <c r="AQ4878">
        <v>0</v>
      </c>
      <c r="AR4878">
        <v>0</v>
      </c>
      <c r="AT4878">
        <v>0</v>
      </c>
      <c r="AU4878">
        <v>0</v>
      </c>
      <c r="AW4878">
        <v>0</v>
      </c>
      <c r="AX4878">
        <v>0</v>
      </c>
      <c r="AY4878">
        <v>0</v>
      </c>
      <c r="BC4878" t="str">
        <f t="shared" si="663"/>
        <v>9791166067563</v>
      </c>
      <c r="BE4878" t="str">
        <f t="shared" si="664"/>
        <v>판타지 웹소설 &gt; 현대 판타지</v>
      </c>
    </row>
    <row r="4879" spans="1:57" x14ac:dyDescent="0.3">
      <c r="A4879">
        <v>2313011400</v>
      </c>
      <c r="B4879">
        <v>2313011418</v>
      </c>
      <c r="C4879" t="str">
        <f>T("최종 보스 1권 19화")</f>
        <v>최종 보스 1권 19화</v>
      </c>
      <c r="D4879" t="str">
        <f>T("19")</f>
        <v>19</v>
      </c>
      <c r="E4879" t="str">
        <f t="shared" si="661"/>
        <v>무장</v>
      </c>
      <c r="H4879" t="str">
        <f t="shared" si="653"/>
        <v>스토리위즈</v>
      </c>
      <c r="I4879" t="str">
        <f t="shared" si="662"/>
        <v>최종 보스 : 빛을 향해 달리는 그림자</v>
      </c>
      <c r="J4879">
        <v>0</v>
      </c>
      <c r="K4879">
        <v>0</v>
      </c>
      <c r="L4879">
        <v>0</v>
      </c>
      <c r="M4879">
        <v>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2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/>
      <c r="AQ4879">
        <v>0</v>
      </c>
      <c r="AR4879">
        <v>0</v>
      </c>
      <c r="AT4879">
        <v>0</v>
      </c>
      <c r="AU4879">
        <v>0</v>
      </c>
      <c r="AW4879">
        <v>0</v>
      </c>
      <c r="AX4879">
        <v>0</v>
      </c>
      <c r="AY4879">
        <v>0</v>
      </c>
      <c r="BC4879" t="str">
        <f t="shared" si="663"/>
        <v>9791166067563</v>
      </c>
      <c r="BE4879" t="str">
        <f t="shared" si="664"/>
        <v>판타지 웹소설 &gt; 현대 판타지</v>
      </c>
    </row>
    <row r="4880" spans="1:57" x14ac:dyDescent="0.3">
      <c r="A4880">
        <v>2313011400</v>
      </c>
      <c r="B4880">
        <v>2313011419</v>
      </c>
      <c r="C4880" t="str">
        <f>T("최종 보스 1권 20화")</f>
        <v>최종 보스 1권 20화</v>
      </c>
      <c r="D4880" t="str">
        <f>T("20")</f>
        <v>20</v>
      </c>
      <c r="E4880" t="str">
        <f t="shared" si="661"/>
        <v>무장</v>
      </c>
      <c r="H4880" t="str">
        <f t="shared" si="653"/>
        <v>스토리위즈</v>
      </c>
      <c r="I4880" t="str">
        <f t="shared" si="662"/>
        <v>최종 보스 : 빛을 향해 달리는 그림자</v>
      </c>
      <c r="J4880">
        <v>0</v>
      </c>
      <c r="K4880">
        <v>0</v>
      </c>
      <c r="L4880">
        <v>0</v>
      </c>
      <c r="M4880">
        <v>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2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/>
      <c r="AQ4880">
        <v>0</v>
      </c>
      <c r="AR4880">
        <v>0</v>
      </c>
      <c r="AT4880">
        <v>0</v>
      </c>
      <c r="AU4880">
        <v>0</v>
      </c>
      <c r="AW4880">
        <v>0</v>
      </c>
      <c r="AX4880">
        <v>0</v>
      </c>
      <c r="AY4880">
        <v>0</v>
      </c>
      <c r="BC4880" t="str">
        <f t="shared" si="663"/>
        <v>9791166067563</v>
      </c>
      <c r="BE4880" t="str">
        <f t="shared" si="664"/>
        <v>판타지 웹소설 &gt; 현대 판타지</v>
      </c>
    </row>
    <row r="4881" spans="1:57" x14ac:dyDescent="0.3">
      <c r="A4881">
        <v>2313011400</v>
      </c>
      <c r="B4881">
        <v>2313011420</v>
      </c>
      <c r="C4881" t="str">
        <f>T("최종 보스 1권 21화")</f>
        <v>최종 보스 1권 21화</v>
      </c>
      <c r="D4881" t="str">
        <f>T("21")</f>
        <v>21</v>
      </c>
      <c r="E4881" t="str">
        <f t="shared" si="661"/>
        <v>무장</v>
      </c>
      <c r="H4881" t="str">
        <f t="shared" si="653"/>
        <v>스토리위즈</v>
      </c>
      <c r="I4881" t="str">
        <f t="shared" si="662"/>
        <v>최종 보스 : 빛을 향해 달리는 그림자</v>
      </c>
      <c r="J4881">
        <v>0</v>
      </c>
      <c r="K4881">
        <v>0</v>
      </c>
      <c r="L4881">
        <v>0</v>
      </c>
      <c r="M4881">
        <v>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2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/>
      <c r="AQ4881">
        <v>0</v>
      </c>
      <c r="AR4881">
        <v>0</v>
      </c>
      <c r="AT4881">
        <v>0</v>
      </c>
      <c r="AU4881">
        <v>0</v>
      </c>
      <c r="AW4881">
        <v>0</v>
      </c>
      <c r="AX4881">
        <v>0</v>
      </c>
      <c r="AY4881">
        <v>0</v>
      </c>
      <c r="BC4881" t="str">
        <f t="shared" si="663"/>
        <v>9791166067563</v>
      </c>
      <c r="BE4881" t="str">
        <f t="shared" si="664"/>
        <v>판타지 웹소설 &gt; 현대 판타지</v>
      </c>
    </row>
    <row r="4882" spans="1:57" x14ac:dyDescent="0.3">
      <c r="A4882">
        <v>2313011400</v>
      </c>
      <c r="B4882">
        <v>2313011421</v>
      </c>
      <c r="C4882" t="str">
        <f>T("최종 보스 1권 22화")</f>
        <v>최종 보스 1권 22화</v>
      </c>
      <c r="D4882" t="str">
        <f>T("22")</f>
        <v>22</v>
      </c>
      <c r="E4882" t="str">
        <f t="shared" si="661"/>
        <v>무장</v>
      </c>
      <c r="H4882" t="str">
        <f t="shared" si="653"/>
        <v>스토리위즈</v>
      </c>
      <c r="I4882" t="str">
        <f t="shared" si="662"/>
        <v>최종 보스 : 빛을 향해 달리는 그림자</v>
      </c>
      <c r="J4882">
        <v>0</v>
      </c>
      <c r="K4882">
        <v>0</v>
      </c>
      <c r="L4882">
        <v>0</v>
      </c>
      <c r="M4882">
        <v>3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3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/>
      <c r="AQ4882">
        <v>0</v>
      </c>
      <c r="AR4882">
        <v>0</v>
      </c>
      <c r="AT4882">
        <v>0</v>
      </c>
      <c r="AU4882">
        <v>0</v>
      </c>
      <c r="AW4882">
        <v>0</v>
      </c>
      <c r="AX4882">
        <v>0</v>
      </c>
      <c r="AY4882">
        <v>0</v>
      </c>
      <c r="BC4882" t="str">
        <f t="shared" si="663"/>
        <v>9791166067563</v>
      </c>
      <c r="BE4882" t="str">
        <f t="shared" si="664"/>
        <v>판타지 웹소설 &gt; 현대 판타지</v>
      </c>
    </row>
    <row r="4883" spans="1:57" x14ac:dyDescent="0.3">
      <c r="A4883">
        <v>2313011938</v>
      </c>
      <c r="B4883">
        <v>2313011938</v>
      </c>
      <c r="C4883" t="str">
        <f>T("[e북]최종 보스 : 빛을 향해 달리는 그림자 1부 1권")</f>
        <v>[e북]최종 보스 : 빛을 향해 달리는 그림자 1부 1권</v>
      </c>
      <c r="D4883" t="str">
        <f>T("1")</f>
        <v>1</v>
      </c>
      <c r="E4883" t="str">
        <f t="shared" si="661"/>
        <v>무장</v>
      </c>
      <c r="H4883" t="str">
        <f t="shared" si="653"/>
        <v>스토리위즈</v>
      </c>
      <c r="I4883" t="str">
        <f>T("[e북]최종 보스 : 빛을 향해 달리는 그림자")</f>
        <v>[e북]최종 보스 : 빛을 향해 달리는 그림자</v>
      </c>
      <c r="J4883">
        <v>0</v>
      </c>
      <c r="K4883">
        <v>0</v>
      </c>
      <c r="L4883">
        <v>0</v>
      </c>
      <c r="M4883">
        <v>37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37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/>
      <c r="AQ4883">
        <v>0</v>
      </c>
      <c r="AR4883">
        <v>0</v>
      </c>
      <c r="AT4883">
        <v>0</v>
      </c>
      <c r="AU4883">
        <v>0</v>
      </c>
      <c r="AW4883">
        <v>0</v>
      </c>
      <c r="AX4883">
        <v>0</v>
      </c>
      <c r="AY4883">
        <v>0</v>
      </c>
      <c r="BC4883" t="str">
        <f>T("9791137601017")</f>
        <v>9791137601017</v>
      </c>
      <c r="BE4883" t="str">
        <f>T("판타지 e북 &gt; 현대 판타지")</f>
        <v>판타지 e북 &gt; 현대 판타지</v>
      </c>
    </row>
    <row r="4884" spans="1:57" x14ac:dyDescent="0.3">
      <c r="A4884">
        <v>2313011955</v>
      </c>
      <c r="B4884">
        <v>2313011955</v>
      </c>
      <c r="C4884" t="str">
        <f>T("갓 오브 블랙필드 1화")</f>
        <v>갓 오브 블랙필드 1화</v>
      </c>
      <c r="D4884" t="str">
        <f>T("1")</f>
        <v>1</v>
      </c>
      <c r="E4884" t="str">
        <f t="shared" si="661"/>
        <v>무장</v>
      </c>
      <c r="H4884" t="str">
        <f t="shared" si="653"/>
        <v>스토리위즈</v>
      </c>
      <c r="I4884" t="str">
        <f t="shared" ref="I4884:I4903" si="665">T("갓 오브 블랙필드")</f>
        <v>갓 오브 블랙필드</v>
      </c>
      <c r="J4884">
        <v>0</v>
      </c>
      <c r="K4884">
        <v>0</v>
      </c>
      <c r="L4884">
        <v>0</v>
      </c>
      <c r="M4884">
        <v>8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8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/>
      <c r="AQ4884">
        <v>0</v>
      </c>
      <c r="AR4884">
        <v>0</v>
      </c>
      <c r="AT4884">
        <v>0</v>
      </c>
      <c r="AU4884">
        <v>0</v>
      </c>
      <c r="AW4884">
        <v>0</v>
      </c>
      <c r="AX4884">
        <v>0</v>
      </c>
      <c r="AY4884">
        <v>0</v>
      </c>
      <c r="BC4884" t="str">
        <f t="shared" ref="BC4884:BC4903" si="666">T("9791137602113")</f>
        <v>9791137602113</v>
      </c>
      <c r="BE4884" t="str">
        <f t="shared" ref="BE4884:BE4919" si="667">T("판타지 웹소설 &gt; 현대 판타지")</f>
        <v>판타지 웹소설 &gt; 현대 판타지</v>
      </c>
    </row>
    <row r="4885" spans="1:57" x14ac:dyDescent="0.3">
      <c r="A4885">
        <v>2313011955</v>
      </c>
      <c r="B4885">
        <v>2313011956</v>
      </c>
      <c r="C4885" t="str">
        <f>T("갓 오브 블랙필드 2화")</f>
        <v>갓 오브 블랙필드 2화</v>
      </c>
      <c r="D4885" t="str">
        <f>T("2")</f>
        <v>2</v>
      </c>
      <c r="E4885" t="str">
        <f t="shared" si="661"/>
        <v>무장</v>
      </c>
      <c r="H4885" t="str">
        <f t="shared" si="653"/>
        <v>스토리위즈</v>
      </c>
      <c r="I4885" t="str">
        <f t="shared" si="665"/>
        <v>갓 오브 블랙필드</v>
      </c>
      <c r="J4885">
        <v>0</v>
      </c>
      <c r="K4885">
        <v>0</v>
      </c>
      <c r="L4885">
        <v>0</v>
      </c>
      <c r="M4885">
        <v>6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6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/>
      <c r="AQ4885">
        <v>0</v>
      </c>
      <c r="AR4885">
        <v>0</v>
      </c>
      <c r="AT4885">
        <v>0</v>
      </c>
      <c r="AU4885">
        <v>0</v>
      </c>
      <c r="AW4885">
        <v>0</v>
      </c>
      <c r="AX4885">
        <v>0</v>
      </c>
      <c r="AY4885">
        <v>0</v>
      </c>
      <c r="BC4885" t="str">
        <f t="shared" si="666"/>
        <v>9791137602113</v>
      </c>
      <c r="BE4885" t="str">
        <f t="shared" si="667"/>
        <v>판타지 웹소설 &gt; 현대 판타지</v>
      </c>
    </row>
    <row r="4886" spans="1:57" x14ac:dyDescent="0.3">
      <c r="A4886">
        <v>2313011955</v>
      </c>
      <c r="B4886">
        <v>2313011957</v>
      </c>
      <c r="C4886" t="str">
        <f>T("갓 오브 블랙필드 3화")</f>
        <v>갓 오브 블랙필드 3화</v>
      </c>
      <c r="D4886" t="str">
        <f>T("3")</f>
        <v>3</v>
      </c>
      <c r="E4886" t="str">
        <f t="shared" si="661"/>
        <v>무장</v>
      </c>
      <c r="H4886" t="str">
        <f t="shared" si="653"/>
        <v>스토리위즈</v>
      </c>
      <c r="I4886" t="str">
        <f t="shared" si="665"/>
        <v>갓 오브 블랙필드</v>
      </c>
      <c r="J4886">
        <v>0</v>
      </c>
      <c r="K4886">
        <v>0</v>
      </c>
      <c r="L4886">
        <v>0</v>
      </c>
      <c r="M4886">
        <v>5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5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/>
      <c r="AQ4886">
        <v>0</v>
      </c>
      <c r="AR4886">
        <v>0</v>
      </c>
      <c r="AT4886">
        <v>0</v>
      </c>
      <c r="AU4886">
        <v>0</v>
      </c>
      <c r="AW4886">
        <v>0</v>
      </c>
      <c r="AX4886">
        <v>0</v>
      </c>
      <c r="AY4886">
        <v>0</v>
      </c>
      <c r="BC4886" t="str">
        <f t="shared" si="666"/>
        <v>9791137602113</v>
      </c>
      <c r="BE4886" t="str">
        <f t="shared" si="667"/>
        <v>판타지 웹소설 &gt; 현대 판타지</v>
      </c>
    </row>
    <row r="4887" spans="1:57" x14ac:dyDescent="0.3">
      <c r="A4887">
        <v>2313011955</v>
      </c>
      <c r="B4887">
        <v>2313011958</v>
      </c>
      <c r="C4887" t="str">
        <f>T("갓 오브 블랙필드 4화")</f>
        <v>갓 오브 블랙필드 4화</v>
      </c>
      <c r="D4887" t="str">
        <f>T("4")</f>
        <v>4</v>
      </c>
      <c r="E4887" t="str">
        <f t="shared" si="661"/>
        <v>무장</v>
      </c>
      <c r="H4887" t="str">
        <f t="shared" si="653"/>
        <v>스토리위즈</v>
      </c>
      <c r="I4887" t="str">
        <f t="shared" si="665"/>
        <v>갓 오브 블랙필드</v>
      </c>
      <c r="J4887">
        <v>0</v>
      </c>
      <c r="K4887">
        <v>0</v>
      </c>
      <c r="L4887">
        <v>0</v>
      </c>
      <c r="M4887">
        <v>5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5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/>
      <c r="AQ4887">
        <v>0</v>
      </c>
      <c r="AR4887">
        <v>0</v>
      </c>
      <c r="AT4887">
        <v>0</v>
      </c>
      <c r="AU4887">
        <v>0</v>
      </c>
      <c r="AW4887">
        <v>0</v>
      </c>
      <c r="AX4887">
        <v>0</v>
      </c>
      <c r="AY4887">
        <v>0</v>
      </c>
      <c r="BC4887" t="str">
        <f t="shared" si="666"/>
        <v>9791137602113</v>
      </c>
      <c r="BE4887" t="str">
        <f t="shared" si="667"/>
        <v>판타지 웹소설 &gt; 현대 판타지</v>
      </c>
    </row>
    <row r="4888" spans="1:57" x14ac:dyDescent="0.3">
      <c r="A4888">
        <v>2313011955</v>
      </c>
      <c r="B4888">
        <v>2313011959</v>
      </c>
      <c r="C4888" t="str">
        <f>T("갓 오브 블랙필드 5화")</f>
        <v>갓 오브 블랙필드 5화</v>
      </c>
      <c r="D4888" t="str">
        <f>T("5")</f>
        <v>5</v>
      </c>
      <c r="E4888" t="str">
        <f t="shared" si="661"/>
        <v>무장</v>
      </c>
      <c r="H4888" t="str">
        <f t="shared" ref="H4888:H4951" si="668">T("스토리위즈")</f>
        <v>스토리위즈</v>
      </c>
      <c r="I4888" t="str">
        <f t="shared" si="665"/>
        <v>갓 오브 블랙필드</v>
      </c>
      <c r="J4888">
        <v>0</v>
      </c>
      <c r="K4888">
        <v>0</v>
      </c>
      <c r="L4888">
        <v>0</v>
      </c>
      <c r="M4888">
        <v>5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5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/>
      <c r="AQ4888">
        <v>0</v>
      </c>
      <c r="AR4888">
        <v>0</v>
      </c>
      <c r="AT4888">
        <v>0</v>
      </c>
      <c r="AU4888">
        <v>0</v>
      </c>
      <c r="AW4888">
        <v>0</v>
      </c>
      <c r="AX4888">
        <v>0</v>
      </c>
      <c r="AY4888">
        <v>0</v>
      </c>
      <c r="BC4888" t="str">
        <f t="shared" si="666"/>
        <v>9791137602113</v>
      </c>
      <c r="BE4888" t="str">
        <f t="shared" si="667"/>
        <v>판타지 웹소설 &gt; 현대 판타지</v>
      </c>
    </row>
    <row r="4889" spans="1:57" x14ac:dyDescent="0.3">
      <c r="A4889">
        <v>2313011955</v>
      </c>
      <c r="B4889">
        <v>2313011960</v>
      </c>
      <c r="C4889" t="str">
        <f>T("갓 오브 블랙필드 6화")</f>
        <v>갓 오브 블랙필드 6화</v>
      </c>
      <c r="D4889" t="str">
        <f>T("6")</f>
        <v>6</v>
      </c>
      <c r="E4889" t="str">
        <f t="shared" si="661"/>
        <v>무장</v>
      </c>
      <c r="H4889" t="str">
        <f t="shared" si="668"/>
        <v>스토리위즈</v>
      </c>
      <c r="I4889" t="str">
        <f t="shared" si="665"/>
        <v>갓 오브 블랙필드</v>
      </c>
      <c r="J4889">
        <v>0</v>
      </c>
      <c r="K4889">
        <v>0</v>
      </c>
      <c r="L4889">
        <v>0</v>
      </c>
      <c r="M4889">
        <v>5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5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/>
      <c r="AQ4889">
        <v>0</v>
      </c>
      <c r="AR4889">
        <v>0</v>
      </c>
      <c r="AT4889">
        <v>0</v>
      </c>
      <c r="AU4889">
        <v>0</v>
      </c>
      <c r="AW4889">
        <v>0</v>
      </c>
      <c r="AX4889">
        <v>0</v>
      </c>
      <c r="AY4889">
        <v>0</v>
      </c>
      <c r="BC4889" t="str">
        <f t="shared" si="666"/>
        <v>9791137602113</v>
      </c>
      <c r="BE4889" t="str">
        <f t="shared" si="667"/>
        <v>판타지 웹소설 &gt; 현대 판타지</v>
      </c>
    </row>
    <row r="4890" spans="1:57" x14ac:dyDescent="0.3">
      <c r="A4890">
        <v>2313011955</v>
      </c>
      <c r="B4890">
        <v>2313011961</v>
      </c>
      <c r="C4890" t="str">
        <f>T("갓 오브 블랙필드 7화")</f>
        <v>갓 오브 블랙필드 7화</v>
      </c>
      <c r="D4890" t="str">
        <f>T("7")</f>
        <v>7</v>
      </c>
      <c r="E4890" t="str">
        <f t="shared" si="661"/>
        <v>무장</v>
      </c>
      <c r="H4890" t="str">
        <f t="shared" si="668"/>
        <v>스토리위즈</v>
      </c>
      <c r="I4890" t="str">
        <f t="shared" si="665"/>
        <v>갓 오브 블랙필드</v>
      </c>
      <c r="J4890">
        <v>0</v>
      </c>
      <c r="K4890">
        <v>0</v>
      </c>
      <c r="L4890">
        <v>0</v>
      </c>
      <c r="M4890">
        <v>5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5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/>
      <c r="AQ4890">
        <v>0</v>
      </c>
      <c r="AR4890">
        <v>0</v>
      </c>
      <c r="AT4890">
        <v>0</v>
      </c>
      <c r="AU4890">
        <v>0</v>
      </c>
      <c r="AW4890">
        <v>0</v>
      </c>
      <c r="AX4890">
        <v>0</v>
      </c>
      <c r="AY4890">
        <v>0</v>
      </c>
      <c r="BC4890" t="str">
        <f t="shared" si="666"/>
        <v>9791137602113</v>
      </c>
      <c r="BE4890" t="str">
        <f t="shared" si="667"/>
        <v>판타지 웹소설 &gt; 현대 판타지</v>
      </c>
    </row>
    <row r="4891" spans="1:57" x14ac:dyDescent="0.3">
      <c r="A4891">
        <v>2313011955</v>
      </c>
      <c r="B4891">
        <v>2313011962</v>
      </c>
      <c r="C4891" t="str">
        <f>T("갓 오브 블랙필드 8화")</f>
        <v>갓 오브 블랙필드 8화</v>
      </c>
      <c r="D4891" t="str">
        <f>T("8")</f>
        <v>8</v>
      </c>
      <c r="E4891" t="str">
        <f t="shared" si="661"/>
        <v>무장</v>
      </c>
      <c r="H4891" t="str">
        <f t="shared" si="668"/>
        <v>스토리위즈</v>
      </c>
      <c r="I4891" t="str">
        <f t="shared" si="665"/>
        <v>갓 오브 블랙필드</v>
      </c>
      <c r="J4891">
        <v>0</v>
      </c>
      <c r="K4891">
        <v>0</v>
      </c>
      <c r="L4891">
        <v>0</v>
      </c>
      <c r="M4891">
        <v>5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5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/>
      <c r="AQ4891">
        <v>0</v>
      </c>
      <c r="AR4891">
        <v>0</v>
      </c>
      <c r="AT4891">
        <v>0</v>
      </c>
      <c r="AU4891">
        <v>0</v>
      </c>
      <c r="AW4891">
        <v>0</v>
      </c>
      <c r="AX4891">
        <v>0</v>
      </c>
      <c r="AY4891">
        <v>0</v>
      </c>
      <c r="BC4891" t="str">
        <f t="shared" si="666"/>
        <v>9791137602113</v>
      </c>
      <c r="BE4891" t="str">
        <f t="shared" si="667"/>
        <v>판타지 웹소설 &gt; 현대 판타지</v>
      </c>
    </row>
    <row r="4892" spans="1:57" x14ac:dyDescent="0.3">
      <c r="A4892">
        <v>2313011955</v>
      </c>
      <c r="B4892">
        <v>2313011963</v>
      </c>
      <c r="C4892" t="str">
        <f>T("갓 오브 블랙필드 9화")</f>
        <v>갓 오브 블랙필드 9화</v>
      </c>
      <c r="D4892" t="str">
        <f>T("9")</f>
        <v>9</v>
      </c>
      <c r="E4892" t="str">
        <f t="shared" si="661"/>
        <v>무장</v>
      </c>
      <c r="H4892" t="str">
        <f t="shared" si="668"/>
        <v>스토리위즈</v>
      </c>
      <c r="I4892" t="str">
        <f t="shared" si="665"/>
        <v>갓 오브 블랙필드</v>
      </c>
      <c r="J4892">
        <v>0</v>
      </c>
      <c r="K4892">
        <v>0</v>
      </c>
      <c r="L4892">
        <v>0</v>
      </c>
      <c r="M4892">
        <v>5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5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/>
      <c r="AQ4892">
        <v>0</v>
      </c>
      <c r="AR4892">
        <v>0</v>
      </c>
      <c r="AT4892">
        <v>0</v>
      </c>
      <c r="AU4892">
        <v>0</v>
      </c>
      <c r="AW4892">
        <v>0</v>
      </c>
      <c r="AX4892">
        <v>0</v>
      </c>
      <c r="AY4892">
        <v>0</v>
      </c>
      <c r="BC4892" t="str">
        <f t="shared" si="666"/>
        <v>9791137602113</v>
      </c>
      <c r="BE4892" t="str">
        <f t="shared" si="667"/>
        <v>판타지 웹소설 &gt; 현대 판타지</v>
      </c>
    </row>
    <row r="4893" spans="1:57" x14ac:dyDescent="0.3">
      <c r="A4893">
        <v>2313011955</v>
      </c>
      <c r="B4893">
        <v>2313011964</v>
      </c>
      <c r="C4893" t="str">
        <f>T("갓 오브 블랙필드 10화")</f>
        <v>갓 오브 블랙필드 10화</v>
      </c>
      <c r="D4893" t="str">
        <f>T("10")</f>
        <v>10</v>
      </c>
      <c r="E4893" t="str">
        <f t="shared" si="661"/>
        <v>무장</v>
      </c>
      <c r="H4893" t="str">
        <f t="shared" si="668"/>
        <v>스토리위즈</v>
      </c>
      <c r="I4893" t="str">
        <f t="shared" si="665"/>
        <v>갓 오브 블랙필드</v>
      </c>
      <c r="J4893">
        <v>0</v>
      </c>
      <c r="K4893">
        <v>0</v>
      </c>
      <c r="L4893">
        <v>0</v>
      </c>
      <c r="M4893">
        <v>5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5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/>
      <c r="AQ4893">
        <v>0</v>
      </c>
      <c r="AR4893">
        <v>0</v>
      </c>
      <c r="AT4893">
        <v>0</v>
      </c>
      <c r="AU4893">
        <v>0</v>
      </c>
      <c r="AW4893">
        <v>0</v>
      </c>
      <c r="AX4893">
        <v>0</v>
      </c>
      <c r="AY4893">
        <v>0</v>
      </c>
      <c r="BC4893" t="str">
        <f t="shared" si="666"/>
        <v>9791137602113</v>
      </c>
      <c r="BE4893" t="str">
        <f t="shared" si="667"/>
        <v>판타지 웹소설 &gt; 현대 판타지</v>
      </c>
    </row>
    <row r="4894" spans="1:57" x14ac:dyDescent="0.3">
      <c r="A4894">
        <v>2313011955</v>
      </c>
      <c r="B4894">
        <v>2313011965</v>
      </c>
      <c r="C4894" t="str">
        <f>T("갓 오브 블랙필드 11화")</f>
        <v>갓 오브 블랙필드 11화</v>
      </c>
      <c r="D4894" t="str">
        <f>T("11")</f>
        <v>11</v>
      </c>
      <c r="E4894" t="str">
        <f t="shared" si="661"/>
        <v>무장</v>
      </c>
      <c r="H4894" t="str">
        <f t="shared" si="668"/>
        <v>스토리위즈</v>
      </c>
      <c r="I4894" t="str">
        <f t="shared" si="665"/>
        <v>갓 오브 블랙필드</v>
      </c>
      <c r="J4894">
        <v>0</v>
      </c>
      <c r="K4894">
        <v>0</v>
      </c>
      <c r="L4894">
        <v>0</v>
      </c>
      <c r="M4894">
        <v>5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5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/>
      <c r="AQ4894">
        <v>0</v>
      </c>
      <c r="AR4894">
        <v>0</v>
      </c>
      <c r="AT4894">
        <v>0</v>
      </c>
      <c r="AU4894">
        <v>0</v>
      </c>
      <c r="AW4894">
        <v>0</v>
      </c>
      <c r="AX4894">
        <v>0</v>
      </c>
      <c r="AY4894">
        <v>0</v>
      </c>
      <c r="BC4894" t="str">
        <f t="shared" si="666"/>
        <v>9791137602113</v>
      </c>
      <c r="BE4894" t="str">
        <f t="shared" si="667"/>
        <v>판타지 웹소설 &gt; 현대 판타지</v>
      </c>
    </row>
    <row r="4895" spans="1:57" x14ac:dyDescent="0.3">
      <c r="A4895">
        <v>2313011955</v>
      </c>
      <c r="B4895">
        <v>2313011966</v>
      </c>
      <c r="C4895" t="str">
        <f>T("갓 오브 블랙필드 12화")</f>
        <v>갓 오브 블랙필드 12화</v>
      </c>
      <c r="D4895" t="str">
        <f>T("12")</f>
        <v>12</v>
      </c>
      <c r="E4895" t="str">
        <f t="shared" si="661"/>
        <v>무장</v>
      </c>
      <c r="H4895" t="str">
        <f t="shared" si="668"/>
        <v>스토리위즈</v>
      </c>
      <c r="I4895" t="str">
        <f t="shared" si="665"/>
        <v>갓 오브 블랙필드</v>
      </c>
      <c r="J4895">
        <v>0</v>
      </c>
      <c r="K4895">
        <v>0</v>
      </c>
      <c r="L4895">
        <v>0</v>
      </c>
      <c r="M4895">
        <v>5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5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/>
      <c r="AQ4895">
        <v>0</v>
      </c>
      <c r="AR4895">
        <v>0</v>
      </c>
      <c r="AT4895">
        <v>0</v>
      </c>
      <c r="AU4895">
        <v>0</v>
      </c>
      <c r="AW4895">
        <v>0</v>
      </c>
      <c r="AX4895">
        <v>0</v>
      </c>
      <c r="AY4895">
        <v>0</v>
      </c>
      <c r="BC4895" t="str">
        <f t="shared" si="666"/>
        <v>9791137602113</v>
      </c>
      <c r="BE4895" t="str">
        <f t="shared" si="667"/>
        <v>판타지 웹소설 &gt; 현대 판타지</v>
      </c>
    </row>
    <row r="4896" spans="1:57" x14ac:dyDescent="0.3">
      <c r="A4896">
        <v>2313011955</v>
      </c>
      <c r="B4896">
        <v>2313011967</v>
      </c>
      <c r="C4896" t="str">
        <f>T("갓 오브 블랙필드 13화")</f>
        <v>갓 오브 블랙필드 13화</v>
      </c>
      <c r="D4896" t="str">
        <f>T("13")</f>
        <v>13</v>
      </c>
      <c r="E4896" t="str">
        <f t="shared" si="661"/>
        <v>무장</v>
      </c>
      <c r="H4896" t="str">
        <f t="shared" si="668"/>
        <v>스토리위즈</v>
      </c>
      <c r="I4896" t="str">
        <f t="shared" si="665"/>
        <v>갓 오브 블랙필드</v>
      </c>
      <c r="J4896">
        <v>0</v>
      </c>
      <c r="K4896">
        <v>0</v>
      </c>
      <c r="L4896">
        <v>0</v>
      </c>
      <c r="M4896">
        <v>5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5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/>
      <c r="AQ4896">
        <v>0</v>
      </c>
      <c r="AR4896">
        <v>0</v>
      </c>
      <c r="AT4896">
        <v>0</v>
      </c>
      <c r="AU4896">
        <v>0</v>
      </c>
      <c r="AW4896">
        <v>0</v>
      </c>
      <c r="AX4896">
        <v>0</v>
      </c>
      <c r="AY4896">
        <v>0</v>
      </c>
      <c r="BC4896" t="str">
        <f t="shared" si="666"/>
        <v>9791137602113</v>
      </c>
      <c r="BE4896" t="str">
        <f t="shared" si="667"/>
        <v>판타지 웹소설 &gt; 현대 판타지</v>
      </c>
    </row>
    <row r="4897" spans="1:57" x14ac:dyDescent="0.3">
      <c r="A4897">
        <v>2313011955</v>
      </c>
      <c r="B4897">
        <v>2313011968</v>
      </c>
      <c r="C4897" t="str">
        <f>T("갓 오브 블랙필드 14화")</f>
        <v>갓 오브 블랙필드 14화</v>
      </c>
      <c r="D4897" t="str">
        <f>T("14")</f>
        <v>14</v>
      </c>
      <c r="E4897" t="str">
        <f t="shared" si="661"/>
        <v>무장</v>
      </c>
      <c r="H4897" t="str">
        <f t="shared" si="668"/>
        <v>스토리위즈</v>
      </c>
      <c r="I4897" t="str">
        <f t="shared" si="665"/>
        <v>갓 오브 블랙필드</v>
      </c>
      <c r="J4897">
        <v>0</v>
      </c>
      <c r="K4897">
        <v>0</v>
      </c>
      <c r="L4897">
        <v>0</v>
      </c>
      <c r="M4897">
        <v>5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5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/>
      <c r="AQ4897">
        <v>0</v>
      </c>
      <c r="AR4897">
        <v>0</v>
      </c>
      <c r="AT4897">
        <v>0</v>
      </c>
      <c r="AU4897">
        <v>0</v>
      </c>
      <c r="AW4897">
        <v>0</v>
      </c>
      <c r="AX4897">
        <v>0</v>
      </c>
      <c r="AY4897">
        <v>0</v>
      </c>
      <c r="BC4897" t="str">
        <f t="shared" si="666"/>
        <v>9791137602113</v>
      </c>
      <c r="BE4897" t="str">
        <f t="shared" si="667"/>
        <v>판타지 웹소설 &gt; 현대 판타지</v>
      </c>
    </row>
    <row r="4898" spans="1:57" x14ac:dyDescent="0.3">
      <c r="A4898">
        <v>2313011955</v>
      </c>
      <c r="B4898">
        <v>2313011969</v>
      </c>
      <c r="C4898" t="str">
        <f>T("갓 오브 블랙필드 15화")</f>
        <v>갓 오브 블랙필드 15화</v>
      </c>
      <c r="D4898" t="str">
        <f>T("15")</f>
        <v>15</v>
      </c>
      <c r="E4898" t="str">
        <f t="shared" si="661"/>
        <v>무장</v>
      </c>
      <c r="H4898" t="str">
        <f t="shared" si="668"/>
        <v>스토리위즈</v>
      </c>
      <c r="I4898" t="str">
        <f t="shared" si="665"/>
        <v>갓 오브 블랙필드</v>
      </c>
      <c r="J4898">
        <v>0</v>
      </c>
      <c r="K4898">
        <v>0</v>
      </c>
      <c r="L4898">
        <v>0</v>
      </c>
      <c r="M4898">
        <v>5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5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/>
      <c r="AQ4898">
        <v>0</v>
      </c>
      <c r="AR4898">
        <v>0</v>
      </c>
      <c r="AT4898">
        <v>0</v>
      </c>
      <c r="AU4898">
        <v>0</v>
      </c>
      <c r="AW4898">
        <v>0</v>
      </c>
      <c r="AX4898">
        <v>0</v>
      </c>
      <c r="AY4898">
        <v>0</v>
      </c>
      <c r="BC4898" t="str">
        <f t="shared" si="666"/>
        <v>9791137602113</v>
      </c>
      <c r="BE4898" t="str">
        <f t="shared" si="667"/>
        <v>판타지 웹소설 &gt; 현대 판타지</v>
      </c>
    </row>
    <row r="4899" spans="1:57" x14ac:dyDescent="0.3">
      <c r="A4899">
        <v>2313011955</v>
      </c>
      <c r="B4899">
        <v>2313011970</v>
      </c>
      <c r="C4899" t="str">
        <f>T("갓 오브 블랙필드 16화")</f>
        <v>갓 오브 블랙필드 16화</v>
      </c>
      <c r="D4899" t="str">
        <f>T("16")</f>
        <v>16</v>
      </c>
      <c r="E4899" t="str">
        <f t="shared" si="661"/>
        <v>무장</v>
      </c>
      <c r="H4899" t="str">
        <f t="shared" si="668"/>
        <v>스토리위즈</v>
      </c>
      <c r="I4899" t="str">
        <f t="shared" si="665"/>
        <v>갓 오브 블랙필드</v>
      </c>
      <c r="J4899">
        <v>0</v>
      </c>
      <c r="K4899">
        <v>0</v>
      </c>
      <c r="L4899">
        <v>0</v>
      </c>
      <c r="M4899">
        <v>5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5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/>
      <c r="AQ4899">
        <v>0</v>
      </c>
      <c r="AR4899">
        <v>0</v>
      </c>
      <c r="AT4899">
        <v>0</v>
      </c>
      <c r="AU4899">
        <v>0</v>
      </c>
      <c r="AW4899">
        <v>0</v>
      </c>
      <c r="AX4899">
        <v>0</v>
      </c>
      <c r="AY4899">
        <v>0</v>
      </c>
      <c r="BC4899" t="str">
        <f t="shared" si="666"/>
        <v>9791137602113</v>
      </c>
      <c r="BE4899" t="str">
        <f t="shared" si="667"/>
        <v>판타지 웹소설 &gt; 현대 판타지</v>
      </c>
    </row>
    <row r="4900" spans="1:57" x14ac:dyDescent="0.3">
      <c r="A4900">
        <v>2313011955</v>
      </c>
      <c r="B4900">
        <v>2313011971</v>
      </c>
      <c r="C4900" t="str">
        <f>T("갓 오브 블랙필드 17화")</f>
        <v>갓 오브 블랙필드 17화</v>
      </c>
      <c r="D4900" t="str">
        <f>T("17")</f>
        <v>17</v>
      </c>
      <c r="E4900" t="str">
        <f t="shared" si="661"/>
        <v>무장</v>
      </c>
      <c r="H4900" t="str">
        <f t="shared" si="668"/>
        <v>스토리위즈</v>
      </c>
      <c r="I4900" t="str">
        <f t="shared" si="665"/>
        <v>갓 오브 블랙필드</v>
      </c>
      <c r="J4900">
        <v>0</v>
      </c>
      <c r="K4900">
        <v>0</v>
      </c>
      <c r="L4900">
        <v>0</v>
      </c>
      <c r="M4900">
        <v>5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5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/>
      <c r="AQ4900">
        <v>0</v>
      </c>
      <c r="AR4900">
        <v>0</v>
      </c>
      <c r="AT4900">
        <v>0</v>
      </c>
      <c r="AU4900">
        <v>0</v>
      </c>
      <c r="AW4900">
        <v>0</v>
      </c>
      <c r="AX4900">
        <v>0</v>
      </c>
      <c r="AY4900">
        <v>0</v>
      </c>
      <c r="BC4900" t="str">
        <f t="shared" si="666"/>
        <v>9791137602113</v>
      </c>
      <c r="BE4900" t="str">
        <f t="shared" si="667"/>
        <v>판타지 웹소설 &gt; 현대 판타지</v>
      </c>
    </row>
    <row r="4901" spans="1:57" x14ac:dyDescent="0.3">
      <c r="A4901">
        <v>2313011955</v>
      </c>
      <c r="B4901">
        <v>2313011972</v>
      </c>
      <c r="C4901" t="str">
        <f>T("갓 오브 블랙필드 18화")</f>
        <v>갓 오브 블랙필드 18화</v>
      </c>
      <c r="D4901" t="str">
        <f>T("18")</f>
        <v>18</v>
      </c>
      <c r="E4901" t="str">
        <f t="shared" si="661"/>
        <v>무장</v>
      </c>
      <c r="H4901" t="str">
        <f t="shared" si="668"/>
        <v>스토리위즈</v>
      </c>
      <c r="I4901" t="str">
        <f t="shared" si="665"/>
        <v>갓 오브 블랙필드</v>
      </c>
      <c r="J4901">
        <v>0</v>
      </c>
      <c r="K4901">
        <v>0</v>
      </c>
      <c r="L4901">
        <v>0</v>
      </c>
      <c r="M4901">
        <v>4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4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/>
      <c r="AQ4901">
        <v>0</v>
      </c>
      <c r="AR4901">
        <v>0</v>
      </c>
      <c r="AT4901">
        <v>0</v>
      </c>
      <c r="AU4901">
        <v>0</v>
      </c>
      <c r="AW4901">
        <v>0</v>
      </c>
      <c r="AX4901">
        <v>0</v>
      </c>
      <c r="AY4901">
        <v>0</v>
      </c>
      <c r="BC4901" t="str">
        <f t="shared" si="666"/>
        <v>9791137602113</v>
      </c>
      <c r="BE4901" t="str">
        <f t="shared" si="667"/>
        <v>판타지 웹소설 &gt; 현대 판타지</v>
      </c>
    </row>
    <row r="4902" spans="1:57" x14ac:dyDescent="0.3">
      <c r="A4902">
        <v>2313011955</v>
      </c>
      <c r="B4902">
        <v>2313011973</v>
      </c>
      <c r="C4902" t="str">
        <f>T("갓 오브 블랙필드 19화")</f>
        <v>갓 오브 블랙필드 19화</v>
      </c>
      <c r="D4902" t="str">
        <f>T("19")</f>
        <v>19</v>
      </c>
      <c r="E4902" t="str">
        <f t="shared" si="661"/>
        <v>무장</v>
      </c>
      <c r="H4902" t="str">
        <f t="shared" si="668"/>
        <v>스토리위즈</v>
      </c>
      <c r="I4902" t="str">
        <f t="shared" si="665"/>
        <v>갓 오브 블랙필드</v>
      </c>
      <c r="J4902">
        <v>0</v>
      </c>
      <c r="K4902">
        <v>0</v>
      </c>
      <c r="L4902">
        <v>0</v>
      </c>
      <c r="M4902">
        <v>4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4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/>
      <c r="AQ4902">
        <v>0</v>
      </c>
      <c r="AR4902">
        <v>0</v>
      </c>
      <c r="AT4902">
        <v>0</v>
      </c>
      <c r="AU4902">
        <v>0</v>
      </c>
      <c r="AW4902">
        <v>0</v>
      </c>
      <c r="AX4902">
        <v>0</v>
      </c>
      <c r="AY4902">
        <v>0</v>
      </c>
      <c r="BC4902" t="str">
        <f t="shared" si="666"/>
        <v>9791137602113</v>
      </c>
      <c r="BE4902" t="str">
        <f t="shared" si="667"/>
        <v>판타지 웹소설 &gt; 현대 판타지</v>
      </c>
    </row>
    <row r="4903" spans="1:57" x14ac:dyDescent="0.3">
      <c r="A4903">
        <v>2313011955</v>
      </c>
      <c r="B4903">
        <v>2313011974</v>
      </c>
      <c r="C4903" t="str">
        <f>T("갓 오브 블랙필드 20화")</f>
        <v>갓 오브 블랙필드 20화</v>
      </c>
      <c r="D4903" t="str">
        <f>T("20")</f>
        <v>20</v>
      </c>
      <c r="E4903" t="str">
        <f t="shared" si="661"/>
        <v>무장</v>
      </c>
      <c r="H4903" t="str">
        <f t="shared" si="668"/>
        <v>스토리위즈</v>
      </c>
      <c r="I4903" t="str">
        <f t="shared" si="665"/>
        <v>갓 오브 블랙필드</v>
      </c>
      <c r="J4903">
        <v>0</v>
      </c>
      <c r="K4903">
        <v>0</v>
      </c>
      <c r="L4903">
        <v>0</v>
      </c>
      <c r="M4903">
        <v>4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4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/>
      <c r="AQ4903">
        <v>0</v>
      </c>
      <c r="AR4903">
        <v>0</v>
      </c>
      <c r="AT4903">
        <v>0</v>
      </c>
      <c r="AU4903">
        <v>0</v>
      </c>
      <c r="AW4903">
        <v>0</v>
      </c>
      <c r="AX4903">
        <v>0</v>
      </c>
      <c r="AY4903">
        <v>0</v>
      </c>
      <c r="BC4903" t="str">
        <f t="shared" si="666"/>
        <v>9791137602113</v>
      </c>
      <c r="BE4903" t="str">
        <f t="shared" si="667"/>
        <v>판타지 웹소설 &gt; 현대 판타지</v>
      </c>
    </row>
    <row r="4904" spans="1:57" x14ac:dyDescent="0.3">
      <c r="A4904">
        <v>2313012374</v>
      </c>
      <c r="B4904">
        <v>2313012374</v>
      </c>
      <c r="C4904" t="str">
        <f>T("그라운드의 지배자 1화")</f>
        <v>그라운드의 지배자 1화</v>
      </c>
      <c r="D4904" t="str">
        <f>T("1")</f>
        <v>1</v>
      </c>
      <c r="E4904" t="str">
        <f t="shared" si="661"/>
        <v>무장</v>
      </c>
      <c r="H4904" t="str">
        <f t="shared" si="668"/>
        <v>스토리위즈</v>
      </c>
      <c r="I4904" t="str">
        <f t="shared" ref="I4904:I4919" si="669">T("그라운드의 지배자")</f>
        <v>그라운드의 지배자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1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/>
      <c r="AQ4904">
        <v>0</v>
      </c>
      <c r="AR4904">
        <v>0</v>
      </c>
      <c r="AT4904">
        <v>0</v>
      </c>
      <c r="AU4904">
        <v>0</v>
      </c>
      <c r="AW4904">
        <v>0</v>
      </c>
      <c r="AX4904">
        <v>0</v>
      </c>
      <c r="AY4904">
        <v>0</v>
      </c>
      <c r="BC4904" t="str">
        <f t="shared" ref="BC4904:BC4919" si="670">T("9791137602120")</f>
        <v>9791137602120</v>
      </c>
      <c r="BE4904" t="str">
        <f t="shared" si="667"/>
        <v>판타지 웹소설 &gt; 현대 판타지</v>
      </c>
    </row>
    <row r="4905" spans="1:57" x14ac:dyDescent="0.3">
      <c r="A4905">
        <v>2313012374</v>
      </c>
      <c r="B4905">
        <v>2313012375</v>
      </c>
      <c r="C4905" t="str">
        <f>T("그라운드의 지배자 2화")</f>
        <v>그라운드의 지배자 2화</v>
      </c>
      <c r="D4905" t="str">
        <f>T("2")</f>
        <v>2</v>
      </c>
      <c r="E4905" t="str">
        <f t="shared" si="661"/>
        <v>무장</v>
      </c>
      <c r="H4905" t="str">
        <f t="shared" si="668"/>
        <v>스토리위즈</v>
      </c>
      <c r="I4905" t="str">
        <f t="shared" si="669"/>
        <v>그라운드의 지배자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/>
      <c r="AQ4905">
        <v>0</v>
      </c>
      <c r="AR4905">
        <v>0</v>
      </c>
      <c r="AT4905">
        <v>0</v>
      </c>
      <c r="AU4905">
        <v>0</v>
      </c>
      <c r="AW4905">
        <v>0</v>
      </c>
      <c r="AX4905">
        <v>0</v>
      </c>
      <c r="AY4905">
        <v>0</v>
      </c>
      <c r="BC4905" t="str">
        <f t="shared" si="670"/>
        <v>9791137602120</v>
      </c>
      <c r="BE4905" t="str">
        <f t="shared" si="667"/>
        <v>판타지 웹소설 &gt; 현대 판타지</v>
      </c>
    </row>
    <row r="4906" spans="1:57" x14ac:dyDescent="0.3">
      <c r="A4906">
        <v>2313012374</v>
      </c>
      <c r="B4906">
        <v>2313012376</v>
      </c>
      <c r="C4906" t="str">
        <f>T("그라운드의 지배자 3화")</f>
        <v>그라운드의 지배자 3화</v>
      </c>
      <c r="D4906" t="str">
        <f>T("3")</f>
        <v>3</v>
      </c>
      <c r="E4906" t="str">
        <f t="shared" si="661"/>
        <v>무장</v>
      </c>
      <c r="H4906" t="str">
        <f t="shared" si="668"/>
        <v>스토리위즈</v>
      </c>
      <c r="I4906" t="str">
        <f t="shared" si="669"/>
        <v>그라운드의 지배자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1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/>
      <c r="AQ4906">
        <v>0</v>
      </c>
      <c r="AR4906">
        <v>0</v>
      </c>
      <c r="AT4906">
        <v>0</v>
      </c>
      <c r="AU4906">
        <v>0</v>
      </c>
      <c r="AW4906">
        <v>0</v>
      </c>
      <c r="AX4906">
        <v>0</v>
      </c>
      <c r="AY4906">
        <v>0</v>
      </c>
      <c r="BC4906" t="str">
        <f t="shared" si="670"/>
        <v>9791137602120</v>
      </c>
      <c r="BE4906" t="str">
        <f t="shared" si="667"/>
        <v>판타지 웹소설 &gt; 현대 판타지</v>
      </c>
    </row>
    <row r="4907" spans="1:57" x14ac:dyDescent="0.3">
      <c r="A4907">
        <v>2313012374</v>
      </c>
      <c r="B4907">
        <v>2313012377</v>
      </c>
      <c r="C4907" t="str">
        <f>T("그라운드의 지배자 4화")</f>
        <v>그라운드의 지배자 4화</v>
      </c>
      <c r="D4907" t="str">
        <f>T("4")</f>
        <v>4</v>
      </c>
      <c r="E4907" t="str">
        <f t="shared" si="661"/>
        <v>무장</v>
      </c>
      <c r="H4907" t="str">
        <f t="shared" si="668"/>
        <v>스토리위즈</v>
      </c>
      <c r="I4907" t="str">
        <f t="shared" si="669"/>
        <v>그라운드의 지배자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/>
      <c r="AQ4907">
        <v>0</v>
      </c>
      <c r="AR4907">
        <v>0</v>
      </c>
      <c r="AT4907">
        <v>0</v>
      </c>
      <c r="AU4907">
        <v>0</v>
      </c>
      <c r="AW4907">
        <v>0</v>
      </c>
      <c r="AX4907">
        <v>0</v>
      </c>
      <c r="AY4907">
        <v>0</v>
      </c>
      <c r="BC4907" t="str">
        <f t="shared" si="670"/>
        <v>9791137602120</v>
      </c>
      <c r="BE4907" t="str">
        <f t="shared" si="667"/>
        <v>판타지 웹소설 &gt; 현대 판타지</v>
      </c>
    </row>
    <row r="4908" spans="1:57" x14ac:dyDescent="0.3">
      <c r="A4908">
        <v>2313012374</v>
      </c>
      <c r="B4908">
        <v>2313012378</v>
      </c>
      <c r="C4908" t="str">
        <f>T("그라운드의 지배자 5화")</f>
        <v>그라운드의 지배자 5화</v>
      </c>
      <c r="D4908" t="str">
        <f>T("5")</f>
        <v>5</v>
      </c>
      <c r="E4908" t="str">
        <f t="shared" si="661"/>
        <v>무장</v>
      </c>
      <c r="H4908" t="str">
        <f t="shared" si="668"/>
        <v>스토리위즈</v>
      </c>
      <c r="I4908" t="str">
        <f t="shared" si="669"/>
        <v>그라운드의 지배자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/>
      <c r="AQ4908">
        <v>0</v>
      </c>
      <c r="AR4908">
        <v>0</v>
      </c>
      <c r="AT4908">
        <v>0</v>
      </c>
      <c r="AU4908">
        <v>0</v>
      </c>
      <c r="AW4908">
        <v>0</v>
      </c>
      <c r="AX4908">
        <v>0</v>
      </c>
      <c r="AY4908">
        <v>0</v>
      </c>
      <c r="BC4908" t="str">
        <f t="shared" si="670"/>
        <v>9791137602120</v>
      </c>
      <c r="BE4908" t="str">
        <f t="shared" si="667"/>
        <v>판타지 웹소설 &gt; 현대 판타지</v>
      </c>
    </row>
    <row r="4909" spans="1:57" x14ac:dyDescent="0.3">
      <c r="A4909">
        <v>2313012374</v>
      </c>
      <c r="B4909">
        <v>2313012379</v>
      </c>
      <c r="C4909" t="str">
        <f>T("그라운드의 지배자 6화")</f>
        <v>그라운드의 지배자 6화</v>
      </c>
      <c r="D4909" t="str">
        <f>T("6")</f>
        <v>6</v>
      </c>
      <c r="E4909" t="str">
        <f t="shared" si="661"/>
        <v>무장</v>
      </c>
      <c r="H4909" t="str">
        <f t="shared" si="668"/>
        <v>스토리위즈</v>
      </c>
      <c r="I4909" t="str">
        <f t="shared" si="669"/>
        <v>그라운드의 지배자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/>
      <c r="AQ4909">
        <v>0</v>
      </c>
      <c r="AR4909">
        <v>0</v>
      </c>
      <c r="AT4909">
        <v>0</v>
      </c>
      <c r="AU4909">
        <v>0</v>
      </c>
      <c r="AW4909">
        <v>0</v>
      </c>
      <c r="AX4909">
        <v>0</v>
      </c>
      <c r="AY4909">
        <v>0</v>
      </c>
      <c r="BC4909" t="str">
        <f t="shared" si="670"/>
        <v>9791137602120</v>
      </c>
      <c r="BE4909" t="str">
        <f t="shared" si="667"/>
        <v>판타지 웹소설 &gt; 현대 판타지</v>
      </c>
    </row>
    <row r="4910" spans="1:57" x14ac:dyDescent="0.3">
      <c r="A4910">
        <v>2313012374</v>
      </c>
      <c r="B4910">
        <v>2313012380</v>
      </c>
      <c r="C4910" t="str">
        <f>T("그라운드의 지배자 7화")</f>
        <v>그라운드의 지배자 7화</v>
      </c>
      <c r="D4910" t="str">
        <f>T("7")</f>
        <v>7</v>
      </c>
      <c r="E4910" t="str">
        <f t="shared" si="661"/>
        <v>무장</v>
      </c>
      <c r="H4910" t="str">
        <f t="shared" si="668"/>
        <v>스토리위즈</v>
      </c>
      <c r="I4910" t="str">
        <f t="shared" si="669"/>
        <v>그라운드의 지배자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1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/>
      <c r="AQ4910">
        <v>0</v>
      </c>
      <c r="AR4910">
        <v>0</v>
      </c>
      <c r="AT4910">
        <v>0</v>
      </c>
      <c r="AU4910">
        <v>0</v>
      </c>
      <c r="AW4910">
        <v>0</v>
      </c>
      <c r="AX4910">
        <v>0</v>
      </c>
      <c r="AY4910">
        <v>0</v>
      </c>
      <c r="BC4910" t="str">
        <f t="shared" si="670"/>
        <v>9791137602120</v>
      </c>
      <c r="BE4910" t="str">
        <f t="shared" si="667"/>
        <v>판타지 웹소설 &gt; 현대 판타지</v>
      </c>
    </row>
    <row r="4911" spans="1:57" x14ac:dyDescent="0.3">
      <c r="A4911">
        <v>2313012374</v>
      </c>
      <c r="B4911">
        <v>2313012381</v>
      </c>
      <c r="C4911" t="str">
        <f>T("그라운드의 지배자 8화")</f>
        <v>그라운드의 지배자 8화</v>
      </c>
      <c r="D4911" t="str">
        <f>T("8")</f>
        <v>8</v>
      </c>
      <c r="E4911" t="str">
        <f t="shared" si="661"/>
        <v>무장</v>
      </c>
      <c r="H4911" t="str">
        <f t="shared" si="668"/>
        <v>스토리위즈</v>
      </c>
      <c r="I4911" t="str">
        <f t="shared" si="669"/>
        <v>그라운드의 지배자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/>
      <c r="AQ4911">
        <v>0</v>
      </c>
      <c r="AR4911">
        <v>0</v>
      </c>
      <c r="AT4911">
        <v>0</v>
      </c>
      <c r="AU4911">
        <v>0</v>
      </c>
      <c r="AW4911">
        <v>0</v>
      </c>
      <c r="AX4911">
        <v>0</v>
      </c>
      <c r="AY4911">
        <v>0</v>
      </c>
      <c r="BC4911" t="str">
        <f t="shared" si="670"/>
        <v>9791137602120</v>
      </c>
      <c r="BE4911" t="str">
        <f t="shared" si="667"/>
        <v>판타지 웹소설 &gt; 현대 판타지</v>
      </c>
    </row>
    <row r="4912" spans="1:57" x14ac:dyDescent="0.3">
      <c r="A4912">
        <v>2313012374</v>
      </c>
      <c r="B4912">
        <v>2313012382</v>
      </c>
      <c r="C4912" t="str">
        <f>T("그라운드의 지배자 9화")</f>
        <v>그라운드의 지배자 9화</v>
      </c>
      <c r="D4912" t="str">
        <f>T("9")</f>
        <v>9</v>
      </c>
      <c r="E4912" t="str">
        <f t="shared" si="661"/>
        <v>무장</v>
      </c>
      <c r="H4912" t="str">
        <f t="shared" si="668"/>
        <v>스토리위즈</v>
      </c>
      <c r="I4912" t="str">
        <f t="shared" si="669"/>
        <v>그라운드의 지배자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/>
      <c r="AQ4912">
        <v>0</v>
      </c>
      <c r="AR4912">
        <v>0</v>
      </c>
      <c r="AT4912">
        <v>0</v>
      </c>
      <c r="AU4912">
        <v>0</v>
      </c>
      <c r="AW4912">
        <v>0</v>
      </c>
      <c r="AX4912">
        <v>0</v>
      </c>
      <c r="AY4912">
        <v>0</v>
      </c>
      <c r="BC4912" t="str">
        <f t="shared" si="670"/>
        <v>9791137602120</v>
      </c>
      <c r="BE4912" t="str">
        <f t="shared" si="667"/>
        <v>판타지 웹소설 &gt; 현대 판타지</v>
      </c>
    </row>
    <row r="4913" spans="1:57" x14ac:dyDescent="0.3">
      <c r="A4913">
        <v>2313012374</v>
      </c>
      <c r="B4913">
        <v>2313012383</v>
      </c>
      <c r="C4913" t="str">
        <f>T("그라운드의 지배자 10화")</f>
        <v>그라운드의 지배자 10화</v>
      </c>
      <c r="D4913" t="str">
        <f>T("10")</f>
        <v>10</v>
      </c>
      <c r="E4913" t="str">
        <f t="shared" si="661"/>
        <v>무장</v>
      </c>
      <c r="H4913" t="str">
        <f t="shared" si="668"/>
        <v>스토리위즈</v>
      </c>
      <c r="I4913" t="str">
        <f t="shared" si="669"/>
        <v>그라운드의 지배자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/>
      <c r="AQ4913">
        <v>0</v>
      </c>
      <c r="AR4913">
        <v>0</v>
      </c>
      <c r="AT4913">
        <v>0</v>
      </c>
      <c r="AU4913">
        <v>0</v>
      </c>
      <c r="AW4913">
        <v>0</v>
      </c>
      <c r="AX4913">
        <v>0</v>
      </c>
      <c r="AY4913">
        <v>0</v>
      </c>
      <c r="BC4913" t="str">
        <f t="shared" si="670"/>
        <v>9791137602120</v>
      </c>
      <c r="BE4913" t="str">
        <f t="shared" si="667"/>
        <v>판타지 웹소설 &gt; 현대 판타지</v>
      </c>
    </row>
    <row r="4914" spans="1:57" x14ac:dyDescent="0.3">
      <c r="A4914">
        <v>2313012374</v>
      </c>
      <c r="B4914">
        <v>2313012384</v>
      </c>
      <c r="C4914" t="str">
        <f>T("그라운드의 지배자 11화")</f>
        <v>그라운드의 지배자 11화</v>
      </c>
      <c r="D4914" t="str">
        <f>T("11")</f>
        <v>11</v>
      </c>
      <c r="E4914" t="str">
        <f t="shared" si="661"/>
        <v>무장</v>
      </c>
      <c r="H4914" t="str">
        <f t="shared" si="668"/>
        <v>스토리위즈</v>
      </c>
      <c r="I4914" t="str">
        <f t="shared" si="669"/>
        <v>그라운드의 지배자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/>
      <c r="AQ4914">
        <v>0</v>
      </c>
      <c r="AR4914">
        <v>0</v>
      </c>
      <c r="AT4914">
        <v>0</v>
      </c>
      <c r="AU4914">
        <v>0</v>
      </c>
      <c r="AW4914">
        <v>0</v>
      </c>
      <c r="AX4914">
        <v>0</v>
      </c>
      <c r="AY4914">
        <v>0</v>
      </c>
      <c r="BC4914" t="str">
        <f t="shared" si="670"/>
        <v>9791137602120</v>
      </c>
      <c r="BE4914" t="str">
        <f t="shared" si="667"/>
        <v>판타지 웹소설 &gt; 현대 판타지</v>
      </c>
    </row>
    <row r="4915" spans="1:57" x14ac:dyDescent="0.3">
      <c r="A4915">
        <v>2313012374</v>
      </c>
      <c r="B4915">
        <v>2313012385</v>
      </c>
      <c r="C4915" t="str">
        <f>T("그라운드의 지배자 12화")</f>
        <v>그라운드의 지배자 12화</v>
      </c>
      <c r="D4915" t="str">
        <f>T("12")</f>
        <v>12</v>
      </c>
      <c r="E4915" t="str">
        <f t="shared" si="661"/>
        <v>무장</v>
      </c>
      <c r="H4915" t="str">
        <f t="shared" si="668"/>
        <v>스토리위즈</v>
      </c>
      <c r="I4915" t="str">
        <f t="shared" si="669"/>
        <v>그라운드의 지배자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/>
      <c r="AQ4915">
        <v>0</v>
      </c>
      <c r="AR4915">
        <v>0</v>
      </c>
      <c r="AT4915">
        <v>0</v>
      </c>
      <c r="AU4915">
        <v>0</v>
      </c>
      <c r="AW4915">
        <v>0</v>
      </c>
      <c r="AX4915">
        <v>0</v>
      </c>
      <c r="AY4915">
        <v>0</v>
      </c>
      <c r="BC4915" t="str">
        <f t="shared" si="670"/>
        <v>9791137602120</v>
      </c>
      <c r="BE4915" t="str">
        <f t="shared" si="667"/>
        <v>판타지 웹소설 &gt; 현대 판타지</v>
      </c>
    </row>
    <row r="4916" spans="1:57" x14ac:dyDescent="0.3">
      <c r="A4916">
        <v>2313012374</v>
      </c>
      <c r="B4916">
        <v>2313012386</v>
      </c>
      <c r="C4916" t="str">
        <f>T("그라운드의 지배자 13화")</f>
        <v>그라운드의 지배자 13화</v>
      </c>
      <c r="D4916" t="str">
        <f>T("13")</f>
        <v>13</v>
      </c>
      <c r="E4916" t="str">
        <f t="shared" si="661"/>
        <v>무장</v>
      </c>
      <c r="H4916" t="str">
        <f t="shared" si="668"/>
        <v>스토리위즈</v>
      </c>
      <c r="I4916" t="str">
        <f t="shared" si="669"/>
        <v>그라운드의 지배자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/>
      <c r="AQ4916">
        <v>0</v>
      </c>
      <c r="AR4916">
        <v>0</v>
      </c>
      <c r="AT4916">
        <v>0</v>
      </c>
      <c r="AU4916">
        <v>0</v>
      </c>
      <c r="AW4916">
        <v>0</v>
      </c>
      <c r="AX4916">
        <v>0</v>
      </c>
      <c r="AY4916">
        <v>0</v>
      </c>
      <c r="BC4916" t="str">
        <f t="shared" si="670"/>
        <v>9791137602120</v>
      </c>
      <c r="BE4916" t="str">
        <f t="shared" si="667"/>
        <v>판타지 웹소설 &gt; 현대 판타지</v>
      </c>
    </row>
    <row r="4917" spans="1:57" x14ac:dyDescent="0.3">
      <c r="A4917">
        <v>2313012374</v>
      </c>
      <c r="B4917">
        <v>2313012387</v>
      </c>
      <c r="C4917" t="str">
        <f>T("그라운드의 지배자 14화")</f>
        <v>그라운드의 지배자 14화</v>
      </c>
      <c r="D4917" t="str">
        <f>T("14")</f>
        <v>14</v>
      </c>
      <c r="E4917" t="str">
        <f t="shared" si="661"/>
        <v>무장</v>
      </c>
      <c r="H4917" t="str">
        <f t="shared" si="668"/>
        <v>스토리위즈</v>
      </c>
      <c r="I4917" t="str">
        <f t="shared" si="669"/>
        <v>그라운드의 지배자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/>
      <c r="AQ4917">
        <v>0</v>
      </c>
      <c r="AR4917">
        <v>0</v>
      </c>
      <c r="AT4917">
        <v>0</v>
      </c>
      <c r="AU4917">
        <v>0</v>
      </c>
      <c r="AW4917">
        <v>0</v>
      </c>
      <c r="AX4917">
        <v>0</v>
      </c>
      <c r="AY4917">
        <v>0</v>
      </c>
      <c r="BC4917" t="str">
        <f t="shared" si="670"/>
        <v>9791137602120</v>
      </c>
      <c r="BE4917" t="str">
        <f t="shared" si="667"/>
        <v>판타지 웹소설 &gt; 현대 판타지</v>
      </c>
    </row>
    <row r="4918" spans="1:57" x14ac:dyDescent="0.3">
      <c r="A4918">
        <v>2313012374</v>
      </c>
      <c r="B4918">
        <v>2313012388</v>
      </c>
      <c r="C4918" t="str">
        <f>T("그라운드의 지배자 15화")</f>
        <v>그라운드의 지배자 15화</v>
      </c>
      <c r="D4918" t="str">
        <f>T("15")</f>
        <v>15</v>
      </c>
      <c r="E4918" t="str">
        <f t="shared" si="661"/>
        <v>무장</v>
      </c>
      <c r="H4918" t="str">
        <f t="shared" si="668"/>
        <v>스토리위즈</v>
      </c>
      <c r="I4918" t="str">
        <f t="shared" si="669"/>
        <v>그라운드의 지배자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/>
      <c r="AQ4918">
        <v>0</v>
      </c>
      <c r="AR4918">
        <v>0</v>
      </c>
      <c r="AT4918">
        <v>0</v>
      </c>
      <c r="AU4918">
        <v>0</v>
      </c>
      <c r="AW4918">
        <v>0</v>
      </c>
      <c r="AX4918">
        <v>0</v>
      </c>
      <c r="AY4918">
        <v>0</v>
      </c>
      <c r="BC4918" t="str">
        <f t="shared" si="670"/>
        <v>9791137602120</v>
      </c>
      <c r="BE4918" t="str">
        <f t="shared" si="667"/>
        <v>판타지 웹소설 &gt; 현대 판타지</v>
      </c>
    </row>
    <row r="4919" spans="1:57" x14ac:dyDescent="0.3">
      <c r="A4919">
        <v>2313012374</v>
      </c>
      <c r="B4919">
        <v>2313012389</v>
      </c>
      <c r="C4919" t="str">
        <f>T("그라운드의 지배자 16화")</f>
        <v>그라운드의 지배자 16화</v>
      </c>
      <c r="D4919" t="str">
        <f>T("16")</f>
        <v>16</v>
      </c>
      <c r="E4919" t="str">
        <f t="shared" si="661"/>
        <v>무장</v>
      </c>
      <c r="H4919" t="str">
        <f t="shared" si="668"/>
        <v>스토리위즈</v>
      </c>
      <c r="I4919" t="str">
        <f t="shared" si="669"/>
        <v>그라운드의 지배자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/>
      <c r="AQ4919">
        <v>0</v>
      </c>
      <c r="AR4919">
        <v>0</v>
      </c>
      <c r="AT4919">
        <v>0</v>
      </c>
      <c r="AU4919">
        <v>0</v>
      </c>
      <c r="AW4919">
        <v>0</v>
      </c>
      <c r="AX4919">
        <v>0</v>
      </c>
      <c r="AY4919">
        <v>0</v>
      </c>
      <c r="BC4919" t="str">
        <f t="shared" si="670"/>
        <v>9791137602120</v>
      </c>
      <c r="BE4919" t="str">
        <f t="shared" si="667"/>
        <v>판타지 웹소설 &gt; 현대 판타지</v>
      </c>
    </row>
    <row r="4920" spans="1:57" x14ac:dyDescent="0.3">
      <c r="A4920">
        <v>2313012798</v>
      </c>
      <c r="B4920">
        <v>2313012798</v>
      </c>
      <c r="C4920" t="str">
        <f>T("[e북]강호유정 1")</f>
        <v>[e북]강호유정 1</v>
      </c>
      <c r="D4920" t="str">
        <f>T("1")</f>
        <v>1</v>
      </c>
      <c r="E4920" t="str">
        <f t="shared" si="661"/>
        <v>무장</v>
      </c>
      <c r="H4920" t="str">
        <f t="shared" si="668"/>
        <v>스토리위즈</v>
      </c>
      <c r="I4920" t="str">
        <f>T("[e북]강호유정")</f>
        <v>[e북]강호유정</v>
      </c>
      <c r="J4920">
        <v>0</v>
      </c>
      <c r="K4920">
        <v>0</v>
      </c>
      <c r="L4920">
        <v>0</v>
      </c>
      <c r="M4920">
        <v>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2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/>
      <c r="AQ4920">
        <v>0</v>
      </c>
      <c r="AR4920">
        <v>0</v>
      </c>
      <c r="AT4920">
        <v>0</v>
      </c>
      <c r="AU4920">
        <v>0</v>
      </c>
      <c r="AW4920">
        <v>0</v>
      </c>
      <c r="AX4920">
        <v>0</v>
      </c>
      <c r="AY4920">
        <v>0</v>
      </c>
      <c r="BA4920" t="str">
        <f>T("9788928010615")</f>
        <v>9788928010615</v>
      </c>
      <c r="BC4920" t="str">
        <f>T("9791137602601")</f>
        <v>9791137602601</v>
      </c>
      <c r="BD4920" t="str">
        <f>T("BOOKCUBE.131100761")</f>
        <v>BOOKCUBE.131100761</v>
      </c>
      <c r="BE4920" t="str">
        <f>T("판타지 e북 &gt; 신무협")</f>
        <v>판타지 e북 &gt; 신무협</v>
      </c>
    </row>
    <row r="4921" spans="1:57" x14ac:dyDescent="0.3">
      <c r="A4921">
        <v>2313012805</v>
      </c>
      <c r="B4921">
        <v>2313012805</v>
      </c>
      <c r="C4921" t="str">
        <f>T("[e북]그라운드의 지배자 1권")</f>
        <v>[e북]그라운드의 지배자 1권</v>
      </c>
      <c r="D4921" t="str">
        <f>T("1")</f>
        <v>1</v>
      </c>
      <c r="E4921" t="str">
        <f t="shared" si="661"/>
        <v>무장</v>
      </c>
      <c r="H4921" t="str">
        <f t="shared" si="668"/>
        <v>스토리위즈</v>
      </c>
      <c r="I4921" t="str">
        <f>T("[e북]그라운드의 지배자")</f>
        <v>[e북]그라운드의 지배자</v>
      </c>
      <c r="J4921">
        <v>0</v>
      </c>
      <c r="K4921">
        <v>0</v>
      </c>
      <c r="L4921">
        <v>0</v>
      </c>
      <c r="M4921">
        <v>5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5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/>
      <c r="AQ4921">
        <v>0</v>
      </c>
      <c r="AR4921">
        <v>0</v>
      </c>
      <c r="AT4921">
        <v>0</v>
      </c>
      <c r="AU4921">
        <v>0</v>
      </c>
      <c r="AW4921">
        <v>0</v>
      </c>
      <c r="AX4921">
        <v>0</v>
      </c>
      <c r="AY4921">
        <v>0</v>
      </c>
      <c r="BA4921" t="str">
        <f>T("9788928064922")</f>
        <v>9788928064922</v>
      </c>
      <c r="BC4921" t="str">
        <f>T("9791137602489")</f>
        <v>9791137602489</v>
      </c>
      <c r="BE4921" t="str">
        <f>T("판타지 e북 &gt; 스포츠물")</f>
        <v>판타지 e북 &gt; 스포츠물</v>
      </c>
    </row>
    <row r="4922" spans="1:57" x14ac:dyDescent="0.3">
      <c r="A4922">
        <v>2313012817</v>
      </c>
      <c r="B4922">
        <v>2313012817</v>
      </c>
      <c r="C4922" t="str">
        <f>T("[e북]갓 오브 블랙필드 1권")</f>
        <v>[e북]갓 오브 블랙필드 1권</v>
      </c>
      <c r="D4922" t="str">
        <f>T("1")</f>
        <v>1</v>
      </c>
      <c r="E4922" t="str">
        <f t="shared" si="661"/>
        <v>무장</v>
      </c>
      <c r="H4922" t="str">
        <f t="shared" si="668"/>
        <v>스토리위즈</v>
      </c>
      <c r="I4922" t="str">
        <f>T("[e북]갓 오브 블랙필드")</f>
        <v>[e북]갓 오브 블랙필드</v>
      </c>
      <c r="J4922">
        <v>0</v>
      </c>
      <c r="K4922">
        <v>0</v>
      </c>
      <c r="L4922">
        <v>0</v>
      </c>
      <c r="M4922">
        <v>33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33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/>
      <c r="AQ4922">
        <v>0</v>
      </c>
      <c r="AR4922">
        <v>0</v>
      </c>
      <c r="AT4922">
        <v>0</v>
      </c>
      <c r="AU4922">
        <v>0</v>
      </c>
      <c r="AW4922">
        <v>0</v>
      </c>
      <c r="AX4922">
        <v>0</v>
      </c>
      <c r="AY4922">
        <v>0</v>
      </c>
      <c r="BA4922" t="str">
        <f>T("0000000000000")</f>
        <v>0000000000000</v>
      </c>
      <c r="BC4922" t="str">
        <f>T("9791137602144")</f>
        <v>9791137602144</v>
      </c>
      <c r="BE4922" t="str">
        <f>T("판타지 e북 &gt; 현대 판타지")</f>
        <v>판타지 e북 &gt; 현대 판타지</v>
      </c>
    </row>
    <row r="4923" spans="1:57" x14ac:dyDescent="0.3">
      <c r="A4923">
        <v>2313012849</v>
      </c>
      <c r="B4923">
        <v>2313012849</v>
      </c>
      <c r="C4923" t="str">
        <f>T("디버프 마스터 1화")</f>
        <v>디버프 마스터 1화</v>
      </c>
      <c r="D4923" t="str">
        <f>T("1")</f>
        <v>1</v>
      </c>
      <c r="E4923" t="str">
        <f t="shared" ref="E4923:E4947" si="671">T("담화공")</f>
        <v>담화공</v>
      </c>
      <c r="H4923" t="str">
        <f t="shared" si="668"/>
        <v>스토리위즈</v>
      </c>
      <c r="I4923" t="str">
        <f t="shared" ref="I4923:I4947" si="672">T("디버프 마스터")</f>
        <v>디버프 마스터</v>
      </c>
      <c r="J4923">
        <v>0</v>
      </c>
      <c r="K4923">
        <v>0</v>
      </c>
      <c r="L4923">
        <v>0</v>
      </c>
      <c r="M4923">
        <v>4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4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/>
      <c r="AQ4923">
        <v>0</v>
      </c>
      <c r="AR4923">
        <v>0</v>
      </c>
      <c r="AT4923">
        <v>0</v>
      </c>
      <c r="AU4923">
        <v>0</v>
      </c>
      <c r="AW4923">
        <v>0</v>
      </c>
      <c r="AX4923">
        <v>0</v>
      </c>
      <c r="AY4923">
        <v>0</v>
      </c>
      <c r="BC4923" t="str">
        <f t="shared" ref="BC4923:BC4947" si="673">T("9791137602663")</f>
        <v>9791137602663</v>
      </c>
      <c r="BE4923" t="str">
        <f t="shared" ref="BE4923:BE4977" si="674">T("판타지 웹소설 &gt; 퓨전 판타지")</f>
        <v>판타지 웹소설 &gt; 퓨전 판타지</v>
      </c>
    </row>
    <row r="4924" spans="1:57" x14ac:dyDescent="0.3">
      <c r="A4924">
        <v>2313012849</v>
      </c>
      <c r="B4924">
        <v>2313012850</v>
      </c>
      <c r="C4924" t="str">
        <f>T("디버프 마스터 2화")</f>
        <v>디버프 마스터 2화</v>
      </c>
      <c r="D4924" t="str">
        <f>T("2")</f>
        <v>2</v>
      </c>
      <c r="E4924" t="str">
        <f t="shared" si="671"/>
        <v>담화공</v>
      </c>
      <c r="H4924" t="str">
        <f t="shared" si="668"/>
        <v>스토리위즈</v>
      </c>
      <c r="I4924" t="str">
        <f t="shared" si="672"/>
        <v>디버프 마스터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/>
      <c r="AQ4924">
        <v>0</v>
      </c>
      <c r="AR4924">
        <v>0</v>
      </c>
      <c r="AT4924">
        <v>0</v>
      </c>
      <c r="AU4924">
        <v>0</v>
      </c>
      <c r="AW4924">
        <v>0</v>
      </c>
      <c r="AX4924">
        <v>0</v>
      </c>
      <c r="AY4924">
        <v>0</v>
      </c>
      <c r="BC4924" t="str">
        <f t="shared" si="673"/>
        <v>9791137602663</v>
      </c>
      <c r="BE4924" t="str">
        <f t="shared" si="674"/>
        <v>판타지 웹소설 &gt; 퓨전 판타지</v>
      </c>
    </row>
    <row r="4925" spans="1:57" x14ac:dyDescent="0.3">
      <c r="A4925">
        <v>2313012849</v>
      </c>
      <c r="B4925">
        <v>2313012851</v>
      </c>
      <c r="C4925" t="str">
        <f>T("디버프 마스터 3화")</f>
        <v>디버프 마스터 3화</v>
      </c>
      <c r="D4925" t="str">
        <f>T("3")</f>
        <v>3</v>
      </c>
      <c r="E4925" t="str">
        <f t="shared" si="671"/>
        <v>담화공</v>
      </c>
      <c r="H4925" t="str">
        <f t="shared" si="668"/>
        <v>스토리위즈</v>
      </c>
      <c r="I4925" t="str">
        <f t="shared" si="672"/>
        <v>디버프 마스터</v>
      </c>
      <c r="J4925">
        <v>0</v>
      </c>
      <c r="K4925">
        <v>0</v>
      </c>
      <c r="L4925">
        <v>0</v>
      </c>
      <c r="M4925">
        <v>2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2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/>
      <c r="AQ4925">
        <v>0</v>
      </c>
      <c r="AR4925">
        <v>0</v>
      </c>
      <c r="AT4925">
        <v>0</v>
      </c>
      <c r="AU4925">
        <v>0</v>
      </c>
      <c r="AW4925">
        <v>0</v>
      </c>
      <c r="AX4925">
        <v>0</v>
      </c>
      <c r="AY4925">
        <v>0</v>
      </c>
      <c r="BC4925" t="str">
        <f t="shared" si="673"/>
        <v>9791137602663</v>
      </c>
      <c r="BE4925" t="str">
        <f t="shared" si="674"/>
        <v>판타지 웹소설 &gt; 퓨전 판타지</v>
      </c>
    </row>
    <row r="4926" spans="1:57" x14ac:dyDescent="0.3">
      <c r="A4926">
        <v>2313012849</v>
      </c>
      <c r="B4926">
        <v>2313012852</v>
      </c>
      <c r="C4926" t="str">
        <f>T("디버프 마스터 4화")</f>
        <v>디버프 마스터 4화</v>
      </c>
      <c r="D4926" t="str">
        <f>T("4")</f>
        <v>4</v>
      </c>
      <c r="E4926" t="str">
        <f t="shared" si="671"/>
        <v>담화공</v>
      </c>
      <c r="H4926" t="str">
        <f t="shared" si="668"/>
        <v>스토리위즈</v>
      </c>
      <c r="I4926" t="str">
        <f t="shared" si="672"/>
        <v>디버프 마스터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/>
      <c r="AQ4926">
        <v>0</v>
      </c>
      <c r="AR4926">
        <v>0</v>
      </c>
      <c r="AT4926">
        <v>0</v>
      </c>
      <c r="AU4926">
        <v>0</v>
      </c>
      <c r="AW4926">
        <v>0</v>
      </c>
      <c r="AX4926">
        <v>0</v>
      </c>
      <c r="AY4926">
        <v>0</v>
      </c>
      <c r="BC4926" t="str">
        <f t="shared" si="673"/>
        <v>9791137602663</v>
      </c>
      <c r="BE4926" t="str">
        <f t="shared" si="674"/>
        <v>판타지 웹소설 &gt; 퓨전 판타지</v>
      </c>
    </row>
    <row r="4927" spans="1:57" x14ac:dyDescent="0.3">
      <c r="A4927">
        <v>2313012849</v>
      </c>
      <c r="B4927">
        <v>2313012853</v>
      </c>
      <c r="C4927" t="str">
        <f>T("디버프 마스터 5화")</f>
        <v>디버프 마스터 5화</v>
      </c>
      <c r="D4927" t="str">
        <f>T("5")</f>
        <v>5</v>
      </c>
      <c r="E4927" t="str">
        <f t="shared" si="671"/>
        <v>담화공</v>
      </c>
      <c r="H4927" t="str">
        <f t="shared" si="668"/>
        <v>스토리위즈</v>
      </c>
      <c r="I4927" t="str">
        <f t="shared" si="672"/>
        <v>디버프 마스터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/>
      <c r="AQ4927">
        <v>0</v>
      </c>
      <c r="AR4927">
        <v>0</v>
      </c>
      <c r="AT4927">
        <v>0</v>
      </c>
      <c r="AU4927">
        <v>0</v>
      </c>
      <c r="AW4927">
        <v>0</v>
      </c>
      <c r="AX4927">
        <v>0</v>
      </c>
      <c r="AY4927">
        <v>0</v>
      </c>
      <c r="BC4927" t="str">
        <f t="shared" si="673"/>
        <v>9791137602663</v>
      </c>
      <c r="BE4927" t="str">
        <f t="shared" si="674"/>
        <v>판타지 웹소설 &gt; 퓨전 판타지</v>
      </c>
    </row>
    <row r="4928" spans="1:57" x14ac:dyDescent="0.3">
      <c r="A4928">
        <v>2313012849</v>
      </c>
      <c r="B4928">
        <v>2313012854</v>
      </c>
      <c r="C4928" t="str">
        <f>T("디버프 마스터 6화")</f>
        <v>디버프 마스터 6화</v>
      </c>
      <c r="D4928" t="str">
        <f>T("6")</f>
        <v>6</v>
      </c>
      <c r="E4928" t="str">
        <f t="shared" si="671"/>
        <v>담화공</v>
      </c>
      <c r="H4928" t="str">
        <f t="shared" si="668"/>
        <v>스토리위즈</v>
      </c>
      <c r="I4928" t="str">
        <f t="shared" si="672"/>
        <v>디버프 마스터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/>
      <c r="AQ4928">
        <v>0</v>
      </c>
      <c r="AR4928">
        <v>0</v>
      </c>
      <c r="AT4928">
        <v>0</v>
      </c>
      <c r="AU4928">
        <v>0</v>
      </c>
      <c r="AW4928">
        <v>0</v>
      </c>
      <c r="AX4928">
        <v>0</v>
      </c>
      <c r="AY4928">
        <v>0</v>
      </c>
      <c r="BC4928" t="str">
        <f t="shared" si="673"/>
        <v>9791137602663</v>
      </c>
      <c r="BE4928" t="str">
        <f t="shared" si="674"/>
        <v>판타지 웹소설 &gt; 퓨전 판타지</v>
      </c>
    </row>
    <row r="4929" spans="1:57" x14ac:dyDescent="0.3">
      <c r="A4929">
        <v>2313012849</v>
      </c>
      <c r="B4929">
        <v>2313012855</v>
      </c>
      <c r="C4929" t="str">
        <f>T("디버프 마스터 7화")</f>
        <v>디버프 마스터 7화</v>
      </c>
      <c r="D4929" t="str">
        <f>T("7")</f>
        <v>7</v>
      </c>
      <c r="E4929" t="str">
        <f t="shared" si="671"/>
        <v>담화공</v>
      </c>
      <c r="H4929" t="str">
        <f t="shared" si="668"/>
        <v>스토리위즈</v>
      </c>
      <c r="I4929" t="str">
        <f t="shared" si="672"/>
        <v>디버프 마스터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1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/>
      <c r="AQ4929">
        <v>0</v>
      </c>
      <c r="AR4929">
        <v>0</v>
      </c>
      <c r="AT4929">
        <v>0</v>
      </c>
      <c r="AU4929">
        <v>0</v>
      </c>
      <c r="AW4929">
        <v>0</v>
      </c>
      <c r="AX4929">
        <v>0</v>
      </c>
      <c r="AY4929">
        <v>0</v>
      </c>
      <c r="BC4929" t="str">
        <f t="shared" si="673"/>
        <v>9791137602663</v>
      </c>
      <c r="BE4929" t="str">
        <f t="shared" si="674"/>
        <v>판타지 웹소설 &gt; 퓨전 판타지</v>
      </c>
    </row>
    <row r="4930" spans="1:57" x14ac:dyDescent="0.3">
      <c r="A4930">
        <v>2313012849</v>
      </c>
      <c r="B4930">
        <v>2313012856</v>
      </c>
      <c r="C4930" t="str">
        <f>T("디버프 마스터 8화")</f>
        <v>디버프 마스터 8화</v>
      </c>
      <c r="D4930" t="str">
        <f>T("8")</f>
        <v>8</v>
      </c>
      <c r="E4930" t="str">
        <f t="shared" si="671"/>
        <v>담화공</v>
      </c>
      <c r="H4930" t="str">
        <f t="shared" si="668"/>
        <v>스토리위즈</v>
      </c>
      <c r="I4930" t="str">
        <f t="shared" si="672"/>
        <v>디버프 마스터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1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/>
      <c r="AQ4930">
        <v>0</v>
      </c>
      <c r="AR4930">
        <v>0</v>
      </c>
      <c r="AT4930">
        <v>0</v>
      </c>
      <c r="AU4930">
        <v>0</v>
      </c>
      <c r="AW4930">
        <v>0</v>
      </c>
      <c r="AX4930">
        <v>0</v>
      </c>
      <c r="AY4930">
        <v>0</v>
      </c>
      <c r="BC4930" t="str">
        <f t="shared" si="673"/>
        <v>9791137602663</v>
      </c>
      <c r="BE4930" t="str">
        <f t="shared" si="674"/>
        <v>판타지 웹소설 &gt; 퓨전 판타지</v>
      </c>
    </row>
    <row r="4931" spans="1:57" x14ac:dyDescent="0.3">
      <c r="A4931">
        <v>2313012849</v>
      </c>
      <c r="B4931">
        <v>2313012857</v>
      </c>
      <c r="C4931" t="str">
        <f>T("디버프 마스터 9화")</f>
        <v>디버프 마스터 9화</v>
      </c>
      <c r="D4931" t="str">
        <f>T("9")</f>
        <v>9</v>
      </c>
      <c r="E4931" t="str">
        <f t="shared" si="671"/>
        <v>담화공</v>
      </c>
      <c r="H4931" t="str">
        <f t="shared" si="668"/>
        <v>스토리위즈</v>
      </c>
      <c r="I4931" t="str">
        <f t="shared" si="672"/>
        <v>디버프 마스터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/>
      <c r="AQ4931">
        <v>0</v>
      </c>
      <c r="AR4931">
        <v>0</v>
      </c>
      <c r="AT4931">
        <v>0</v>
      </c>
      <c r="AU4931">
        <v>0</v>
      </c>
      <c r="AW4931">
        <v>0</v>
      </c>
      <c r="AX4931">
        <v>0</v>
      </c>
      <c r="AY4931">
        <v>0</v>
      </c>
      <c r="BC4931" t="str">
        <f t="shared" si="673"/>
        <v>9791137602663</v>
      </c>
      <c r="BE4931" t="str">
        <f t="shared" si="674"/>
        <v>판타지 웹소설 &gt; 퓨전 판타지</v>
      </c>
    </row>
    <row r="4932" spans="1:57" x14ac:dyDescent="0.3">
      <c r="A4932">
        <v>2313012849</v>
      </c>
      <c r="B4932">
        <v>2313012858</v>
      </c>
      <c r="C4932" t="str">
        <f>T("디버프 마스터 10화")</f>
        <v>디버프 마스터 10화</v>
      </c>
      <c r="D4932" t="str">
        <f>T("10")</f>
        <v>10</v>
      </c>
      <c r="E4932" t="str">
        <f t="shared" si="671"/>
        <v>담화공</v>
      </c>
      <c r="H4932" t="str">
        <f t="shared" si="668"/>
        <v>스토리위즈</v>
      </c>
      <c r="I4932" t="str">
        <f t="shared" si="672"/>
        <v>디버프 마스터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/>
      <c r="AQ4932">
        <v>0</v>
      </c>
      <c r="AR4932">
        <v>0</v>
      </c>
      <c r="AT4932">
        <v>0</v>
      </c>
      <c r="AU4932">
        <v>0</v>
      </c>
      <c r="AW4932">
        <v>0</v>
      </c>
      <c r="AX4932">
        <v>0</v>
      </c>
      <c r="AY4932">
        <v>0</v>
      </c>
      <c r="BC4932" t="str">
        <f t="shared" si="673"/>
        <v>9791137602663</v>
      </c>
      <c r="BE4932" t="str">
        <f t="shared" si="674"/>
        <v>판타지 웹소설 &gt; 퓨전 판타지</v>
      </c>
    </row>
    <row r="4933" spans="1:57" x14ac:dyDescent="0.3">
      <c r="A4933">
        <v>2313012849</v>
      </c>
      <c r="B4933">
        <v>2313012859</v>
      </c>
      <c r="C4933" t="str">
        <f>T("디버프 마스터 11화")</f>
        <v>디버프 마스터 11화</v>
      </c>
      <c r="D4933" t="str">
        <f>T("11")</f>
        <v>11</v>
      </c>
      <c r="E4933" t="str">
        <f t="shared" si="671"/>
        <v>담화공</v>
      </c>
      <c r="H4933" t="str">
        <f t="shared" si="668"/>
        <v>스토리위즈</v>
      </c>
      <c r="I4933" t="str">
        <f t="shared" si="672"/>
        <v>디버프 마스터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/>
      <c r="AQ4933">
        <v>0</v>
      </c>
      <c r="AR4933">
        <v>0</v>
      </c>
      <c r="AT4933">
        <v>0</v>
      </c>
      <c r="AU4933">
        <v>0</v>
      </c>
      <c r="AW4933">
        <v>0</v>
      </c>
      <c r="AX4933">
        <v>0</v>
      </c>
      <c r="AY4933">
        <v>0</v>
      </c>
      <c r="BC4933" t="str">
        <f t="shared" si="673"/>
        <v>9791137602663</v>
      </c>
      <c r="BE4933" t="str">
        <f t="shared" si="674"/>
        <v>판타지 웹소설 &gt; 퓨전 판타지</v>
      </c>
    </row>
    <row r="4934" spans="1:57" x14ac:dyDescent="0.3">
      <c r="A4934">
        <v>2313012849</v>
      </c>
      <c r="B4934">
        <v>2313012860</v>
      </c>
      <c r="C4934" t="str">
        <f>T("디버프 마스터 12화")</f>
        <v>디버프 마스터 12화</v>
      </c>
      <c r="D4934" t="str">
        <f>T("12")</f>
        <v>12</v>
      </c>
      <c r="E4934" t="str">
        <f t="shared" si="671"/>
        <v>담화공</v>
      </c>
      <c r="H4934" t="str">
        <f t="shared" si="668"/>
        <v>스토리위즈</v>
      </c>
      <c r="I4934" t="str">
        <f t="shared" si="672"/>
        <v>디버프 마스터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/>
      <c r="AQ4934">
        <v>0</v>
      </c>
      <c r="AR4934">
        <v>0</v>
      </c>
      <c r="AT4934">
        <v>0</v>
      </c>
      <c r="AU4934">
        <v>0</v>
      </c>
      <c r="AW4934">
        <v>0</v>
      </c>
      <c r="AX4934">
        <v>0</v>
      </c>
      <c r="AY4934">
        <v>0</v>
      </c>
      <c r="BC4934" t="str">
        <f t="shared" si="673"/>
        <v>9791137602663</v>
      </c>
      <c r="BE4934" t="str">
        <f t="shared" si="674"/>
        <v>판타지 웹소설 &gt; 퓨전 판타지</v>
      </c>
    </row>
    <row r="4935" spans="1:57" x14ac:dyDescent="0.3">
      <c r="A4935">
        <v>2313012849</v>
      </c>
      <c r="B4935">
        <v>2313012861</v>
      </c>
      <c r="C4935" t="str">
        <f>T("디버프 마스터 13화")</f>
        <v>디버프 마스터 13화</v>
      </c>
      <c r="D4935" t="str">
        <f>T("13")</f>
        <v>13</v>
      </c>
      <c r="E4935" t="str">
        <f t="shared" si="671"/>
        <v>담화공</v>
      </c>
      <c r="H4935" t="str">
        <f t="shared" si="668"/>
        <v>스토리위즈</v>
      </c>
      <c r="I4935" t="str">
        <f t="shared" si="672"/>
        <v>디버프 마스터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/>
      <c r="AQ4935">
        <v>0</v>
      </c>
      <c r="AR4935">
        <v>0</v>
      </c>
      <c r="AT4935">
        <v>0</v>
      </c>
      <c r="AU4935">
        <v>0</v>
      </c>
      <c r="AW4935">
        <v>0</v>
      </c>
      <c r="AX4935">
        <v>0</v>
      </c>
      <c r="AY4935">
        <v>0</v>
      </c>
      <c r="BC4935" t="str">
        <f t="shared" si="673"/>
        <v>9791137602663</v>
      </c>
      <c r="BE4935" t="str">
        <f t="shared" si="674"/>
        <v>판타지 웹소설 &gt; 퓨전 판타지</v>
      </c>
    </row>
    <row r="4936" spans="1:57" x14ac:dyDescent="0.3">
      <c r="A4936">
        <v>2313012849</v>
      </c>
      <c r="B4936">
        <v>2313012862</v>
      </c>
      <c r="C4936" t="str">
        <f>T("디버프 마스터 14화")</f>
        <v>디버프 마스터 14화</v>
      </c>
      <c r="D4936" t="str">
        <f>T("14")</f>
        <v>14</v>
      </c>
      <c r="E4936" t="str">
        <f t="shared" si="671"/>
        <v>담화공</v>
      </c>
      <c r="H4936" t="str">
        <f t="shared" si="668"/>
        <v>스토리위즈</v>
      </c>
      <c r="I4936" t="str">
        <f t="shared" si="672"/>
        <v>디버프 마스터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/>
      <c r="AQ4936">
        <v>0</v>
      </c>
      <c r="AR4936">
        <v>0</v>
      </c>
      <c r="AT4936">
        <v>0</v>
      </c>
      <c r="AU4936">
        <v>0</v>
      </c>
      <c r="AW4936">
        <v>0</v>
      </c>
      <c r="AX4936">
        <v>0</v>
      </c>
      <c r="AY4936">
        <v>0</v>
      </c>
      <c r="BC4936" t="str">
        <f t="shared" si="673"/>
        <v>9791137602663</v>
      </c>
      <c r="BE4936" t="str">
        <f t="shared" si="674"/>
        <v>판타지 웹소설 &gt; 퓨전 판타지</v>
      </c>
    </row>
    <row r="4937" spans="1:57" x14ac:dyDescent="0.3">
      <c r="A4937">
        <v>2313012849</v>
      </c>
      <c r="B4937">
        <v>2313012863</v>
      </c>
      <c r="C4937" t="str">
        <f>T("디버프 마스터 15화")</f>
        <v>디버프 마스터 15화</v>
      </c>
      <c r="D4937" t="str">
        <f>T("15")</f>
        <v>15</v>
      </c>
      <c r="E4937" t="str">
        <f t="shared" si="671"/>
        <v>담화공</v>
      </c>
      <c r="H4937" t="str">
        <f t="shared" si="668"/>
        <v>스토리위즈</v>
      </c>
      <c r="I4937" t="str">
        <f t="shared" si="672"/>
        <v>디버프 마스터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1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/>
      <c r="AQ4937">
        <v>0</v>
      </c>
      <c r="AR4937">
        <v>0</v>
      </c>
      <c r="AT4937">
        <v>0</v>
      </c>
      <c r="AU4937">
        <v>0</v>
      </c>
      <c r="AW4937">
        <v>0</v>
      </c>
      <c r="AX4937">
        <v>0</v>
      </c>
      <c r="AY4937">
        <v>0</v>
      </c>
      <c r="BC4937" t="str">
        <f t="shared" si="673"/>
        <v>9791137602663</v>
      </c>
      <c r="BE4937" t="str">
        <f t="shared" si="674"/>
        <v>판타지 웹소설 &gt; 퓨전 판타지</v>
      </c>
    </row>
    <row r="4938" spans="1:57" x14ac:dyDescent="0.3">
      <c r="A4938">
        <v>2313012849</v>
      </c>
      <c r="B4938">
        <v>2313012864</v>
      </c>
      <c r="C4938" t="str">
        <f>T("디버프 마스터 16화")</f>
        <v>디버프 마스터 16화</v>
      </c>
      <c r="D4938" t="str">
        <f>T("16")</f>
        <v>16</v>
      </c>
      <c r="E4938" t="str">
        <f t="shared" si="671"/>
        <v>담화공</v>
      </c>
      <c r="H4938" t="str">
        <f t="shared" si="668"/>
        <v>스토리위즈</v>
      </c>
      <c r="I4938" t="str">
        <f t="shared" si="672"/>
        <v>디버프 마스터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/>
      <c r="AQ4938">
        <v>0</v>
      </c>
      <c r="AR4938">
        <v>0</v>
      </c>
      <c r="AT4938">
        <v>0</v>
      </c>
      <c r="AU4938">
        <v>0</v>
      </c>
      <c r="AW4938">
        <v>0</v>
      </c>
      <c r="AX4938">
        <v>0</v>
      </c>
      <c r="AY4938">
        <v>0</v>
      </c>
      <c r="BC4938" t="str">
        <f t="shared" si="673"/>
        <v>9791137602663</v>
      </c>
      <c r="BE4938" t="str">
        <f t="shared" si="674"/>
        <v>판타지 웹소설 &gt; 퓨전 판타지</v>
      </c>
    </row>
    <row r="4939" spans="1:57" x14ac:dyDescent="0.3">
      <c r="A4939">
        <v>2313012849</v>
      </c>
      <c r="B4939">
        <v>2313012865</v>
      </c>
      <c r="C4939" t="str">
        <f>T("디버프 마스터 17화")</f>
        <v>디버프 마스터 17화</v>
      </c>
      <c r="D4939" t="str">
        <f>T("17")</f>
        <v>17</v>
      </c>
      <c r="E4939" t="str">
        <f t="shared" si="671"/>
        <v>담화공</v>
      </c>
      <c r="H4939" t="str">
        <f t="shared" si="668"/>
        <v>스토리위즈</v>
      </c>
      <c r="I4939" t="str">
        <f t="shared" si="672"/>
        <v>디버프 마스터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/>
      <c r="AQ4939">
        <v>0</v>
      </c>
      <c r="AR4939">
        <v>0</v>
      </c>
      <c r="AT4939">
        <v>0</v>
      </c>
      <c r="AU4939">
        <v>0</v>
      </c>
      <c r="AW4939">
        <v>0</v>
      </c>
      <c r="AX4939">
        <v>0</v>
      </c>
      <c r="AY4939">
        <v>0</v>
      </c>
      <c r="BC4939" t="str">
        <f t="shared" si="673"/>
        <v>9791137602663</v>
      </c>
      <c r="BE4939" t="str">
        <f t="shared" si="674"/>
        <v>판타지 웹소설 &gt; 퓨전 판타지</v>
      </c>
    </row>
    <row r="4940" spans="1:57" x14ac:dyDescent="0.3">
      <c r="A4940">
        <v>2313012849</v>
      </c>
      <c r="B4940">
        <v>2313012866</v>
      </c>
      <c r="C4940" t="str">
        <f>T("디버프 마스터 18화")</f>
        <v>디버프 마스터 18화</v>
      </c>
      <c r="D4940" t="str">
        <f>T("18")</f>
        <v>18</v>
      </c>
      <c r="E4940" t="str">
        <f t="shared" si="671"/>
        <v>담화공</v>
      </c>
      <c r="H4940" t="str">
        <f t="shared" si="668"/>
        <v>스토리위즈</v>
      </c>
      <c r="I4940" t="str">
        <f t="shared" si="672"/>
        <v>디버프 마스터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/>
      <c r="AQ4940">
        <v>0</v>
      </c>
      <c r="AR4940">
        <v>0</v>
      </c>
      <c r="AT4940">
        <v>0</v>
      </c>
      <c r="AU4940">
        <v>0</v>
      </c>
      <c r="AW4940">
        <v>0</v>
      </c>
      <c r="AX4940">
        <v>0</v>
      </c>
      <c r="AY4940">
        <v>0</v>
      </c>
      <c r="BC4940" t="str">
        <f t="shared" si="673"/>
        <v>9791137602663</v>
      </c>
      <c r="BE4940" t="str">
        <f t="shared" si="674"/>
        <v>판타지 웹소설 &gt; 퓨전 판타지</v>
      </c>
    </row>
    <row r="4941" spans="1:57" x14ac:dyDescent="0.3">
      <c r="A4941">
        <v>2313012849</v>
      </c>
      <c r="B4941">
        <v>2313012867</v>
      </c>
      <c r="C4941" t="str">
        <f>T("디버프 마스터 19화")</f>
        <v>디버프 마스터 19화</v>
      </c>
      <c r="D4941" t="str">
        <f>T("19")</f>
        <v>19</v>
      </c>
      <c r="E4941" t="str">
        <f t="shared" si="671"/>
        <v>담화공</v>
      </c>
      <c r="H4941" t="str">
        <f t="shared" si="668"/>
        <v>스토리위즈</v>
      </c>
      <c r="I4941" t="str">
        <f t="shared" si="672"/>
        <v>디버프 마스터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/>
      <c r="AQ4941">
        <v>0</v>
      </c>
      <c r="AR4941">
        <v>0</v>
      </c>
      <c r="AT4941">
        <v>0</v>
      </c>
      <c r="AU4941">
        <v>0</v>
      </c>
      <c r="AW4941">
        <v>0</v>
      </c>
      <c r="AX4941">
        <v>0</v>
      </c>
      <c r="AY4941">
        <v>0</v>
      </c>
      <c r="BC4941" t="str">
        <f t="shared" si="673"/>
        <v>9791137602663</v>
      </c>
      <c r="BE4941" t="str">
        <f t="shared" si="674"/>
        <v>판타지 웹소설 &gt; 퓨전 판타지</v>
      </c>
    </row>
    <row r="4942" spans="1:57" x14ac:dyDescent="0.3">
      <c r="A4942">
        <v>2313012849</v>
      </c>
      <c r="B4942">
        <v>2313012868</v>
      </c>
      <c r="C4942" t="str">
        <f>T("디버프 마스터 20화")</f>
        <v>디버프 마스터 20화</v>
      </c>
      <c r="D4942" t="str">
        <f>T("20")</f>
        <v>20</v>
      </c>
      <c r="E4942" t="str">
        <f t="shared" si="671"/>
        <v>담화공</v>
      </c>
      <c r="H4942" t="str">
        <f t="shared" si="668"/>
        <v>스토리위즈</v>
      </c>
      <c r="I4942" t="str">
        <f t="shared" si="672"/>
        <v>디버프 마스터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/>
      <c r="AQ4942">
        <v>0</v>
      </c>
      <c r="AR4942">
        <v>0</v>
      </c>
      <c r="AT4942">
        <v>0</v>
      </c>
      <c r="AU4942">
        <v>0</v>
      </c>
      <c r="AW4942">
        <v>0</v>
      </c>
      <c r="AX4942">
        <v>0</v>
      </c>
      <c r="AY4942">
        <v>0</v>
      </c>
      <c r="BC4942" t="str">
        <f t="shared" si="673"/>
        <v>9791137602663</v>
      </c>
      <c r="BE4942" t="str">
        <f t="shared" si="674"/>
        <v>판타지 웹소설 &gt; 퓨전 판타지</v>
      </c>
    </row>
    <row r="4943" spans="1:57" x14ac:dyDescent="0.3">
      <c r="A4943">
        <v>2313012849</v>
      </c>
      <c r="B4943">
        <v>2313012869</v>
      </c>
      <c r="C4943" t="str">
        <f>T("디버프 마스터 21화")</f>
        <v>디버프 마스터 21화</v>
      </c>
      <c r="D4943" t="str">
        <f>T("21")</f>
        <v>21</v>
      </c>
      <c r="E4943" t="str">
        <f t="shared" si="671"/>
        <v>담화공</v>
      </c>
      <c r="H4943" t="str">
        <f t="shared" si="668"/>
        <v>스토리위즈</v>
      </c>
      <c r="I4943" t="str">
        <f t="shared" si="672"/>
        <v>디버프 마스터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/>
      <c r="AQ4943">
        <v>0</v>
      </c>
      <c r="AR4943">
        <v>0</v>
      </c>
      <c r="AT4943">
        <v>0</v>
      </c>
      <c r="AU4943">
        <v>0</v>
      </c>
      <c r="AW4943">
        <v>0</v>
      </c>
      <c r="AX4943">
        <v>0</v>
      </c>
      <c r="AY4943">
        <v>0</v>
      </c>
      <c r="BC4943" t="str">
        <f t="shared" si="673"/>
        <v>9791137602663</v>
      </c>
      <c r="BE4943" t="str">
        <f t="shared" si="674"/>
        <v>판타지 웹소설 &gt; 퓨전 판타지</v>
      </c>
    </row>
    <row r="4944" spans="1:57" x14ac:dyDescent="0.3">
      <c r="A4944">
        <v>2313012849</v>
      </c>
      <c r="B4944">
        <v>2313012870</v>
      </c>
      <c r="C4944" t="str">
        <f>T("디버프 마스터 22화")</f>
        <v>디버프 마스터 22화</v>
      </c>
      <c r="D4944" t="str">
        <f>T("22")</f>
        <v>22</v>
      </c>
      <c r="E4944" t="str">
        <f t="shared" si="671"/>
        <v>담화공</v>
      </c>
      <c r="H4944" t="str">
        <f t="shared" si="668"/>
        <v>스토리위즈</v>
      </c>
      <c r="I4944" t="str">
        <f t="shared" si="672"/>
        <v>디버프 마스터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/>
      <c r="AQ4944">
        <v>0</v>
      </c>
      <c r="AR4944">
        <v>0</v>
      </c>
      <c r="AT4944">
        <v>0</v>
      </c>
      <c r="AU4944">
        <v>0</v>
      </c>
      <c r="AW4944">
        <v>0</v>
      </c>
      <c r="AX4944">
        <v>0</v>
      </c>
      <c r="AY4944">
        <v>0</v>
      </c>
      <c r="BC4944" t="str">
        <f t="shared" si="673"/>
        <v>9791137602663</v>
      </c>
      <c r="BE4944" t="str">
        <f t="shared" si="674"/>
        <v>판타지 웹소설 &gt; 퓨전 판타지</v>
      </c>
    </row>
    <row r="4945" spans="1:57" x14ac:dyDescent="0.3">
      <c r="A4945">
        <v>2313012849</v>
      </c>
      <c r="B4945">
        <v>2313012871</v>
      </c>
      <c r="C4945" t="str">
        <f>T("디버프 마스터 23화")</f>
        <v>디버프 마스터 23화</v>
      </c>
      <c r="D4945" t="str">
        <f>T("23")</f>
        <v>23</v>
      </c>
      <c r="E4945" t="str">
        <f t="shared" si="671"/>
        <v>담화공</v>
      </c>
      <c r="H4945" t="str">
        <f t="shared" si="668"/>
        <v>스토리위즈</v>
      </c>
      <c r="I4945" t="str">
        <f t="shared" si="672"/>
        <v>디버프 마스터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/>
      <c r="AQ4945">
        <v>0</v>
      </c>
      <c r="AR4945">
        <v>0</v>
      </c>
      <c r="AT4945">
        <v>0</v>
      </c>
      <c r="AU4945">
        <v>0</v>
      </c>
      <c r="AW4945">
        <v>0</v>
      </c>
      <c r="AX4945">
        <v>0</v>
      </c>
      <c r="AY4945">
        <v>0</v>
      </c>
      <c r="BC4945" t="str">
        <f t="shared" si="673"/>
        <v>9791137602663</v>
      </c>
      <c r="BE4945" t="str">
        <f t="shared" si="674"/>
        <v>판타지 웹소설 &gt; 퓨전 판타지</v>
      </c>
    </row>
    <row r="4946" spans="1:57" x14ac:dyDescent="0.3">
      <c r="A4946">
        <v>2313012849</v>
      </c>
      <c r="B4946">
        <v>2313012872</v>
      </c>
      <c r="C4946" t="str">
        <f>T("디버프 마스터 24화")</f>
        <v>디버프 마스터 24화</v>
      </c>
      <c r="D4946" t="str">
        <f>T("24")</f>
        <v>24</v>
      </c>
      <c r="E4946" t="str">
        <f t="shared" si="671"/>
        <v>담화공</v>
      </c>
      <c r="H4946" t="str">
        <f t="shared" si="668"/>
        <v>스토리위즈</v>
      </c>
      <c r="I4946" t="str">
        <f t="shared" si="672"/>
        <v>디버프 마스터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/>
      <c r="AQ4946">
        <v>0</v>
      </c>
      <c r="AR4946">
        <v>0</v>
      </c>
      <c r="AT4946">
        <v>0</v>
      </c>
      <c r="AU4946">
        <v>0</v>
      </c>
      <c r="AW4946">
        <v>0</v>
      </c>
      <c r="AX4946">
        <v>0</v>
      </c>
      <c r="AY4946">
        <v>0</v>
      </c>
      <c r="BC4946" t="str">
        <f t="shared" si="673"/>
        <v>9791137602663</v>
      </c>
      <c r="BE4946" t="str">
        <f t="shared" si="674"/>
        <v>판타지 웹소설 &gt; 퓨전 판타지</v>
      </c>
    </row>
    <row r="4947" spans="1:57" x14ac:dyDescent="0.3">
      <c r="A4947">
        <v>2313012849</v>
      </c>
      <c r="B4947">
        <v>2313012873</v>
      </c>
      <c r="C4947" t="str">
        <f>T("디버프 마스터 25화")</f>
        <v>디버프 마스터 25화</v>
      </c>
      <c r="D4947" t="str">
        <f>T("25")</f>
        <v>25</v>
      </c>
      <c r="E4947" t="str">
        <f t="shared" si="671"/>
        <v>담화공</v>
      </c>
      <c r="H4947" t="str">
        <f t="shared" si="668"/>
        <v>스토리위즈</v>
      </c>
      <c r="I4947" t="str">
        <f t="shared" si="672"/>
        <v>디버프 마스터</v>
      </c>
      <c r="J4947">
        <v>0</v>
      </c>
      <c r="K4947">
        <v>0</v>
      </c>
      <c r="L4947">
        <v>0</v>
      </c>
      <c r="M4947">
        <v>2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2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/>
      <c r="AQ4947">
        <v>0</v>
      </c>
      <c r="AR4947">
        <v>0</v>
      </c>
      <c r="AT4947">
        <v>0</v>
      </c>
      <c r="AU4947">
        <v>0</v>
      </c>
      <c r="AW4947">
        <v>0</v>
      </c>
      <c r="AX4947">
        <v>0</v>
      </c>
      <c r="AY4947">
        <v>0</v>
      </c>
      <c r="BC4947" t="str">
        <f t="shared" si="673"/>
        <v>9791137602663</v>
      </c>
      <c r="BE4947" t="str">
        <f t="shared" si="674"/>
        <v>판타지 웹소설 &gt; 퓨전 판타지</v>
      </c>
    </row>
    <row r="4948" spans="1:57" x14ac:dyDescent="0.3">
      <c r="A4948">
        <v>2313014405</v>
      </c>
      <c r="B4948">
        <v>2313014405</v>
      </c>
      <c r="C4948" t="str">
        <f>T("낚싯대 하나로 세계최강 1화")</f>
        <v>낚싯대 하나로 세계최강 1화</v>
      </c>
      <c r="D4948" t="str">
        <f>T("1")</f>
        <v>1</v>
      </c>
      <c r="E4948" t="str">
        <f>T("단팥크림빵7")</f>
        <v>단팥크림빵7</v>
      </c>
      <c r="H4948" t="str">
        <f t="shared" si="668"/>
        <v>스토리위즈</v>
      </c>
      <c r="I4948" t="str">
        <f>T("낚싯대 하나로 세계최강")</f>
        <v>낚싯대 하나로 세계최강</v>
      </c>
      <c r="J4948">
        <v>0</v>
      </c>
      <c r="K4948">
        <v>0</v>
      </c>
      <c r="L4948">
        <v>0</v>
      </c>
      <c r="M4948">
        <v>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2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/>
      <c r="AQ4948">
        <v>0</v>
      </c>
      <c r="AR4948">
        <v>0</v>
      </c>
      <c r="AT4948">
        <v>0</v>
      </c>
      <c r="AU4948">
        <v>0</v>
      </c>
      <c r="AW4948">
        <v>0</v>
      </c>
      <c r="AX4948">
        <v>0</v>
      </c>
      <c r="AY4948">
        <v>0</v>
      </c>
      <c r="BC4948" t="str">
        <f>T("9791137600690")</f>
        <v>9791137600690</v>
      </c>
      <c r="BE4948" t="str">
        <f t="shared" si="674"/>
        <v>판타지 웹소설 &gt; 퓨전 판타지</v>
      </c>
    </row>
    <row r="4949" spans="1:57" x14ac:dyDescent="0.3">
      <c r="A4949">
        <v>2313014405</v>
      </c>
      <c r="B4949">
        <v>2313014406</v>
      </c>
      <c r="C4949" t="str">
        <f>T("낚싯대 하나로 세계최강 2화")</f>
        <v>낚싯대 하나로 세계최강 2화</v>
      </c>
      <c r="D4949" t="str">
        <f>T("2")</f>
        <v>2</v>
      </c>
      <c r="E4949" t="str">
        <f>T("단팥크림빵7")</f>
        <v>단팥크림빵7</v>
      </c>
      <c r="H4949" t="str">
        <f t="shared" si="668"/>
        <v>스토리위즈</v>
      </c>
      <c r="I4949" t="str">
        <f>T("낚싯대 하나로 세계최강")</f>
        <v>낚싯대 하나로 세계최강</v>
      </c>
      <c r="J4949">
        <v>0</v>
      </c>
      <c r="K4949">
        <v>0</v>
      </c>
      <c r="L4949">
        <v>0</v>
      </c>
      <c r="M4949">
        <v>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2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/>
      <c r="AQ4949">
        <v>0</v>
      </c>
      <c r="AR4949">
        <v>0</v>
      </c>
      <c r="AT4949">
        <v>0</v>
      </c>
      <c r="AU4949">
        <v>0</v>
      </c>
      <c r="AW4949">
        <v>0</v>
      </c>
      <c r="AX4949">
        <v>0</v>
      </c>
      <c r="AY4949">
        <v>0</v>
      </c>
      <c r="BC4949" t="str">
        <f>T("9791137600690")</f>
        <v>9791137600690</v>
      </c>
      <c r="BE4949" t="str">
        <f t="shared" si="674"/>
        <v>판타지 웹소설 &gt; 퓨전 판타지</v>
      </c>
    </row>
    <row r="4950" spans="1:57" x14ac:dyDescent="0.3">
      <c r="A4950">
        <v>2313014405</v>
      </c>
      <c r="B4950">
        <v>2313014407</v>
      </c>
      <c r="C4950" t="str">
        <f>T("낚싯대 하나로 세계최강 3화")</f>
        <v>낚싯대 하나로 세계최강 3화</v>
      </c>
      <c r="D4950" t="str">
        <f>T("3")</f>
        <v>3</v>
      </c>
      <c r="E4950" t="str">
        <f>T("단팥크림빵7")</f>
        <v>단팥크림빵7</v>
      </c>
      <c r="H4950" t="str">
        <f t="shared" si="668"/>
        <v>스토리위즈</v>
      </c>
      <c r="I4950" t="str">
        <f>T("낚싯대 하나로 세계최강")</f>
        <v>낚싯대 하나로 세계최강</v>
      </c>
      <c r="J4950">
        <v>0</v>
      </c>
      <c r="K4950">
        <v>0</v>
      </c>
      <c r="L4950">
        <v>0</v>
      </c>
      <c r="M4950">
        <v>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2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/>
      <c r="AQ4950">
        <v>0</v>
      </c>
      <c r="AR4950">
        <v>0</v>
      </c>
      <c r="AT4950">
        <v>0</v>
      </c>
      <c r="AU4950">
        <v>0</v>
      </c>
      <c r="AW4950">
        <v>0</v>
      </c>
      <c r="AX4950">
        <v>0</v>
      </c>
      <c r="AY4950">
        <v>0</v>
      </c>
      <c r="BC4950" t="str">
        <f>T("9791137600690")</f>
        <v>9791137600690</v>
      </c>
      <c r="BE4950" t="str">
        <f t="shared" si="674"/>
        <v>판타지 웹소설 &gt; 퓨전 판타지</v>
      </c>
    </row>
    <row r="4951" spans="1:57" x14ac:dyDescent="0.3">
      <c r="A4951">
        <v>2313014405</v>
      </c>
      <c r="B4951">
        <v>2313014408</v>
      </c>
      <c r="C4951" t="str">
        <f>T("낚싯대 하나로 세계최강 4화")</f>
        <v>낚싯대 하나로 세계최강 4화</v>
      </c>
      <c r="D4951" t="str">
        <f>T("4")</f>
        <v>4</v>
      </c>
      <c r="E4951" t="str">
        <f>T("단팥크림빵7")</f>
        <v>단팥크림빵7</v>
      </c>
      <c r="H4951" t="str">
        <f t="shared" si="668"/>
        <v>스토리위즈</v>
      </c>
      <c r="I4951" t="str">
        <f>T("낚싯대 하나로 세계최강")</f>
        <v>낚싯대 하나로 세계최강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/>
      <c r="AQ4951">
        <v>0</v>
      </c>
      <c r="AR4951">
        <v>0</v>
      </c>
      <c r="AT4951">
        <v>0</v>
      </c>
      <c r="AU4951">
        <v>0</v>
      </c>
      <c r="AW4951">
        <v>0</v>
      </c>
      <c r="AX4951">
        <v>0</v>
      </c>
      <c r="AY4951">
        <v>0</v>
      </c>
      <c r="BC4951" t="str">
        <f>T("9791137600690")</f>
        <v>9791137600690</v>
      </c>
      <c r="BE4951" t="str">
        <f t="shared" si="674"/>
        <v>판타지 웹소설 &gt; 퓨전 판타지</v>
      </c>
    </row>
    <row r="4952" spans="1:57" x14ac:dyDescent="0.3">
      <c r="A4952">
        <v>2313014405</v>
      </c>
      <c r="B4952">
        <v>2313014409</v>
      </c>
      <c r="C4952" t="str">
        <f>T("낚싯대 하나로 세계최강 5화")</f>
        <v>낚싯대 하나로 세계최강 5화</v>
      </c>
      <c r="D4952" t="str">
        <f>T("5")</f>
        <v>5</v>
      </c>
      <c r="E4952" t="str">
        <f>T("단팥크림빵7")</f>
        <v>단팥크림빵7</v>
      </c>
      <c r="H4952" t="str">
        <f t="shared" ref="H4952:H5015" si="675">T("스토리위즈")</f>
        <v>스토리위즈</v>
      </c>
      <c r="I4952" t="str">
        <f>T("낚싯대 하나로 세계최강")</f>
        <v>낚싯대 하나로 세계최강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/>
      <c r="AQ4952">
        <v>0</v>
      </c>
      <c r="AR4952">
        <v>0</v>
      </c>
      <c r="AT4952">
        <v>0</v>
      </c>
      <c r="AU4952">
        <v>0</v>
      </c>
      <c r="AW4952">
        <v>0</v>
      </c>
      <c r="AX4952">
        <v>0</v>
      </c>
      <c r="AY4952">
        <v>0</v>
      </c>
      <c r="BC4952" t="str">
        <f>T("9791137600690")</f>
        <v>9791137600690</v>
      </c>
      <c r="BE4952" t="str">
        <f t="shared" si="674"/>
        <v>판타지 웹소설 &gt; 퓨전 판타지</v>
      </c>
    </row>
    <row r="4953" spans="1:57" x14ac:dyDescent="0.3">
      <c r="A4953">
        <v>2313014555</v>
      </c>
      <c r="B4953">
        <v>2313014555</v>
      </c>
      <c r="C4953" t="str">
        <f>T("헌터인데 내공이 좀 많네요 1화")</f>
        <v>헌터인데 내공이 좀 많네요 1화</v>
      </c>
      <c r="D4953" t="str">
        <f>T("1")</f>
        <v>1</v>
      </c>
      <c r="E4953" t="str">
        <f t="shared" ref="E4953:E4977" si="676">T("돈문어")</f>
        <v>돈문어</v>
      </c>
      <c r="H4953" t="str">
        <f t="shared" si="675"/>
        <v>스토리위즈</v>
      </c>
      <c r="I4953" t="str">
        <f t="shared" ref="I4953:I4977" si="677">T("헌터인데 내공이 좀 많네요")</f>
        <v>헌터인데 내공이 좀 많네요</v>
      </c>
      <c r="J4953">
        <v>0</v>
      </c>
      <c r="K4953">
        <v>0</v>
      </c>
      <c r="L4953">
        <v>0</v>
      </c>
      <c r="M4953">
        <v>4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4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/>
      <c r="AQ4953">
        <v>0</v>
      </c>
      <c r="AR4953">
        <v>0</v>
      </c>
      <c r="AT4953">
        <v>0</v>
      </c>
      <c r="AU4953">
        <v>0</v>
      </c>
      <c r="AW4953">
        <v>0</v>
      </c>
      <c r="AX4953">
        <v>0</v>
      </c>
      <c r="AY4953">
        <v>0</v>
      </c>
      <c r="BC4953" t="str">
        <f t="shared" ref="BC4953:BC4977" si="678">T("9791137601222")</f>
        <v>9791137601222</v>
      </c>
      <c r="BE4953" t="str">
        <f t="shared" si="674"/>
        <v>판타지 웹소설 &gt; 퓨전 판타지</v>
      </c>
    </row>
    <row r="4954" spans="1:57" x14ac:dyDescent="0.3">
      <c r="A4954">
        <v>2313014555</v>
      </c>
      <c r="B4954">
        <v>2313014556</v>
      </c>
      <c r="C4954" t="str">
        <f>T("헌터인데 내공이 좀 많네요 2화")</f>
        <v>헌터인데 내공이 좀 많네요 2화</v>
      </c>
      <c r="D4954" t="str">
        <f>T("2")</f>
        <v>2</v>
      </c>
      <c r="E4954" t="str">
        <f t="shared" si="676"/>
        <v>돈문어</v>
      </c>
      <c r="H4954" t="str">
        <f t="shared" si="675"/>
        <v>스토리위즈</v>
      </c>
      <c r="I4954" t="str">
        <f t="shared" si="677"/>
        <v>헌터인데 내공이 좀 많네요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1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/>
      <c r="AQ4954">
        <v>0</v>
      </c>
      <c r="AR4954">
        <v>0</v>
      </c>
      <c r="AT4954">
        <v>0</v>
      </c>
      <c r="AU4954">
        <v>0</v>
      </c>
      <c r="AW4954">
        <v>0</v>
      </c>
      <c r="AX4954">
        <v>0</v>
      </c>
      <c r="AY4954">
        <v>0</v>
      </c>
      <c r="BC4954" t="str">
        <f t="shared" si="678"/>
        <v>9791137601222</v>
      </c>
      <c r="BE4954" t="str">
        <f t="shared" si="674"/>
        <v>판타지 웹소설 &gt; 퓨전 판타지</v>
      </c>
    </row>
    <row r="4955" spans="1:57" x14ac:dyDescent="0.3">
      <c r="A4955">
        <v>2313014555</v>
      </c>
      <c r="B4955">
        <v>2313014557</v>
      </c>
      <c r="C4955" t="str">
        <f>T("헌터인데 내공이 좀 많네요 3화")</f>
        <v>헌터인데 내공이 좀 많네요 3화</v>
      </c>
      <c r="D4955" t="str">
        <f>T("3")</f>
        <v>3</v>
      </c>
      <c r="E4955" t="str">
        <f t="shared" si="676"/>
        <v>돈문어</v>
      </c>
      <c r="H4955" t="str">
        <f t="shared" si="675"/>
        <v>스토리위즈</v>
      </c>
      <c r="I4955" t="str">
        <f t="shared" si="677"/>
        <v>헌터인데 내공이 좀 많네요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/>
      <c r="AQ4955">
        <v>0</v>
      </c>
      <c r="AR4955">
        <v>0</v>
      </c>
      <c r="AT4955">
        <v>0</v>
      </c>
      <c r="AU4955">
        <v>0</v>
      </c>
      <c r="AW4955">
        <v>0</v>
      </c>
      <c r="AX4955">
        <v>0</v>
      </c>
      <c r="AY4955">
        <v>0</v>
      </c>
      <c r="BC4955" t="str">
        <f t="shared" si="678"/>
        <v>9791137601222</v>
      </c>
      <c r="BE4955" t="str">
        <f t="shared" si="674"/>
        <v>판타지 웹소설 &gt; 퓨전 판타지</v>
      </c>
    </row>
    <row r="4956" spans="1:57" x14ac:dyDescent="0.3">
      <c r="A4956">
        <v>2313014555</v>
      </c>
      <c r="B4956">
        <v>2313014558</v>
      </c>
      <c r="C4956" t="str">
        <f>T("헌터인데 내공이 좀 많네요 4화")</f>
        <v>헌터인데 내공이 좀 많네요 4화</v>
      </c>
      <c r="D4956" t="str">
        <f>T("4")</f>
        <v>4</v>
      </c>
      <c r="E4956" t="str">
        <f t="shared" si="676"/>
        <v>돈문어</v>
      </c>
      <c r="H4956" t="str">
        <f t="shared" si="675"/>
        <v>스토리위즈</v>
      </c>
      <c r="I4956" t="str">
        <f t="shared" si="677"/>
        <v>헌터인데 내공이 좀 많네요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/>
      <c r="AQ4956">
        <v>0</v>
      </c>
      <c r="AR4956">
        <v>0</v>
      </c>
      <c r="AT4956">
        <v>0</v>
      </c>
      <c r="AU4956">
        <v>0</v>
      </c>
      <c r="AW4956">
        <v>0</v>
      </c>
      <c r="AX4956">
        <v>0</v>
      </c>
      <c r="AY4956">
        <v>0</v>
      </c>
      <c r="BC4956" t="str">
        <f t="shared" si="678"/>
        <v>9791137601222</v>
      </c>
      <c r="BE4956" t="str">
        <f t="shared" si="674"/>
        <v>판타지 웹소설 &gt; 퓨전 판타지</v>
      </c>
    </row>
    <row r="4957" spans="1:57" x14ac:dyDescent="0.3">
      <c r="A4957">
        <v>2313014555</v>
      </c>
      <c r="B4957">
        <v>2313014559</v>
      </c>
      <c r="C4957" t="str">
        <f>T("헌터인데 내공이 좀 많네요 5화")</f>
        <v>헌터인데 내공이 좀 많네요 5화</v>
      </c>
      <c r="D4957" t="str">
        <f>T("5")</f>
        <v>5</v>
      </c>
      <c r="E4957" t="str">
        <f t="shared" si="676"/>
        <v>돈문어</v>
      </c>
      <c r="H4957" t="str">
        <f t="shared" si="675"/>
        <v>스토리위즈</v>
      </c>
      <c r="I4957" t="str">
        <f t="shared" si="677"/>
        <v>헌터인데 내공이 좀 많네요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/>
      <c r="AQ4957">
        <v>0</v>
      </c>
      <c r="AR4957">
        <v>0</v>
      </c>
      <c r="AT4957">
        <v>0</v>
      </c>
      <c r="AU4957">
        <v>0</v>
      </c>
      <c r="AW4957">
        <v>0</v>
      </c>
      <c r="AX4957">
        <v>0</v>
      </c>
      <c r="AY4957">
        <v>0</v>
      </c>
      <c r="BC4957" t="str">
        <f t="shared" si="678"/>
        <v>9791137601222</v>
      </c>
      <c r="BE4957" t="str">
        <f t="shared" si="674"/>
        <v>판타지 웹소설 &gt; 퓨전 판타지</v>
      </c>
    </row>
    <row r="4958" spans="1:57" x14ac:dyDescent="0.3">
      <c r="A4958">
        <v>2313014555</v>
      </c>
      <c r="B4958">
        <v>2313014560</v>
      </c>
      <c r="C4958" t="str">
        <f>T("헌터인데 내공이 좀 많네요 6화")</f>
        <v>헌터인데 내공이 좀 많네요 6화</v>
      </c>
      <c r="D4958" t="str">
        <f>T("6")</f>
        <v>6</v>
      </c>
      <c r="E4958" t="str">
        <f t="shared" si="676"/>
        <v>돈문어</v>
      </c>
      <c r="H4958" t="str">
        <f t="shared" si="675"/>
        <v>스토리위즈</v>
      </c>
      <c r="I4958" t="str">
        <f t="shared" si="677"/>
        <v>헌터인데 내공이 좀 많네요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/>
      <c r="AQ4958">
        <v>0</v>
      </c>
      <c r="AR4958">
        <v>0</v>
      </c>
      <c r="AT4958">
        <v>0</v>
      </c>
      <c r="AU4958">
        <v>0</v>
      </c>
      <c r="AW4958">
        <v>0</v>
      </c>
      <c r="AX4958">
        <v>0</v>
      </c>
      <c r="AY4958">
        <v>0</v>
      </c>
      <c r="BC4958" t="str">
        <f t="shared" si="678"/>
        <v>9791137601222</v>
      </c>
      <c r="BE4958" t="str">
        <f t="shared" si="674"/>
        <v>판타지 웹소설 &gt; 퓨전 판타지</v>
      </c>
    </row>
    <row r="4959" spans="1:57" x14ac:dyDescent="0.3">
      <c r="A4959">
        <v>2313014555</v>
      </c>
      <c r="B4959">
        <v>2313014561</v>
      </c>
      <c r="C4959" t="str">
        <f>T("헌터인데 내공이 좀 많네요 7화")</f>
        <v>헌터인데 내공이 좀 많네요 7화</v>
      </c>
      <c r="D4959" t="str">
        <f>T("7")</f>
        <v>7</v>
      </c>
      <c r="E4959" t="str">
        <f t="shared" si="676"/>
        <v>돈문어</v>
      </c>
      <c r="H4959" t="str">
        <f t="shared" si="675"/>
        <v>스토리위즈</v>
      </c>
      <c r="I4959" t="str">
        <f t="shared" si="677"/>
        <v>헌터인데 내공이 좀 많네요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1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/>
      <c r="AQ4959">
        <v>0</v>
      </c>
      <c r="AR4959">
        <v>0</v>
      </c>
      <c r="AT4959">
        <v>0</v>
      </c>
      <c r="AU4959">
        <v>0</v>
      </c>
      <c r="AW4959">
        <v>0</v>
      </c>
      <c r="AX4959">
        <v>0</v>
      </c>
      <c r="AY4959">
        <v>0</v>
      </c>
      <c r="BC4959" t="str">
        <f t="shared" si="678"/>
        <v>9791137601222</v>
      </c>
      <c r="BE4959" t="str">
        <f t="shared" si="674"/>
        <v>판타지 웹소설 &gt; 퓨전 판타지</v>
      </c>
    </row>
    <row r="4960" spans="1:57" x14ac:dyDescent="0.3">
      <c r="A4960">
        <v>2313014555</v>
      </c>
      <c r="B4960">
        <v>2313014562</v>
      </c>
      <c r="C4960" t="str">
        <f>T("헌터인데 내공이 좀 많네요 8화")</f>
        <v>헌터인데 내공이 좀 많네요 8화</v>
      </c>
      <c r="D4960" t="str">
        <f>T("8")</f>
        <v>8</v>
      </c>
      <c r="E4960" t="str">
        <f t="shared" si="676"/>
        <v>돈문어</v>
      </c>
      <c r="H4960" t="str">
        <f t="shared" si="675"/>
        <v>스토리위즈</v>
      </c>
      <c r="I4960" t="str">
        <f t="shared" si="677"/>
        <v>헌터인데 내공이 좀 많네요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1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/>
      <c r="AQ4960">
        <v>0</v>
      </c>
      <c r="AR4960">
        <v>0</v>
      </c>
      <c r="AT4960">
        <v>0</v>
      </c>
      <c r="AU4960">
        <v>0</v>
      </c>
      <c r="AW4960">
        <v>0</v>
      </c>
      <c r="AX4960">
        <v>0</v>
      </c>
      <c r="AY4960">
        <v>0</v>
      </c>
      <c r="BC4960" t="str">
        <f t="shared" si="678"/>
        <v>9791137601222</v>
      </c>
      <c r="BE4960" t="str">
        <f t="shared" si="674"/>
        <v>판타지 웹소설 &gt; 퓨전 판타지</v>
      </c>
    </row>
    <row r="4961" spans="1:57" x14ac:dyDescent="0.3">
      <c r="A4961">
        <v>2313014555</v>
      </c>
      <c r="B4961">
        <v>2313014563</v>
      </c>
      <c r="C4961" t="str">
        <f>T("헌터인데 내공이 좀 많네요 9화")</f>
        <v>헌터인데 내공이 좀 많네요 9화</v>
      </c>
      <c r="D4961" t="str">
        <f>T("9")</f>
        <v>9</v>
      </c>
      <c r="E4961" t="str">
        <f t="shared" si="676"/>
        <v>돈문어</v>
      </c>
      <c r="H4961" t="str">
        <f t="shared" si="675"/>
        <v>스토리위즈</v>
      </c>
      <c r="I4961" t="str">
        <f t="shared" si="677"/>
        <v>헌터인데 내공이 좀 많네요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/>
      <c r="AQ4961">
        <v>0</v>
      </c>
      <c r="AR4961">
        <v>0</v>
      </c>
      <c r="AT4961">
        <v>0</v>
      </c>
      <c r="AU4961">
        <v>0</v>
      </c>
      <c r="AW4961">
        <v>0</v>
      </c>
      <c r="AX4961">
        <v>0</v>
      </c>
      <c r="AY4961">
        <v>0</v>
      </c>
      <c r="BC4961" t="str">
        <f t="shared" si="678"/>
        <v>9791137601222</v>
      </c>
      <c r="BE4961" t="str">
        <f t="shared" si="674"/>
        <v>판타지 웹소설 &gt; 퓨전 판타지</v>
      </c>
    </row>
    <row r="4962" spans="1:57" x14ac:dyDescent="0.3">
      <c r="A4962">
        <v>2313014555</v>
      </c>
      <c r="B4962">
        <v>2313014564</v>
      </c>
      <c r="C4962" t="str">
        <f>T("헌터인데 내공이 좀 많네요 10화")</f>
        <v>헌터인데 내공이 좀 많네요 10화</v>
      </c>
      <c r="D4962" t="str">
        <f>T("10")</f>
        <v>10</v>
      </c>
      <c r="E4962" t="str">
        <f t="shared" si="676"/>
        <v>돈문어</v>
      </c>
      <c r="H4962" t="str">
        <f t="shared" si="675"/>
        <v>스토리위즈</v>
      </c>
      <c r="I4962" t="str">
        <f t="shared" si="677"/>
        <v>헌터인데 내공이 좀 많네요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/>
      <c r="AQ4962">
        <v>0</v>
      </c>
      <c r="AR4962">
        <v>0</v>
      </c>
      <c r="AT4962">
        <v>0</v>
      </c>
      <c r="AU4962">
        <v>0</v>
      </c>
      <c r="AW4962">
        <v>0</v>
      </c>
      <c r="AX4962">
        <v>0</v>
      </c>
      <c r="AY4962">
        <v>0</v>
      </c>
      <c r="BC4962" t="str">
        <f t="shared" si="678"/>
        <v>9791137601222</v>
      </c>
      <c r="BE4962" t="str">
        <f t="shared" si="674"/>
        <v>판타지 웹소설 &gt; 퓨전 판타지</v>
      </c>
    </row>
    <row r="4963" spans="1:57" x14ac:dyDescent="0.3">
      <c r="A4963">
        <v>2313014555</v>
      </c>
      <c r="B4963">
        <v>2313014565</v>
      </c>
      <c r="C4963" t="str">
        <f>T("헌터인데 내공이 좀 많네요 11화")</f>
        <v>헌터인데 내공이 좀 많네요 11화</v>
      </c>
      <c r="D4963" t="str">
        <f>T("11")</f>
        <v>11</v>
      </c>
      <c r="E4963" t="str">
        <f t="shared" si="676"/>
        <v>돈문어</v>
      </c>
      <c r="H4963" t="str">
        <f t="shared" si="675"/>
        <v>스토리위즈</v>
      </c>
      <c r="I4963" t="str">
        <f t="shared" si="677"/>
        <v>헌터인데 내공이 좀 많네요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1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/>
      <c r="AQ4963">
        <v>0</v>
      </c>
      <c r="AR4963">
        <v>0</v>
      </c>
      <c r="AT4963">
        <v>0</v>
      </c>
      <c r="AU4963">
        <v>0</v>
      </c>
      <c r="AW4963">
        <v>0</v>
      </c>
      <c r="AX4963">
        <v>0</v>
      </c>
      <c r="AY4963">
        <v>0</v>
      </c>
      <c r="BC4963" t="str">
        <f t="shared" si="678"/>
        <v>9791137601222</v>
      </c>
      <c r="BE4963" t="str">
        <f t="shared" si="674"/>
        <v>판타지 웹소설 &gt; 퓨전 판타지</v>
      </c>
    </row>
    <row r="4964" spans="1:57" x14ac:dyDescent="0.3">
      <c r="A4964">
        <v>2313014555</v>
      </c>
      <c r="B4964">
        <v>2313014566</v>
      </c>
      <c r="C4964" t="str">
        <f>T("헌터인데 내공이 좀 많네요 12화")</f>
        <v>헌터인데 내공이 좀 많네요 12화</v>
      </c>
      <c r="D4964" t="str">
        <f>T("12")</f>
        <v>12</v>
      </c>
      <c r="E4964" t="str">
        <f t="shared" si="676"/>
        <v>돈문어</v>
      </c>
      <c r="H4964" t="str">
        <f t="shared" si="675"/>
        <v>스토리위즈</v>
      </c>
      <c r="I4964" t="str">
        <f t="shared" si="677"/>
        <v>헌터인데 내공이 좀 많네요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1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/>
      <c r="AQ4964">
        <v>0</v>
      </c>
      <c r="AR4964">
        <v>0</v>
      </c>
      <c r="AT4964">
        <v>0</v>
      </c>
      <c r="AU4964">
        <v>0</v>
      </c>
      <c r="AW4964">
        <v>0</v>
      </c>
      <c r="AX4964">
        <v>0</v>
      </c>
      <c r="AY4964">
        <v>0</v>
      </c>
      <c r="BC4964" t="str">
        <f t="shared" si="678"/>
        <v>9791137601222</v>
      </c>
      <c r="BE4964" t="str">
        <f t="shared" si="674"/>
        <v>판타지 웹소설 &gt; 퓨전 판타지</v>
      </c>
    </row>
    <row r="4965" spans="1:57" x14ac:dyDescent="0.3">
      <c r="A4965">
        <v>2313014555</v>
      </c>
      <c r="B4965">
        <v>2313014567</v>
      </c>
      <c r="C4965" t="str">
        <f>T("헌터인데 내공이 좀 많네요 13화")</f>
        <v>헌터인데 내공이 좀 많네요 13화</v>
      </c>
      <c r="D4965" t="str">
        <f>T("13")</f>
        <v>13</v>
      </c>
      <c r="E4965" t="str">
        <f t="shared" si="676"/>
        <v>돈문어</v>
      </c>
      <c r="H4965" t="str">
        <f t="shared" si="675"/>
        <v>스토리위즈</v>
      </c>
      <c r="I4965" t="str">
        <f t="shared" si="677"/>
        <v>헌터인데 내공이 좀 많네요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1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/>
      <c r="AQ4965">
        <v>0</v>
      </c>
      <c r="AR4965">
        <v>0</v>
      </c>
      <c r="AT4965">
        <v>0</v>
      </c>
      <c r="AU4965">
        <v>0</v>
      </c>
      <c r="AW4965">
        <v>0</v>
      </c>
      <c r="AX4965">
        <v>0</v>
      </c>
      <c r="AY4965">
        <v>0</v>
      </c>
      <c r="BC4965" t="str">
        <f t="shared" si="678"/>
        <v>9791137601222</v>
      </c>
      <c r="BE4965" t="str">
        <f t="shared" si="674"/>
        <v>판타지 웹소설 &gt; 퓨전 판타지</v>
      </c>
    </row>
    <row r="4966" spans="1:57" x14ac:dyDescent="0.3">
      <c r="A4966">
        <v>2313014555</v>
      </c>
      <c r="B4966">
        <v>2313014568</v>
      </c>
      <c r="C4966" t="str">
        <f>T("헌터인데 내공이 좀 많네요 14화")</f>
        <v>헌터인데 내공이 좀 많네요 14화</v>
      </c>
      <c r="D4966" t="str">
        <f>T("14")</f>
        <v>14</v>
      </c>
      <c r="E4966" t="str">
        <f t="shared" si="676"/>
        <v>돈문어</v>
      </c>
      <c r="H4966" t="str">
        <f t="shared" si="675"/>
        <v>스토리위즈</v>
      </c>
      <c r="I4966" t="str">
        <f t="shared" si="677"/>
        <v>헌터인데 내공이 좀 많네요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1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/>
      <c r="AQ4966">
        <v>0</v>
      </c>
      <c r="AR4966">
        <v>0</v>
      </c>
      <c r="AT4966">
        <v>0</v>
      </c>
      <c r="AU4966">
        <v>0</v>
      </c>
      <c r="AW4966">
        <v>0</v>
      </c>
      <c r="AX4966">
        <v>0</v>
      </c>
      <c r="AY4966">
        <v>0</v>
      </c>
      <c r="BC4966" t="str">
        <f t="shared" si="678"/>
        <v>9791137601222</v>
      </c>
      <c r="BE4966" t="str">
        <f t="shared" si="674"/>
        <v>판타지 웹소설 &gt; 퓨전 판타지</v>
      </c>
    </row>
    <row r="4967" spans="1:57" x14ac:dyDescent="0.3">
      <c r="A4967">
        <v>2313014555</v>
      </c>
      <c r="B4967">
        <v>2313014569</v>
      </c>
      <c r="C4967" t="str">
        <f>T("헌터인데 내공이 좀 많네요 15화")</f>
        <v>헌터인데 내공이 좀 많네요 15화</v>
      </c>
      <c r="D4967" t="str">
        <f>T("15")</f>
        <v>15</v>
      </c>
      <c r="E4967" t="str">
        <f t="shared" si="676"/>
        <v>돈문어</v>
      </c>
      <c r="H4967" t="str">
        <f t="shared" si="675"/>
        <v>스토리위즈</v>
      </c>
      <c r="I4967" t="str">
        <f t="shared" si="677"/>
        <v>헌터인데 내공이 좀 많네요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/>
      <c r="AQ4967">
        <v>0</v>
      </c>
      <c r="AR4967">
        <v>0</v>
      </c>
      <c r="AT4967">
        <v>0</v>
      </c>
      <c r="AU4967">
        <v>0</v>
      </c>
      <c r="AW4967">
        <v>0</v>
      </c>
      <c r="AX4967">
        <v>0</v>
      </c>
      <c r="AY4967">
        <v>0</v>
      </c>
      <c r="BC4967" t="str">
        <f t="shared" si="678"/>
        <v>9791137601222</v>
      </c>
      <c r="BE4967" t="str">
        <f t="shared" si="674"/>
        <v>판타지 웹소설 &gt; 퓨전 판타지</v>
      </c>
    </row>
    <row r="4968" spans="1:57" x14ac:dyDescent="0.3">
      <c r="A4968">
        <v>2313014555</v>
      </c>
      <c r="B4968">
        <v>2313014570</v>
      </c>
      <c r="C4968" t="str">
        <f>T("헌터인데 내공이 좀 많네요 16화")</f>
        <v>헌터인데 내공이 좀 많네요 16화</v>
      </c>
      <c r="D4968" t="str">
        <f>T("16")</f>
        <v>16</v>
      </c>
      <c r="E4968" t="str">
        <f t="shared" si="676"/>
        <v>돈문어</v>
      </c>
      <c r="H4968" t="str">
        <f t="shared" si="675"/>
        <v>스토리위즈</v>
      </c>
      <c r="I4968" t="str">
        <f t="shared" si="677"/>
        <v>헌터인데 내공이 좀 많네요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/>
      <c r="AQ4968">
        <v>0</v>
      </c>
      <c r="AR4968">
        <v>0</v>
      </c>
      <c r="AT4968">
        <v>0</v>
      </c>
      <c r="AU4968">
        <v>0</v>
      </c>
      <c r="AW4968">
        <v>0</v>
      </c>
      <c r="AX4968">
        <v>0</v>
      </c>
      <c r="AY4968">
        <v>0</v>
      </c>
      <c r="BC4968" t="str">
        <f t="shared" si="678"/>
        <v>9791137601222</v>
      </c>
      <c r="BE4968" t="str">
        <f t="shared" si="674"/>
        <v>판타지 웹소설 &gt; 퓨전 판타지</v>
      </c>
    </row>
    <row r="4969" spans="1:57" x14ac:dyDescent="0.3">
      <c r="A4969">
        <v>2313014555</v>
      </c>
      <c r="B4969">
        <v>2313014571</v>
      </c>
      <c r="C4969" t="str">
        <f>T("헌터인데 내공이 좀 많네요 17화")</f>
        <v>헌터인데 내공이 좀 많네요 17화</v>
      </c>
      <c r="D4969" t="str">
        <f>T("17")</f>
        <v>17</v>
      </c>
      <c r="E4969" t="str">
        <f t="shared" si="676"/>
        <v>돈문어</v>
      </c>
      <c r="H4969" t="str">
        <f t="shared" si="675"/>
        <v>스토리위즈</v>
      </c>
      <c r="I4969" t="str">
        <f t="shared" si="677"/>
        <v>헌터인데 내공이 좀 많네요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1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/>
      <c r="AQ4969">
        <v>0</v>
      </c>
      <c r="AR4969">
        <v>0</v>
      </c>
      <c r="AT4969">
        <v>0</v>
      </c>
      <c r="AU4969">
        <v>0</v>
      </c>
      <c r="AW4969">
        <v>0</v>
      </c>
      <c r="AX4969">
        <v>0</v>
      </c>
      <c r="AY4969">
        <v>0</v>
      </c>
      <c r="BC4969" t="str">
        <f t="shared" si="678"/>
        <v>9791137601222</v>
      </c>
      <c r="BE4969" t="str">
        <f t="shared" si="674"/>
        <v>판타지 웹소설 &gt; 퓨전 판타지</v>
      </c>
    </row>
    <row r="4970" spans="1:57" x14ac:dyDescent="0.3">
      <c r="A4970">
        <v>2313014555</v>
      </c>
      <c r="B4970">
        <v>2313014572</v>
      </c>
      <c r="C4970" t="str">
        <f>T("헌터인데 내공이 좀 많네요 18화")</f>
        <v>헌터인데 내공이 좀 많네요 18화</v>
      </c>
      <c r="D4970" t="str">
        <f>T("18")</f>
        <v>18</v>
      </c>
      <c r="E4970" t="str">
        <f t="shared" si="676"/>
        <v>돈문어</v>
      </c>
      <c r="H4970" t="str">
        <f t="shared" si="675"/>
        <v>스토리위즈</v>
      </c>
      <c r="I4970" t="str">
        <f t="shared" si="677"/>
        <v>헌터인데 내공이 좀 많네요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/>
      <c r="AQ4970">
        <v>0</v>
      </c>
      <c r="AR4970">
        <v>0</v>
      </c>
      <c r="AT4970">
        <v>0</v>
      </c>
      <c r="AU4970">
        <v>0</v>
      </c>
      <c r="AW4970">
        <v>0</v>
      </c>
      <c r="AX4970">
        <v>0</v>
      </c>
      <c r="AY4970">
        <v>0</v>
      </c>
      <c r="BC4970" t="str">
        <f t="shared" si="678"/>
        <v>9791137601222</v>
      </c>
      <c r="BE4970" t="str">
        <f t="shared" si="674"/>
        <v>판타지 웹소설 &gt; 퓨전 판타지</v>
      </c>
    </row>
    <row r="4971" spans="1:57" x14ac:dyDescent="0.3">
      <c r="A4971">
        <v>2313014555</v>
      </c>
      <c r="B4971">
        <v>2313014573</v>
      </c>
      <c r="C4971" t="str">
        <f>T("헌터인데 내공이 좀 많네요 19화")</f>
        <v>헌터인데 내공이 좀 많네요 19화</v>
      </c>
      <c r="D4971" t="str">
        <f>T("19")</f>
        <v>19</v>
      </c>
      <c r="E4971" t="str">
        <f t="shared" si="676"/>
        <v>돈문어</v>
      </c>
      <c r="H4971" t="str">
        <f t="shared" si="675"/>
        <v>스토리위즈</v>
      </c>
      <c r="I4971" t="str">
        <f t="shared" si="677"/>
        <v>헌터인데 내공이 좀 많네요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/>
      <c r="AQ4971">
        <v>0</v>
      </c>
      <c r="AR4971">
        <v>0</v>
      </c>
      <c r="AT4971">
        <v>0</v>
      </c>
      <c r="AU4971">
        <v>0</v>
      </c>
      <c r="AW4971">
        <v>0</v>
      </c>
      <c r="AX4971">
        <v>0</v>
      </c>
      <c r="AY4971">
        <v>0</v>
      </c>
      <c r="BC4971" t="str">
        <f t="shared" si="678"/>
        <v>9791137601222</v>
      </c>
      <c r="BE4971" t="str">
        <f t="shared" si="674"/>
        <v>판타지 웹소설 &gt; 퓨전 판타지</v>
      </c>
    </row>
    <row r="4972" spans="1:57" x14ac:dyDescent="0.3">
      <c r="A4972">
        <v>2313014555</v>
      </c>
      <c r="B4972">
        <v>2313014574</v>
      </c>
      <c r="C4972" t="str">
        <f>T("헌터인데 내공이 좀 많네요 20화")</f>
        <v>헌터인데 내공이 좀 많네요 20화</v>
      </c>
      <c r="D4972" t="str">
        <f>T("20")</f>
        <v>20</v>
      </c>
      <c r="E4972" t="str">
        <f t="shared" si="676"/>
        <v>돈문어</v>
      </c>
      <c r="H4972" t="str">
        <f t="shared" si="675"/>
        <v>스토리위즈</v>
      </c>
      <c r="I4972" t="str">
        <f t="shared" si="677"/>
        <v>헌터인데 내공이 좀 많네요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/>
      <c r="AQ4972">
        <v>0</v>
      </c>
      <c r="AR4972">
        <v>0</v>
      </c>
      <c r="AT4972">
        <v>0</v>
      </c>
      <c r="AU4972">
        <v>0</v>
      </c>
      <c r="AW4972">
        <v>0</v>
      </c>
      <c r="AX4972">
        <v>0</v>
      </c>
      <c r="AY4972">
        <v>0</v>
      </c>
      <c r="BC4972" t="str">
        <f t="shared" si="678"/>
        <v>9791137601222</v>
      </c>
      <c r="BE4972" t="str">
        <f t="shared" si="674"/>
        <v>판타지 웹소설 &gt; 퓨전 판타지</v>
      </c>
    </row>
    <row r="4973" spans="1:57" x14ac:dyDescent="0.3">
      <c r="A4973">
        <v>2313014555</v>
      </c>
      <c r="B4973">
        <v>2313014575</v>
      </c>
      <c r="C4973" t="str">
        <f>T("헌터인데 내공이 좀 많네요 21화")</f>
        <v>헌터인데 내공이 좀 많네요 21화</v>
      </c>
      <c r="D4973" t="str">
        <f>T("21")</f>
        <v>21</v>
      </c>
      <c r="E4973" t="str">
        <f t="shared" si="676"/>
        <v>돈문어</v>
      </c>
      <c r="H4973" t="str">
        <f t="shared" si="675"/>
        <v>스토리위즈</v>
      </c>
      <c r="I4973" t="str">
        <f t="shared" si="677"/>
        <v>헌터인데 내공이 좀 많네요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/>
      <c r="AQ4973">
        <v>0</v>
      </c>
      <c r="AR4973">
        <v>0</v>
      </c>
      <c r="AT4973">
        <v>0</v>
      </c>
      <c r="AU4973">
        <v>0</v>
      </c>
      <c r="AW4973">
        <v>0</v>
      </c>
      <c r="AX4973">
        <v>0</v>
      </c>
      <c r="AY4973">
        <v>0</v>
      </c>
      <c r="BC4973" t="str">
        <f t="shared" si="678"/>
        <v>9791137601222</v>
      </c>
      <c r="BE4973" t="str">
        <f t="shared" si="674"/>
        <v>판타지 웹소설 &gt; 퓨전 판타지</v>
      </c>
    </row>
    <row r="4974" spans="1:57" x14ac:dyDescent="0.3">
      <c r="A4974">
        <v>2313014555</v>
      </c>
      <c r="B4974">
        <v>2313014576</v>
      </c>
      <c r="C4974" t="str">
        <f>T("헌터인데 내공이 좀 많네요 22화")</f>
        <v>헌터인데 내공이 좀 많네요 22화</v>
      </c>
      <c r="D4974" t="str">
        <f>T("22")</f>
        <v>22</v>
      </c>
      <c r="E4974" t="str">
        <f t="shared" si="676"/>
        <v>돈문어</v>
      </c>
      <c r="H4974" t="str">
        <f t="shared" si="675"/>
        <v>스토리위즈</v>
      </c>
      <c r="I4974" t="str">
        <f t="shared" si="677"/>
        <v>헌터인데 내공이 좀 많네요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1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/>
      <c r="AQ4974">
        <v>0</v>
      </c>
      <c r="AR4974">
        <v>0</v>
      </c>
      <c r="AT4974">
        <v>0</v>
      </c>
      <c r="AU4974">
        <v>0</v>
      </c>
      <c r="AW4974">
        <v>0</v>
      </c>
      <c r="AX4974">
        <v>0</v>
      </c>
      <c r="AY4974">
        <v>0</v>
      </c>
      <c r="BC4974" t="str">
        <f t="shared" si="678"/>
        <v>9791137601222</v>
      </c>
      <c r="BE4974" t="str">
        <f t="shared" si="674"/>
        <v>판타지 웹소설 &gt; 퓨전 판타지</v>
      </c>
    </row>
    <row r="4975" spans="1:57" x14ac:dyDescent="0.3">
      <c r="A4975">
        <v>2313014555</v>
      </c>
      <c r="B4975">
        <v>2313014577</v>
      </c>
      <c r="C4975" t="str">
        <f>T("헌터인데 내공이 좀 많네요 23화")</f>
        <v>헌터인데 내공이 좀 많네요 23화</v>
      </c>
      <c r="D4975" t="str">
        <f>T("23")</f>
        <v>23</v>
      </c>
      <c r="E4975" t="str">
        <f t="shared" si="676"/>
        <v>돈문어</v>
      </c>
      <c r="H4975" t="str">
        <f t="shared" si="675"/>
        <v>스토리위즈</v>
      </c>
      <c r="I4975" t="str">
        <f t="shared" si="677"/>
        <v>헌터인데 내공이 좀 많네요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/>
      <c r="AQ4975">
        <v>0</v>
      </c>
      <c r="AR4975">
        <v>0</v>
      </c>
      <c r="AT4975">
        <v>0</v>
      </c>
      <c r="AU4975">
        <v>0</v>
      </c>
      <c r="AW4975">
        <v>0</v>
      </c>
      <c r="AX4975">
        <v>0</v>
      </c>
      <c r="AY4975">
        <v>0</v>
      </c>
      <c r="BC4975" t="str">
        <f t="shared" si="678"/>
        <v>9791137601222</v>
      </c>
      <c r="BE4975" t="str">
        <f t="shared" si="674"/>
        <v>판타지 웹소설 &gt; 퓨전 판타지</v>
      </c>
    </row>
    <row r="4976" spans="1:57" x14ac:dyDescent="0.3">
      <c r="A4976">
        <v>2313014555</v>
      </c>
      <c r="B4976">
        <v>2313014578</v>
      </c>
      <c r="C4976" t="str">
        <f>T("헌터인데 내공이 좀 많네요 24화")</f>
        <v>헌터인데 내공이 좀 많네요 24화</v>
      </c>
      <c r="D4976" t="str">
        <f>T("24")</f>
        <v>24</v>
      </c>
      <c r="E4976" t="str">
        <f t="shared" si="676"/>
        <v>돈문어</v>
      </c>
      <c r="H4976" t="str">
        <f t="shared" si="675"/>
        <v>스토리위즈</v>
      </c>
      <c r="I4976" t="str">
        <f t="shared" si="677"/>
        <v>헌터인데 내공이 좀 많네요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/>
      <c r="AQ4976">
        <v>0</v>
      </c>
      <c r="AR4976">
        <v>0</v>
      </c>
      <c r="AT4976">
        <v>0</v>
      </c>
      <c r="AU4976">
        <v>0</v>
      </c>
      <c r="AW4976">
        <v>0</v>
      </c>
      <c r="AX4976">
        <v>0</v>
      </c>
      <c r="AY4976">
        <v>0</v>
      </c>
      <c r="BC4976" t="str">
        <f t="shared" si="678"/>
        <v>9791137601222</v>
      </c>
      <c r="BE4976" t="str">
        <f t="shared" si="674"/>
        <v>판타지 웹소설 &gt; 퓨전 판타지</v>
      </c>
    </row>
    <row r="4977" spans="1:57" x14ac:dyDescent="0.3">
      <c r="A4977">
        <v>2313014555</v>
      </c>
      <c r="B4977">
        <v>2313014579</v>
      </c>
      <c r="C4977" t="str">
        <f>T("헌터인데 내공이 좀 많네요 25화")</f>
        <v>헌터인데 내공이 좀 많네요 25화</v>
      </c>
      <c r="D4977" t="str">
        <f>T("25")</f>
        <v>25</v>
      </c>
      <c r="E4977" t="str">
        <f t="shared" si="676"/>
        <v>돈문어</v>
      </c>
      <c r="H4977" t="str">
        <f t="shared" si="675"/>
        <v>스토리위즈</v>
      </c>
      <c r="I4977" t="str">
        <f t="shared" si="677"/>
        <v>헌터인데 내공이 좀 많네요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/>
      <c r="AQ4977">
        <v>0</v>
      </c>
      <c r="AR4977">
        <v>0</v>
      </c>
      <c r="AT4977">
        <v>0</v>
      </c>
      <c r="AU4977">
        <v>0</v>
      </c>
      <c r="AW4977">
        <v>0</v>
      </c>
      <c r="AX4977">
        <v>0</v>
      </c>
      <c r="AY4977">
        <v>0</v>
      </c>
      <c r="BC4977" t="str">
        <f t="shared" si="678"/>
        <v>9791137601222</v>
      </c>
      <c r="BE4977" t="str">
        <f t="shared" si="674"/>
        <v>판타지 웹소설 &gt; 퓨전 판타지</v>
      </c>
    </row>
    <row r="4978" spans="1:57" x14ac:dyDescent="0.3">
      <c r="A4978">
        <v>2313015171</v>
      </c>
      <c r="B4978">
        <v>2313015171</v>
      </c>
      <c r="C4978" t="str">
        <f>T("[e북]도폐풍운록 1권")</f>
        <v>[e북]도폐풍운록 1권</v>
      </c>
      <c r="D4978" t="str">
        <f>T("1")</f>
        <v>1</v>
      </c>
      <c r="E4978" t="str">
        <f>T("무장")</f>
        <v>무장</v>
      </c>
      <c r="H4978" t="str">
        <f t="shared" si="675"/>
        <v>스토리위즈</v>
      </c>
      <c r="I4978" t="str">
        <f>T("[e북]도폐풍운록")</f>
        <v>[e북]도폐풍운록</v>
      </c>
      <c r="J4978">
        <v>0</v>
      </c>
      <c r="K4978">
        <v>0</v>
      </c>
      <c r="L4978">
        <v>0</v>
      </c>
      <c r="M4978">
        <v>5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5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/>
      <c r="AQ4978">
        <v>0</v>
      </c>
      <c r="AR4978">
        <v>0</v>
      </c>
      <c r="AT4978">
        <v>0</v>
      </c>
      <c r="AU4978">
        <v>0</v>
      </c>
      <c r="AW4978">
        <v>0</v>
      </c>
      <c r="AX4978">
        <v>0</v>
      </c>
      <c r="AY4978">
        <v>0</v>
      </c>
      <c r="BA4978" t="str">
        <f>T("0000000000000")</f>
        <v>0000000000000</v>
      </c>
      <c r="BC4978" t="str">
        <f>T("9791137602809")</f>
        <v>9791137602809</v>
      </c>
      <c r="BE4978" t="str">
        <f>T("판타지 e북 &gt; 신무협")</f>
        <v>판타지 e북 &gt; 신무협</v>
      </c>
    </row>
    <row r="4979" spans="1:57" x14ac:dyDescent="0.3">
      <c r="A4979">
        <v>2313015175</v>
      </c>
      <c r="B4979">
        <v>2313015175</v>
      </c>
      <c r="C4979" t="str">
        <f>T("[e북]선유문주 1권")</f>
        <v>[e북]선유문주 1권</v>
      </c>
      <c r="D4979" t="str">
        <f>T("1")</f>
        <v>1</v>
      </c>
      <c r="E4979" t="str">
        <f>T("무장")</f>
        <v>무장</v>
      </c>
      <c r="H4979" t="str">
        <f t="shared" si="675"/>
        <v>스토리위즈</v>
      </c>
      <c r="I4979" t="str">
        <f>T("[e북]선유문주")</f>
        <v>[e북]선유문주</v>
      </c>
      <c r="J4979">
        <v>0</v>
      </c>
      <c r="K4979">
        <v>0</v>
      </c>
      <c r="L4979">
        <v>0</v>
      </c>
      <c r="M4979">
        <v>4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4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/>
      <c r="AQ4979">
        <v>0</v>
      </c>
      <c r="AR4979">
        <v>0</v>
      </c>
      <c r="AT4979">
        <v>0</v>
      </c>
      <c r="AU4979">
        <v>0</v>
      </c>
      <c r="AW4979">
        <v>0</v>
      </c>
      <c r="AX4979">
        <v>0</v>
      </c>
      <c r="AY4979">
        <v>0</v>
      </c>
      <c r="BA4979" t="str">
        <f>T("0000000000000")</f>
        <v>0000000000000</v>
      </c>
      <c r="BC4979" t="str">
        <f>T("9791137602854")</f>
        <v>9791137602854</v>
      </c>
      <c r="BE4979" t="str">
        <f>T("판타지 e북 &gt; 신무협")</f>
        <v>판타지 e북 &gt; 신무협</v>
      </c>
    </row>
    <row r="4980" spans="1:57" x14ac:dyDescent="0.3">
      <c r="A4980">
        <v>2313015180</v>
      </c>
      <c r="B4980">
        <v>2313015180</v>
      </c>
      <c r="C4980" t="str">
        <f>T("신인류 좀비의 아포칼립스 1화")</f>
        <v>신인류 좀비의 아포칼립스 1화</v>
      </c>
      <c r="D4980" t="str">
        <f>T("1")</f>
        <v>1</v>
      </c>
      <c r="E4980" t="str">
        <f>T("모험왕선우")</f>
        <v>모험왕선우</v>
      </c>
      <c r="H4980" t="str">
        <f t="shared" si="675"/>
        <v>스토리위즈</v>
      </c>
      <c r="I4980" t="str">
        <f>T("신인류 좀비의 아포칼립스")</f>
        <v>신인류 좀비의 아포칼립스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/>
      <c r="AQ4980">
        <v>0</v>
      </c>
      <c r="AR4980">
        <v>0</v>
      </c>
      <c r="AT4980">
        <v>0</v>
      </c>
      <c r="AU4980">
        <v>0</v>
      </c>
      <c r="AW4980">
        <v>0</v>
      </c>
      <c r="AX4980">
        <v>0</v>
      </c>
      <c r="AY4980">
        <v>0</v>
      </c>
      <c r="BC4980" t="str">
        <f>T("9791137601369")</f>
        <v>9791137601369</v>
      </c>
      <c r="BE4980" t="str">
        <f>T("판타지 웹소설 &gt; 현대 판타지")</f>
        <v>판타지 웹소설 &gt; 현대 판타지</v>
      </c>
    </row>
    <row r="4981" spans="1:57" x14ac:dyDescent="0.3">
      <c r="A4981">
        <v>2313015494</v>
      </c>
      <c r="B4981">
        <v>2313015501</v>
      </c>
      <c r="C4981" t="str">
        <f>T("회귀했는데 FFF급 부두술사 8화")</f>
        <v>회귀했는데 FFF급 부두술사 8화</v>
      </c>
      <c r="D4981" t="str">
        <f>T("8")</f>
        <v>8</v>
      </c>
      <c r="E4981" t="str">
        <f>T("빡선생")</f>
        <v>빡선생</v>
      </c>
      <c r="H4981" t="str">
        <f t="shared" si="675"/>
        <v>스토리위즈</v>
      </c>
      <c r="I4981" t="str">
        <f>T("회귀했는데 FFF급 부두술사")</f>
        <v>회귀했는데 FFF급 부두술사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/>
      <c r="AQ4981">
        <v>0</v>
      </c>
      <c r="AR4981">
        <v>0</v>
      </c>
      <c r="AT4981">
        <v>0</v>
      </c>
      <c r="AU4981">
        <v>0</v>
      </c>
      <c r="AW4981">
        <v>0</v>
      </c>
      <c r="AX4981">
        <v>0</v>
      </c>
      <c r="AY4981">
        <v>0</v>
      </c>
      <c r="BC4981" t="str">
        <f>T("9791166069642")</f>
        <v>9791166069642</v>
      </c>
      <c r="BE4981" t="str">
        <f>T("판타지 웹소설 &gt; 퓨전 판타지")</f>
        <v>판타지 웹소설 &gt; 퓨전 판타지</v>
      </c>
    </row>
    <row r="4982" spans="1:57" x14ac:dyDescent="0.3">
      <c r="A4982">
        <v>2313015749</v>
      </c>
      <c r="B4982">
        <v>2313015749</v>
      </c>
      <c r="C4982" t="str">
        <f>T("원코인 게이머 아포칼립스 1화")</f>
        <v>원코인 게이머 아포칼립스 1화</v>
      </c>
      <c r="D4982" t="str">
        <f>T("1")</f>
        <v>1</v>
      </c>
      <c r="E4982" t="str">
        <f>T("이한애비")</f>
        <v>이한애비</v>
      </c>
      <c r="H4982" t="str">
        <f t="shared" si="675"/>
        <v>스토리위즈</v>
      </c>
      <c r="I4982" t="str">
        <f>T("원코인 게이머 아포칼립스")</f>
        <v>원코인 게이머 아포칼립스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/>
      <c r="AQ4982">
        <v>0</v>
      </c>
      <c r="AR4982">
        <v>0</v>
      </c>
      <c r="AT4982">
        <v>0</v>
      </c>
      <c r="AU4982">
        <v>0</v>
      </c>
      <c r="AW4982">
        <v>0</v>
      </c>
      <c r="AX4982">
        <v>0</v>
      </c>
      <c r="AY4982">
        <v>0</v>
      </c>
      <c r="BC4982" t="str">
        <f>T("9791137602779")</f>
        <v>9791137602779</v>
      </c>
      <c r="BE4982" t="str">
        <f>T("판타지 웹소설 &gt; 현대 판타지")</f>
        <v>판타지 웹소설 &gt; 현대 판타지</v>
      </c>
    </row>
    <row r="4983" spans="1:57" x14ac:dyDescent="0.3">
      <c r="A4983">
        <v>2313015749</v>
      </c>
      <c r="B4983">
        <v>2313015750</v>
      </c>
      <c r="C4983" t="str">
        <f>T("원코인 게이머 아포칼립스 2화")</f>
        <v>원코인 게이머 아포칼립스 2화</v>
      </c>
      <c r="D4983" t="str">
        <f>T("2")</f>
        <v>2</v>
      </c>
      <c r="E4983" t="str">
        <f>T("이한애비")</f>
        <v>이한애비</v>
      </c>
      <c r="H4983" t="str">
        <f t="shared" si="675"/>
        <v>스토리위즈</v>
      </c>
      <c r="I4983" t="str">
        <f>T("원코인 게이머 아포칼립스")</f>
        <v>원코인 게이머 아포칼립스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/>
      <c r="AQ4983">
        <v>0</v>
      </c>
      <c r="AR4983">
        <v>0</v>
      </c>
      <c r="AT4983">
        <v>0</v>
      </c>
      <c r="AU4983">
        <v>0</v>
      </c>
      <c r="AW4983">
        <v>0</v>
      </c>
      <c r="AX4983">
        <v>0</v>
      </c>
      <c r="AY4983">
        <v>0</v>
      </c>
      <c r="BC4983" t="str">
        <f>T("9791137602779")</f>
        <v>9791137602779</v>
      </c>
      <c r="BE4983" t="str">
        <f>T("판타지 웹소설 &gt; 현대 판타지")</f>
        <v>판타지 웹소설 &gt; 현대 판타지</v>
      </c>
    </row>
    <row r="4984" spans="1:57" x14ac:dyDescent="0.3">
      <c r="A4984">
        <v>2313015749</v>
      </c>
      <c r="B4984">
        <v>2313015751</v>
      </c>
      <c r="C4984" t="str">
        <f>T("원코인 게이머 아포칼립스 3화")</f>
        <v>원코인 게이머 아포칼립스 3화</v>
      </c>
      <c r="D4984" t="str">
        <f>T("3")</f>
        <v>3</v>
      </c>
      <c r="E4984" t="str">
        <f>T("이한애비")</f>
        <v>이한애비</v>
      </c>
      <c r="H4984" t="str">
        <f t="shared" si="675"/>
        <v>스토리위즈</v>
      </c>
      <c r="I4984" t="str">
        <f>T("원코인 게이머 아포칼립스")</f>
        <v>원코인 게이머 아포칼립스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/>
      <c r="AQ4984">
        <v>0</v>
      </c>
      <c r="AR4984">
        <v>0</v>
      </c>
      <c r="AT4984">
        <v>0</v>
      </c>
      <c r="AU4984">
        <v>0</v>
      </c>
      <c r="AW4984">
        <v>0</v>
      </c>
      <c r="AX4984">
        <v>0</v>
      </c>
      <c r="AY4984">
        <v>0</v>
      </c>
      <c r="BC4984" t="str">
        <f>T("9791137602779")</f>
        <v>9791137602779</v>
      </c>
      <c r="BE4984" t="str">
        <f>T("판타지 웹소설 &gt; 현대 판타지")</f>
        <v>판타지 웹소설 &gt; 현대 판타지</v>
      </c>
    </row>
    <row r="4985" spans="1:57" x14ac:dyDescent="0.3">
      <c r="A4985">
        <v>2313015749</v>
      </c>
      <c r="B4985">
        <v>2313015752</v>
      </c>
      <c r="C4985" t="str">
        <f>T("원코인 게이머 아포칼립스 4화")</f>
        <v>원코인 게이머 아포칼립스 4화</v>
      </c>
      <c r="D4985" t="str">
        <f>T("4")</f>
        <v>4</v>
      </c>
      <c r="E4985" t="str">
        <f>T("이한애비")</f>
        <v>이한애비</v>
      </c>
      <c r="H4985" t="str">
        <f t="shared" si="675"/>
        <v>스토리위즈</v>
      </c>
      <c r="I4985" t="str">
        <f>T("원코인 게이머 아포칼립스")</f>
        <v>원코인 게이머 아포칼립스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/>
      <c r="AQ4985">
        <v>0</v>
      </c>
      <c r="AR4985">
        <v>0</v>
      </c>
      <c r="AT4985">
        <v>0</v>
      </c>
      <c r="AU4985">
        <v>0</v>
      </c>
      <c r="AW4985">
        <v>0</v>
      </c>
      <c r="AX4985">
        <v>0</v>
      </c>
      <c r="AY4985">
        <v>0</v>
      </c>
      <c r="BC4985" t="str">
        <f>T("9791137602779")</f>
        <v>9791137602779</v>
      </c>
      <c r="BE4985" t="str">
        <f>T("판타지 웹소설 &gt; 현대 판타지")</f>
        <v>판타지 웹소설 &gt; 현대 판타지</v>
      </c>
    </row>
    <row r="4986" spans="1:57" x14ac:dyDescent="0.3">
      <c r="A4986">
        <v>2313015749</v>
      </c>
      <c r="B4986">
        <v>2313015753</v>
      </c>
      <c r="C4986" t="str">
        <f>T("원코인 게이머 아포칼립스 5화")</f>
        <v>원코인 게이머 아포칼립스 5화</v>
      </c>
      <c r="D4986" t="str">
        <f>T("5")</f>
        <v>5</v>
      </c>
      <c r="E4986" t="str">
        <f>T("이한애비")</f>
        <v>이한애비</v>
      </c>
      <c r="H4986" t="str">
        <f t="shared" si="675"/>
        <v>스토리위즈</v>
      </c>
      <c r="I4986" t="str">
        <f>T("원코인 게이머 아포칼립스")</f>
        <v>원코인 게이머 아포칼립스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/>
      <c r="AQ4986">
        <v>0</v>
      </c>
      <c r="AR4986">
        <v>0</v>
      </c>
      <c r="AT4986">
        <v>0</v>
      </c>
      <c r="AU4986">
        <v>0</v>
      </c>
      <c r="AW4986">
        <v>0</v>
      </c>
      <c r="AX4986">
        <v>0</v>
      </c>
      <c r="AY4986">
        <v>0</v>
      </c>
      <c r="BC4986" t="str">
        <f>T("9791137602779")</f>
        <v>9791137602779</v>
      </c>
      <c r="BE4986" t="str">
        <f>T("판타지 웹소설 &gt; 현대 판타지")</f>
        <v>판타지 웹소설 &gt; 현대 판타지</v>
      </c>
    </row>
    <row r="4987" spans="1:57" x14ac:dyDescent="0.3">
      <c r="A4987">
        <v>2313015994</v>
      </c>
      <c r="B4987">
        <v>2313015994</v>
      </c>
      <c r="C4987" t="str">
        <f>T("[e북]신인류 좀비의 아포칼립스 1권")</f>
        <v>[e북]신인류 좀비의 아포칼립스 1권</v>
      </c>
      <c r="D4987" t="str">
        <f>T("1")</f>
        <v>1</v>
      </c>
      <c r="E4987" t="str">
        <f>T("모험왕선우")</f>
        <v>모험왕선우</v>
      </c>
      <c r="H4987" t="str">
        <f t="shared" si="675"/>
        <v>스토리위즈</v>
      </c>
      <c r="I4987" t="str">
        <f>T("[e북]신인류 좀비의 아포칼립스")</f>
        <v>[e북]신인류 좀비의 아포칼립스</v>
      </c>
      <c r="J4987">
        <v>0</v>
      </c>
      <c r="K4987">
        <v>0</v>
      </c>
      <c r="L4987">
        <v>0</v>
      </c>
      <c r="M4987">
        <v>5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5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/>
      <c r="AQ4987">
        <v>0</v>
      </c>
      <c r="AR4987">
        <v>0</v>
      </c>
      <c r="AT4987">
        <v>0</v>
      </c>
      <c r="AU4987">
        <v>0</v>
      </c>
      <c r="AW4987">
        <v>0</v>
      </c>
      <c r="AX4987">
        <v>0</v>
      </c>
      <c r="AY4987">
        <v>0</v>
      </c>
      <c r="BC4987" t="str">
        <f>T("9791137603554")</f>
        <v>9791137603554</v>
      </c>
      <c r="BE4987" t="str">
        <f>T("판타지 e북 &gt; 현대 판타지")</f>
        <v>판타지 e북 &gt; 현대 판타지</v>
      </c>
    </row>
    <row r="4988" spans="1:57" x14ac:dyDescent="0.3">
      <c r="A4988">
        <v>2313016001</v>
      </c>
      <c r="B4988">
        <v>2313016001</v>
      </c>
      <c r="C4988" t="str">
        <f>T("칵테일로 레벨업 1화")</f>
        <v>칵테일로 레벨업 1화</v>
      </c>
      <c r="D4988" t="str">
        <f>T("1")</f>
        <v>1</v>
      </c>
      <c r="E4988" t="str">
        <f t="shared" ref="E4988:E5012" si="679">T("서강후")</f>
        <v>서강후</v>
      </c>
      <c r="H4988" t="str">
        <f t="shared" si="675"/>
        <v>스토리위즈</v>
      </c>
      <c r="I4988" t="str">
        <f t="shared" ref="I4988:I5012" si="680">T("칵테일로 레벨업")</f>
        <v>칵테일로 레벨업</v>
      </c>
      <c r="J4988">
        <v>0</v>
      </c>
      <c r="K4988">
        <v>0</v>
      </c>
      <c r="L4988">
        <v>0</v>
      </c>
      <c r="M4988">
        <v>2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2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/>
      <c r="AQ4988">
        <v>0</v>
      </c>
      <c r="AR4988">
        <v>0</v>
      </c>
      <c r="AT4988">
        <v>0</v>
      </c>
      <c r="AU4988">
        <v>0</v>
      </c>
      <c r="AW4988">
        <v>0</v>
      </c>
      <c r="AX4988">
        <v>0</v>
      </c>
      <c r="AY4988">
        <v>0</v>
      </c>
      <c r="BA4988" t="str">
        <f t="shared" ref="BA4988:BA5012" si="681">T("0000000000000")</f>
        <v>0000000000000</v>
      </c>
      <c r="BC4988" t="str">
        <f t="shared" ref="BC4988:BC5012" si="682">T("9791137601284")</f>
        <v>9791137601284</v>
      </c>
      <c r="BE4988" t="str">
        <f t="shared" ref="BE4988:BE5012" si="683">T("판타지 웹소설 &gt; 현대 판타지")</f>
        <v>판타지 웹소설 &gt; 현대 판타지</v>
      </c>
    </row>
    <row r="4989" spans="1:57" x14ac:dyDescent="0.3">
      <c r="A4989">
        <v>2313016001</v>
      </c>
      <c r="B4989">
        <v>2313016002</v>
      </c>
      <c r="C4989" t="str">
        <f>T("칵테일로 레벨업 2화")</f>
        <v>칵테일로 레벨업 2화</v>
      </c>
      <c r="D4989" t="str">
        <f>T("2")</f>
        <v>2</v>
      </c>
      <c r="E4989" t="str">
        <f t="shared" si="679"/>
        <v>서강후</v>
      </c>
      <c r="H4989" t="str">
        <f t="shared" si="675"/>
        <v>스토리위즈</v>
      </c>
      <c r="I4989" t="str">
        <f t="shared" si="680"/>
        <v>칵테일로 레벨업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/>
      <c r="AQ4989">
        <v>0</v>
      </c>
      <c r="AR4989">
        <v>0</v>
      </c>
      <c r="AT4989">
        <v>0</v>
      </c>
      <c r="AU4989">
        <v>0</v>
      </c>
      <c r="AW4989">
        <v>0</v>
      </c>
      <c r="AX4989">
        <v>0</v>
      </c>
      <c r="AY4989">
        <v>0</v>
      </c>
      <c r="BA4989" t="str">
        <f t="shared" si="681"/>
        <v>0000000000000</v>
      </c>
      <c r="BC4989" t="str">
        <f t="shared" si="682"/>
        <v>9791137601284</v>
      </c>
      <c r="BE4989" t="str">
        <f t="shared" si="683"/>
        <v>판타지 웹소설 &gt; 현대 판타지</v>
      </c>
    </row>
    <row r="4990" spans="1:57" x14ac:dyDescent="0.3">
      <c r="A4990">
        <v>2313016001</v>
      </c>
      <c r="B4990">
        <v>2313016003</v>
      </c>
      <c r="C4990" t="str">
        <f>T("칵테일로 레벨업 3화")</f>
        <v>칵테일로 레벨업 3화</v>
      </c>
      <c r="D4990" t="str">
        <f>T("3")</f>
        <v>3</v>
      </c>
      <c r="E4990" t="str">
        <f t="shared" si="679"/>
        <v>서강후</v>
      </c>
      <c r="H4990" t="str">
        <f t="shared" si="675"/>
        <v>스토리위즈</v>
      </c>
      <c r="I4990" t="str">
        <f t="shared" si="680"/>
        <v>칵테일로 레벨업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1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/>
      <c r="AQ4990">
        <v>0</v>
      </c>
      <c r="AR4990">
        <v>0</v>
      </c>
      <c r="AT4990">
        <v>0</v>
      </c>
      <c r="AU4990">
        <v>0</v>
      </c>
      <c r="AW4990">
        <v>0</v>
      </c>
      <c r="AX4990">
        <v>0</v>
      </c>
      <c r="AY4990">
        <v>0</v>
      </c>
      <c r="BA4990" t="str">
        <f t="shared" si="681"/>
        <v>0000000000000</v>
      </c>
      <c r="BC4990" t="str">
        <f t="shared" si="682"/>
        <v>9791137601284</v>
      </c>
      <c r="BE4990" t="str">
        <f t="shared" si="683"/>
        <v>판타지 웹소설 &gt; 현대 판타지</v>
      </c>
    </row>
    <row r="4991" spans="1:57" x14ac:dyDescent="0.3">
      <c r="A4991">
        <v>2313016001</v>
      </c>
      <c r="B4991">
        <v>2313016004</v>
      </c>
      <c r="C4991" t="str">
        <f>T("칵테일로 레벨업 4화")</f>
        <v>칵테일로 레벨업 4화</v>
      </c>
      <c r="D4991" t="str">
        <f>T("4")</f>
        <v>4</v>
      </c>
      <c r="E4991" t="str">
        <f t="shared" si="679"/>
        <v>서강후</v>
      </c>
      <c r="H4991" t="str">
        <f t="shared" si="675"/>
        <v>스토리위즈</v>
      </c>
      <c r="I4991" t="str">
        <f t="shared" si="680"/>
        <v>칵테일로 레벨업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1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/>
      <c r="AQ4991">
        <v>0</v>
      </c>
      <c r="AR4991">
        <v>0</v>
      </c>
      <c r="AT4991">
        <v>0</v>
      </c>
      <c r="AU4991">
        <v>0</v>
      </c>
      <c r="AW4991">
        <v>0</v>
      </c>
      <c r="AX4991">
        <v>0</v>
      </c>
      <c r="AY4991">
        <v>0</v>
      </c>
      <c r="BA4991" t="str">
        <f t="shared" si="681"/>
        <v>0000000000000</v>
      </c>
      <c r="BC4991" t="str">
        <f t="shared" si="682"/>
        <v>9791137601284</v>
      </c>
      <c r="BE4991" t="str">
        <f t="shared" si="683"/>
        <v>판타지 웹소설 &gt; 현대 판타지</v>
      </c>
    </row>
    <row r="4992" spans="1:57" x14ac:dyDescent="0.3">
      <c r="A4992">
        <v>2313016001</v>
      </c>
      <c r="B4992">
        <v>2313016005</v>
      </c>
      <c r="C4992" t="str">
        <f>T("칵테일로 레벨업 5화")</f>
        <v>칵테일로 레벨업 5화</v>
      </c>
      <c r="D4992" t="str">
        <f>T("5")</f>
        <v>5</v>
      </c>
      <c r="E4992" t="str">
        <f t="shared" si="679"/>
        <v>서강후</v>
      </c>
      <c r="H4992" t="str">
        <f t="shared" si="675"/>
        <v>스토리위즈</v>
      </c>
      <c r="I4992" t="str">
        <f t="shared" si="680"/>
        <v>칵테일로 레벨업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/>
      <c r="AQ4992">
        <v>0</v>
      </c>
      <c r="AR4992">
        <v>0</v>
      </c>
      <c r="AT4992">
        <v>0</v>
      </c>
      <c r="AU4992">
        <v>0</v>
      </c>
      <c r="AW4992">
        <v>0</v>
      </c>
      <c r="AX4992">
        <v>0</v>
      </c>
      <c r="AY4992">
        <v>0</v>
      </c>
      <c r="BA4992" t="str">
        <f t="shared" si="681"/>
        <v>0000000000000</v>
      </c>
      <c r="BC4992" t="str">
        <f t="shared" si="682"/>
        <v>9791137601284</v>
      </c>
      <c r="BE4992" t="str">
        <f t="shared" si="683"/>
        <v>판타지 웹소설 &gt; 현대 판타지</v>
      </c>
    </row>
    <row r="4993" spans="1:57" x14ac:dyDescent="0.3">
      <c r="A4993">
        <v>2313016001</v>
      </c>
      <c r="B4993">
        <v>2313016006</v>
      </c>
      <c r="C4993" t="str">
        <f>T("칵테일로 레벨업 6화")</f>
        <v>칵테일로 레벨업 6화</v>
      </c>
      <c r="D4993" t="str">
        <f>T("6")</f>
        <v>6</v>
      </c>
      <c r="E4993" t="str">
        <f t="shared" si="679"/>
        <v>서강후</v>
      </c>
      <c r="H4993" t="str">
        <f t="shared" si="675"/>
        <v>스토리위즈</v>
      </c>
      <c r="I4993" t="str">
        <f t="shared" si="680"/>
        <v>칵테일로 레벨업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/>
      <c r="AQ4993">
        <v>0</v>
      </c>
      <c r="AR4993">
        <v>0</v>
      </c>
      <c r="AT4993">
        <v>0</v>
      </c>
      <c r="AU4993">
        <v>0</v>
      </c>
      <c r="AW4993">
        <v>0</v>
      </c>
      <c r="AX4993">
        <v>0</v>
      </c>
      <c r="AY4993">
        <v>0</v>
      </c>
      <c r="BA4993" t="str">
        <f t="shared" si="681"/>
        <v>0000000000000</v>
      </c>
      <c r="BC4993" t="str">
        <f t="shared" si="682"/>
        <v>9791137601284</v>
      </c>
      <c r="BE4993" t="str">
        <f t="shared" si="683"/>
        <v>판타지 웹소설 &gt; 현대 판타지</v>
      </c>
    </row>
    <row r="4994" spans="1:57" x14ac:dyDescent="0.3">
      <c r="A4994">
        <v>2313016001</v>
      </c>
      <c r="B4994">
        <v>2313016007</v>
      </c>
      <c r="C4994" t="str">
        <f>T("칵테일로 레벨업 7화")</f>
        <v>칵테일로 레벨업 7화</v>
      </c>
      <c r="D4994" t="str">
        <f>T("7")</f>
        <v>7</v>
      </c>
      <c r="E4994" t="str">
        <f t="shared" si="679"/>
        <v>서강후</v>
      </c>
      <c r="H4994" t="str">
        <f t="shared" si="675"/>
        <v>스토리위즈</v>
      </c>
      <c r="I4994" t="str">
        <f t="shared" si="680"/>
        <v>칵테일로 레벨업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/>
      <c r="AQ4994">
        <v>0</v>
      </c>
      <c r="AR4994">
        <v>0</v>
      </c>
      <c r="AT4994">
        <v>0</v>
      </c>
      <c r="AU4994">
        <v>0</v>
      </c>
      <c r="AW4994">
        <v>0</v>
      </c>
      <c r="AX4994">
        <v>0</v>
      </c>
      <c r="AY4994">
        <v>0</v>
      </c>
      <c r="BA4994" t="str">
        <f t="shared" si="681"/>
        <v>0000000000000</v>
      </c>
      <c r="BC4994" t="str">
        <f t="shared" si="682"/>
        <v>9791137601284</v>
      </c>
      <c r="BE4994" t="str">
        <f t="shared" si="683"/>
        <v>판타지 웹소설 &gt; 현대 판타지</v>
      </c>
    </row>
    <row r="4995" spans="1:57" x14ac:dyDescent="0.3">
      <c r="A4995">
        <v>2313016001</v>
      </c>
      <c r="B4995">
        <v>2313016008</v>
      </c>
      <c r="C4995" t="str">
        <f>T("칵테일로 레벨업 8화")</f>
        <v>칵테일로 레벨업 8화</v>
      </c>
      <c r="D4995" t="str">
        <f>T("8")</f>
        <v>8</v>
      </c>
      <c r="E4995" t="str">
        <f t="shared" si="679"/>
        <v>서강후</v>
      </c>
      <c r="H4995" t="str">
        <f t="shared" si="675"/>
        <v>스토리위즈</v>
      </c>
      <c r="I4995" t="str">
        <f t="shared" si="680"/>
        <v>칵테일로 레벨업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/>
      <c r="AQ4995">
        <v>0</v>
      </c>
      <c r="AR4995">
        <v>0</v>
      </c>
      <c r="AT4995">
        <v>0</v>
      </c>
      <c r="AU4995">
        <v>0</v>
      </c>
      <c r="AW4995">
        <v>0</v>
      </c>
      <c r="AX4995">
        <v>0</v>
      </c>
      <c r="AY4995">
        <v>0</v>
      </c>
      <c r="BA4995" t="str">
        <f t="shared" si="681"/>
        <v>0000000000000</v>
      </c>
      <c r="BC4995" t="str">
        <f t="shared" si="682"/>
        <v>9791137601284</v>
      </c>
      <c r="BE4995" t="str">
        <f t="shared" si="683"/>
        <v>판타지 웹소설 &gt; 현대 판타지</v>
      </c>
    </row>
    <row r="4996" spans="1:57" x14ac:dyDescent="0.3">
      <c r="A4996">
        <v>2313016001</v>
      </c>
      <c r="B4996">
        <v>2313016009</v>
      </c>
      <c r="C4996" t="str">
        <f>T("칵테일로 레벨업 9화")</f>
        <v>칵테일로 레벨업 9화</v>
      </c>
      <c r="D4996" t="str">
        <f>T("9")</f>
        <v>9</v>
      </c>
      <c r="E4996" t="str">
        <f t="shared" si="679"/>
        <v>서강후</v>
      </c>
      <c r="H4996" t="str">
        <f t="shared" si="675"/>
        <v>스토리위즈</v>
      </c>
      <c r="I4996" t="str">
        <f t="shared" si="680"/>
        <v>칵테일로 레벨업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/>
      <c r="AQ4996">
        <v>0</v>
      </c>
      <c r="AR4996">
        <v>0</v>
      </c>
      <c r="AT4996">
        <v>0</v>
      </c>
      <c r="AU4996">
        <v>0</v>
      </c>
      <c r="AW4996">
        <v>0</v>
      </c>
      <c r="AX4996">
        <v>0</v>
      </c>
      <c r="AY4996">
        <v>0</v>
      </c>
      <c r="BA4996" t="str">
        <f t="shared" si="681"/>
        <v>0000000000000</v>
      </c>
      <c r="BC4996" t="str">
        <f t="shared" si="682"/>
        <v>9791137601284</v>
      </c>
      <c r="BE4996" t="str">
        <f t="shared" si="683"/>
        <v>판타지 웹소설 &gt; 현대 판타지</v>
      </c>
    </row>
    <row r="4997" spans="1:57" x14ac:dyDescent="0.3">
      <c r="A4997">
        <v>2313016001</v>
      </c>
      <c r="B4997">
        <v>2313016010</v>
      </c>
      <c r="C4997" t="str">
        <f>T("칵테일로 레벨업 10화")</f>
        <v>칵테일로 레벨업 10화</v>
      </c>
      <c r="D4997" t="str">
        <f>T("10")</f>
        <v>10</v>
      </c>
      <c r="E4997" t="str">
        <f t="shared" si="679"/>
        <v>서강후</v>
      </c>
      <c r="H4997" t="str">
        <f t="shared" si="675"/>
        <v>스토리위즈</v>
      </c>
      <c r="I4997" t="str">
        <f t="shared" si="680"/>
        <v>칵테일로 레벨업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/>
      <c r="AQ4997">
        <v>0</v>
      </c>
      <c r="AR4997">
        <v>0</v>
      </c>
      <c r="AT4997">
        <v>0</v>
      </c>
      <c r="AU4997">
        <v>0</v>
      </c>
      <c r="AW4997">
        <v>0</v>
      </c>
      <c r="AX4997">
        <v>0</v>
      </c>
      <c r="AY4997">
        <v>0</v>
      </c>
      <c r="BA4997" t="str">
        <f t="shared" si="681"/>
        <v>0000000000000</v>
      </c>
      <c r="BC4997" t="str">
        <f t="shared" si="682"/>
        <v>9791137601284</v>
      </c>
      <c r="BE4997" t="str">
        <f t="shared" si="683"/>
        <v>판타지 웹소설 &gt; 현대 판타지</v>
      </c>
    </row>
    <row r="4998" spans="1:57" x14ac:dyDescent="0.3">
      <c r="A4998">
        <v>2313016001</v>
      </c>
      <c r="B4998">
        <v>2313016011</v>
      </c>
      <c r="C4998" t="str">
        <f>T("칵테일로 레벨업 11화")</f>
        <v>칵테일로 레벨업 11화</v>
      </c>
      <c r="D4998" t="str">
        <f>T("11")</f>
        <v>11</v>
      </c>
      <c r="E4998" t="str">
        <f t="shared" si="679"/>
        <v>서강후</v>
      </c>
      <c r="H4998" t="str">
        <f t="shared" si="675"/>
        <v>스토리위즈</v>
      </c>
      <c r="I4998" t="str">
        <f t="shared" si="680"/>
        <v>칵테일로 레벨업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/>
      <c r="AQ4998">
        <v>0</v>
      </c>
      <c r="AR4998">
        <v>0</v>
      </c>
      <c r="AT4998">
        <v>0</v>
      </c>
      <c r="AU4998">
        <v>0</v>
      </c>
      <c r="AW4998">
        <v>0</v>
      </c>
      <c r="AX4998">
        <v>0</v>
      </c>
      <c r="AY4998">
        <v>0</v>
      </c>
      <c r="BA4998" t="str">
        <f t="shared" si="681"/>
        <v>0000000000000</v>
      </c>
      <c r="BC4998" t="str">
        <f t="shared" si="682"/>
        <v>9791137601284</v>
      </c>
      <c r="BE4998" t="str">
        <f t="shared" si="683"/>
        <v>판타지 웹소설 &gt; 현대 판타지</v>
      </c>
    </row>
    <row r="4999" spans="1:57" x14ac:dyDescent="0.3">
      <c r="A4999">
        <v>2313016001</v>
      </c>
      <c r="B4999">
        <v>2313016012</v>
      </c>
      <c r="C4999" t="str">
        <f>T("칵테일로 레벨업 12화")</f>
        <v>칵테일로 레벨업 12화</v>
      </c>
      <c r="D4999" t="str">
        <f>T("12")</f>
        <v>12</v>
      </c>
      <c r="E4999" t="str">
        <f t="shared" si="679"/>
        <v>서강후</v>
      </c>
      <c r="H4999" t="str">
        <f t="shared" si="675"/>
        <v>스토리위즈</v>
      </c>
      <c r="I4999" t="str">
        <f t="shared" si="680"/>
        <v>칵테일로 레벨업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/>
      <c r="AQ4999">
        <v>0</v>
      </c>
      <c r="AR4999">
        <v>0</v>
      </c>
      <c r="AT4999">
        <v>0</v>
      </c>
      <c r="AU4999">
        <v>0</v>
      </c>
      <c r="AW4999">
        <v>0</v>
      </c>
      <c r="AX4999">
        <v>0</v>
      </c>
      <c r="AY4999">
        <v>0</v>
      </c>
      <c r="BA4999" t="str">
        <f t="shared" si="681"/>
        <v>0000000000000</v>
      </c>
      <c r="BC4999" t="str">
        <f t="shared" si="682"/>
        <v>9791137601284</v>
      </c>
      <c r="BE4999" t="str">
        <f t="shared" si="683"/>
        <v>판타지 웹소설 &gt; 현대 판타지</v>
      </c>
    </row>
    <row r="5000" spans="1:57" x14ac:dyDescent="0.3">
      <c r="A5000">
        <v>2313016001</v>
      </c>
      <c r="B5000">
        <v>2313016013</v>
      </c>
      <c r="C5000" t="str">
        <f>T("칵테일로 레벨업 13화")</f>
        <v>칵테일로 레벨업 13화</v>
      </c>
      <c r="D5000" t="str">
        <f>T("13")</f>
        <v>13</v>
      </c>
      <c r="E5000" t="str">
        <f t="shared" si="679"/>
        <v>서강후</v>
      </c>
      <c r="H5000" t="str">
        <f t="shared" si="675"/>
        <v>스토리위즈</v>
      </c>
      <c r="I5000" t="str">
        <f t="shared" si="680"/>
        <v>칵테일로 레벨업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/>
      <c r="AQ5000">
        <v>0</v>
      </c>
      <c r="AR5000">
        <v>0</v>
      </c>
      <c r="AT5000">
        <v>0</v>
      </c>
      <c r="AU5000">
        <v>0</v>
      </c>
      <c r="AW5000">
        <v>0</v>
      </c>
      <c r="AX5000">
        <v>0</v>
      </c>
      <c r="AY5000">
        <v>0</v>
      </c>
      <c r="BA5000" t="str">
        <f t="shared" si="681"/>
        <v>0000000000000</v>
      </c>
      <c r="BC5000" t="str">
        <f t="shared" si="682"/>
        <v>9791137601284</v>
      </c>
      <c r="BE5000" t="str">
        <f t="shared" si="683"/>
        <v>판타지 웹소설 &gt; 현대 판타지</v>
      </c>
    </row>
    <row r="5001" spans="1:57" x14ac:dyDescent="0.3">
      <c r="A5001">
        <v>2313016001</v>
      </c>
      <c r="B5001">
        <v>2313016014</v>
      </c>
      <c r="C5001" t="str">
        <f>T("칵테일로 레벨업 14화")</f>
        <v>칵테일로 레벨업 14화</v>
      </c>
      <c r="D5001" t="str">
        <f>T("14")</f>
        <v>14</v>
      </c>
      <c r="E5001" t="str">
        <f t="shared" si="679"/>
        <v>서강후</v>
      </c>
      <c r="H5001" t="str">
        <f t="shared" si="675"/>
        <v>스토리위즈</v>
      </c>
      <c r="I5001" t="str">
        <f t="shared" si="680"/>
        <v>칵테일로 레벨업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/>
      <c r="AQ5001">
        <v>0</v>
      </c>
      <c r="AR5001">
        <v>0</v>
      </c>
      <c r="AT5001">
        <v>0</v>
      </c>
      <c r="AU5001">
        <v>0</v>
      </c>
      <c r="AW5001">
        <v>0</v>
      </c>
      <c r="AX5001">
        <v>0</v>
      </c>
      <c r="AY5001">
        <v>0</v>
      </c>
      <c r="BA5001" t="str">
        <f t="shared" si="681"/>
        <v>0000000000000</v>
      </c>
      <c r="BC5001" t="str">
        <f t="shared" si="682"/>
        <v>9791137601284</v>
      </c>
      <c r="BE5001" t="str">
        <f t="shared" si="683"/>
        <v>판타지 웹소설 &gt; 현대 판타지</v>
      </c>
    </row>
    <row r="5002" spans="1:57" x14ac:dyDescent="0.3">
      <c r="A5002">
        <v>2313016001</v>
      </c>
      <c r="B5002">
        <v>2313016015</v>
      </c>
      <c r="C5002" t="str">
        <f>T("칵테일로 레벨업 15화")</f>
        <v>칵테일로 레벨업 15화</v>
      </c>
      <c r="D5002" t="str">
        <f>T("15")</f>
        <v>15</v>
      </c>
      <c r="E5002" t="str">
        <f t="shared" si="679"/>
        <v>서강후</v>
      </c>
      <c r="H5002" t="str">
        <f t="shared" si="675"/>
        <v>스토리위즈</v>
      </c>
      <c r="I5002" t="str">
        <f t="shared" si="680"/>
        <v>칵테일로 레벨업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/>
      <c r="AQ5002">
        <v>0</v>
      </c>
      <c r="AR5002">
        <v>0</v>
      </c>
      <c r="AT5002">
        <v>0</v>
      </c>
      <c r="AU5002">
        <v>0</v>
      </c>
      <c r="AW5002">
        <v>0</v>
      </c>
      <c r="AX5002">
        <v>0</v>
      </c>
      <c r="AY5002">
        <v>0</v>
      </c>
      <c r="BA5002" t="str">
        <f t="shared" si="681"/>
        <v>0000000000000</v>
      </c>
      <c r="BC5002" t="str">
        <f t="shared" si="682"/>
        <v>9791137601284</v>
      </c>
      <c r="BE5002" t="str">
        <f t="shared" si="683"/>
        <v>판타지 웹소설 &gt; 현대 판타지</v>
      </c>
    </row>
    <row r="5003" spans="1:57" x14ac:dyDescent="0.3">
      <c r="A5003">
        <v>2313016001</v>
      </c>
      <c r="B5003">
        <v>2313016016</v>
      </c>
      <c r="C5003" t="str">
        <f>T("칵테일로 레벨업 16화")</f>
        <v>칵테일로 레벨업 16화</v>
      </c>
      <c r="D5003" t="str">
        <f>T("16")</f>
        <v>16</v>
      </c>
      <c r="E5003" t="str">
        <f t="shared" si="679"/>
        <v>서강후</v>
      </c>
      <c r="H5003" t="str">
        <f t="shared" si="675"/>
        <v>스토리위즈</v>
      </c>
      <c r="I5003" t="str">
        <f t="shared" si="680"/>
        <v>칵테일로 레벨업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/>
      <c r="AQ5003">
        <v>0</v>
      </c>
      <c r="AR5003">
        <v>0</v>
      </c>
      <c r="AT5003">
        <v>0</v>
      </c>
      <c r="AU5003">
        <v>0</v>
      </c>
      <c r="AW5003">
        <v>0</v>
      </c>
      <c r="AX5003">
        <v>0</v>
      </c>
      <c r="AY5003">
        <v>0</v>
      </c>
      <c r="BA5003" t="str">
        <f t="shared" si="681"/>
        <v>0000000000000</v>
      </c>
      <c r="BC5003" t="str">
        <f t="shared" si="682"/>
        <v>9791137601284</v>
      </c>
      <c r="BE5003" t="str">
        <f t="shared" si="683"/>
        <v>판타지 웹소설 &gt; 현대 판타지</v>
      </c>
    </row>
    <row r="5004" spans="1:57" x14ac:dyDescent="0.3">
      <c r="A5004">
        <v>2313016001</v>
      </c>
      <c r="B5004">
        <v>2313016017</v>
      </c>
      <c r="C5004" t="str">
        <f>T("칵테일로 레벨업 17화")</f>
        <v>칵테일로 레벨업 17화</v>
      </c>
      <c r="D5004" t="str">
        <f>T("17")</f>
        <v>17</v>
      </c>
      <c r="E5004" t="str">
        <f t="shared" si="679"/>
        <v>서강후</v>
      </c>
      <c r="H5004" t="str">
        <f t="shared" si="675"/>
        <v>스토리위즈</v>
      </c>
      <c r="I5004" t="str">
        <f t="shared" si="680"/>
        <v>칵테일로 레벨업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1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/>
      <c r="AQ5004">
        <v>0</v>
      </c>
      <c r="AR5004">
        <v>0</v>
      </c>
      <c r="AT5004">
        <v>0</v>
      </c>
      <c r="AU5004">
        <v>0</v>
      </c>
      <c r="AW5004">
        <v>0</v>
      </c>
      <c r="AX5004">
        <v>0</v>
      </c>
      <c r="AY5004">
        <v>0</v>
      </c>
      <c r="BA5004" t="str">
        <f t="shared" si="681"/>
        <v>0000000000000</v>
      </c>
      <c r="BC5004" t="str">
        <f t="shared" si="682"/>
        <v>9791137601284</v>
      </c>
      <c r="BE5004" t="str">
        <f t="shared" si="683"/>
        <v>판타지 웹소설 &gt; 현대 판타지</v>
      </c>
    </row>
    <row r="5005" spans="1:57" x14ac:dyDescent="0.3">
      <c r="A5005">
        <v>2313016001</v>
      </c>
      <c r="B5005">
        <v>2313016018</v>
      </c>
      <c r="C5005" t="str">
        <f>T("칵테일로 레벨업 18화")</f>
        <v>칵테일로 레벨업 18화</v>
      </c>
      <c r="D5005" t="str">
        <f>T("18")</f>
        <v>18</v>
      </c>
      <c r="E5005" t="str">
        <f t="shared" si="679"/>
        <v>서강후</v>
      </c>
      <c r="H5005" t="str">
        <f t="shared" si="675"/>
        <v>스토리위즈</v>
      </c>
      <c r="I5005" t="str">
        <f t="shared" si="680"/>
        <v>칵테일로 레벨업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/>
      <c r="AQ5005">
        <v>0</v>
      </c>
      <c r="AR5005">
        <v>0</v>
      </c>
      <c r="AT5005">
        <v>0</v>
      </c>
      <c r="AU5005">
        <v>0</v>
      </c>
      <c r="AW5005">
        <v>0</v>
      </c>
      <c r="AX5005">
        <v>0</v>
      </c>
      <c r="AY5005">
        <v>0</v>
      </c>
      <c r="BA5005" t="str">
        <f t="shared" si="681"/>
        <v>0000000000000</v>
      </c>
      <c r="BC5005" t="str">
        <f t="shared" si="682"/>
        <v>9791137601284</v>
      </c>
      <c r="BE5005" t="str">
        <f t="shared" si="683"/>
        <v>판타지 웹소설 &gt; 현대 판타지</v>
      </c>
    </row>
    <row r="5006" spans="1:57" x14ac:dyDescent="0.3">
      <c r="A5006">
        <v>2313016001</v>
      </c>
      <c r="B5006">
        <v>2313016019</v>
      </c>
      <c r="C5006" t="str">
        <f>T("칵테일로 레벨업 19화")</f>
        <v>칵테일로 레벨업 19화</v>
      </c>
      <c r="D5006" t="str">
        <f>T("19")</f>
        <v>19</v>
      </c>
      <c r="E5006" t="str">
        <f t="shared" si="679"/>
        <v>서강후</v>
      </c>
      <c r="H5006" t="str">
        <f t="shared" si="675"/>
        <v>스토리위즈</v>
      </c>
      <c r="I5006" t="str">
        <f t="shared" si="680"/>
        <v>칵테일로 레벨업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1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/>
      <c r="AQ5006">
        <v>0</v>
      </c>
      <c r="AR5006">
        <v>0</v>
      </c>
      <c r="AT5006">
        <v>0</v>
      </c>
      <c r="AU5006">
        <v>0</v>
      </c>
      <c r="AW5006">
        <v>0</v>
      </c>
      <c r="AX5006">
        <v>0</v>
      </c>
      <c r="AY5006">
        <v>0</v>
      </c>
      <c r="BA5006" t="str">
        <f t="shared" si="681"/>
        <v>0000000000000</v>
      </c>
      <c r="BC5006" t="str">
        <f t="shared" si="682"/>
        <v>9791137601284</v>
      </c>
      <c r="BE5006" t="str">
        <f t="shared" si="683"/>
        <v>판타지 웹소설 &gt; 현대 판타지</v>
      </c>
    </row>
    <row r="5007" spans="1:57" x14ac:dyDescent="0.3">
      <c r="A5007">
        <v>2313016001</v>
      </c>
      <c r="B5007">
        <v>2313016020</v>
      </c>
      <c r="C5007" t="str">
        <f>T("칵테일로 레벨업 20화")</f>
        <v>칵테일로 레벨업 20화</v>
      </c>
      <c r="D5007" t="str">
        <f>T("20")</f>
        <v>20</v>
      </c>
      <c r="E5007" t="str">
        <f t="shared" si="679"/>
        <v>서강후</v>
      </c>
      <c r="H5007" t="str">
        <f t="shared" si="675"/>
        <v>스토리위즈</v>
      </c>
      <c r="I5007" t="str">
        <f t="shared" si="680"/>
        <v>칵테일로 레벨업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/>
      <c r="AQ5007">
        <v>0</v>
      </c>
      <c r="AR5007">
        <v>0</v>
      </c>
      <c r="AT5007">
        <v>0</v>
      </c>
      <c r="AU5007">
        <v>0</v>
      </c>
      <c r="AW5007">
        <v>0</v>
      </c>
      <c r="AX5007">
        <v>0</v>
      </c>
      <c r="AY5007">
        <v>0</v>
      </c>
      <c r="BA5007" t="str">
        <f t="shared" si="681"/>
        <v>0000000000000</v>
      </c>
      <c r="BC5007" t="str">
        <f t="shared" si="682"/>
        <v>9791137601284</v>
      </c>
      <c r="BE5007" t="str">
        <f t="shared" si="683"/>
        <v>판타지 웹소설 &gt; 현대 판타지</v>
      </c>
    </row>
    <row r="5008" spans="1:57" x14ac:dyDescent="0.3">
      <c r="A5008">
        <v>2313016001</v>
      </c>
      <c r="B5008">
        <v>2313016021</v>
      </c>
      <c r="C5008" t="str">
        <f>T("칵테일로 레벨업 21화")</f>
        <v>칵테일로 레벨업 21화</v>
      </c>
      <c r="D5008" t="str">
        <f>T("21")</f>
        <v>21</v>
      </c>
      <c r="E5008" t="str">
        <f t="shared" si="679"/>
        <v>서강후</v>
      </c>
      <c r="H5008" t="str">
        <f t="shared" si="675"/>
        <v>스토리위즈</v>
      </c>
      <c r="I5008" t="str">
        <f t="shared" si="680"/>
        <v>칵테일로 레벨업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1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/>
      <c r="AQ5008">
        <v>0</v>
      </c>
      <c r="AR5008">
        <v>0</v>
      </c>
      <c r="AT5008">
        <v>0</v>
      </c>
      <c r="AU5008">
        <v>0</v>
      </c>
      <c r="AW5008">
        <v>0</v>
      </c>
      <c r="AX5008">
        <v>0</v>
      </c>
      <c r="AY5008">
        <v>0</v>
      </c>
      <c r="BA5008" t="str">
        <f t="shared" si="681"/>
        <v>0000000000000</v>
      </c>
      <c r="BC5008" t="str">
        <f t="shared" si="682"/>
        <v>9791137601284</v>
      </c>
      <c r="BE5008" t="str">
        <f t="shared" si="683"/>
        <v>판타지 웹소설 &gt; 현대 판타지</v>
      </c>
    </row>
    <row r="5009" spans="1:57" x14ac:dyDescent="0.3">
      <c r="A5009">
        <v>2313016001</v>
      </c>
      <c r="B5009">
        <v>2313016022</v>
      </c>
      <c r="C5009" t="str">
        <f>T("칵테일로 레벨업 22화")</f>
        <v>칵테일로 레벨업 22화</v>
      </c>
      <c r="D5009" t="str">
        <f>T("22")</f>
        <v>22</v>
      </c>
      <c r="E5009" t="str">
        <f t="shared" si="679"/>
        <v>서강후</v>
      </c>
      <c r="H5009" t="str">
        <f t="shared" si="675"/>
        <v>스토리위즈</v>
      </c>
      <c r="I5009" t="str">
        <f t="shared" si="680"/>
        <v>칵테일로 레벨업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/>
      <c r="AQ5009">
        <v>0</v>
      </c>
      <c r="AR5009">
        <v>0</v>
      </c>
      <c r="AT5009">
        <v>0</v>
      </c>
      <c r="AU5009">
        <v>0</v>
      </c>
      <c r="AW5009">
        <v>0</v>
      </c>
      <c r="AX5009">
        <v>0</v>
      </c>
      <c r="AY5009">
        <v>0</v>
      </c>
      <c r="BA5009" t="str">
        <f t="shared" si="681"/>
        <v>0000000000000</v>
      </c>
      <c r="BC5009" t="str">
        <f t="shared" si="682"/>
        <v>9791137601284</v>
      </c>
      <c r="BE5009" t="str">
        <f t="shared" si="683"/>
        <v>판타지 웹소설 &gt; 현대 판타지</v>
      </c>
    </row>
    <row r="5010" spans="1:57" x14ac:dyDescent="0.3">
      <c r="A5010">
        <v>2313016001</v>
      </c>
      <c r="B5010">
        <v>2313016023</v>
      </c>
      <c r="C5010" t="str">
        <f>T("칵테일로 레벨업 23화")</f>
        <v>칵테일로 레벨업 23화</v>
      </c>
      <c r="D5010" t="str">
        <f>T("23")</f>
        <v>23</v>
      </c>
      <c r="E5010" t="str">
        <f t="shared" si="679"/>
        <v>서강후</v>
      </c>
      <c r="H5010" t="str">
        <f t="shared" si="675"/>
        <v>스토리위즈</v>
      </c>
      <c r="I5010" t="str">
        <f t="shared" si="680"/>
        <v>칵테일로 레벨업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/>
      <c r="AQ5010">
        <v>0</v>
      </c>
      <c r="AR5010">
        <v>0</v>
      </c>
      <c r="AT5010">
        <v>0</v>
      </c>
      <c r="AU5010">
        <v>0</v>
      </c>
      <c r="AW5010">
        <v>0</v>
      </c>
      <c r="AX5010">
        <v>0</v>
      </c>
      <c r="AY5010">
        <v>0</v>
      </c>
      <c r="BA5010" t="str">
        <f t="shared" si="681"/>
        <v>0000000000000</v>
      </c>
      <c r="BC5010" t="str">
        <f t="shared" si="682"/>
        <v>9791137601284</v>
      </c>
      <c r="BE5010" t="str">
        <f t="shared" si="683"/>
        <v>판타지 웹소설 &gt; 현대 판타지</v>
      </c>
    </row>
    <row r="5011" spans="1:57" x14ac:dyDescent="0.3">
      <c r="A5011">
        <v>2313016001</v>
      </c>
      <c r="B5011">
        <v>2313016024</v>
      </c>
      <c r="C5011" t="str">
        <f>T("칵테일로 레벨업 24화")</f>
        <v>칵테일로 레벨업 24화</v>
      </c>
      <c r="D5011" t="str">
        <f>T("24")</f>
        <v>24</v>
      </c>
      <c r="E5011" t="str">
        <f t="shared" si="679"/>
        <v>서강후</v>
      </c>
      <c r="H5011" t="str">
        <f t="shared" si="675"/>
        <v>스토리위즈</v>
      </c>
      <c r="I5011" t="str">
        <f t="shared" si="680"/>
        <v>칵테일로 레벨업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/>
      <c r="AQ5011">
        <v>0</v>
      </c>
      <c r="AR5011">
        <v>0</v>
      </c>
      <c r="AT5011">
        <v>0</v>
      </c>
      <c r="AU5011">
        <v>0</v>
      </c>
      <c r="AW5011">
        <v>0</v>
      </c>
      <c r="AX5011">
        <v>0</v>
      </c>
      <c r="AY5011">
        <v>0</v>
      </c>
      <c r="BA5011" t="str">
        <f t="shared" si="681"/>
        <v>0000000000000</v>
      </c>
      <c r="BC5011" t="str">
        <f t="shared" si="682"/>
        <v>9791137601284</v>
      </c>
      <c r="BE5011" t="str">
        <f t="shared" si="683"/>
        <v>판타지 웹소설 &gt; 현대 판타지</v>
      </c>
    </row>
    <row r="5012" spans="1:57" x14ac:dyDescent="0.3">
      <c r="A5012">
        <v>2313016001</v>
      </c>
      <c r="B5012">
        <v>2313016025</v>
      </c>
      <c r="C5012" t="str">
        <f>T("칵테일로 레벨업 25화")</f>
        <v>칵테일로 레벨업 25화</v>
      </c>
      <c r="D5012" t="str">
        <f>T("25")</f>
        <v>25</v>
      </c>
      <c r="E5012" t="str">
        <f t="shared" si="679"/>
        <v>서강후</v>
      </c>
      <c r="H5012" t="str">
        <f t="shared" si="675"/>
        <v>스토리위즈</v>
      </c>
      <c r="I5012" t="str">
        <f t="shared" si="680"/>
        <v>칵테일로 레벨업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/>
      <c r="AQ5012">
        <v>0</v>
      </c>
      <c r="AR5012">
        <v>0</v>
      </c>
      <c r="AT5012">
        <v>0</v>
      </c>
      <c r="AU5012">
        <v>0</v>
      </c>
      <c r="AW5012">
        <v>0</v>
      </c>
      <c r="AX5012">
        <v>0</v>
      </c>
      <c r="AY5012">
        <v>0</v>
      </c>
      <c r="BA5012" t="str">
        <f t="shared" si="681"/>
        <v>0000000000000</v>
      </c>
      <c r="BC5012" t="str">
        <f t="shared" si="682"/>
        <v>9791137601284</v>
      </c>
      <c r="BE5012" t="str">
        <f t="shared" si="683"/>
        <v>판타지 웹소설 &gt; 현대 판타지</v>
      </c>
    </row>
    <row r="5013" spans="1:57" x14ac:dyDescent="0.3">
      <c r="A5013">
        <v>2313016417</v>
      </c>
      <c r="B5013">
        <v>2313016419</v>
      </c>
      <c r="C5013" t="str">
        <f>T("얼굴 천재 교주가 되었다 3화")</f>
        <v>얼굴 천재 교주가 되었다 3화</v>
      </c>
      <c r="D5013" t="str">
        <f>T("3")</f>
        <v>3</v>
      </c>
      <c r="E5013" t="str">
        <f>T("비고")</f>
        <v>비고</v>
      </c>
      <c r="H5013" t="str">
        <f t="shared" si="675"/>
        <v>스토리위즈</v>
      </c>
      <c r="I5013" t="str">
        <f>T("얼굴 천재 교주가 되었다")</f>
        <v>얼굴 천재 교주가 되었다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/>
      <c r="AQ5013">
        <v>0</v>
      </c>
      <c r="AR5013">
        <v>0</v>
      </c>
      <c r="AT5013">
        <v>0</v>
      </c>
      <c r="AU5013">
        <v>0</v>
      </c>
      <c r="AW5013">
        <v>0</v>
      </c>
      <c r="AX5013">
        <v>0</v>
      </c>
      <c r="AY5013">
        <v>0</v>
      </c>
      <c r="BC5013" t="str">
        <f>T("9791137601345")</f>
        <v>9791137601345</v>
      </c>
      <c r="BE5013" t="str">
        <f t="shared" ref="BE5013:BE5027" si="684">T("판타지 웹소설 &gt; 퓨전 판타지")</f>
        <v>판타지 웹소설 &gt; 퓨전 판타지</v>
      </c>
    </row>
    <row r="5014" spans="1:57" x14ac:dyDescent="0.3">
      <c r="A5014">
        <v>2313016617</v>
      </c>
      <c r="B5014">
        <v>2313016617</v>
      </c>
      <c r="C5014" t="str">
        <f>T("올마스터가 된 비전서고 1화")</f>
        <v>올마스터가 된 비전서고 1화</v>
      </c>
      <c r="D5014" t="str">
        <f>T("1")</f>
        <v>1</v>
      </c>
      <c r="E5014" t="str">
        <f t="shared" ref="E5014:E5027" si="685">T("글면증")</f>
        <v>글면증</v>
      </c>
      <c r="H5014" t="str">
        <f t="shared" si="675"/>
        <v>스토리위즈</v>
      </c>
      <c r="I5014" t="str">
        <f t="shared" ref="I5014:I5027" si="686">T("올마스터가 된 비전서고")</f>
        <v>올마스터가 된 비전서고</v>
      </c>
      <c r="J5014">
        <v>0</v>
      </c>
      <c r="K5014">
        <v>0</v>
      </c>
      <c r="L5014">
        <v>0</v>
      </c>
      <c r="M5014">
        <v>4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4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/>
      <c r="AQ5014">
        <v>0</v>
      </c>
      <c r="AR5014">
        <v>0</v>
      </c>
      <c r="AT5014">
        <v>0</v>
      </c>
      <c r="AU5014">
        <v>0</v>
      </c>
      <c r="AW5014">
        <v>0</v>
      </c>
      <c r="AX5014">
        <v>0</v>
      </c>
      <c r="AY5014">
        <v>0</v>
      </c>
      <c r="BC5014" t="str">
        <f t="shared" ref="BC5014:BC5027" si="687">T("9791137601314")</f>
        <v>9791137601314</v>
      </c>
      <c r="BE5014" t="str">
        <f t="shared" si="684"/>
        <v>판타지 웹소설 &gt; 퓨전 판타지</v>
      </c>
    </row>
    <row r="5015" spans="1:57" x14ac:dyDescent="0.3">
      <c r="A5015">
        <v>2313016617</v>
      </c>
      <c r="B5015">
        <v>2313016618</v>
      </c>
      <c r="C5015" t="str">
        <f>T("올마스터가 된 비전서고 2화")</f>
        <v>올마스터가 된 비전서고 2화</v>
      </c>
      <c r="D5015" t="str">
        <f>T("2")</f>
        <v>2</v>
      </c>
      <c r="E5015" t="str">
        <f t="shared" si="685"/>
        <v>글면증</v>
      </c>
      <c r="H5015" t="str">
        <f t="shared" si="675"/>
        <v>스토리위즈</v>
      </c>
      <c r="I5015" t="str">
        <f t="shared" si="686"/>
        <v>올마스터가 된 비전서고</v>
      </c>
      <c r="J5015">
        <v>0</v>
      </c>
      <c r="K5015">
        <v>0</v>
      </c>
      <c r="L5015">
        <v>0</v>
      </c>
      <c r="M5015">
        <v>3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3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/>
      <c r="AQ5015">
        <v>0</v>
      </c>
      <c r="AR5015">
        <v>0</v>
      </c>
      <c r="AT5015">
        <v>0</v>
      </c>
      <c r="AU5015">
        <v>0</v>
      </c>
      <c r="AW5015">
        <v>0</v>
      </c>
      <c r="AX5015">
        <v>0</v>
      </c>
      <c r="AY5015">
        <v>0</v>
      </c>
      <c r="BC5015" t="str">
        <f t="shared" si="687"/>
        <v>9791137601314</v>
      </c>
      <c r="BE5015" t="str">
        <f t="shared" si="684"/>
        <v>판타지 웹소설 &gt; 퓨전 판타지</v>
      </c>
    </row>
    <row r="5016" spans="1:57" x14ac:dyDescent="0.3">
      <c r="A5016">
        <v>2313016617</v>
      </c>
      <c r="B5016">
        <v>2313016619</v>
      </c>
      <c r="C5016" t="str">
        <f>T("올마스터가 된 비전서고 3화")</f>
        <v>올마스터가 된 비전서고 3화</v>
      </c>
      <c r="D5016" t="str">
        <f>T("3")</f>
        <v>3</v>
      </c>
      <c r="E5016" t="str">
        <f t="shared" si="685"/>
        <v>글면증</v>
      </c>
      <c r="H5016" t="str">
        <f t="shared" ref="H5016:H5028" si="688">T("스토리위즈")</f>
        <v>스토리위즈</v>
      </c>
      <c r="I5016" t="str">
        <f t="shared" si="686"/>
        <v>올마스터가 된 비전서고</v>
      </c>
      <c r="J5016">
        <v>0</v>
      </c>
      <c r="K5016">
        <v>0</v>
      </c>
      <c r="L5016">
        <v>0</v>
      </c>
      <c r="M5016">
        <v>3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3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/>
      <c r="AQ5016">
        <v>0</v>
      </c>
      <c r="AR5016">
        <v>0</v>
      </c>
      <c r="AT5016">
        <v>0</v>
      </c>
      <c r="AU5016">
        <v>0</v>
      </c>
      <c r="AW5016">
        <v>0</v>
      </c>
      <c r="AX5016">
        <v>0</v>
      </c>
      <c r="AY5016">
        <v>0</v>
      </c>
      <c r="BC5016" t="str">
        <f t="shared" si="687"/>
        <v>9791137601314</v>
      </c>
      <c r="BE5016" t="str">
        <f t="shared" si="684"/>
        <v>판타지 웹소설 &gt; 퓨전 판타지</v>
      </c>
    </row>
    <row r="5017" spans="1:57" x14ac:dyDescent="0.3">
      <c r="A5017">
        <v>2313016617</v>
      </c>
      <c r="B5017">
        <v>2313016620</v>
      </c>
      <c r="C5017" t="str">
        <f>T("올마스터가 된 비전서고 4화")</f>
        <v>올마스터가 된 비전서고 4화</v>
      </c>
      <c r="D5017" t="str">
        <f>T("4")</f>
        <v>4</v>
      </c>
      <c r="E5017" t="str">
        <f t="shared" si="685"/>
        <v>글면증</v>
      </c>
      <c r="H5017" t="str">
        <f t="shared" si="688"/>
        <v>스토리위즈</v>
      </c>
      <c r="I5017" t="str">
        <f t="shared" si="686"/>
        <v>올마스터가 된 비전서고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/>
      <c r="AQ5017">
        <v>0</v>
      </c>
      <c r="AR5017">
        <v>0</v>
      </c>
      <c r="AT5017">
        <v>0</v>
      </c>
      <c r="AU5017">
        <v>0</v>
      </c>
      <c r="AW5017">
        <v>0</v>
      </c>
      <c r="AX5017">
        <v>0</v>
      </c>
      <c r="AY5017">
        <v>0</v>
      </c>
      <c r="BC5017" t="str">
        <f t="shared" si="687"/>
        <v>9791137601314</v>
      </c>
      <c r="BE5017" t="str">
        <f t="shared" si="684"/>
        <v>판타지 웹소설 &gt; 퓨전 판타지</v>
      </c>
    </row>
    <row r="5018" spans="1:57" x14ac:dyDescent="0.3">
      <c r="A5018">
        <v>2313016617</v>
      </c>
      <c r="B5018">
        <v>2313016621</v>
      </c>
      <c r="C5018" t="str">
        <f>T("올마스터가 된 비전서고 5화")</f>
        <v>올마스터가 된 비전서고 5화</v>
      </c>
      <c r="D5018" t="str">
        <f>T("5")</f>
        <v>5</v>
      </c>
      <c r="E5018" t="str">
        <f t="shared" si="685"/>
        <v>글면증</v>
      </c>
      <c r="H5018" t="str">
        <f t="shared" si="688"/>
        <v>스토리위즈</v>
      </c>
      <c r="I5018" t="str">
        <f t="shared" si="686"/>
        <v>올마스터가 된 비전서고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/>
      <c r="AQ5018">
        <v>0</v>
      </c>
      <c r="AR5018">
        <v>0</v>
      </c>
      <c r="AT5018">
        <v>0</v>
      </c>
      <c r="AU5018">
        <v>0</v>
      </c>
      <c r="AW5018">
        <v>0</v>
      </c>
      <c r="AX5018">
        <v>0</v>
      </c>
      <c r="AY5018">
        <v>0</v>
      </c>
      <c r="BC5018" t="str">
        <f t="shared" si="687"/>
        <v>9791137601314</v>
      </c>
      <c r="BE5018" t="str">
        <f t="shared" si="684"/>
        <v>판타지 웹소설 &gt; 퓨전 판타지</v>
      </c>
    </row>
    <row r="5019" spans="1:57" x14ac:dyDescent="0.3">
      <c r="A5019">
        <v>2313016617</v>
      </c>
      <c r="B5019">
        <v>2313016622</v>
      </c>
      <c r="C5019" t="str">
        <f>T("올마스터가 된 비전서고 6화")</f>
        <v>올마스터가 된 비전서고 6화</v>
      </c>
      <c r="D5019" t="str">
        <f>T("6")</f>
        <v>6</v>
      </c>
      <c r="E5019" t="str">
        <f t="shared" si="685"/>
        <v>글면증</v>
      </c>
      <c r="H5019" t="str">
        <f t="shared" si="688"/>
        <v>스토리위즈</v>
      </c>
      <c r="I5019" t="str">
        <f t="shared" si="686"/>
        <v>올마스터가 된 비전서고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/>
      <c r="AQ5019">
        <v>0</v>
      </c>
      <c r="AR5019">
        <v>0</v>
      </c>
      <c r="AT5019">
        <v>0</v>
      </c>
      <c r="AU5019">
        <v>0</v>
      </c>
      <c r="AW5019">
        <v>0</v>
      </c>
      <c r="AX5019">
        <v>0</v>
      </c>
      <c r="AY5019">
        <v>0</v>
      </c>
      <c r="BC5019" t="str">
        <f t="shared" si="687"/>
        <v>9791137601314</v>
      </c>
      <c r="BE5019" t="str">
        <f t="shared" si="684"/>
        <v>판타지 웹소설 &gt; 퓨전 판타지</v>
      </c>
    </row>
    <row r="5020" spans="1:57" x14ac:dyDescent="0.3">
      <c r="A5020">
        <v>2313016617</v>
      </c>
      <c r="B5020">
        <v>2313016623</v>
      </c>
      <c r="C5020" t="str">
        <f>T("올마스터가 된 비전서고 7화")</f>
        <v>올마스터가 된 비전서고 7화</v>
      </c>
      <c r="D5020" t="str">
        <f>T("7")</f>
        <v>7</v>
      </c>
      <c r="E5020" t="str">
        <f t="shared" si="685"/>
        <v>글면증</v>
      </c>
      <c r="H5020" t="str">
        <f t="shared" si="688"/>
        <v>스토리위즈</v>
      </c>
      <c r="I5020" t="str">
        <f t="shared" si="686"/>
        <v>올마스터가 된 비전서고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/>
      <c r="AQ5020">
        <v>0</v>
      </c>
      <c r="AR5020">
        <v>0</v>
      </c>
      <c r="AT5020">
        <v>0</v>
      </c>
      <c r="AU5020">
        <v>0</v>
      </c>
      <c r="AW5020">
        <v>0</v>
      </c>
      <c r="AX5020">
        <v>0</v>
      </c>
      <c r="AY5020">
        <v>0</v>
      </c>
      <c r="BC5020" t="str">
        <f t="shared" si="687"/>
        <v>9791137601314</v>
      </c>
      <c r="BE5020" t="str">
        <f t="shared" si="684"/>
        <v>판타지 웹소설 &gt; 퓨전 판타지</v>
      </c>
    </row>
    <row r="5021" spans="1:57" x14ac:dyDescent="0.3">
      <c r="A5021">
        <v>2313016617</v>
      </c>
      <c r="B5021">
        <v>2313016624</v>
      </c>
      <c r="C5021" t="str">
        <f>T("올마스터가 된 비전서고 8화")</f>
        <v>올마스터가 된 비전서고 8화</v>
      </c>
      <c r="D5021" t="str">
        <f>T("8")</f>
        <v>8</v>
      </c>
      <c r="E5021" t="str">
        <f t="shared" si="685"/>
        <v>글면증</v>
      </c>
      <c r="H5021" t="str">
        <f t="shared" si="688"/>
        <v>스토리위즈</v>
      </c>
      <c r="I5021" t="str">
        <f t="shared" si="686"/>
        <v>올마스터가 된 비전서고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/>
      <c r="AQ5021">
        <v>0</v>
      </c>
      <c r="AR5021">
        <v>0</v>
      </c>
      <c r="AT5021">
        <v>0</v>
      </c>
      <c r="AU5021">
        <v>0</v>
      </c>
      <c r="AW5021">
        <v>0</v>
      </c>
      <c r="AX5021">
        <v>0</v>
      </c>
      <c r="AY5021">
        <v>0</v>
      </c>
      <c r="BC5021" t="str">
        <f t="shared" si="687"/>
        <v>9791137601314</v>
      </c>
      <c r="BE5021" t="str">
        <f t="shared" si="684"/>
        <v>판타지 웹소설 &gt; 퓨전 판타지</v>
      </c>
    </row>
    <row r="5022" spans="1:57" x14ac:dyDescent="0.3">
      <c r="A5022">
        <v>2313016617</v>
      </c>
      <c r="B5022">
        <v>2313016625</v>
      </c>
      <c r="C5022" t="str">
        <f>T("올마스터가 된 비전서고 9화")</f>
        <v>올마스터가 된 비전서고 9화</v>
      </c>
      <c r="D5022" t="str">
        <f>T("9")</f>
        <v>9</v>
      </c>
      <c r="E5022" t="str">
        <f t="shared" si="685"/>
        <v>글면증</v>
      </c>
      <c r="H5022" t="str">
        <f t="shared" si="688"/>
        <v>스토리위즈</v>
      </c>
      <c r="I5022" t="str">
        <f t="shared" si="686"/>
        <v>올마스터가 된 비전서고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/>
      <c r="AQ5022">
        <v>0</v>
      </c>
      <c r="AR5022">
        <v>0</v>
      </c>
      <c r="AT5022">
        <v>0</v>
      </c>
      <c r="AU5022">
        <v>0</v>
      </c>
      <c r="AW5022">
        <v>0</v>
      </c>
      <c r="AX5022">
        <v>0</v>
      </c>
      <c r="AY5022">
        <v>0</v>
      </c>
      <c r="BC5022" t="str">
        <f t="shared" si="687"/>
        <v>9791137601314</v>
      </c>
      <c r="BE5022" t="str">
        <f t="shared" si="684"/>
        <v>판타지 웹소설 &gt; 퓨전 판타지</v>
      </c>
    </row>
    <row r="5023" spans="1:57" x14ac:dyDescent="0.3">
      <c r="A5023">
        <v>2313016617</v>
      </c>
      <c r="B5023">
        <v>2313016626</v>
      </c>
      <c r="C5023" t="str">
        <f>T("올마스터가 된 비전서고 10화")</f>
        <v>올마스터가 된 비전서고 10화</v>
      </c>
      <c r="D5023" t="str">
        <f>T("10")</f>
        <v>10</v>
      </c>
      <c r="E5023" t="str">
        <f t="shared" si="685"/>
        <v>글면증</v>
      </c>
      <c r="H5023" t="str">
        <f t="shared" si="688"/>
        <v>스토리위즈</v>
      </c>
      <c r="I5023" t="str">
        <f t="shared" si="686"/>
        <v>올마스터가 된 비전서고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/>
      <c r="AQ5023">
        <v>0</v>
      </c>
      <c r="AR5023">
        <v>0</v>
      </c>
      <c r="AT5023">
        <v>0</v>
      </c>
      <c r="AU5023">
        <v>0</v>
      </c>
      <c r="AW5023">
        <v>0</v>
      </c>
      <c r="AX5023">
        <v>0</v>
      </c>
      <c r="AY5023">
        <v>0</v>
      </c>
      <c r="BC5023" t="str">
        <f t="shared" si="687"/>
        <v>9791137601314</v>
      </c>
      <c r="BE5023" t="str">
        <f t="shared" si="684"/>
        <v>판타지 웹소설 &gt; 퓨전 판타지</v>
      </c>
    </row>
    <row r="5024" spans="1:57" x14ac:dyDescent="0.3">
      <c r="A5024">
        <v>2313016617</v>
      </c>
      <c r="B5024">
        <v>2313016627</v>
      </c>
      <c r="C5024" t="str">
        <f>T("올마스터가 된 비전서고 11화")</f>
        <v>올마스터가 된 비전서고 11화</v>
      </c>
      <c r="D5024" t="str">
        <f>T("11")</f>
        <v>11</v>
      </c>
      <c r="E5024" t="str">
        <f t="shared" si="685"/>
        <v>글면증</v>
      </c>
      <c r="H5024" t="str">
        <f t="shared" si="688"/>
        <v>스토리위즈</v>
      </c>
      <c r="I5024" t="str">
        <f t="shared" si="686"/>
        <v>올마스터가 된 비전서고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/>
      <c r="AQ5024">
        <v>0</v>
      </c>
      <c r="AR5024">
        <v>0</v>
      </c>
      <c r="AT5024">
        <v>0</v>
      </c>
      <c r="AU5024">
        <v>0</v>
      </c>
      <c r="AW5024">
        <v>0</v>
      </c>
      <c r="AX5024">
        <v>0</v>
      </c>
      <c r="AY5024">
        <v>0</v>
      </c>
      <c r="BC5024" t="str">
        <f t="shared" si="687"/>
        <v>9791137601314</v>
      </c>
      <c r="BE5024" t="str">
        <f t="shared" si="684"/>
        <v>판타지 웹소설 &gt; 퓨전 판타지</v>
      </c>
    </row>
    <row r="5025" spans="1:57" x14ac:dyDescent="0.3">
      <c r="A5025">
        <v>2313016617</v>
      </c>
      <c r="B5025">
        <v>2313016628</v>
      </c>
      <c r="C5025" t="str">
        <f>T("올마스터가 된 비전서고 12화")</f>
        <v>올마스터가 된 비전서고 12화</v>
      </c>
      <c r="D5025" t="str">
        <f>T("12")</f>
        <v>12</v>
      </c>
      <c r="E5025" t="str">
        <f t="shared" si="685"/>
        <v>글면증</v>
      </c>
      <c r="H5025" t="str">
        <f t="shared" si="688"/>
        <v>스토리위즈</v>
      </c>
      <c r="I5025" t="str">
        <f t="shared" si="686"/>
        <v>올마스터가 된 비전서고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/>
      <c r="AQ5025">
        <v>0</v>
      </c>
      <c r="AR5025">
        <v>0</v>
      </c>
      <c r="AT5025">
        <v>0</v>
      </c>
      <c r="AU5025">
        <v>0</v>
      </c>
      <c r="AW5025">
        <v>0</v>
      </c>
      <c r="AX5025">
        <v>0</v>
      </c>
      <c r="AY5025">
        <v>0</v>
      </c>
      <c r="BC5025" t="str">
        <f t="shared" si="687"/>
        <v>9791137601314</v>
      </c>
      <c r="BE5025" t="str">
        <f t="shared" si="684"/>
        <v>판타지 웹소설 &gt; 퓨전 판타지</v>
      </c>
    </row>
    <row r="5026" spans="1:57" x14ac:dyDescent="0.3">
      <c r="A5026">
        <v>2313016617</v>
      </c>
      <c r="B5026">
        <v>2313016629</v>
      </c>
      <c r="C5026" t="str">
        <f>T("올마스터가 된 비전서고 13화")</f>
        <v>올마스터가 된 비전서고 13화</v>
      </c>
      <c r="D5026" t="str">
        <f>T("13")</f>
        <v>13</v>
      </c>
      <c r="E5026" t="str">
        <f t="shared" si="685"/>
        <v>글면증</v>
      </c>
      <c r="H5026" t="str">
        <f t="shared" si="688"/>
        <v>스토리위즈</v>
      </c>
      <c r="I5026" t="str">
        <f t="shared" si="686"/>
        <v>올마스터가 된 비전서고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1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/>
      <c r="AQ5026">
        <v>0</v>
      </c>
      <c r="AR5026">
        <v>0</v>
      </c>
      <c r="AT5026">
        <v>0</v>
      </c>
      <c r="AU5026">
        <v>0</v>
      </c>
      <c r="AW5026">
        <v>0</v>
      </c>
      <c r="AX5026">
        <v>0</v>
      </c>
      <c r="AY5026">
        <v>0</v>
      </c>
      <c r="BC5026" t="str">
        <f t="shared" si="687"/>
        <v>9791137601314</v>
      </c>
      <c r="BE5026" t="str">
        <f t="shared" si="684"/>
        <v>판타지 웹소설 &gt; 퓨전 판타지</v>
      </c>
    </row>
    <row r="5027" spans="1:57" x14ac:dyDescent="0.3">
      <c r="A5027">
        <v>2313016617</v>
      </c>
      <c r="B5027">
        <v>2313016630</v>
      </c>
      <c r="C5027" t="str">
        <f>T("올마스터가 된 비전서고 14화")</f>
        <v>올마스터가 된 비전서고 14화</v>
      </c>
      <c r="D5027" t="str">
        <f>T("14")</f>
        <v>14</v>
      </c>
      <c r="E5027" t="str">
        <f t="shared" si="685"/>
        <v>글면증</v>
      </c>
      <c r="H5027" t="str">
        <f t="shared" si="688"/>
        <v>스토리위즈</v>
      </c>
      <c r="I5027" t="str">
        <f t="shared" si="686"/>
        <v>올마스터가 된 비전서고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/>
      <c r="AQ5027">
        <v>0</v>
      </c>
      <c r="AR5027">
        <v>0</v>
      </c>
      <c r="AT5027">
        <v>0</v>
      </c>
      <c r="AU5027">
        <v>0</v>
      </c>
      <c r="AW5027">
        <v>0</v>
      </c>
      <c r="AX5027">
        <v>0</v>
      </c>
      <c r="AY5027">
        <v>0</v>
      </c>
      <c r="BC5027" t="str">
        <f t="shared" si="687"/>
        <v>9791137601314</v>
      </c>
      <c r="BE5027" t="str">
        <f t="shared" si="684"/>
        <v>판타지 웹소설 &gt; 퓨전 판타지</v>
      </c>
    </row>
    <row r="5028" spans="1:57" x14ac:dyDescent="0.3">
      <c r="A5028">
        <v>2313016817</v>
      </c>
      <c r="B5028">
        <v>2313016817</v>
      </c>
      <c r="C5028" t="str">
        <f>T("[e북]원코인 게이머 아포칼립스 1권")</f>
        <v>[e북]원코인 게이머 아포칼립스 1권</v>
      </c>
      <c r="D5028" t="str">
        <f>T("1")</f>
        <v>1</v>
      </c>
      <c r="E5028" t="str">
        <f>T("이한애비")</f>
        <v>이한애비</v>
      </c>
      <c r="H5028" t="str">
        <f t="shared" si="688"/>
        <v>스토리위즈</v>
      </c>
      <c r="I5028" t="str">
        <f>T("[e북]원코인 게이머 아포칼립스")</f>
        <v>[e북]원코인 게이머 아포칼립스</v>
      </c>
      <c r="J5028">
        <v>0</v>
      </c>
      <c r="K5028">
        <v>0</v>
      </c>
      <c r="L5028">
        <v>0</v>
      </c>
      <c r="M5028">
        <v>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2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/>
      <c r="AQ5028">
        <v>0</v>
      </c>
      <c r="AR5028">
        <v>0</v>
      </c>
      <c r="AT5028">
        <v>0</v>
      </c>
      <c r="AU5028">
        <v>0</v>
      </c>
      <c r="AW5028">
        <v>0</v>
      </c>
      <c r="AX5028">
        <v>0</v>
      </c>
      <c r="AY5028">
        <v>0</v>
      </c>
      <c r="BA5028" t="str">
        <f>T("0000000000000")</f>
        <v>0000000000000</v>
      </c>
      <c r="BC5028" t="str">
        <f>T("9791137603998")</f>
        <v>9791137603998</v>
      </c>
      <c r="BE5028" t="str">
        <f>T("판타지 e북 &gt; 현대 판타지")</f>
        <v>판타지 e북 &gt; 현대 판타지</v>
      </c>
    </row>
    <row r="5029" spans="1:57" x14ac:dyDescent="0.3">
      <c r="A5029">
        <v>2313016995</v>
      </c>
      <c r="B5029">
        <v>2313016995</v>
      </c>
      <c r="C5029" t="str">
        <f>T("[e북]알림이 도착했습니다")</f>
        <v>[e북]알림이 도착했습니다</v>
      </c>
      <c r="D5029" t="str">
        <f>T("1")</f>
        <v>1</v>
      </c>
      <c r="E5029" t="str">
        <f>T("망나니개")</f>
        <v>망나니개</v>
      </c>
      <c r="H5029" t="str">
        <f t="shared" ref="H5029:H5035" si="689">T("도서출판 태랑")</f>
        <v>도서출판 태랑</v>
      </c>
      <c r="I5029" t="str">
        <f>T("[e북]알림이 도착했습니다")</f>
        <v>[e북]알림이 도착했습니다</v>
      </c>
      <c r="J5029">
        <v>4000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-2000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-2000</v>
      </c>
      <c r="AJ5029">
        <v>1</v>
      </c>
      <c r="AK5029">
        <v>0</v>
      </c>
      <c r="AL5029">
        <v>-2000</v>
      </c>
      <c r="AM5029">
        <v>0</v>
      </c>
      <c r="AN5029">
        <v>0</v>
      </c>
      <c r="AO5029">
        <v>0</v>
      </c>
      <c r="AP5029"/>
      <c r="AQ5029">
        <v>0</v>
      </c>
      <c r="AR5029">
        <v>0</v>
      </c>
      <c r="AT5029">
        <v>0</v>
      </c>
      <c r="AU5029">
        <v>0</v>
      </c>
      <c r="AW5029">
        <v>0</v>
      </c>
      <c r="AX5029">
        <v>0</v>
      </c>
      <c r="AY5029">
        <v>-1400</v>
      </c>
      <c r="BC5029" t="str">
        <f>T("9791164372447")</f>
        <v>9791164372447</v>
      </c>
      <c r="BE5029" t="str">
        <f t="shared" ref="BE5029:BE5035" si="690">T("BL 소설 e북 &gt; 현대물")</f>
        <v>BL 소설 e북 &gt; 현대물</v>
      </c>
    </row>
    <row r="5030" spans="1:57" x14ac:dyDescent="0.3">
      <c r="A5030">
        <v>2313017050</v>
      </c>
      <c r="B5030">
        <v>2313017020</v>
      </c>
      <c r="C5030" t="str">
        <f>T("[e북]사라족의 간택 (삽화본) (외전)")</f>
        <v>[e북]사라족의 간택 (삽화본) (외전)</v>
      </c>
      <c r="D5030" t="str">
        <f>T("3")</f>
        <v>3</v>
      </c>
      <c r="E5030" t="str">
        <f>T("모리미")</f>
        <v>모리미</v>
      </c>
      <c r="H5030" t="str">
        <f t="shared" si="689"/>
        <v>도서출판 태랑</v>
      </c>
      <c r="I5030" t="str">
        <f>T("[e북]사라족의 간택 (삽화본)")</f>
        <v>[e북]사라족의 간택 (삽화본)</v>
      </c>
      <c r="J5030">
        <v>300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-150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-150</v>
      </c>
      <c r="AJ5030">
        <v>1</v>
      </c>
      <c r="AK5030">
        <v>0</v>
      </c>
      <c r="AL5030">
        <v>-150</v>
      </c>
      <c r="AM5030">
        <v>0</v>
      </c>
      <c r="AN5030">
        <v>0</v>
      </c>
      <c r="AO5030">
        <v>0</v>
      </c>
      <c r="AP5030"/>
      <c r="AQ5030">
        <v>0</v>
      </c>
      <c r="AR5030">
        <v>0</v>
      </c>
      <c r="AT5030">
        <v>0</v>
      </c>
      <c r="AU5030">
        <v>0</v>
      </c>
      <c r="AW5030">
        <v>0</v>
      </c>
      <c r="AX5030">
        <v>0</v>
      </c>
      <c r="AY5030">
        <v>-105</v>
      </c>
      <c r="BC5030" t="str">
        <f>T("9791164371655")</f>
        <v>9791164371655</v>
      </c>
      <c r="BE5030" t="str">
        <f t="shared" si="690"/>
        <v>BL 소설 e북 &gt; 현대물</v>
      </c>
    </row>
    <row r="5031" spans="1:57" x14ac:dyDescent="0.3">
      <c r="A5031">
        <v>2313017050</v>
      </c>
      <c r="B5031">
        <v>2313017049</v>
      </c>
      <c r="C5031" t="str">
        <f>T("[e북]사라족의 간택 (삽화본) 2권 (완결)")</f>
        <v>[e북]사라족의 간택 (삽화본) 2권 (완결)</v>
      </c>
      <c r="D5031" t="str">
        <f>T("2")</f>
        <v>2</v>
      </c>
      <c r="E5031" t="str">
        <f>T("모리미")</f>
        <v>모리미</v>
      </c>
      <c r="H5031" t="str">
        <f t="shared" si="689"/>
        <v>도서출판 태랑</v>
      </c>
      <c r="I5031" t="str">
        <f>T("[e북]사라족의 간택 (삽화본)")</f>
        <v>[e북]사라족의 간택 (삽화본)</v>
      </c>
      <c r="J5031">
        <v>2900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-1450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-1450</v>
      </c>
      <c r="AJ5031">
        <v>1</v>
      </c>
      <c r="AK5031">
        <v>0</v>
      </c>
      <c r="AL5031">
        <v>-1450</v>
      </c>
      <c r="AM5031">
        <v>0</v>
      </c>
      <c r="AN5031">
        <v>0</v>
      </c>
      <c r="AO5031">
        <v>0</v>
      </c>
      <c r="AP5031"/>
      <c r="AQ5031">
        <v>0</v>
      </c>
      <c r="AR5031">
        <v>0</v>
      </c>
      <c r="AT5031">
        <v>0</v>
      </c>
      <c r="AU5031">
        <v>0</v>
      </c>
      <c r="AW5031">
        <v>0</v>
      </c>
      <c r="AX5031">
        <v>0</v>
      </c>
      <c r="AY5031">
        <v>-1015</v>
      </c>
      <c r="BC5031" t="str">
        <f>T("9791164371143")</f>
        <v>9791164371143</v>
      </c>
      <c r="BE5031" t="str">
        <f t="shared" si="690"/>
        <v>BL 소설 e북 &gt; 현대물</v>
      </c>
    </row>
    <row r="5032" spans="1:57" x14ac:dyDescent="0.3">
      <c r="A5032">
        <v>2313017050</v>
      </c>
      <c r="B5032">
        <v>2313017050</v>
      </c>
      <c r="C5032" t="str">
        <f>T("[e북]사라족의 간택 (삽화본) 1권")</f>
        <v>[e북]사라족의 간택 (삽화본) 1권</v>
      </c>
      <c r="D5032" t="str">
        <f>T("1")</f>
        <v>1</v>
      </c>
      <c r="E5032" t="str">
        <f>T("모리미")</f>
        <v>모리미</v>
      </c>
      <c r="H5032" t="str">
        <f t="shared" si="689"/>
        <v>도서출판 태랑</v>
      </c>
      <c r="I5032" t="str">
        <f>T("[e북]사라족의 간택 (삽화본)")</f>
        <v>[e북]사라족의 간택 (삽화본)</v>
      </c>
      <c r="J5032">
        <v>2900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-1450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-1450</v>
      </c>
      <c r="AJ5032">
        <v>1</v>
      </c>
      <c r="AK5032">
        <v>0</v>
      </c>
      <c r="AL5032">
        <v>-1450</v>
      </c>
      <c r="AM5032">
        <v>0</v>
      </c>
      <c r="AN5032">
        <v>0</v>
      </c>
      <c r="AO5032">
        <v>0</v>
      </c>
      <c r="AP5032"/>
      <c r="AQ5032">
        <v>0</v>
      </c>
      <c r="AR5032">
        <v>0</v>
      </c>
      <c r="AT5032">
        <v>0</v>
      </c>
      <c r="AU5032">
        <v>0</v>
      </c>
      <c r="AW5032">
        <v>0</v>
      </c>
      <c r="AX5032">
        <v>0</v>
      </c>
      <c r="AY5032">
        <v>-1015</v>
      </c>
      <c r="BC5032" t="str">
        <f>T("9791164371136")</f>
        <v>9791164371136</v>
      </c>
      <c r="BE5032" t="str">
        <f t="shared" si="690"/>
        <v>BL 소설 e북 &gt; 현대물</v>
      </c>
    </row>
    <row r="5033" spans="1:57" x14ac:dyDescent="0.3">
      <c r="A5033">
        <v>2313017119</v>
      </c>
      <c r="B5033">
        <v>2313017090</v>
      </c>
      <c r="C5033" t="str">
        <f>T("[e북]사랑, 흘러간다 (외전)")</f>
        <v>[e북]사랑, 흘러간다 (외전)</v>
      </c>
      <c r="D5033" t="str">
        <f>T("3")</f>
        <v>3</v>
      </c>
      <c r="E5033" t="str">
        <f>T("블랙커피")</f>
        <v>블랙커피</v>
      </c>
      <c r="H5033" t="str">
        <f t="shared" si="689"/>
        <v>도서출판 태랑</v>
      </c>
      <c r="I5033" t="str">
        <f>T("[e북]사랑, 흘러간다")</f>
        <v>[e북]사랑, 흘러간다</v>
      </c>
      <c r="J5033">
        <v>300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-150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-150</v>
      </c>
      <c r="AJ5033">
        <v>1</v>
      </c>
      <c r="AK5033">
        <v>0</v>
      </c>
      <c r="AL5033">
        <v>-150</v>
      </c>
      <c r="AM5033">
        <v>0</v>
      </c>
      <c r="AN5033">
        <v>0</v>
      </c>
      <c r="AO5033">
        <v>0</v>
      </c>
      <c r="AP5033"/>
      <c r="AQ5033">
        <v>0</v>
      </c>
      <c r="AR5033">
        <v>0</v>
      </c>
      <c r="AT5033">
        <v>0</v>
      </c>
      <c r="AU5033">
        <v>0</v>
      </c>
      <c r="AW5033">
        <v>0</v>
      </c>
      <c r="AX5033">
        <v>0</v>
      </c>
      <c r="AY5033">
        <v>-105</v>
      </c>
      <c r="BC5033" t="str">
        <f>T("9791189627973")</f>
        <v>9791189627973</v>
      </c>
      <c r="BE5033" t="str">
        <f t="shared" si="690"/>
        <v>BL 소설 e북 &gt; 현대물</v>
      </c>
    </row>
    <row r="5034" spans="1:57" x14ac:dyDescent="0.3">
      <c r="A5034">
        <v>2313017119</v>
      </c>
      <c r="B5034">
        <v>2313017118</v>
      </c>
      <c r="C5034" t="str">
        <f>T("[e북]사랑, 흘러간다 2권 (완결)")</f>
        <v>[e북]사랑, 흘러간다 2권 (완결)</v>
      </c>
      <c r="D5034" t="str">
        <f>T("2")</f>
        <v>2</v>
      </c>
      <c r="E5034" t="str">
        <f>T("블랙커피")</f>
        <v>블랙커피</v>
      </c>
      <c r="H5034" t="str">
        <f t="shared" si="689"/>
        <v>도서출판 태랑</v>
      </c>
      <c r="I5034" t="str">
        <f>T("[e북]사랑, 흘러간다")</f>
        <v>[e북]사랑, 흘러간다</v>
      </c>
      <c r="J5034">
        <v>2500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-1250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-1250</v>
      </c>
      <c r="AJ5034">
        <v>1</v>
      </c>
      <c r="AK5034">
        <v>0</v>
      </c>
      <c r="AL5034">
        <v>-1250</v>
      </c>
      <c r="AM5034">
        <v>0</v>
      </c>
      <c r="AN5034">
        <v>0</v>
      </c>
      <c r="AO5034">
        <v>0</v>
      </c>
      <c r="AP5034"/>
      <c r="AQ5034">
        <v>0</v>
      </c>
      <c r="AR5034">
        <v>0</v>
      </c>
      <c r="AT5034">
        <v>0</v>
      </c>
      <c r="AU5034">
        <v>0</v>
      </c>
      <c r="AW5034">
        <v>0</v>
      </c>
      <c r="AX5034">
        <v>0</v>
      </c>
      <c r="AY5034">
        <v>-875</v>
      </c>
      <c r="BC5034" t="str">
        <f>T("9791189627478")</f>
        <v>9791189627478</v>
      </c>
      <c r="BE5034" t="str">
        <f t="shared" si="690"/>
        <v>BL 소설 e북 &gt; 현대물</v>
      </c>
    </row>
    <row r="5035" spans="1:57" x14ac:dyDescent="0.3">
      <c r="A5035">
        <v>2313017119</v>
      </c>
      <c r="B5035">
        <v>2313017119</v>
      </c>
      <c r="C5035" t="str">
        <f>T("[e북]사랑, 흘러간다 1권")</f>
        <v>[e북]사랑, 흘러간다 1권</v>
      </c>
      <c r="D5035" t="str">
        <f>T("1")</f>
        <v>1</v>
      </c>
      <c r="E5035" t="str">
        <f>T("블랙커피")</f>
        <v>블랙커피</v>
      </c>
      <c r="H5035" t="str">
        <f t="shared" si="689"/>
        <v>도서출판 태랑</v>
      </c>
      <c r="I5035" t="str">
        <f>T("[e북]사랑, 흘러간다")</f>
        <v>[e북]사랑, 흘러간다</v>
      </c>
      <c r="J5035">
        <v>2500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-1250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-1250</v>
      </c>
      <c r="AJ5035">
        <v>1</v>
      </c>
      <c r="AK5035">
        <v>0</v>
      </c>
      <c r="AL5035">
        <v>-1250</v>
      </c>
      <c r="AM5035">
        <v>0</v>
      </c>
      <c r="AN5035">
        <v>0</v>
      </c>
      <c r="AO5035">
        <v>0</v>
      </c>
      <c r="AP5035"/>
      <c r="AQ5035">
        <v>0</v>
      </c>
      <c r="AR5035">
        <v>0</v>
      </c>
      <c r="AT5035">
        <v>0</v>
      </c>
      <c r="AU5035">
        <v>0</v>
      </c>
      <c r="AW5035">
        <v>0</v>
      </c>
      <c r="AX5035">
        <v>0</v>
      </c>
      <c r="AY5035">
        <v>-875</v>
      </c>
      <c r="BC5035" t="str">
        <f>T("9791189627461")</f>
        <v>9791189627461</v>
      </c>
      <c r="BE5035" t="str">
        <f t="shared" si="690"/>
        <v>BL 소설 e북 &gt; 현대물</v>
      </c>
    </row>
    <row r="5036" spans="1:57" x14ac:dyDescent="0.3">
      <c r="A5036">
        <v>2313017163</v>
      </c>
      <c r="B5036">
        <v>2313017163</v>
      </c>
      <c r="C5036" t="str">
        <f>T("친절하기는 얼어 죽을 프롤로그")</f>
        <v>친절하기는 얼어 죽을 프롤로그</v>
      </c>
      <c r="D5036" t="str">
        <f>T("1")</f>
        <v>1</v>
      </c>
      <c r="E5036" t="str">
        <f>T("솜목화")</f>
        <v>솜목화</v>
      </c>
      <c r="H5036" t="str">
        <f>T("블레슈(Blesshuu)")</f>
        <v>블레슈(Blesshuu)</v>
      </c>
      <c r="I5036" t="str">
        <f>T("친절하기는 얼어 죽을")</f>
        <v>친절하기는 얼어 죽을</v>
      </c>
      <c r="J5036">
        <v>0</v>
      </c>
      <c r="K5036">
        <v>0</v>
      </c>
      <c r="L5036">
        <v>0</v>
      </c>
      <c r="M5036">
        <v>59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59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/>
      <c r="AQ5036">
        <v>0</v>
      </c>
      <c r="AR5036">
        <v>0</v>
      </c>
      <c r="AT5036">
        <v>0</v>
      </c>
      <c r="AU5036">
        <v>0</v>
      </c>
      <c r="AW5036">
        <v>0</v>
      </c>
      <c r="AX5036">
        <v>0</v>
      </c>
      <c r="AY5036">
        <v>0</v>
      </c>
      <c r="BA5036" t="str">
        <f>T("0000000000000")</f>
        <v>0000000000000</v>
      </c>
      <c r="BC5036" t="str">
        <f>T("9791137604131")</f>
        <v>9791137604131</v>
      </c>
      <c r="BE5036" t="str">
        <f>T("로맨스 웹소설 &gt; 현대물")</f>
        <v>로맨스 웹소설 &gt; 현대물</v>
      </c>
    </row>
    <row r="5037" spans="1:57" x14ac:dyDescent="0.3">
      <c r="A5037">
        <v>2313017163</v>
      </c>
      <c r="B5037">
        <v>2313017164</v>
      </c>
      <c r="C5037" t="str">
        <f>T("친절하기는 얼어 죽을 1화")</f>
        <v>친절하기는 얼어 죽을 1화</v>
      </c>
      <c r="D5037" t="str">
        <f>T("2")</f>
        <v>2</v>
      </c>
      <c r="E5037" t="str">
        <f>T("솜목화")</f>
        <v>솜목화</v>
      </c>
      <c r="H5037" t="str">
        <f>T("블레슈(Blesshuu)")</f>
        <v>블레슈(Blesshuu)</v>
      </c>
      <c r="I5037" t="str">
        <f>T("친절하기는 얼어 죽을")</f>
        <v>친절하기는 얼어 죽을</v>
      </c>
      <c r="J5037">
        <v>0</v>
      </c>
      <c r="K5037">
        <v>0</v>
      </c>
      <c r="L5037">
        <v>0</v>
      </c>
      <c r="M5037">
        <v>37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37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/>
      <c r="AQ5037">
        <v>0</v>
      </c>
      <c r="AR5037">
        <v>0</v>
      </c>
      <c r="AT5037">
        <v>0</v>
      </c>
      <c r="AU5037">
        <v>0</v>
      </c>
      <c r="AW5037">
        <v>0</v>
      </c>
      <c r="AX5037">
        <v>0</v>
      </c>
      <c r="AY5037">
        <v>0</v>
      </c>
      <c r="BA5037" t="str">
        <f>T("0000000000000")</f>
        <v>0000000000000</v>
      </c>
      <c r="BC5037" t="str">
        <f>T("9791137604131")</f>
        <v>9791137604131</v>
      </c>
      <c r="BE5037" t="str">
        <f>T("로맨스 웹소설 &gt; 현대물")</f>
        <v>로맨스 웹소설 &gt; 현대물</v>
      </c>
    </row>
    <row r="5038" spans="1:57" x14ac:dyDescent="0.3">
      <c r="A5038">
        <v>2313017163</v>
      </c>
      <c r="B5038">
        <v>2313017165</v>
      </c>
      <c r="C5038" t="str">
        <f>T("친절하기는 얼어 죽을 2화")</f>
        <v>친절하기는 얼어 죽을 2화</v>
      </c>
      <c r="D5038" t="str">
        <f>T("3")</f>
        <v>3</v>
      </c>
      <c r="E5038" t="str">
        <f>T("솜목화")</f>
        <v>솜목화</v>
      </c>
      <c r="H5038" t="str">
        <f>T("블레슈(Blesshuu)")</f>
        <v>블레슈(Blesshuu)</v>
      </c>
      <c r="I5038" t="str">
        <f>T("친절하기는 얼어 죽을")</f>
        <v>친절하기는 얼어 죽을</v>
      </c>
      <c r="J5038">
        <v>0</v>
      </c>
      <c r="K5038">
        <v>0</v>
      </c>
      <c r="L5038">
        <v>0</v>
      </c>
      <c r="M5038">
        <v>26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26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/>
      <c r="AQ5038">
        <v>0</v>
      </c>
      <c r="AR5038">
        <v>0</v>
      </c>
      <c r="AT5038">
        <v>0</v>
      </c>
      <c r="AU5038">
        <v>0</v>
      </c>
      <c r="AW5038">
        <v>0</v>
      </c>
      <c r="AX5038">
        <v>0</v>
      </c>
      <c r="AY5038">
        <v>0</v>
      </c>
      <c r="BA5038" t="str">
        <f>T("0000000000000")</f>
        <v>0000000000000</v>
      </c>
      <c r="BC5038" t="str">
        <f>T("9791137604131")</f>
        <v>9791137604131</v>
      </c>
      <c r="BE5038" t="str">
        <f>T("로맨스 웹소설 &gt; 현대물")</f>
        <v>로맨스 웹소설 &gt; 현대물</v>
      </c>
    </row>
    <row r="5039" spans="1:57" x14ac:dyDescent="0.3">
      <c r="A5039">
        <v>2313017252</v>
      </c>
      <c r="B5039">
        <v>2313017252</v>
      </c>
      <c r="C5039" t="str">
        <f>T("신들의 알바나라 1화")</f>
        <v>신들의 알바나라 1화</v>
      </c>
      <c r="D5039" t="str">
        <f>T("1")</f>
        <v>1</v>
      </c>
      <c r="E5039" t="str">
        <f t="shared" ref="E5039:E5063" si="691">T("갓띵작")</f>
        <v>갓띵작</v>
      </c>
      <c r="H5039" t="str">
        <f t="shared" ref="H5039:H5102" si="692">T("스토리위즈")</f>
        <v>스토리위즈</v>
      </c>
      <c r="I5039" t="str">
        <f t="shared" ref="I5039:I5063" si="693">T("신들의 알바나라")</f>
        <v>신들의 알바나라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1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/>
      <c r="AQ5039">
        <v>0</v>
      </c>
      <c r="AR5039">
        <v>0</v>
      </c>
      <c r="AT5039">
        <v>0</v>
      </c>
      <c r="AU5039">
        <v>0</v>
      </c>
      <c r="AW5039">
        <v>0</v>
      </c>
      <c r="AX5039">
        <v>0</v>
      </c>
      <c r="AY5039">
        <v>0</v>
      </c>
      <c r="BC5039" t="str">
        <f t="shared" ref="BC5039:BC5063" si="694">T("9791137603950")</f>
        <v>9791137603950</v>
      </c>
      <c r="BE5039" t="str">
        <f t="shared" ref="BE5039:BE5063" si="695">T("판타지 웹소설 &gt; 퓨전 판타지")</f>
        <v>판타지 웹소설 &gt; 퓨전 판타지</v>
      </c>
    </row>
    <row r="5040" spans="1:57" x14ac:dyDescent="0.3">
      <c r="A5040">
        <v>2313017252</v>
      </c>
      <c r="B5040">
        <v>2313017253</v>
      </c>
      <c r="C5040" t="str">
        <f>T("신들의 알바나라 2화")</f>
        <v>신들의 알바나라 2화</v>
      </c>
      <c r="D5040" t="str">
        <f>T("2")</f>
        <v>2</v>
      </c>
      <c r="E5040" t="str">
        <f t="shared" si="691"/>
        <v>갓띵작</v>
      </c>
      <c r="H5040" t="str">
        <f t="shared" si="692"/>
        <v>스토리위즈</v>
      </c>
      <c r="I5040" t="str">
        <f t="shared" si="693"/>
        <v>신들의 알바나라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/>
      <c r="AQ5040">
        <v>0</v>
      </c>
      <c r="AR5040">
        <v>0</v>
      </c>
      <c r="AT5040">
        <v>0</v>
      </c>
      <c r="AU5040">
        <v>0</v>
      </c>
      <c r="AW5040">
        <v>0</v>
      </c>
      <c r="AX5040">
        <v>0</v>
      </c>
      <c r="AY5040">
        <v>0</v>
      </c>
      <c r="BC5040" t="str">
        <f t="shared" si="694"/>
        <v>9791137603950</v>
      </c>
      <c r="BE5040" t="str">
        <f t="shared" si="695"/>
        <v>판타지 웹소설 &gt; 퓨전 판타지</v>
      </c>
    </row>
    <row r="5041" spans="1:57" x14ac:dyDescent="0.3">
      <c r="A5041">
        <v>2313017252</v>
      </c>
      <c r="B5041">
        <v>2313017254</v>
      </c>
      <c r="C5041" t="str">
        <f>T("신들의 알바나라 3화")</f>
        <v>신들의 알바나라 3화</v>
      </c>
      <c r="D5041" t="str">
        <f>T("3")</f>
        <v>3</v>
      </c>
      <c r="E5041" t="str">
        <f t="shared" si="691"/>
        <v>갓띵작</v>
      </c>
      <c r="H5041" t="str">
        <f t="shared" si="692"/>
        <v>스토리위즈</v>
      </c>
      <c r="I5041" t="str">
        <f t="shared" si="693"/>
        <v>신들의 알바나라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/>
      <c r="AQ5041">
        <v>0</v>
      </c>
      <c r="AR5041">
        <v>0</v>
      </c>
      <c r="AT5041">
        <v>0</v>
      </c>
      <c r="AU5041">
        <v>0</v>
      </c>
      <c r="AW5041">
        <v>0</v>
      </c>
      <c r="AX5041">
        <v>0</v>
      </c>
      <c r="AY5041">
        <v>0</v>
      </c>
      <c r="BC5041" t="str">
        <f t="shared" si="694"/>
        <v>9791137603950</v>
      </c>
      <c r="BE5041" t="str">
        <f t="shared" si="695"/>
        <v>판타지 웹소설 &gt; 퓨전 판타지</v>
      </c>
    </row>
    <row r="5042" spans="1:57" x14ac:dyDescent="0.3">
      <c r="A5042">
        <v>2313017252</v>
      </c>
      <c r="B5042">
        <v>2313017255</v>
      </c>
      <c r="C5042" t="str">
        <f>T("신들의 알바나라 4화")</f>
        <v>신들의 알바나라 4화</v>
      </c>
      <c r="D5042" t="str">
        <f>T("4")</f>
        <v>4</v>
      </c>
      <c r="E5042" t="str">
        <f t="shared" si="691"/>
        <v>갓띵작</v>
      </c>
      <c r="H5042" t="str">
        <f t="shared" si="692"/>
        <v>스토리위즈</v>
      </c>
      <c r="I5042" t="str">
        <f t="shared" si="693"/>
        <v>신들의 알바나라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/>
      <c r="AQ5042">
        <v>0</v>
      </c>
      <c r="AR5042">
        <v>0</v>
      </c>
      <c r="AT5042">
        <v>0</v>
      </c>
      <c r="AU5042">
        <v>0</v>
      </c>
      <c r="AW5042">
        <v>0</v>
      </c>
      <c r="AX5042">
        <v>0</v>
      </c>
      <c r="AY5042">
        <v>0</v>
      </c>
      <c r="BC5042" t="str">
        <f t="shared" si="694"/>
        <v>9791137603950</v>
      </c>
      <c r="BE5042" t="str">
        <f t="shared" si="695"/>
        <v>판타지 웹소설 &gt; 퓨전 판타지</v>
      </c>
    </row>
    <row r="5043" spans="1:57" x14ac:dyDescent="0.3">
      <c r="A5043">
        <v>2313017252</v>
      </c>
      <c r="B5043">
        <v>2313017256</v>
      </c>
      <c r="C5043" t="str">
        <f>T("신들의 알바나라 5화")</f>
        <v>신들의 알바나라 5화</v>
      </c>
      <c r="D5043" t="str">
        <f>T("5")</f>
        <v>5</v>
      </c>
      <c r="E5043" t="str">
        <f t="shared" si="691"/>
        <v>갓띵작</v>
      </c>
      <c r="H5043" t="str">
        <f t="shared" si="692"/>
        <v>스토리위즈</v>
      </c>
      <c r="I5043" t="str">
        <f t="shared" si="693"/>
        <v>신들의 알바나라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1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/>
      <c r="AQ5043">
        <v>0</v>
      </c>
      <c r="AR5043">
        <v>0</v>
      </c>
      <c r="AT5043">
        <v>0</v>
      </c>
      <c r="AU5043">
        <v>0</v>
      </c>
      <c r="AW5043">
        <v>0</v>
      </c>
      <c r="AX5043">
        <v>0</v>
      </c>
      <c r="AY5043">
        <v>0</v>
      </c>
      <c r="BC5043" t="str">
        <f t="shared" si="694"/>
        <v>9791137603950</v>
      </c>
      <c r="BE5043" t="str">
        <f t="shared" si="695"/>
        <v>판타지 웹소설 &gt; 퓨전 판타지</v>
      </c>
    </row>
    <row r="5044" spans="1:57" x14ac:dyDescent="0.3">
      <c r="A5044">
        <v>2313017252</v>
      </c>
      <c r="B5044">
        <v>2313017257</v>
      </c>
      <c r="C5044" t="str">
        <f>T("신들의 알바나라 6화")</f>
        <v>신들의 알바나라 6화</v>
      </c>
      <c r="D5044" t="str">
        <f>T("6")</f>
        <v>6</v>
      </c>
      <c r="E5044" t="str">
        <f t="shared" si="691"/>
        <v>갓띵작</v>
      </c>
      <c r="H5044" t="str">
        <f t="shared" si="692"/>
        <v>스토리위즈</v>
      </c>
      <c r="I5044" t="str">
        <f t="shared" si="693"/>
        <v>신들의 알바나라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/>
      <c r="AQ5044">
        <v>0</v>
      </c>
      <c r="AR5044">
        <v>0</v>
      </c>
      <c r="AT5044">
        <v>0</v>
      </c>
      <c r="AU5044">
        <v>0</v>
      </c>
      <c r="AW5044">
        <v>0</v>
      </c>
      <c r="AX5044">
        <v>0</v>
      </c>
      <c r="AY5044">
        <v>0</v>
      </c>
      <c r="BC5044" t="str">
        <f t="shared" si="694"/>
        <v>9791137603950</v>
      </c>
      <c r="BE5044" t="str">
        <f t="shared" si="695"/>
        <v>판타지 웹소설 &gt; 퓨전 판타지</v>
      </c>
    </row>
    <row r="5045" spans="1:57" x14ac:dyDescent="0.3">
      <c r="A5045">
        <v>2313017252</v>
      </c>
      <c r="B5045">
        <v>2313017258</v>
      </c>
      <c r="C5045" t="str">
        <f>T("신들의 알바나라 7화")</f>
        <v>신들의 알바나라 7화</v>
      </c>
      <c r="D5045" t="str">
        <f>T("7")</f>
        <v>7</v>
      </c>
      <c r="E5045" t="str">
        <f t="shared" si="691"/>
        <v>갓띵작</v>
      </c>
      <c r="H5045" t="str">
        <f t="shared" si="692"/>
        <v>스토리위즈</v>
      </c>
      <c r="I5045" t="str">
        <f t="shared" si="693"/>
        <v>신들의 알바나라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1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/>
      <c r="AQ5045">
        <v>0</v>
      </c>
      <c r="AR5045">
        <v>0</v>
      </c>
      <c r="AT5045">
        <v>0</v>
      </c>
      <c r="AU5045">
        <v>0</v>
      </c>
      <c r="AW5045">
        <v>0</v>
      </c>
      <c r="AX5045">
        <v>0</v>
      </c>
      <c r="AY5045">
        <v>0</v>
      </c>
      <c r="BC5045" t="str">
        <f t="shared" si="694"/>
        <v>9791137603950</v>
      </c>
      <c r="BE5045" t="str">
        <f t="shared" si="695"/>
        <v>판타지 웹소설 &gt; 퓨전 판타지</v>
      </c>
    </row>
    <row r="5046" spans="1:57" x14ac:dyDescent="0.3">
      <c r="A5046">
        <v>2313017252</v>
      </c>
      <c r="B5046">
        <v>2313017259</v>
      </c>
      <c r="C5046" t="str">
        <f>T("신들의 알바나라 8화")</f>
        <v>신들의 알바나라 8화</v>
      </c>
      <c r="D5046" t="str">
        <f>T("8")</f>
        <v>8</v>
      </c>
      <c r="E5046" t="str">
        <f t="shared" si="691"/>
        <v>갓띵작</v>
      </c>
      <c r="H5046" t="str">
        <f t="shared" si="692"/>
        <v>스토리위즈</v>
      </c>
      <c r="I5046" t="str">
        <f t="shared" si="693"/>
        <v>신들의 알바나라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1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/>
      <c r="AQ5046">
        <v>0</v>
      </c>
      <c r="AR5046">
        <v>0</v>
      </c>
      <c r="AT5046">
        <v>0</v>
      </c>
      <c r="AU5046">
        <v>0</v>
      </c>
      <c r="AW5046">
        <v>0</v>
      </c>
      <c r="AX5046">
        <v>0</v>
      </c>
      <c r="AY5046">
        <v>0</v>
      </c>
      <c r="BC5046" t="str">
        <f t="shared" si="694"/>
        <v>9791137603950</v>
      </c>
      <c r="BE5046" t="str">
        <f t="shared" si="695"/>
        <v>판타지 웹소설 &gt; 퓨전 판타지</v>
      </c>
    </row>
    <row r="5047" spans="1:57" x14ac:dyDescent="0.3">
      <c r="A5047">
        <v>2313017252</v>
      </c>
      <c r="B5047">
        <v>2313017260</v>
      </c>
      <c r="C5047" t="str">
        <f>T("신들의 알바나라 9화")</f>
        <v>신들의 알바나라 9화</v>
      </c>
      <c r="D5047" t="str">
        <f>T("9")</f>
        <v>9</v>
      </c>
      <c r="E5047" t="str">
        <f t="shared" si="691"/>
        <v>갓띵작</v>
      </c>
      <c r="H5047" t="str">
        <f t="shared" si="692"/>
        <v>스토리위즈</v>
      </c>
      <c r="I5047" t="str">
        <f t="shared" si="693"/>
        <v>신들의 알바나라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1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/>
      <c r="AQ5047">
        <v>0</v>
      </c>
      <c r="AR5047">
        <v>0</v>
      </c>
      <c r="AT5047">
        <v>0</v>
      </c>
      <c r="AU5047">
        <v>0</v>
      </c>
      <c r="AW5047">
        <v>0</v>
      </c>
      <c r="AX5047">
        <v>0</v>
      </c>
      <c r="AY5047">
        <v>0</v>
      </c>
      <c r="BC5047" t="str">
        <f t="shared" si="694"/>
        <v>9791137603950</v>
      </c>
      <c r="BE5047" t="str">
        <f t="shared" si="695"/>
        <v>판타지 웹소설 &gt; 퓨전 판타지</v>
      </c>
    </row>
    <row r="5048" spans="1:57" x14ac:dyDescent="0.3">
      <c r="A5048">
        <v>2313017252</v>
      </c>
      <c r="B5048">
        <v>2313017261</v>
      </c>
      <c r="C5048" t="str">
        <f>T("신들의 알바나라 10화")</f>
        <v>신들의 알바나라 10화</v>
      </c>
      <c r="D5048" t="str">
        <f>T("10")</f>
        <v>10</v>
      </c>
      <c r="E5048" t="str">
        <f t="shared" si="691"/>
        <v>갓띵작</v>
      </c>
      <c r="H5048" t="str">
        <f t="shared" si="692"/>
        <v>스토리위즈</v>
      </c>
      <c r="I5048" t="str">
        <f t="shared" si="693"/>
        <v>신들의 알바나라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1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/>
      <c r="AQ5048">
        <v>0</v>
      </c>
      <c r="AR5048">
        <v>0</v>
      </c>
      <c r="AT5048">
        <v>0</v>
      </c>
      <c r="AU5048">
        <v>0</v>
      </c>
      <c r="AW5048">
        <v>0</v>
      </c>
      <c r="AX5048">
        <v>0</v>
      </c>
      <c r="AY5048">
        <v>0</v>
      </c>
      <c r="BC5048" t="str">
        <f t="shared" si="694"/>
        <v>9791137603950</v>
      </c>
      <c r="BE5048" t="str">
        <f t="shared" si="695"/>
        <v>판타지 웹소설 &gt; 퓨전 판타지</v>
      </c>
    </row>
    <row r="5049" spans="1:57" x14ac:dyDescent="0.3">
      <c r="A5049">
        <v>2313017252</v>
      </c>
      <c r="B5049">
        <v>2313017262</v>
      </c>
      <c r="C5049" t="str">
        <f>T("신들의 알바나라 11화")</f>
        <v>신들의 알바나라 11화</v>
      </c>
      <c r="D5049" t="str">
        <f>T("11")</f>
        <v>11</v>
      </c>
      <c r="E5049" t="str">
        <f t="shared" si="691"/>
        <v>갓띵작</v>
      </c>
      <c r="H5049" t="str">
        <f t="shared" si="692"/>
        <v>스토리위즈</v>
      </c>
      <c r="I5049" t="str">
        <f t="shared" si="693"/>
        <v>신들의 알바나라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/>
      <c r="AQ5049">
        <v>0</v>
      </c>
      <c r="AR5049">
        <v>0</v>
      </c>
      <c r="AT5049">
        <v>0</v>
      </c>
      <c r="AU5049">
        <v>0</v>
      </c>
      <c r="AW5049">
        <v>0</v>
      </c>
      <c r="AX5049">
        <v>0</v>
      </c>
      <c r="AY5049">
        <v>0</v>
      </c>
      <c r="BC5049" t="str">
        <f t="shared" si="694"/>
        <v>9791137603950</v>
      </c>
      <c r="BE5049" t="str">
        <f t="shared" si="695"/>
        <v>판타지 웹소설 &gt; 퓨전 판타지</v>
      </c>
    </row>
    <row r="5050" spans="1:57" x14ac:dyDescent="0.3">
      <c r="A5050">
        <v>2313017252</v>
      </c>
      <c r="B5050">
        <v>2313017263</v>
      </c>
      <c r="C5050" t="str">
        <f>T("신들의 알바나라 12화")</f>
        <v>신들의 알바나라 12화</v>
      </c>
      <c r="D5050" t="str">
        <f>T("12")</f>
        <v>12</v>
      </c>
      <c r="E5050" t="str">
        <f t="shared" si="691"/>
        <v>갓띵작</v>
      </c>
      <c r="H5050" t="str">
        <f t="shared" si="692"/>
        <v>스토리위즈</v>
      </c>
      <c r="I5050" t="str">
        <f t="shared" si="693"/>
        <v>신들의 알바나라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/>
      <c r="AQ5050">
        <v>0</v>
      </c>
      <c r="AR5050">
        <v>0</v>
      </c>
      <c r="AT5050">
        <v>0</v>
      </c>
      <c r="AU5050">
        <v>0</v>
      </c>
      <c r="AW5050">
        <v>0</v>
      </c>
      <c r="AX5050">
        <v>0</v>
      </c>
      <c r="AY5050">
        <v>0</v>
      </c>
      <c r="BC5050" t="str">
        <f t="shared" si="694"/>
        <v>9791137603950</v>
      </c>
      <c r="BE5050" t="str">
        <f t="shared" si="695"/>
        <v>판타지 웹소설 &gt; 퓨전 판타지</v>
      </c>
    </row>
    <row r="5051" spans="1:57" x14ac:dyDescent="0.3">
      <c r="A5051">
        <v>2313017252</v>
      </c>
      <c r="B5051">
        <v>2313017264</v>
      </c>
      <c r="C5051" t="str">
        <f>T("신들의 알바나라 13화")</f>
        <v>신들의 알바나라 13화</v>
      </c>
      <c r="D5051" t="str">
        <f>T("13")</f>
        <v>13</v>
      </c>
      <c r="E5051" t="str">
        <f t="shared" si="691"/>
        <v>갓띵작</v>
      </c>
      <c r="H5051" t="str">
        <f t="shared" si="692"/>
        <v>스토리위즈</v>
      </c>
      <c r="I5051" t="str">
        <f t="shared" si="693"/>
        <v>신들의 알바나라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/>
      <c r="AQ5051">
        <v>0</v>
      </c>
      <c r="AR5051">
        <v>0</v>
      </c>
      <c r="AT5051">
        <v>0</v>
      </c>
      <c r="AU5051">
        <v>0</v>
      </c>
      <c r="AW5051">
        <v>0</v>
      </c>
      <c r="AX5051">
        <v>0</v>
      </c>
      <c r="AY5051">
        <v>0</v>
      </c>
      <c r="BC5051" t="str">
        <f t="shared" si="694"/>
        <v>9791137603950</v>
      </c>
      <c r="BE5051" t="str">
        <f t="shared" si="695"/>
        <v>판타지 웹소설 &gt; 퓨전 판타지</v>
      </c>
    </row>
    <row r="5052" spans="1:57" x14ac:dyDescent="0.3">
      <c r="A5052">
        <v>2313017252</v>
      </c>
      <c r="B5052">
        <v>2313017265</v>
      </c>
      <c r="C5052" t="str">
        <f>T("신들의 알바나라 14화")</f>
        <v>신들의 알바나라 14화</v>
      </c>
      <c r="D5052" t="str">
        <f>T("14")</f>
        <v>14</v>
      </c>
      <c r="E5052" t="str">
        <f t="shared" si="691"/>
        <v>갓띵작</v>
      </c>
      <c r="H5052" t="str">
        <f t="shared" si="692"/>
        <v>스토리위즈</v>
      </c>
      <c r="I5052" t="str">
        <f t="shared" si="693"/>
        <v>신들의 알바나라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/>
      <c r="AQ5052">
        <v>0</v>
      </c>
      <c r="AR5052">
        <v>0</v>
      </c>
      <c r="AT5052">
        <v>0</v>
      </c>
      <c r="AU5052">
        <v>0</v>
      </c>
      <c r="AW5052">
        <v>0</v>
      </c>
      <c r="AX5052">
        <v>0</v>
      </c>
      <c r="AY5052">
        <v>0</v>
      </c>
      <c r="BC5052" t="str">
        <f t="shared" si="694"/>
        <v>9791137603950</v>
      </c>
      <c r="BE5052" t="str">
        <f t="shared" si="695"/>
        <v>판타지 웹소설 &gt; 퓨전 판타지</v>
      </c>
    </row>
    <row r="5053" spans="1:57" x14ac:dyDescent="0.3">
      <c r="A5053">
        <v>2313017252</v>
      </c>
      <c r="B5053">
        <v>2313017266</v>
      </c>
      <c r="C5053" t="str">
        <f>T("신들의 알바나라 15화")</f>
        <v>신들의 알바나라 15화</v>
      </c>
      <c r="D5053" t="str">
        <f>T("15")</f>
        <v>15</v>
      </c>
      <c r="E5053" t="str">
        <f t="shared" si="691"/>
        <v>갓띵작</v>
      </c>
      <c r="H5053" t="str">
        <f t="shared" si="692"/>
        <v>스토리위즈</v>
      </c>
      <c r="I5053" t="str">
        <f t="shared" si="693"/>
        <v>신들의 알바나라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/>
      <c r="AQ5053">
        <v>0</v>
      </c>
      <c r="AR5053">
        <v>0</v>
      </c>
      <c r="AT5053">
        <v>0</v>
      </c>
      <c r="AU5053">
        <v>0</v>
      </c>
      <c r="AW5053">
        <v>0</v>
      </c>
      <c r="AX5053">
        <v>0</v>
      </c>
      <c r="AY5053">
        <v>0</v>
      </c>
      <c r="BC5053" t="str">
        <f t="shared" si="694"/>
        <v>9791137603950</v>
      </c>
      <c r="BE5053" t="str">
        <f t="shared" si="695"/>
        <v>판타지 웹소설 &gt; 퓨전 판타지</v>
      </c>
    </row>
    <row r="5054" spans="1:57" x14ac:dyDescent="0.3">
      <c r="A5054">
        <v>2313017252</v>
      </c>
      <c r="B5054">
        <v>2313017267</v>
      </c>
      <c r="C5054" t="str">
        <f>T("신들의 알바나라 16화")</f>
        <v>신들의 알바나라 16화</v>
      </c>
      <c r="D5054" t="str">
        <f>T("16")</f>
        <v>16</v>
      </c>
      <c r="E5054" t="str">
        <f t="shared" si="691"/>
        <v>갓띵작</v>
      </c>
      <c r="H5054" t="str">
        <f t="shared" si="692"/>
        <v>스토리위즈</v>
      </c>
      <c r="I5054" t="str">
        <f t="shared" si="693"/>
        <v>신들의 알바나라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1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/>
      <c r="AQ5054">
        <v>0</v>
      </c>
      <c r="AR5054">
        <v>0</v>
      </c>
      <c r="AT5054">
        <v>0</v>
      </c>
      <c r="AU5054">
        <v>0</v>
      </c>
      <c r="AW5054">
        <v>0</v>
      </c>
      <c r="AX5054">
        <v>0</v>
      </c>
      <c r="AY5054">
        <v>0</v>
      </c>
      <c r="BC5054" t="str">
        <f t="shared" si="694"/>
        <v>9791137603950</v>
      </c>
      <c r="BE5054" t="str">
        <f t="shared" si="695"/>
        <v>판타지 웹소설 &gt; 퓨전 판타지</v>
      </c>
    </row>
    <row r="5055" spans="1:57" x14ac:dyDescent="0.3">
      <c r="A5055">
        <v>2313017252</v>
      </c>
      <c r="B5055">
        <v>2313017268</v>
      </c>
      <c r="C5055" t="str">
        <f>T("신들의 알바나라 17화")</f>
        <v>신들의 알바나라 17화</v>
      </c>
      <c r="D5055" t="str">
        <f>T("17")</f>
        <v>17</v>
      </c>
      <c r="E5055" t="str">
        <f t="shared" si="691"/>
        <v>갓띵작</v>
      </c>
      <c r="H5055" t="str">
        <f t="shared" si="692"/>
        <v>스토리위즈</v>
      </c>
      <c r="I5055" t="str">
        <f t="shared" si="693"/>
        <v>신들의 알바나라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/>
      <c r="AQ5055">
        <v>0</v>
      </c>
      <c r="AR5055">
        <v>0</v>
      </c>
      <c r="AT5055">
        <v>0</v>
      </c>
      <c r="AU5055">
        <v>0</v>
      </c>
      <c r="AW5055">
        <v>0</v>
      </c>
      <c r="AX5055">
        <v>0</v>
      </c>
      <c r="AY5055">
        <v>0</v>
      </c>
      <c r="BC5055" t="str">
        <f t="shared" si="694"/>
        <v>9791137603950</v>
      </c>
      <c r="BE5055" t="str">
        <f t="shared" si="695"/>
        <v>판타지 웹소설 &gt; 퓨전 판타지</v>
      </c>
    </row>
    <row r="5056" spans="1:57" x14ac:dyDescent="0.3">
      <c r="A5056">
        <v>2313017252</v>
      </c>
      <c r="B5056">
        <v>2313017269</v>
      </c>
      <c r="C5056" t="str">
        <f>T("신들의 알바나라 18화")</f>
        <v>신들의 알바나라 18화</v>
      </c>
      <c r="D5056" t="str">
        <f>T("18")</f>
        <v>18</v>
      </c>
      <c r="E5056" t="str">
        <f t="shared" si="691"/>
        <v>갓띵작</v>
      </c>
      <c r="H5056" t="str">
        <f t="shared" si="692"/>
        <v>스토리위즈</v>
      </c>
      <c r="I5056" t="str">
        <f t="shared" si="693"/>
        <v>신들의 알바나라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/>
      <c r="AQ5056">
        <v>0</v>
      </c>
      <c r="AR5056">
        <v>0</v>
      </c>
      <c r="AT5056">
        <v>0</v>
      </c>
      <c r="AU5056">
        <v>0</v>
      </c>
      <c r="AW5056">
        <v>0</v>
      </c>
      <c r="AX5056">
        <v>0</v>
      </c>
      <c r="AY5056">
        <v>0</v>
      </c>
      <c r="BC5056" t="str">
        <f t="shared" si="694"/>
        <v>9791137603950</v>
      </c>
      <c r="BE5056" t="str">
        <f t="shared" si="695"/>
        <v>판타지 웹소설 &gt; 퓨전 판타지</v>
      </c>
    </row>
    <row r="5057" spans="1:57" x14ac:dyDescent="0.3">
      <c r="A5057">
        <v>2313017252</v>
      </c>
      <c r="B5057">
        <v>2313017270</v>
      </c>
      <c r="C5057" t="str">
        <f>T("신들의 알바나라 19화")</f>
        <v>신들의 알바나라 19화</v>
      </c>
      <c r="D5057" t="str">
        <f>T("19")</f>
        <v>19</v>
      </c>
      <c r="E5057" t="str">
        <f t="shared" si="691"/>
        <v>갓띵작</v>
      </c>
      <c r="H5057" t="str">
        <f t="shared" si="692"/>
        <v>스토리위즈</v>
      </c>
      <c r="I5057" t="str">
        <f t="shared" si="693"/>
        <v>신들의 알바나라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/>
      <c r="AQ5057">
        <v>0</v>
      </c>
      <c r="AR5057">
        <v>0</v>
      </c>
      <c r="AT5057">
        <v>0</v>
      </c>
      <c r="AU5057">
        <v>0</v>
      </c>
      <c r="AW5057">
        <v>0</v>
      </c>
      <c r="AX5057">
        <v>0</v>
      </c>
      <c r="AY5057">
        <v>0</v>
      </c>
      <c r="BC5057" t="str">
        <f t="shared" si="694"/>
        <v>9791137603950</v>
      </c>
      <c r="BE5057" t="str">
        <f t="shared" si="695"/>
        <v>판타지 웹소설 &gt; 퓨전 판타지</v>
      </c>
    </row>
    <row r="5058" spans="1:57" x14ac:dyDescent="0.3">
      <c r="A5058">
        <v>2313017252</v>
      </c>
      <c r="B5058">
        <v>2313017271</v>
      </c>
      <c r="C5058" t="str">
        <f>T("신들의 알바나라 20화")</f>
        <v>신들의 알바나라 20화</v>
      </c>
      <c r="D5058" t="str">
        <f>T("20")</f>
        <v>20</v>
      </c>
      <c r="E5058" t="str">
        <f t="shared" si="691"/>
        <v>갓띵작</v>
      </c>
      <c r="H5058" t="str">
        <f t="shared" si="692"/>
        <v>스토리위즈</v>
      </c>
      <c r="I5058" t="str">
        <f t="shared" si="693"/>
        <v>신들의 알바나라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/>
      <c r="AQ5058">
        <v>0</v>
      </c>
      <c r="AR5058">
        <v>0</v>
      </c>
      <c r="AT5058">
        <v>0</v>
      </c>
      <c r="AU5058">
        <v>0</v>
      </c>
      <c r="AW5058">
        <v>0</v>
      </c>
      <c r="AX5058">
        <v>0</v>
      </c>
      <c r="AY5058">
        <v>0</v>
      </c>
      <c r="BC5058" t="str">
        <f t="shared" si="694"/>
        <v>9791137603950</v>
      </c>
      <c r="BE5058" t="str">
        <f t="shared" si="695"/>
        <v>판타지 웹소설 &gt; 퓨전 판타지</v>
      </c>
    </row>
    <row r="5059" spans="1:57" x14ac:dyDescent="0.3">
      <c r="A5059">
        <v>2313017252</v>
      </c>
      <c r="B5059">
        <v>2313017272</v>
      </c>
      <c r="C5059" t="str">
        <f>T("신들의 알바나라 21화")</f>
        <v>신들의 알바나라 21화</v>
      </c>
      <c r="D5059" t="str">
        <f>T("21")</f>
        <v>21</v>
      </c>
      <c r="E5059" t="str">
        <f t="shared" si="691"/>
        <v>갓띵작</v>
      </c>
      <c r="H5059" t="str">
        <f t="shared" si="692"/>
        <v>스토리위즈</v>
      </c>
      <c r="I5059" t="str">
        <f t="shared" si="693"/>
        <v>신들의 알바나라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1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/>
      <c r="AQ5059">
        <v>0</v>
      </c>
      <c r="AR5059">
        <v>0</v>
      </c>
      <c r="AT5059">
        <v>0</v>
      </c>
      <c r="AU5059">
        <v>0</v>
      </c>
      <c r="AW5059">
        <v>0</v>
      </c>
      <c r="AX5059">
        <v>0</v>
      </c>
      <c r="AY5059">
        <v>0</v>
      </c>
      <c r="BC5059" t="str">
        <f t="shared" si="694"/>
        <v>9791137603950</v>
      </c>
      <c r="BE5059" t="str">
        <f t="shared" si="695"/>
        <v>판타지 웹소설 &gt; 퓨전 판타지</v>
      </c>
    </row>
    <row r="5060" spans="1:57" x14ac:dyDescent="0.3">
      <c r="A5060">
        <v>2313017252</v>
      </c>
      <c r="B5060">
        <v>2313017273</v>
      </c>
      <c r="C5060" t="str">
        <f>T("신들의 알바나라 22화")</f>
        <v>신들의 알바나라 22화</v>
      </c>
      <c r="D5060" t="str">
        <f>T("22")</f>
        <v>22</v>
      </c>
      <c r="E5060" t="str">
        <f t="shared" si="691"/>
        <v>갓띵작</v>
      </c>
      <c r="H5060" t="str">
        <f t="shared" si="692"/>
        <v>스토리위즈</v>
      </c>
      <c r="I5060" t="str">
        <f t="shared" si="693"/>
        <v>신들의 알바나라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/>
      <c r="AQ5060">
        <v>0</v>
      </c>
      <c r="AR5060">
        <v>0</v>
      </c>
      <c r="AT5060">
        <v>0</v>
      </c>
      <c r="AU5060">
        <v>0</v>
      </c>
      <c r="AW5060">
        <v>0</v>
      </c>
      <c r="AX5060">
        <v>0</v>
      </c>
      <c r="AY5060">
        <v>0</v>
      </c>
      <c r="BC5060" t="str">
        <f t="shared" si="694"/>
        <v>9791137603950</v>
      </c>
      <c r="BE5060" t="str">
        <f t="shared" si="695"/>
        <v>판타지 웹소설 &gt; 퓨전 판타지</v>
      </c>
    </row>
    <row r="5061" spans="1:57" x14ac:dyDescent="0.3">
      <c r="A5061">
        <v>2313017252</v>
      </c>
      <c r="B5061">
        <v>2313017274</v>
      </c>
      <c r="C5061" t="str">
        <f>T("신들의 알바나라 23화")</f>
        <v>신들의 알바나라 23화</v>
      </c>
      <c r="D5061" t="str">
        <f>T("23")</f>
        <v>23</v>
      </c>
      <c r="E5061" t="str">
        <f t="shared" si="691"/>
        <v>갓띵작</v>
      </c>
      <c r="H5061" t="str">
        <f t="shared" si="692"/>
        <v>스토리위즈</v>
      </c>
      <c r="I5061" t="str">
        <f t="shared" si="693"/>
        <v>신들의 알바나라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/>
      <c r="AQ5061">
        <v>0</v>
      </c>
      <c r="AR5061">
        <v>0</v>
      </c>
      <c r="AT5061">
        <v>0</v>
      </c>
      <c r="AU5061">
        <v>0</v>
      </c>
      <c r="AW5061">
        <v>0</v>
      </c>
      <c r="AX5061">
        <v>0</v>
      </c>
      <c r="AY5061">
        <v>0</v>
      </c>
      <c r="BC5061" t="str">
        <f t="shared" si="694"/>
        <v>9791137603950</v>
      </c>
      <c r="BE5061" t="str">
        <f t="shared" si="695"/>
        <v>판타지 웹소설 &gt; 퓨전 판타지</v>
      </c>
    </row>
    <row r="5062" spans="1:57" x14ac:dyDescent="0.3">
      <c r="A5062">
        <v>2313017252</v>
      </c>
      <c r="B5062">
        <v>2313017275</v>
      </c>
      <c r="C5062" t="str">
        <f>T("신들의 알바나라 24화")</f>
        <v>신들의 알바나라 24화</v>
      </c>
      <c r="D5062" t="str">
        <f>T("24")</f>
        <v>24</v>
      </c>
      <c r="E5062" t="str">
        <f t="shared" si="691"/>
        <v>갓띵작</v>
      </c>
      <c r="H5062" t="str">
        <f t="shared" si="692"/>
        <v>스토리위즈</v>
      </c>
      <c r="I5062" t="str">
        <f t="shared" si="693"/>
        <v>신들의 알바나라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1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/>
      <c r="AQ5062">
        <v>0</v>
      </c>
      <c r="AR5062">
        <v>0</v>
      </c>
      <c r="AT5062">
        <v>0</v>
      </c>
      <c r="AU5062">
        <v>0</v>
      </c>
      <c r="AW5062">
        <v>0</v>
      </c>
      <c r="AX5062">
        <v>0</v>
      </c>
      <c r="AY5062">
        <v>0</v>
      </c>
      <c r="BC5062" t="str">
        <f t="shared" si="694"/>
        <v>9791137603950</v>
      </c>
      <c r="BE5062" t="str">
        <f t="shared" si="695"/>
        <v>판타지 웹소설 &gt; 퓨전 판타지</v>
      </c>
    </row>
    <row r="5063" spans="1:57" x14ac:dyDescent="0.3">
      <c r="A5063">
        <v>2313017252</v>
      </c>
      <c r="B5063">
        <v>2313017276</v>
      </c>
      <c r="C5063" t="str">
        <f>T("신들의 알바나라 25화")</f>
        <v>신들의 알바나라 25화</v>
      </c>
      <c r="D5063" t="str">
        <f>T("25")</f>
        <v>25</v>
      </c>
      <c r="E5063" t="str">
        <f t="shared" si="691"/>
        <v>갓띵작</v>
      </c>
      <c r="H5063" t="str">
        <f t="shared" si="692"/>
        <v>스토리위즈</v>
      </c>
      <c r="I5063" t="str">
        <f t="shared" si="693"/>
        <v>신들의 알바나라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/>
      <c r="AQ5063">
        <v>0</v>
      </c>
      <c r="AR5063">
        <v>0</v>
      </c>
      <c r="AT5063">
        <v>0</v>
      </c>
      <c r="AU5063">
        <v>0</v>
      </c>
      <c r="AW5063">
        <v>0</v>
      </c>
      <c r="AX5063">
        <v>0</v>
      </c>
      <c r="AY5063">
        <v>0</v>
      </c>
      <c r="BC5063" t="str">
        <f t="shared" si="694"/>
        <v>9791137603950</v>
      </c>
      <c r="BE5063" t="str">
        <f t="shared" si="695"/>
        <v>판타지 웹소설 &gt; 퓨전 판타지</v>
      </c>
    </row>
    <row r="5064" spans="1:57" x14ac:dyDescent="0.3">
      <c r="A5064">
        <v>2313017453</v>
      </c>
      <c r="B5064">
        <v>2313017453</v>
      </c>
      <c r="C5064" t="str">
        <f>T("[e북]칵테일로 레벨업 1권")</f>
        <v>[e북]칵테일로 레벨업 1권</v>
      </c>
      <c r="D5064" t="str">
        <f>T("1")</f>
        <v>1</v>
      </c>
      <c r="E5064" t="str">
        <f>T("서강후")</f>
        <v>서강후</v>
      </c>
      <c r="H5064" t="str">
        <f t="shared" si="692"/>
        <v>스토리위즈</v>
      </c>
      <c r="I5064" t="str">
        <f>T("[e북]칵테일로 레벨업")</f>
        <v>[e북]칵테일로 레벨업</v>
      </c>
      <c r="J5064">
        <v>0</v>
      </c>
      <c r="K5064">
        <v>0</v>
      </c>
      <c r="L5064">
        <v>0</v>
      </c>
      <c r="M5064">
        <v>4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4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/>
      <c r="AQ5064">
        <v>0</v>
      </c>
      <c r="AR5064">
        <v>0</v>
      </c>
      <c r="AT5064">
        <v>0</v>
      </c>
      <c r="AU5064">
        <v>0</v>
      </c>
      <c r="AW5064">
        <v>0</v>
      </c>
      <c r="AX5064">
        <v>0</v>
      </c>
      <c r="AY5064">
        <v>0</v>
      </c>
      <c r="BC5064" t="str">
        <f>T("9791137604155")</f>
        <v>9791137604155</v>
      </c>
      <c r="BE5064" t="str">
        <f>T("판타지 e북 &gt; 현대 판타지")</f>
        <v>판타지 e북 &gt; 현대 판타지</v>
      </c>
    </row>
    <row r="5065" spans="1:57" x14ac:dyDescent="0.3">
      <c r="A5065">
        <v>2313017648</v>
      </c>
      <c r="B5065">
        <v>2313017648</v>
      </c>
      <c r="C5065" t="str">
        <f>T("[e북]올마스터가 된 비전서고 1권")</f>
        <v>[e북]올마스터가 된 비전서고 1권</v>
      </c>
      <c r="D5065" t="str">
        <f>T("1")</f>
        <v>1</v>
      </c>
      <c r="E5065" t="str">
        <f>T("글면증")</f>
        <v>글면증</v>
      </c>
      <c r="H5065" t="str">
        <f t="shared" si="692"/>
        <v>스토리위즈</v>
      </c>
      <c r="I5065" t="str">
        <f>T("[e북]올마스터가 된 비전서고")</f>
        <v>[e북]올마스터가 된 비전서고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1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/>
      <c r="AQ5065">
        <v>0</v>
      </c>
      <c r="AR5065">
        <v>0</v>
      </c>
      <c r="AT5065">
        <v>0</v>
      </c>
      <c r="AU5065">
        <v>0</v>
      </c>
      <c r="AW5065">
        <v>0</v>
      </c>
      <c r="AX5065">
        <v>0</v>
      </c>
      <c r="AY5065">
        <v>0</v>
      </c>
      <c r="BA5065" t="str">
        <f>T("0000000000000")</f>
        <v>0000000000000</v>
      </c>
      <c r="BC5065" t="str">
        <f>T("9791137604308")</f>
        <v>9791137604308</v>
      </c>
      <c r="BE5065" t="str">
        <f>T("판타지 e북 &gt; 퓨전 판타지")</f>
        <v>판타지 e북 &gt; 퓨전 판타지</v>
      </c>
    </row>
    <row r="5066" spans="1:57" x14ac:dyDescent="0.3">
      <c r="A5066">
        <v>2313017657</v>
      </c>
      <c r="B5066">
        <v>2313017657</v>
      </c>
      <c r="C5066" t="str">
        <f>T("회귀자의 슬기로운 복수생활 1화")</f>
        <v>회귀자의 슬기로운 복수생활 1화</v>
      </c>
      <c r="D5066" t="str">
        <f>T("1")</f>
        <v>1</v>
      </c>
      <c r="E5066" t="str">
        <f t="shared" ref="E5066:E5090" si="696">T("구공")</f>
        <v>구공</v>
      </c>
      <c r="H5066" t="str">
        <f t="shared" si="692"/>
        <v>스토리위즈</v>
      </c>
      <c r="I5066" t="str">
        <f t="shared" ref="I5066:I5090" si="697">T("회귀자의 슬기로운 복수생활")</f>
        <v>회귀자의 슬기로운 복수생활</v>
      </c>
      <c r="J5066">
        <v>0</v>
      </c>
      <c r="K5066">
        <v>0</v>
      </c>
      <c r="L5066">
        <v>0</v>
      </c>
      <c r="M5066">
        <v>4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4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/>
      <c r="AQ5066">
        <v>0</v>
      </c>
      <c r="AR5066">
        <v>0</v>
      </c>
      <c r="AT5066">
        <v>0</v>
      </c>
      <c r="AU5066">
        <v>0</v>
      </c>
      <c r="AW5066">
        <v>0</v>
      </c>
      <c r="AX5066">
        <v>0</v>
      </c>
      <c r="AY5066">
        <v>0</v>
      </c>
      <c r="BC5066" t="str">
        <f t="shared" ref="BC5066:BC5090" si="698">T("9791137601710")</f>
        <v>9791137601710</v>
      </c>
      <c r="BE5066" t="str">
        <f t="shared" ref="BE5066:BE5090" si="699">T("판타지 웹소설 &gt; 퓨전 판타지")</f>
        <v>판타지 웹소설 &gt; 퓨전 판타지</v>
      </c>
    </row>
    <row r="5067" spans="1:57" x14ac:dyDescent="0.3">
      <c r="A5067">
        <v>2313017657</v>
      </c>
      <c r="B5067">
        <v>2313017658</v>
      </c>
      <c r="C5067" t="str">
        <f>T("회귀자의 슬기로운 복수생활 2화")</f>
        <v>회귀자의 슬기로운 복수생활 2화</v>
      </c>
      <c r="D5067" t="str">
        <f>T("2")</f>
        <v>2</v>
      </c>
      <c r="E5067" t="str">
        <f t="shared" si="696"/>
        <v>구공</v>
      </c>
      <c r="H5067" t="str">
        <f t="shared" si="692"/>
        <v>스토리위즈</v>
      </c>
      <c r="I5067" t="str">
        <f t="shared" si="697"/>
        <v>회귀자의 슬기로운 복수생활</v>
      </c>
      <c r="J5067">
        <v>0</v>
      </c>
      <c r="K5067">
        <v>0</v>
      </c>
      <c r="L5067">
        <v>0</v>
      </c>
      <c r="M5067">
        <v>4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4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/>
      <c r="AQ5067">
        <v>0</v>
      </c>
      <c r="AR5067">
        <v>0</v>
      </c>
      <c r="AT5067">
        <v>0</v>
      </c>
      <c r="AU5067">
        <v>0</v>
      </c>
      <c r="AW5067">
        <v>0</v>
      </c>
      <c r="AX5067">
        <v>0</v>
      </c>
      <c r="AY5067">
        <v>0</v>
      </c>
      <c r="BC5067" t="str">
        <f t="shared" si="698"/>
        <v>9791137601710</v>
      </c>
      <c r="BE5067" t="str">
        <f t="shared" si="699"/>
        <v>판타지 웹소설 &gt; 퓨전 판타지</v>
      </c>
    </row>
    <row r="5068" spans="1:57" x14ac:dyDescent="0.3">
      <c r="A5068">
        <v>2313017657</v>
      </c>
      <c r="B5068">
        <v>2313017659</v>
      </c>
      <c r="C5068" t="str">
        <f>T("회귀자의 슬기로운 복수생활 3화")</f>
        <v>회귀자의 슬기로운 복수생활 3화</v>
      </c>
      <c r="D5068" t="str">
        <f>T("3")</f>
        <v>3</v>
      </c>
      <c r="E5068" t="str">
        <f t="shared" si="696"/>
        <v>구공</v>
      </c>
      <c r="H5068" t="str">
        <f t="shared" si="692"/>
        <v>스토리위즈</v>
      </c>
      <c r="I5068" t="str">
        <f t="shared" si="697"/>
        <v>회귀자의 슬기로운 복수생활</v>
      </c>
      <c r="J5068">
        <v>0</v>
      </c>
      <c r="K5068">
        <v>0</v>
      </c>
      <c r="L5068">
        <v>0</v>
      </c>
      <c r="M5068">
        <v>3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3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/>
      <c r="AQ5068">
        <v>0</v>
      </c>
      <c r="AR5068">
        <v>0</v>
      </c>
      <c r="AT5068">
        <v>0</v>
      </c>
      <c r="AU5068">
        <v>0</v>
      </c>
      <c r="AW5068">
        <v>0</v>
      </c>
      <c r="AX5068">
        <v>0</v>
      </c>
      <c r="AY5068">
        <v>0</v>
      </c>
      <c r="BC5068" t="str">
        <f t="shared" si="698"/>
        <v>9791137601710</v>
      </c>
      <c r="BE5068" t="str">
        <f t="shared" si="699"/>
        <v>판타지 웹소설 &gt; 퓨전 판타지</v>
      </c>
    </row>
    <row r="5069" spans="1:57" x14ac:dyDescent="0.3">
      <c r="A5069">
        <v>2313017657</v>
      </c>
      <c r="B5069">
        <v>2313017660</v>
      </c>
      <c r="C5069" t="str">
        <f>T("회귀자의 슬기로운 복수생활 4화")</f>
        <v>회귀자의 슬기로운 복수생활 4화</v>
      </c>
      <c r="D5069" t="str">
        <f>T("4")</f>
        <v>4</v>
      </c>
      <c r="E5069" t="str">
        <f t="shared" si="696"/>
        <v>구공</v>
      </c>
      <c r="H5069" t="str">
        <f t="shared" si="692"/>
        <v>스토리위즈</v>
      </c>
      <c r="I5069" t="str">
        <f t="shared" si="697"/>
        <v>회귀자의 슬기로운 복수생활</v>
      </c>
      <c r="J5069">
        <v>0</v>
      </c>
      <c r="K5069">
        <v>0</v>
      </c>
      <c r="L5069">
        <v>0</v>
      </c>
      <c r="M5069">
        <v>3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3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/>
      <c r="AQ5069">
        <v>0</v>
      </c>
      <c r="AR5069">
        <v>0</v>
      </c>
      <c r="AT5069">
        <v>0</v>
      </c>
      <c r="AU5069">
        <v>0</v>
      </c>
      <c r="AW5069">
        <v>0</v>
      </c>
      <c r="AX5069">
        <v>0</v>
      </c>
      <c r="AY5069">
        <v>0</v>
      </c>
      <c r="BC5069" t="str">
        <f t="shared" si="698"/>
        <v>9791137601710</v>
      </c>
      <c r="BE5069" t="str">
        <f t="shared" si="699"/>
        <v>판타지 웹소설 &gt; 퓨전 판타지</v>
      </c>
    </row>
    <row r="5070" spans="1:57" x14ac:dyDescent="0.3">
      <c r="A5070">
        <v>2313017657</v>
      </c>
      <c r="B5070">
        <v>2313017661</v>
      </c>
      <c r="C5070" t="str">
        <f>T("회귀자의 슬기로운 복수생활 5화")</f>
        <v>회귀자의 슬기로운 복수생활 5화</v>
      </c>
      <c r="D5070" t="str">
        <f>T("5")</f>
        <v>5</v>
      </c>
      <c r="E5070" t="str">
        <f t="shared" si="696"/>
        <v>구공</v>
      </c>
      <c r="H5070" t="str">
        <f t="shared" si="692"/>
        <v>스토리위즈</v>
      </c>
      <c r="I5070" t="str">
        <f t="shared" si="697"/>
        <v>회귀자의 슬기로운 복수생활</v>
      </c>
      <c r="J5070">
        <v>0</v>
      </c>
      <c r="K5070">
        <v>0</v>
      </c>
      <c r="L5070">
        <v>0</v>
      </c>
      <c r="M5070">
        <v>3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3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/>
      <c r="AQ5070">
        <v>0</v>
      </c>
      <c r="AR5070">
        <v>0</v>
      </c>
      <c r="AT5070">
        <v>0</v>
      </c>
      <c r="AU5070">
        <v>0</v>
      </c>
      <c r="AW5070">
        <v>0</v>
      </c>
      <c r="AX5070">
        <v>0</v>
      </c>
      <c r="AY5070">
        <v>0</v>
      </c>
      <c r="BC5070" t="str">
        <f t="shared" si="698"/>
        <v>9791137601710</v>
      </c>
      <c r="BE5070" t="str">
        <f t="shared" si="699"/>
        <v>판타지 웹소설 &gt; 퓨전 판타지</v>
      </c>
    </row>
    <row r="5071" spans="1:57" x14ac:dyDescent="0.3">
      <c r="A5071">
        <v>2313017657</v>
      </c>
      <c r="B5071">
        <v>2313017662</v>
      </c>
      <c r="C5071" t="str">
        <f>T("회귀자의 슬기로운 복수생활 6화")</f>
        <v>회귀자의 슬기로운 복수생활 6화</v>
      </c>
      <c r="D5071" t="str">
        <f>T("6")</f>
        <v>6</v>
      </c>
      <c r="E5071" t="str">
        <f t="shared" si="696"/>
        <v>구공</v>
      </c>
      <c r="H5071" t="str">
        <f t="shared" si="692"/>
        <v>스토리위즈</v>
      </c>
      <c r="I5071" t="str">
        <f t="shared" si="697"/>
        <v>회귀자의 슬기로운 복수생활</v>
      </c>
      <c r="J5071">
        <v>0</v>
      </c>
      <c r="K5071">
        <v>0</v>
      </c>
      <c r="L5071">
        <v>0</v>
      </c>
      <c r="M5071">
        <v>3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3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/>
      <c r="AQ5071">
        <v>0</v>
      </c>
      <c r="AR5071">
        <v>0</v>
      </c>
      <c r="AT5071">
        <v>0</v>
      </c>
      <c r="AU5071">
        <v>0</v>
      </c>
      <c r="AW5071">
        <v>0</v>
      </c>
      <c r="AX5071">
        <v>0</v>
      </c>
      <c r="AY5071">
        <v>0</v>
      </c>
      <c r="BC5071" t="str">
        <f t="shared" si="698"/>
        <v>9791137601710</v>
      </c>
      <c r="BE5071" t="str">
        <f t="shared" si="699"/>
        <v>판타지 웹소설 &gt; 퓨전 판타지</v>
      </c>
    </row>
    <row r="5072" spans="1:57" x14ac:dyDescent="0.3">
      <c r="A5072">
        <v>2313017657</v>
      </c>
      <c r="B5072">
        <v>2313017663</v>
      </c>
      <c r="C5072" t="str">
        <f>T("회귀자의 슬기로운 복수생활 7화")</f>
        <v>회귀자의 슬기로운 복수생활 7화</v>
      </c>
      <c r="D5072" t="str">
        <f>T("7")</f>
        <v>7</v>
      </c>
      <c r="E5072" t="str">
        <f t="shared" si="696"/>
        <v>구공</v>
      </c>
      <c r="H5072" t="str">
        <f t="shared" si="692"/>
        <v>스토리위즈</v>
      </c>
      <c r="I5072" t="str">
        <f t="shared" si="697"/>
        <v>회귀자의 슬기로운 복수생활</v>
      </c>
      <c r="J5072">
        <v>0</v>
      </c>
      <c r="K5072">
        <v>0</v>
      </c>
      <c r="L5072">
        <v>0</v>
      </c>
      <c r="M5072">
        <v>3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3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/>
      <c r="AQ5072">
        <v>0</v>
      </c>
      <c r="AR5072">
        <v>0</v>
      </c>
      <c r="AT5072">
        <v>0</v>
      </c>
      <c r="AU5072">
        <v>0</v>
      </c>
      <c r="AW5072">
        <v>0</v>
      </c>
      <c r="AX5072">
        <v>0</v>
      </c>
      <c r="AY5072">
        <v>0</v>
      </c>
      <c r="BC5072" t="str">
        <f t="shared" si="698"/>
        <v>9791137601710</v>
      </c>
      <c r="BE5072" t="str">
        <f t="shared" si="699"/>
        <v>판타지 웹소설 &gt; 퓨전 판타지</v>
      </c>
    </row>
    <row r="5073" spans="1:57" x14ac:dyDescent="0.3">
      <c r="A5073">
        <v>2313017657</v>
      </c>
      <c r="B5073">
        <v>2313017664</v>
      </c>
      <c r="C5073" t="str">
        <f>T("회귀자의 슬기로운 복수생활 8화")</f>
        <v>회귀자의 슬기로운 복수생활 8화</v>
      </c>
      <c r="D5073" t="str">
        <f>T("8")</f>
        <v>8</v>
      </c>
      <c r="E5073" t="str">
        <f t="shared" si="696"/>
        <v>구공</v>
      </c>
      <c r="H5073" t="str">
        <f t="shared" si="692"/>
        <v>스토리위즈</v>
      </c>
      <c r="I5073" t="str">
        <f t="shared" si="697"/>
        <v>회귀자의 슬기로운 복수생활</v>
      </c>
      <c r="J5073">
        <v>0</v>
      </c>
      <c r="K5073">
        <v>0</v>
      </c>
      <c r="L5073">
        <v>0</v>
      </c>
      <c r="M5073">
        <v>3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3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/>
      <c r="AQ5073">
        <v>0</v>
      </c>
      <c r="AR5073">
        <v>0</v>
      </c>
      <c r="AT5073">
        <v>0</v>
      </c>
      <c r="AU5073">
        <v>0</v>
      </c>
      <c r="AW5073">
        <v>0</v>
      </c>
      <c r="AX5073">
        <v>0</v>
      </c>
      <c r="AY5073">
        <v>0</v>
      </c>
      <c r="BC5073" t="str">
        <f t="shared" si="698"/>
        <v>9791137601710</v>
      </c>
      <c r="BE5073" t="str">
        <f t="shared" si="699"/>
        <v>판타지 웹소설 &gt; 퓨전 판타지</v>
      </c>
    </row>
    <row r="5074" spans="1:57" x14ac:dyDescent="0.3">
      <c r="A5074">
        <v>2313017657</v>
      </c>
      <c r="B5074">
        <v>2313017665</v>
      </c>
      <c r="C5074" t="str">
        <f>T("회귀자의 슬기로운 복수생활 9화")</f>
        <v>회귀자의 슬기로운 복수생활 9화</v>
      </c>
      <c r="D5074" t="str">
        <f>T("9")</f>
        <v>9</v>
      </c>
      <c r="E5074" t="str">
        <f t="shared" si="696"/>
        <v>구공</v>
      </c>
      <c r="H5074" t="str">
        <f t="shared" si="692"/>
        <v>스토리위즈</v>
      </c>
      <c r="I5074" t="str">
        <f t="shared" si="697"/>
        <v>회귀자의 슬기로운 복수생활</v>
      </c>
      <c r="J5074">
        <v>0</v>
      </c>
      <c r="K5074">
        <v>0</v>
      </c>
      <c r="L5074">
        <v>0</v>
      </c>
      <c r="M5074">
        <v>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2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/>
      <c r="AQ5074">
        <v>0</v>
      </c>
      <c r="AR5074">
        <v>0</v>
      </c>
      <c r="AT5074">
        <v>0</v>
      </c>
      <c r="AU5074">
        <v>0</v>
      </c>
      <c r="AW5074">
        <v>0</v>
      </c>
      <c r="AX5074">
        <v>0</v>
      </c>
      <c r="AY5074">
        <v>0</v>
      </c>
      <c r="BC5074" t="str">
        <f t="shared" si="698"/>
        <v>9791137601710</v>
      </c>
      <c r="BE5074" t="str">
        <f t="shared" si="699"/>
        <v>판타지 웹소설 &gt; 퓨전 판타지</v>
      </c>
    </row>
    <row r="5075" spans="1:57" x14ac:dyDescent="0.3">
      <c r="A5075">
        <v>2313017657</v>
      </c>
      <c r="B5075">
        <v>2313017666</v>
      </c>
      <c r="C5075" t="str">
        <f>T("회귀자의 슬기로운 복수생활 10화")</f>
        <v>회귀자의 슬기로운 복수생활 10화</v>
      </c>
      <c r="D5075" t="str">
        <f>T("10")</f>
        <v>10</v>
      </c>
      <c r="E5075" t="str">
        <f t="shared" si="696"/>
        <v>구공</v>
      </c>
      <c r="H5075" t="str">
        <f t="shared" si="692"/>
        <v>스토리위즈</v>
      </c>
      <c r="I5075" t="str">
        <f t="shared" si="697"/>
        <v>회귀자의 슬기로운 복수생활</v>
      </c>
      <c r="J5075">
        <v>0</v>
      </c>
      <c r="K5075">
        <v>0</v>
      </c>
      <c r="L5075">
        <v>0</v>
      </c>
      <c r="M5075">
        <v>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2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/>
      <c r="AQ5075">
        <v>0</v>
      </c>
      <c r="AR5075">
        <v>0</v>
      </c>
      <c r="AT5075">
        <v>0</v>
      </c>
      <c r="AU5075">
        <v>0</v>
      </c>
      <c r="AW5075">
        <v>0</v>
      </c>
      <c r="AX5075">
        <v>0</v>
      </c>
      <c r="AY5075">
        <v>0</v>
      </c>
      <c r="BC5075" t="str">
        <f t="shared" si="698"/>
        <v>9791137601710</v>
      </c>
      <c r="BE5075" t="str">
        <f t="shared" si="699"/>
        <v>판타지 웹소설 &gt; 퓨전 판타지</v>
      </c>
    </row>
    <row r="5076" spans="1:57" x14ac:dyDescent="0.3">
      <c r="A5076">
        <v>2313017657</v>
      </c>
      <c r="B5076">
        <v>2313017667</v>
      </c>
      <c r="C5076" t="str">
        <f>T("회귀자의 슬기로운 복수생활 11화")</f>
        <v>회귀자의 슬기로운 복수생활 11화</v>
      </c>
      <c r="D5076" t="str">
        <f>T("11")</f>
        <v>11</v>
      </c>
      <c r="E5076" t="str">
        <f t="shared" si="696"/>
        <v>구공</v>
      </c>
      <c r="H5076" t="str">
        <f t="shared" si="692"/>
        <v>스토리위즈</v>
      </c>
      <c r="I5076" t="str">
        <f t="shared" si="697"/>
        <v>회귀자의 슬기로운 복수생활</v>
      </c>
      <c r="J5076">
        <v>0</v>
      </c>
      <c r="K5076">
        <v>0</v>
      </c>
      <c r="L5076">
        <v>0</v>
      </c>
      <c r="M5076">
        <v>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2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/>
      <c r="AQ5076">
        <v>0</v>
      </c>
      <c r="AR5076">
        <v>0</v>
      </c>
      <c r="AT5076">
        <v>0</v>
      </c>
      <c r="AU5076">
        <v>0</v>
      </c>
      <c r="AW5076">
        <v>0</v>
      </c>
      <c r="AX5076">
        <v>0</v>
      </c>
      <c r="AY5076">
        <v>0</v>
      </c>
      <c r="BC5076" t="str">
        <f t="shared" si="698"/>
        <v>9791137601710</v>
      </c>
      <c r="BE5076" t="str">
        <f t="shared" si="699"/>
        <v>판타지 웹소설 &gt; 퓨전 판타지</v>
      </c>
    </row>
    <row r="5077" spans="1:57" x14ac:dyDescent="0.3">
      <c r="A5077">
        <v>2313017657</v>
      </c>
      <c r="B5077">
        <v>2313017668</v>
      </c>
      <c r="C5077" t="str">
        <f>T("회귀자의 슬기로운 복수생활 12화")</f>
        <v>회귀자의 슬기로운 복수생활 12화</v>
      </c>
      <c r="D5077" t="str">
        <f>T("12")</f>
        <v>12</v>
      </c>
      <c r="E5077" t="str">
        <f t="shared" si="696"/>
        <v>구공</v>
      </c>
      <c r="H5077" t="str">
        <f t="shared" si="692"/>
        <v>스토리위즈</v>
      </c>
      <c r="I5077" t="str">
        <f t="shared" si="697"/>
        <v>회귀자의 슬기로운 복수생활</v>
      </c>
      <c r="J5077">
        <v>0</v>
      </c>
      <c r="K5077">
        <v>0</v>
      </c>
      <c r="L5077">
        <v>0</v>
      </c>
      <c r="M5077">
        <v>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2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/>
      <c r="AQ5077">
        <v>0</v>
      </c>
      <c r="AR5077">
        <v>0</v>
      </c>
      <c r="AT5077">
        <v>0</v>
      </c>
      <c r="AU5077">
        <v>0</v>
      </c>
      <c r="AW5077">
        <v>0</v>
      </c>
      <c r="AX5077">
        <v>0</v>
      </c>
      <c r="AY5077">
        <v>0</v>
      </c>
      <c r="BC5077" t="str">
        <f t="shared" si="698"/>
        <v>9791137601710</v>
      </c>
      <c r="BE5077" t="str">
        <f t="shared" si="699"/>
        <v>판타지 웹소설 &gt; 퓨전 판타지</v>
      </c>
    </row>
    <row r="5078" spans="1:57" x14ac:dyDescent="0.3">
      <c r="A5078">
        <v>2313017657</v>
      </c>
      <c r="B5078">
        <v>2313017669</v>
      </c>
      <c r="C5078" t="str">
        <f>T("회귀자의 슬기로운 복수생활 13화")</f>
        <v>회귀자의 슬기로운 복수생활 13화</v>
      </c>
      <c r="D5078" t="str">
        <f>T("13")</f>
        <v>13</v>
      </c>
      <c r="E5078" t="str">
        <f t="shared" si="696"/>
        <v>구공</v>
      </c>
      <c r="H5078" t="str">
        <f t="shared" si="692"/>
        <v>스토리위즈</v>
      </c>
      <c r="I5078" t="str">
        <f t="shared" si="697"/>
        <v>회귀자의 슬기로운 복수생활</v>
      </c>
      <c r="J5078">
        <v>0</v>
      </c>
      <c r="K5078">
        <v>0</v>
      </c>
      <c r="L5078">
        <v>0</v>
      </c>
      <c r="M5078">
        <v>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2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/>
      <c r="AQ5078">
        <v>0</v>
      </c>
      <c r="AR5078">
        <v>0</v>
      </c>
      <c r="AT5078">
        <v>0</v>
      </c>
      <c r="AU5078">
        <v>0</v>
      </c>
      <c r="AW5078">
        <v>0</v>
      </c>
      <c r="AX5078">
        <v>0</v>
      </c>
      <c r="AY5078">
        <v>0</v>
      </c>
      <c r="BC5078" t="str">
        <f t="shared" si="698"/>
        <v>9791137601710</v>
      </c>
      <c r="BE5078" t="str">
        <f t="shared" si="699"/>
        <v>판타지 웹소설 &gt; 퓨전 판타지</v>
      </c>
    </row>
    <row r="5079" spans="1:57" x14ac:dyDescent="0.3">
      <c r="A5079">
        <v>2313017657</v>
      </c>
      <c r="B5079">
        <v>2313017670</v>
      </c>
      <c r="C5079" t="str">
        <f>T("회귀자의 슬기로운 복수생활 14화")</f>
        <v>회귀자의 슬기로운 복수생활 14화</v>
      </c>
      <c r="D5079" t="str">
        <f>T("14")</f>
        <v>14</v>
      </c>
      <c r="E5079" t="str">
        <f t="shared" si="696"/>
        <v>구공</v>
      </c>
      <c r="H5079" t="str">
        <f t="shared" si="692"/>
        <v>스토리위즈</v>
      </c>
      <c r="I5079" t="str">
        <f t="shared" si="697"/>
        <v>회귀자의 슬기로운 복수생활</v>
      </c>
      <c r="J5079">
        <v>0</v>
      </c>
      <c r="K5079">
        <v>0</v>
      </c>
      <c r="L5079">
        <v>0</v>
      </c>
      <c r="M5079">
        <v>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2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/>
      <c r="AQ5079">
        <v>0</v>
      </c>
      <c r="AR5079">
        <v>0</v>
      </c>
      <c r="AT5079">
        <v>0</v>
      </c>
      <c r="AU5079">
        <v>0</v>
      </c>
      <c r="AW5079">
        <v>0</v>
      </c>
      <c r="AX5079">
        <v>0</v>
      </c>
      <c r="AY5079">
        <v>0</v>
      </c>
      <c r="BC5079" t="str">
        <f t="shared" si="698"/>
        <v>9791137601710</v>
      </c>
      <c r="BE5079" t="str">
        <f t="shared" si="699"/>
        <v>판타지 웹소설 &gt; 퓨전 판타지</v>
      </c>
    </row>
    <row r="5080" spans="1:57" x14ac:dyDescent="0.3">
      <c r="A5080">
        <v>2313017657</v>
      </c>
      <c r="B5080">
        <v>2313017671</v>
      </c>
      <c r="C5080" t="str">
        <f>T("회귀자의 슬기로운 복수생활 15화")</f>
        <v>회귀자의 슬기로운 복수생활 15화</v>
      </c>
      <c r="D5080" t="str">
        <f>T("15")</f>
        <v>15</v>
      </c>
      <c r="E5080" t="str">
        <f t="shared" si="696"/>
        <v>구공</v>
      </c>
      <c r="H5080" t="str">
        <f t="shared" si="692"/>
        <v>스토리위즈</v>
      </c>
      <c r="I5080" t="str">
        <f t="shared" si="697"/>
        <v>회귀자의 슬기로운 복수생활</v>
      </c>
      <c r="J5080">
        <v>0</v>
      </c>
      <c r="K5080">
        <v>0</v>
      </c>
      <c r="L5080">
        <v>0</v>
      </c>
      <c r="M5080">
        <v>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2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/>
      <c r="AQ5080">
        <v>0</v>
      </c>
      <c r="AR5080">
        <v>0</v>
      </c>
      <c r="AT5080">
        <v>0</v>
      </c>
      <c r="AU5080">
        <v>0</v>
      </c>
      <c r="AW5080">
        <v>0</v>
      </c>
      <c r="AX5080">
        <v>0</v>
      </c>
      <c r="AY5080">
        <v>0</v>
      </c>
      <c r="BC5080" t="str">
        <f t="shared" si="698"/>
        <v>9791137601710</v>
      </c>
      <c r="BE5080" t="str">
        <f t="shared" si="699"/>
        <v>판타지 웹소설 &gt; 퓨전 판타지</v>
      </c>
    </row>
    <row r="5081" spans="1:57" x14ac:dyDescent="0.3">
      <c r="A5081">
        <v>2313017657</v>
      </c>
      <c r="B5081">
        <v>2313017672</v>
      </c>
      <c r="C5081" t="str">
        <f>T("회귀자의 슬기로운 복수생활 16화")</f>
        <v>회귀자의 슬기로운 복수생활 16화</v>
      </c>
      <c r="D5081" t="str">
        <f>T("16")</f>
        <v>16</v>
      </c>
      <c r="E5081" t="str">
        <f t="shared" si="696"/>
        <v>구공</v>
      </c>
      <c r="H5081" t="str">
        <f t="shared" si="692"/>
        <v>스토리위즈</v>
      </c>
      <c r="I5081" t="str">
        <f t="shared" si="697"/>
        <v>회귀자의 슬기로운 복수생활</v>
      </c>
      <c r="J5081">
        <v>0</v>
      </c>
      <c r="K5081">
        <v>0</v>
      </c>
      <c r="L5081">
        <v>0</v>
      </c>
      <c r="M5081">
        <v>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2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/>
      <c r="AQ5081">
        <v>0</v>
      </c>
      <c r="AR5081">
        <v>0</v>
      </c>
      <c r="AT5081">
        <v>0</v>
      </c>
      <c r="AU5081">
        <v>0</v>
      </c>
      <c r="AW5081">
        <v>0</v>
      </c>
      <c r="AX5081">
        <v>0</v>
      </c>
      <c r="AY5081">
        <v>0</v>
      </c>
      <c r="BC5081" t="str">
        <f t="shared" si="698"/>
        <v>9791137601710</v>
      </c>
      <c r="BE5081" t="str">
        <f t="shared" si="699"/>
        <v>판타지 웹소설 &gt; 퓨전 판타지</v>
      </c>
    </row>
    <row r="5082" spans="1:57" x14ac:dyDescent="0.3">
      <c r="A5082">
        <v>2313017657</v>
      </c>
      <c r="B5082">
        <v>2313017673</v>
      </c>
      <c r="C5082" t="str">
        <f>T("회귀자의 슬기로운 복수생활 17화")</f>
        <v>회귀자의 슬기로운 복수생활 17화</v>
      </c>
      <c r="D5082" t="str">
        <f>T("17")</f>
        <v>17</v>
      </c>
      <c r="E5082" t="str">
        <f t="shared" si="696"/>
        <v>구공</v>
      </c>
      <c r="H5082" t="str">
        <f t="shared" si="692"/>
        <v>스토리위즈</v>
      </c>
      <c r="I5082" t="str">
        <f t="shared" si="697"/>
        <v>회귀자의 슬기로운 복수생활</v>
      </c>
      <c r="J5082">
        <v>0</v>
      </c>
      <c r="K5082">
        <v>0</v>
      </c>
      <c r="L5082">
        <v>0</v>
      </c>
      <c r="M5082">
        <v>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2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/>
      <c r="AQ5082">
        <v>0</v>
      </c>
      <c r="AR5082">
        <v>0</v>
      </c>
      <c r="AT5082">
        <v>0</v>
      </c>
      <c r="AU5082">
        <v>0</v>
      </c>
      <c r="AW5082">
        <v>0</v>
      </c>
      <c r="AX5082">
        <v>0</v>
      </c>
      <c r="AY5082">
        <v>0</v>
      </c>
      <c r="BC5082" t="str">
        <f t="shared" si="698"/>
        <v>9791137601710</v>
      </c>
      <c r="BE5082" t="str">
        <f t="shared" si="699"/>
        <v>판타지 웹소설 &gt; 퓨전 판타지</v>
      </c>
    </row>
    <row r="5083" spans="1:57" x14ac:dyDescent="0.3">
      <c r="A5083">
        <v>2313017657</v>
      </c>
      <c r="B5083">
        <v>2313017674</v>
      </c>
      <c r="C5083" t="str">
        <f>T("회귀자의 슬기로운 복수생활 18화")</f>
        <v>회귀자의 슬기로운 복수생활 18화</v>
      </c>
      <c r="D5083" t="str">
        <f>T("18")</f>
        <v>18</v>
      </c>
      <c r="E5083" t="str">
        <f t="shared" si="696"/>
        <v>구공</v>
      </c>
      <c r="H5083" t="str">
        <f t="shared" si="692"/>
        <v>스토리위즈</v>
      </c>
      <c r="I5083" t="str">
        <f t="shared" si="697"/>
        <v>회귀자의 슬기로운 복수생활</v>
      </c>
      <c r="J5083">
        <v>0</v>
      </c>
      <c r="K5083">
        <v>0</v>
      </c>
      <c r="L5083">
        <v>0</v>
      </c>
      <c r="M5083">
        <v>2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2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/>
      <c r="AQ5083">
        <v>0</v>
      </c>
      <c r="AR5083">
        <v>0</v>
      </c>
      <c r="AT5083">
        <v>0</v>
      </c>
      <c r="AU5083">
        <v>0</v>
      </c>
      <c r="AW5083">
        <v>0</v>
      </c>
      <c r="AX5083">
        <v>0</v>
      </c>
      <c r="AY5083">
        <v>0</v>
      </c>
      <c r="BC5083" t="str">
        <f t="shared" si="698"/>
        <v>9791137601710</v>
      </c>
      <c r="BE5083" t="str">
        <f t="shared" si="699"/>
        <v>판타지 웹소설 &gt; 퓨전 판타지</v>
      </c>
    </row>
    <row r="5084" spans="1:57" x14ac:dyDescent="0.3">
      <c r="A5084">
        <v>2313017657</v>
      </c>
      <c r="B5084">
        <v>2313017675</v>
      </c>
      <c r="C5084" t="str">
        <f>T("회귀자의 슬기로운 복수생활 19화")</f>
        <v>회귀자의 슬기로운 복수생활 19화</v>
      </c>
      <c r="D5084" t="str">
        <f>T("19")</f>
        <v>19</v>
      </c>
      <c r="E5084" t="str">
        <f t="shared" si="696"/>
        <v>구공</v>
      </c>
      <c r="H5084" t="str">
        <f t="shared" si="692"/>
        <v>스토리위즈</v>
      </c>
      <c r="I5084" t="str">
        <f t="shared" si="697"/>
        <v>회귀자의 슬기로운 복수생활</v>
      </c>
      <c r="J5084">
        <v>0</v>
      </c>
      <c r="K5084">
        <v>0</v>
      </c>
      <c r="L5084">
        <v>0</v>
      </c>
      <c r="M5084">
        <v>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2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/>
      <c r="AQ5084">
        <v>0</v>
      </c>
      <c r="AR5084">
        <v>0</v>
      </c>
      <c r="AT5084">
        <v>0</v>
      </c>
      <c r="AU5084">
        <v>0</v>
      </c>
      <c r="AW5084">
        <v>0</v>
      </c>
      <c r="AX5084">
        <v>0</v>
      </c>
      <c r="AY5084">
        <v>0</v>
      </c>
      <c r="BC5084" t="str">
        <f t="shared" si="698"/>
        <v>9791137601710</v>
      </c>
      <c r="BE5084" t="str">
        <f t="shared" si="699"/>
        <v>판타지 웹소설 &gt; 퓨전 판타지</v>
      </c>
    </row>
    <row r="5085" spans="1:57" x14ac:dyDescent="0.3">
      <c r="A5085">
        <v>2313017657</v>
      </c>
      <c r="B5085">
        <v>2313017676</v>
      </c>
      <c r="C5085" t="str">
        <f>T("회귀자의 슬기로운 복수생활 20화")</f>
        <v>회귀자의 슬기로운 복수생활 20화</v>
      </c>
      <c r="D5085" t="str">
        <f>T("20")</f>
        <v>20</v>
      </c>
      <c r="E5085" t="str">
        <f t="shared" si="696"/>
        <v>구공</v>
      </c>
      <c r="H5085" t="str">
        <f t="shared" si="692"/>
        <v>스토리위즈</v>
      </c>
      <c r="I5085" t="str">
        <f t="shared" si="697"/>
        <v>회귀자의 슬기로운 복수생활</v>
      </c>
      <c r="J5085">
        <v>0</v>
      </c>
      <c r="K5085">
        <v>0</v>
      </c>
      <c r="L5085">
        <v>0</v>
      </c>
      <c r="M5085">
        <v>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2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/>
      <c r="AQ5085">
        <v>0</v>
      </c>
      <c r="AR5085">
        <v>0</v>
      </c>
      <c r="AT5085">
        <v>0</v>
      </c>
      <c r="AU5085">
        <v>0</v>
      </c>
      <c r="AW5085">
        <v>0</v>
      </c>
      <c r="AX5085">
        <v>0</v>
      </c>
      <c r="AY5085">
        <v>0</v>
      </c>
      <c r="BC5085" t="str">
        <f t="shared" si="698"/>
        <v>9791137601710</v>
      </c>
      <c r="BE5085" t="str">
        <f t="shared" si="699"/>
        <v>판타지 웹소설 &gt; 퓨전 판타지</v>
      </c>
    </row>
    <row r="5086" spans="1:57" x14ac:dyDescent="0.3">
      <c r="A5086">
        <v>2313017657</v>
      </c>
      <c r="B5086">
        <v>2313017677</v>
      </c>
      <c r="C5086" t="str">
        <f>T("회귀자의 슬기로운 복수생활 21화")</f>
        <v>회귀자의 슬기로운 복수생활 21화</v>
      </c>
      <c r="D5086" t="str">
        <f>T("21")</f>
        <v>21</v>
      </c>
      <c r="E5086" t="str">
        <f t="shared" si="696"/>
        <v>구공</v>
      </c>
      <c r="H5086" t="str">
        <f t="shared" si="692"/>
        <v>스토리위즈</v>
      </c>
      <c r="I5086" t="str">
        <f t="shared" si="697"/>
        <v>회귀자의 슬기로운 복수생활</v>
      </c>
      <c r="J5086">
        <v>0</v>
      </c>
      <c r="K5086">
        <v>0</v>
      </c>
      <c r="L5086">
        <v>0</v>
      </c>
      <c r="M5086">
        <v>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2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/>
      <c r="AQ5086">
        <v>0</v>
      </c>
      <c r="AR5086">
        <v>0</v>
      </c>
      <c r="AT5086">
        <v>0</v>
      </c>
      <c r="AU5086">
        <v>0</v>
      </c>
      <c r="AW5086">
        <v>0</v>
      </c>
      <c r="AX5086">
        <v>0</v>
      </c>
      <c r="AY5086">
        <v>0</v>
      </c>
      <c r="BC5086" t="str">
        <f t="shared" si="698"/>
        <v>9791137601710</v>
      </c>
      <c r="BE5086" t="str">
        <f t="shared" si="699"/>
        <v>판타지 웹소설 &gt; 퓨전 판타지</v>
      </c>
    </row>
    <row r="5087" spans="1:57" x14ac:dyDescent="0.3">
      <c r="A5087">
        <v>2313017657</v>
      </c>
      <c r="B5087">
        <v>2313017678</v>
      </c>
      <c r="C5087" t="str">
        <f>T("회귀자의 슬기로운 복수생활 22화")</f>
        <v>회귀자의 슬기로운 복수생활 22화</v>
      </c>
      <c r="D5087" t="str">
        <f>T("22")</f>
        <v>22</v>
      </c>
      <c r="E5087" t="str">
        <f t="shared" si="696"/>
        <v>구공</v>
      </c>
      <c r="H5087" t="str">
        <f t="shared" si="692"/>
        <v>스토리위즈</v>
      </c>
      <c r="I5087" t="str">
        <f t="shared" si="697"/>
        <v>회귀자의 슬기로운 복수생활</v>
      </c>
      <c r="J5087">
        <v>0</v>
      </c>
      <c r="K5087">
        <v>0</v>
      </c>
      <c r="L5087">
        <v>0</v>
      </c>
      <c r="M5087">
        <v>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2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/>
      <c r="AQ5087">
        <v>0</v>
      </c>
      <c r="AR5087">
        <v>0</v>
      </c>
      <c r="AT5087">
        <v>0</v>
      </c>
      <c r="AU5087">
        <v>0</v>
      </c>
      <c r="AW5087">
        <v>0</v>
      </c>
      <c r="AX5087">
        <v>0</v>
      </c>
      <c r="AY5087">
        <v>0</v>
      </c>
      <c r="BC5087" t="str">
        <f t="shared" si="698"/>
        <v>9791137601710</v>
      </c>
      <c r="BE5087" t="str">
        <f t="shared" si="699"/>
        <v>판타지 웹소설 &gt; 퓨전 판타지</v>
      </c>
    </row>
    <row r="5088" spans="1:57" x14ac:dyDescent="0.3">
      <c r="A5088">
        <v>2313017657</v>
      </c>
      <c r="B5088">
        <v>2313017679</v>
      </c>
      <c r="C5088" t="str">
        <f>T("회귀자의 슬기로운 복수생활 23화")</f>
        <v>회귀자의 슬기로운 복수생활 23화</v>
      </c>
      <c r="D5088" t="str">
        <f>T("23")</f>
        <v>23</v>
      </c>
      <c r="E5088" t="str">
        <f t="shared" si="696"/>
        <v>구공</v>
      </c>
      <c r="H5088" t="str">
        <f t="shared" si="692"/>
        <v>스토리위즈</v>
      </c>
      <c r="I5088" t="str">
        <f t="shared" si="697"/>
        <v>회귀자의 슬기로운 복수생활</v>
      </c>
      <c r="J5088">
        <v>0</v>
      </c>
      <c r="K5088">
        <v>0</v>
      </c>
      <c r="L5088">
        <v>0</v>
      </c>
      <c r="M5088">
        <v>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2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/>
      <c r="AQ5088">
        <v>0</v>
      </c>
      <c r="AR5088">
        <v>0</v>
      </c>
      <c r="AT5088">
        <v>0</v>
      </c>
      <c r="AU5088">
        <v>0</v>
      </c>
      <c r="AW5088">
        <v>0</v>
      </c>
      <c r="AX5088">
        <v>0</v>
      </c>
      <c r="AY5088">
        <v>0</v>
      </c>
      <c r="BC5088" t="str">
        <f t="shared" si="698"/>
        <v>9791137601710</v>
      </c>
      <c r="BE5088" t="str">
        <f t="shared" si="699"/>
        <v>판타지 웹소설 &gt; 퓨전 판타지</v>
      </c>
    </row>
    <row r="5089" spans="1:57" x14ac:dyDescent="0.3">
      <c r="A5089">
        <v>2313017657</v>
      </c>
      <c r="B5089">
        <v>2313017680</v>
      </c>
      <c r="C5089" t="str">
        <f>T("회귀자의 슬기로운 복수생활 24화")</f>
        <v>회귀자의 슬기로운 복수생활 24화</v>
      </c>
      <c r="D5089" t="str">
        <f>T("24")</f>
        <v>24</v>
      </c>
      <c r="E5089" t="str">
        <f t="shared" si="696"/>
        <v>구공</v>
      </c>
      <c r="H5089" t="str">
        <f t="shared" si="692"/>
        <v>스토리위즈</v>
      </c>
      <c r="I5089" t="str">
        <f t="shared" si="697"/>
        <v>회귀자의 슬기로운 복수생활</v>
      </c>
      <c r="J5089">
        <v>0</v>
      </c>
      <c r="K5089">
        <v>0</v>
      </c>
      <c r="L5089">
        <v>0</v>
      </c>
      <c r="M5089">
        <v>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2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/>
      <c r="AQ5089">
        <v>0</v>
      </c>
      <c r="AR5089">
        <v>0</v>
      </c>
      <c r="AT5089">
        <v>0</v>
      </c>
      <c r="AU5089">
        <v>0</v>
      </c>
      <c r="AW5089">
        <v>0</v>
      </c>
      <c r="AX5089">
        <v>0</v>
      </c>
      <c r="AY5089">
        <v>0</v>
      </c>
      <c r="BC5089" t="str">
        <f t="shared" si="698"/>
        <v>9791137601710</v>
      </c>
      <c r="BE5089" t="str">
        <f t="shared" si="699"/>
        <v>판타지 웹소설 &gt; 퓨전 판타지</v>
      </c>
    </row>
    <row r="5090" spans="1:57" x14ac:dyDescent="0.3">
      <c r="A5090">
        <v>2313017657</v>
      </c>
      <c r="B5090">
        <v>2313017681</v>
      </c>
      <c r="C5090" t="str">
        <f>T("회귀자의 슬기로운 복수생활 25화")</f>
        <v>회귀자의 슬기로운 복수생활 25화</v>
      </c>
      <c r="D5090" t="str">
        <f>T("25")</f>
        <v>25</v>
      </c>
      <c r="E5090" t="str">
        <f t="shared" si="696"/>
        <v>구공</v>
      </c>
      <c r="H5090" t="str">
        <f t="shared" si="692"/>
        <v>스토리위즈</v>
      </c>
      <c r="I5090" t="str">
        <f t="shared" si="697"/>
        <v>회귀자의 슬기로운 복수생활</v>
      </c>
      <c r="J5090">
        <v>0</v>
      </c>
      <c r="K5090">
        <v>0</v>
      </c>
      <c r="L5090">
        <v>0</v>
      </c>
      <c r="M5090">
        <v>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2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/>
      <c r="AQ5090">
        <v>0</v>
      </c>
      <c r="AR5090">
        <v>0</v>
      </c>
      <c r="AT5090">
        <v>0</v>
      </c>
      <c r="AU5090">
        <v>0</v>
      </c>
      <c r="AW5090">
        <v>0</v>
      </c>
      <c r="AX5090">
        <v>0</v>
      </c>
      <c r="AY5090">
        <v>0</v>
      </c>
      <c r="BC5090" t="str">
        <f t="shared" si="698"/>
        <v>9791137601710</v>
      </c>
      <c r="BE5090" t="str">
        <f t="shared" si="699"/>
        <v>판타지 웹소설 &gt; 퓨전 판타지</v>
      </c>
    </row>
    <row r="5091" spans="1:57" x14ac:dyDescent="0.3">
      <c r="A5091">
        <v>2313018081</v>
      </c>
      <c r="B5091">
        <v>2313018081</v>
      </c>
      <c r="C5091" t="str">
        <f>T("[e북]헌터인데 내공이 좀 많네요 1권")</f>
        <v>[e북]헌터인데 내공이 좀 많네요 1권</v>
      </c>
      <c r="D5091" t="str">
        <f>T("1")</f>
        <v>1</v>
      </c>
      <c r="E5091" t="str">
        <f>T("돈문어")</f>
        <v>돈문어</v>
      </c>
      <c r="H5091" t="str">
        <f t="shared" si="692"/>
        <v>스토리위즈</v>
      </c>
      <c r="I5091" t="str">
        <f>T("[e북]헌터인데 내공이 좀 많네요")</f>
        <v>[e북]헌터인데 내공이 좀 많네요</v>
      </c>
      <c r="J5091">
        <v>0</v>
      </c>
      <c r="K5091">
        <v>0</v>
      </c>
      <c r="L5091">
        <v>0</v>
      </c>
      <c r="M5091">
        <v>15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15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/>
      <c r="AQ5091">
        <v>0</v>
      </c>
      <c r="AR5091">
        <v>0</v>
      </c>
      <c r="AT5091">
        <v>0</v>
      </c>
      <c r="AU5091">
        <v>0</v>
      </c>
      <c r="AW5091">
        <v>0</v>
      </c>
      <c r="AX5091">
        <v>0</v>
      </c>
      <c r="AY5091">
        <v>0</v>
      </c>
      <c r="BA5091" t="str">
        <f>T("0000000000000")</f>
        <v>0000000000000</v>
      </c>
      <c r="BC5091" t="str">
        <f>T("9791137604391")</f>
        <v>9791137604391</v>
      </c>
      <c r="BE5091" t="str">
        <f>T("판타지 e북 &gt; 퓨전 판타지")</f>
        <v>판타지 e북 &gt; 퓨전 판타지</v>
      </c>
    </row>
    <row r="5092" spans="1:57" x14ac:dyDescent="0.3">
      <c r="A5092">
        <v>2313018089</v>
      </c>
      <c r="B5092">
        <v>2313018089</v>
      </c>
      <c r="C5092" t="str">
        <f>T("[e북]신들의 알바나라 1권")</f>
        <v>[e북]신들의 알바나라 1권</v>
      </c>
      <c r="D5092" t="str">
        <f>T("1")</f>
        <v>1</v>
      </c>
      <c r="E5092" t="str">
        <f>T("갓띵작")</f>
        <v>갓띵작</v>
      </c>
      <c r="H5092" t="str">
        <f t="shared" si="692"/>
        <v>스토리위즈</v>
      </c>
      <c r="I5092" t="str">
        <f>T("[e북]신들의 알바나라")</f>
        <v>[e북]신들의 알바나라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1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/>
      <c r="AQ5092">
        <v>0</v>
      </c>
      <c r="AR5092">
        <v>0</v>
      </c>
      <c r="AT5092">
        <v>0</v>
      </c>
      <c r="AU5092">
        <v>0</v>
      </c>
      <c r="AW5092">
        <v>0</v>
      </c>
      <c r="AX5092">
        <v>0</v>
      </c>
      <c r="AY5092">
        <v>0</v>
      </c>
      <c r="BC5092" t="str">
        <f>T("9791137604490")</f>
        <v>9791137604490</v>
      </c>
      <c r="BE5092" t="str">
        <f>T("판타지 e북 &gt; 퓨전 판타지")</f>
        <v>판타지 e북 &gt; 퓨전 판타지</v>
      </c>
    </row>
    <row r="5093" spans="1:57" x14ac:dyDescent="0.3">
      <c r="A5093">
        <v>2313018100</v>
      </c>
      <c r="B5093">
        <v>2313018100</v>
      </c>
      <c r="C5093" t="str">
        <f>T("위대한 가문의 망나니가 되다 1화")</f>
        <v>위대한 가문의 망나니가 되다 1화</v>
      </c>
      <c r="D5093" t="str">
        <f>T("1")</f>
        <v>1</v>
      </c>
      <c r="E5093" t="str">
        <f t="shared" ref="E5093:E5117" si="700">T("바나바다")</f>
        <v>바나바다</v>
      </c>
      <c r="H5093" t="str">
        <f t="shared" si="692"/>
        <v>스토리위즈</v>
      </c>
      <c r="I5093" t="str">
        <f t="shared" ref="I5093:I5117" si="701">T("위대한 가문의 망나니가 되다")</f>
        <v>위대한 가문의 망나니가 되다</v>
      </c>
      <c r="J5093">
        <v>0</v>
      </c>
      <c r="K5093">
        <v>0</v>
      </c>
      <c r="L5093">
        <v>0</v>
      </c>
      <c r="M5093">
        <v>9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9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/>
      <c r="AQ5093">
        <v>0</v>
      </c>
      <c r="AR5093">
        <v>0</v>
      </c>
      <c r="AT5093">
        <v>0</v>
      </c>
      <c r="AU5093">
        <v>0</v>
      </c>
      <c r="AW5093">
        <v>0</v>
      </c>
      <c r="AX5093">
        <v>0</v>
      </c>
      <c r="AY5093">
        <v>0</v>
      </c>
      <c r="BC5093" t="str">
        <f t="shared" ref="BC5093:BC5117" si="702">T("9791137601901")</f>
        <v>9791137601901</v>
      </c>
      <c r="BE5093" t="str">
        <f t="shared" ref="BE5093:BE5117" si="703">T("판타지 웹소설 &gt; 퓨전 판타지")</f>
        <v>판타지 웹소설 &gt; 퓨전 판타지</v>
      </c>
    </row>
    <row r="5094" spans="1:57" x14ac:dyDescent="0.3">
      <c r="A5094">
        <v>2313018100</v>
      </c>
      <c r="B5094">
        <v>2313018101</v>
      </c>
      <c r="C5094" t="str">
        <f>T("위대한 가문의 망나니가 되다 2화")</f>
        <v>위대한 가문의 망나니가 되다 2화</v>
      </c>
      <c r="D5094" t="str">
        <f>T("2")</f>
        <v>2</v>
      </c>
      <c r="E5094" t="str">
        <f t="shared" si="700"/>
        <v>바나바다</v>
      </c>
      <c r="H5094" t="str">
        <f t="shared" si="692"/>
        <v>스토리위즈</v>
      </c>
      <c r="I5094" t="str">
        <f t="shared" si="701"/>
        <v>위대한 가문의 망나니가 되다</v>
      </c>
      <c r="J5094">
        <v>0</v>
      </c>
      <c r="K5094">
        <v>0</v>
      </c>
      <c r="L5094">
        <v>0</v>
      </c>
      <c r="M5094">
        <v>9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9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/>
      <c r="AQ5094">
        <v>0</v>
      </c>
      <c r="AR5094">
        <v>0</v>
      </c>
      <c r="AT5094">
        <v>0</v>
      </c>
      <c r="AU5094">
        <v>0</v>
      </c>
      <c r="AW5094">
        <v>0</v>
      </c>
      <c r="AX5094">
        <v>0</v>
      </c>
      <c r="AY5094">
        <v>0</v>
      </c>
      <c r="BC5094" t="str">
        <f t="shared" si="702"/>
        <v>9791137601901</v>
      </c>
      <c r="BE5094" t="str">
        <f t="shared" si="703"/>
        <v>판타지 웹소설 &gt; 퓨전 판타지</v>
      </c>
    </row>
    <row r="5095" spans="1:57" x14ac:dyDescent="0.3">
      <c r="A5095">
        <v>2313018100</v>
      </c>
      <c r="B5095">
        <v>2313018102</v>
      </c>
      <c r="C5095" t="str">
        <f>T("위대한 가문의 망나니가 되다 3화")</f>
        <v>위대한 가문의 망나니가 되다 3화</v>
      </c>
      <c r="D5095" t="str">
        <f>T("3")</f>
        <v>3</v>
      </c>
      <c r="E5095" t="str">
        <f t="shared" si="700"/>
        <v>바나바다</v>
      </c>
      <c r="H5095" t="str">
        <f t="shared" si="692"/>
        <v>스토리위즈</v>
      </c>
      <c r="I5095" t="str">
        <f t="shared" si="701"/>
        <v>위대한 가문의 망나니가 되다</v>
      </c>
      <c r="J5095">
        <v>0</v>
      </c>
      <c r="K5095">
        <v>0</v>
      </c>
      <c r="L5095">
        <v>0</v>
      </c>
      <c r="M5095">
        <v>8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8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/>
      <c r="AQ5095">
        <v>0</v>
      </c>
      <c r="AR5095">
        <v>0</v>
      </c>
      <c r="AT5095">
        <v>0</v>
      </c>
      <c r="AU5095">
        <v>0</v>
      </c>
      <c r="AW5095">
        <v>0</v>
      </c>
      <c r="AX5095">
        <v>0</v>
      </c>
      <c r="AY5095">
        <v>0</v>
      </c>
      <c r="BC5095" t="str">
        <f t="shared" si="702"/>
        <v>9791137601901</v>
      </c>
      <c r="BE5095" t="str">
        <f t="shared" si="703"/>
        <v>판타지 웹소설 &gt; 퓨전 판타지</v>
      </c>
    </row>
    <row r="5096" spans="1:57" x14ac:dyDescent="0.3">
      <c r="A5096">
        <v>2313018100</v>
      </c>
      <c r="B5096">
        <v>2313018103</v>
      </c>
      <c r="C5096" t="str">
        <f>T("위대한 가문의 망나니가 되다 4화")</f>
        <v>위대한 가문의 망나니가 되다 4화</v>
      </c>
      <c r="D5096" t="str">
        <f>T("4")</f>
        <v>4</v>
      </c>
      <c r="E5096" t="str">
        <f t="shared" si="700"/>
        <v>바나바다</v>
      </c>
      <c r="H5096" t="str">
        <f t="shared" si="692"/>
        <v>스토리위즈</v>
      </c>
      <c r="I5096" t="str">
        <f t="shared" si="701"/>
        <v>위대한 가문의 망나니가 되다</v>
      </c>
      <c r="J5096">
        <v>0</v>
      </c>
      <c r="K5096">
        <v>0</v>
      </c>
      <c r="L5096">
        <v>0</v>
      </c>
      <c r="M5096">
        <v>7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7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/>
      <c r="AQ5096">
        <v>0</v>
      </c>
      <c r="AR5096">
        <v>0</v>
      </c>
      <c r="AT5096">
        <v>0</v>
      </c>
      <c r="AU5096">
        <v>0</v>
      </c>
      <c r="AW5096">
        <v>0</v>
      </c>
      <c r="AX5096">
        <v>0</v>
      </c>
      <c r="AY5096">
        <v>0</v>
      </c>
      <c r="BC5096" t="str">
        <f t="shared" si="702"/>
        <v>9791137601901</v>
      </c>
      <c r="BE5096" t="str">
        <f t="shared" si="703"/>
        <v>판타지 웹소설 &gt; 퓨전 판타지</v>
      </c>
    </row>
    <row r="5097" spans="1:57" x14ac:dyDescent="0.3">
      <c r="A5097">
        <v>2313018100</v>
      </c>
      <c r="B5097">
        <v>2313018104</v>
      </c>
      <c r="C5097" t="str">
        <f>T("위대한 가문의 망나니가 되다 5화")</f>
        <v>위대한 가문의 망나니가 되다 5화</v>
      </c>
      <c r="D5097" t="str">
        <f>T("5")</f>
        <v>5</v>
      </c>
      <c r="E5097" t="str">
        <f t="shared" si="700"/>
        <v>바나바다</v>
      </c>
      <c r="H5097" t="str">
        <f t="shared" si="692"/>
        <v>스토리위즈</v>
      </c>
      <c r="I5097" t="str">
        <f t="shared" si="701"/>
        <v>위대한 가문의 망나니가 되다</v>
      </c>
      <c r="J5097">
        <v>0</v>
      </c>
      <c r="K5097">
        <v>0</v>
      </c>
      <c r="L5097">
        <v>0</v>
      </c>
      <c r="M5097">
        <v>7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7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/>
      <c r="AQ5097">
        <v>0</v>
      </c>
      <c r="AR5097">
        <v>0</v>
      </c>
      <c r="AT5097">
        <v>0</v>
      </c>
      <c r="AU5097">
        <v>0</v>
      </c>
      <c r="AW5097">
        <v>0</v>
      </c>
      <c r="AX5097">
        <v>0</v>
      </c>
      <c r="AY5097">
        <v>0</v>
      </c>
      <c r="BC5097" t="str">
        <f t="shared" si="702"/>
        <v>9791137601901</v>
      </c>
      <c r="BE5097" t="str">
        <f t="shared" si="703"/>
        <v>판타지 웹소설 &gt; 퓨전 판타지</v>
      </c>
    </row>
    <row r="5098" spans="1:57" x14ac:dyDescent="0.3">
      <c r="A5098">
        <v>2313018100</v>
      </c>
      <c r="B5098">
        <v>2313018105</v>
      </c>
      <c r="C5098" t="str">
        <f>T("위대한 가문의 망나니가 되다 6화")</f>
        <v>위대한 가문의 망나니가 되다 6화</v>
      </c>
      <c r="D5098" t="str">
        <f>T("6")</f>
        <v>6</v>
      </c>
      <c r="E5098" t="str">
        <f t="shared" si="700"/>
        <v>바나바다</v>
      </c>
      <c r="H5098" t="str">
        <f t="shared" si="692"/>
        <v>스토리위즈</v>
      </c>
      <c r="I5098" t="str">
        <f t="shared" si="701"/>
        <v>위대한 가문의 망나니가 되다</v>
      </c>
      <c r="J5098">
        <v>0</v>
      </c>
      <c r="K5098">
        <v>0</v>
      </c>
      <c r="L5098">
        <v>0</v>
      </c>
      <c r="M5098">
        <v>7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7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/>
      <c r="AQ5098">
        <v>0</v>
      </c>
      <c r="AR5098">
        <v>0</v>
      </c>
      <c r="AT5098">
        <v>0</v>
      </c>
      <c r="AU5098">
        <v>0</v>
      </c>
      <c r="AW5098">
        <v>0</v>
      </c>
      <c r="AX5098">
        <v>0</v>
      </c>
      <c r="AY5098">
        <v>0</v>
      </c>
      <c r="BC5098" t="str">
        <f t="shared" si="702"/>
        <v>9791137601901</v>
      </c>
      <c r="BE5098" t="str">
        <f t="shared" si="703"/>
        <v>판타지 웹소설 &gt; 퓨전 판타지</v>
      </c>
    </row>
    <row r="5099" spans="1:57" x14ac:dyDescent="0.3">
      <c r="A5099">
        <v>2313018100</v>
      </c>
      <c r="B5099">
        <v>2313018106</v>
      </c>
      <c r="C5099" t="str">
        <f>T("위대한 가문의 망나니가 되다 7화")</f>
        <v>위대한 가문의 망나니가 되다 7화</v>
      </c>
      <c r="D5099" t="str">
        <f>T("7")</f>
        <v>7</v>
      </c>
      <c r="E5099" t="str">
        <f t="shared" si="700"/>
        <v>바나바다</v>
      </c>
      <c r="H5099" t="str">
        <f t="shared" si="692"/>
        <v>스토리위즈</v>
      </c>
      <c r="I5099" t="str">
        <f t="shared" si="701"/>
        <v>위대한 가문의 망나니가 되다</v>
      </c>
      <c r="J5099">
        <v>0</v>
      </c>
      <c r="K5099">
        <v>0</v>
      </c>
      <c r="L5099">
        <v>0</v>
      </c>
      <c r="M5099">
        <v>6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6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/>
      <c r="AQ5099">
        <v>0</v>
      </c>
      <c r="AR5099">
        <v>0</v>
      </c>
      <c r="AT5099">
        <v>0</v>
      </c>
      <c r="AU5099">
        <v>0</v>
      </c>
      <c r="AW5099">
        <v>0</v>
      </c>
      <c r="AX5099">
        <v>0</v>
      </c>
      <c r="AY5099">
        <v>0</v>
      </c>
      <c r="BC5099" t="str">
        <f t="shared" si="702"/>
        <v>9791137601901</v>
      </c>
      <c r="BE5099" t="str">
        <f t="shared" si="703"/>
        <v>판타지 웹소설 &gt; 퓨전 판타지</v>
      </c>
    </row>
    <row r="5100" spans="1:57" x14ac:dyDescent="0.3">
      <c r="A5100">
        <v>2313018100</v>
      </c>
      <c r="B5100">
        <v>2313018107</v>
      </c>
      <c r="C5100" t="str">
        <f>T("위대한 가문의 망나니가 되다 8화")</f>
        <v>위대한 가문의 망나니가 되다 8화</v>
      </c>
      <c r="D5100" t="str">
        <f>T("8")</f>
        <v>8</v>
      </c>
      <c r="E5100" t="str">
        <f t="shared" si="700"/>
        <v>바나바다</v>
      </c>
      <c r="H5100" t="str">
        <f t="shared" si="692"/>
        <v>스토리위즈</v>
      </c>
      <c r="I5100" t="str">
        <f t="shared" si="701"/>
        <v>위대한 가문의 망나니가 되다</v>
      </c>
      <c r="J5100">
        <v>0</v>
      </c>
      <c r="K5100">
        <v>0</v>
      </c>
      <c r="L5100">
        <v>0</v>
      </c>
      <c r="M5100">
        <v>5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5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/>
      <c r="AQ5100">
        <v>0</v>
      </c>
      <c r="AR5100">
        <v>0</v>
      </c>
      <c r="AT5100">
        <v>0</v>
      </c>
      <c r="AU5100">
        <v>0</v>
      </c>
      <c r="AW5100">
        <v>0</v>
      </c>
      <c r="AX5100">
        <v>0</v>
      </c>
      <c r="AY5100">
        <v>0</v>
      </c>
      <c r="BC5100" t="str">
        <f t="shared" si="702"/>
        <v>9791137601901</v>
      </c>
      <c r="BE5100" t="str">
        <f t="shared" si="703"/>
        <v>판타지 웹소설 &gt; 퓨전 판타지</v>
      </c>
    </row>
    <row r="5101" spans="1:57" x14ac:dyDescent="0.3">
      <c r="A5101">
        <v>2313018100</v>
      </c>
      <c r="B5101">
        <v>2313018108</v>
      </c>
      <c r="C5101" t="str">
        <f>T("위대한 가문의 망나니가 되다 9화")</f>
        <v>위대한 가문의 망나니가 되다 9화</v>
      </c>
      <c r="D5101" t="str">
        <f>T("9")</f>
        <v>9</v>
      </c>
      <c r="E5101" t="str">
        <f t="shared" si="700"/>
        <v>바나바다</v>
      </c>
      <c r="H5101" t="str">
        <f t="shared" si="692"/>
        <v>스토리위즈</v>
      </c>
      <c r="I5101" t="str">
        <f t="shared" si="701"/>
        <v>위대한 가문의 망나니가 되다</v>
      </c>
      <c r="J5101">
        <v>0</v>
      </c>
      <c r="K5101">
        <v>0</v>
      </c>
      <c r="L5101">
        <v>0</v>
      </c>
      <c r="M5101">
        <v>5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5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/>
      <c r="AQ5101">
        <v>0</v>
      </c>
      <c r="AR5101">
        <v>0</v>
      </c>
      <c r="AT5101">
        <v>0</v>
      </c>
      <c r="AU5101">
        <v>0</v>
      </c>
      <c r="AW5101">
        <v>0</v>
      </c>
      <c r="AX5101">
        <v>0</v>
      </c>
      <c r="AY5101">
        <v>0</v>
      </c>
      <c r="BC5101" t="str">
        <f t="shared" si="702"/>
        <v>9791137601901</v>
      </c>
      <c r="BE5101" t="str">
        <f t="shared" si="703"/>
        <v>판타지 웹소설 &gt; 퓨전 판타지</v>
      </c>
    </row>
    <row r="5102" spans="1:57" x14ac:dyDescent="0.3">
      <c r="A5102">
        <v>2313018100</v>
      </c>
      <c r="B5102">
        <v>2313018109</v>
      </c>
      <c r="C5102" t="str">
        <f>T("위대한 가문의 망나니가 되다 10화")</f>
        <v>위대한 가문의 망나니가 되다 10화</v>
      </c>
      <c r="D5102" t="str">
        <f>T("10")</f>
        <v>10</v>
      </c>
      <c r="E5102" t="str">
        <f t="shared" si="700"/>
        <v>바나바다</v>
      </c>
      <c r="H5102" t="str">
        <f t="shared" si="692"/>
        <v>스토리위즈</v>
      </c>
      <c r="I5102" t="str">
        <f t="shared" si="701"/>
        <v>위대한 가문의 망나니가 되다</v>
      </c>
      <c r="J5102">
        <v>0</v>
      </c>
      <c r="K5102">
        <v>0</v>
      </c>
      <c r="L5102">
        <v>0</v>
      </c>
      <c r="M5102">
        <v>4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4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/>
      <c r="AQ5102">
        <v>0</v>
      </c>
      <c r="AR5102">
        <v>0</v>
      </c>
      <c r="AT5102">
        <v>0</v>
      </c>
      <c r="AU5102">
        <v>0</v>
      </c>
      <c r="AW5102">
        <v>0</v>
      </c>
      <c r="AX5102">
        <v>0</v>
      </c>
      <c r="AY5102">
        <v>0</v>
      </c>
      <c r="BC5102" t="str">
        <f t="shared" si="702"/>
        <v>9791137601901</v>
      </c>
      <c r="BE5102" t="str">
        <f t="shared" si="703"/>
        <v>판타지 웹소설 &gt; 퓨전 판타지</v>
      </c>
    </row>
    <row r="5103" spans="1:57" x14ac:dyDescent="0.3">
      <c r="A5103">
        <v>2313018100</v>
      </c>
      <c r="B5103">
        <v>2313018110</v>
      </c>
      <c r="C5103" t="str">
        <f>T("위대한 가문의 망나니가 되다 11화")</f>
        <v>위대한 가문의 망나니가 되다 11화</v>
      </c>
      <c r="D5103" t="str">
        <f>T("11")</f>
        <v>11</v>
      </c>
      <c r="E5103" t="str">
        <f t="shared" si="700"/>
        <v>바나바다</v>
      </c>
      <c r="H5103" t="str">
        <f t="shared" ref="H5103:H5166" si="704">T("스토리위즈")</f>
        <v>스토리위즈</v>
      </c>
      <c r="I5103" t="str">
        <f t="shared" si="701"/>
        <v>위대한 가문의 망나니가 되다</v>
      </c>
      <c r="J5103">
        <v>0</v>
      </c>
      <c r="K5103">
        <v>0</v>
      </c>
      <c r="L5103">
        <v>0</v>
      </c>
      <c r="M5103">
        <v>4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4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/>
      <c r="AQ5103">
        <v>0</v>
      </c>
      <c r="AR5103">
        <v>0</v>
      </c>
      <c r="AT5103">
        <v>0</v>
      </c>
      <c r="AU5103">
        <v>0</v>
      </c>
      <c r="AW5103">
        <v>0</v>
      </c>
      <c r="AX5103">
        <v>0</v>
      </c>
      <c r="AY5103">
        <v>0</v>
      </c>
      <c r="BC5103" t="str">
        <f t="shared" si="702"/>
        <v>9791137601901</v>
      </c>
      <c r="BE5103" t="str">
        <f t="shared" si="703"/>
        <v>판타지 웹소설 &gt; 퓨전 판타지</v>
      </c>
    </row>
    <row r="5104" spans="1:57" x14ac:dyDescent="0.3">
      <c r="A5104">
        <v>2313018100</v>
      </c>
      <c r="B5104">
        <v>2313018111</v>
      </c>
      <c r="C5104" t="str">
        <f>T("위대한 가문의 망나니가 되다 12화")</f>
        <v>위대한 가문의 망나니가 되다 12화</v>
      </c>
      <c r="D5104" t="str">
        <f>T("12")</f>
        <v>12</v>
      </c>
      <c r="E5104" t="str">
        <f t="shared" si="700"/>
        <v>바나바다</v>
      </c>
      <c r="H5104" t="str">
        <f t="shared" si="704"/>
        <v>스토리위즈</v>
      </c>
      <c r="I5104" t="str">
        <f t="shared" si="701"/>
        <v>위대한 가문의 망나니가 되다</v>
      </c>
      <c r="J5104">
        <v>0</v>
      </c>
      <c r="K5104">
        <v>0</v>
      </c>
      <c r="L5104">
        <v>0</v>
      </c>
      <c r="M5104">
        <v>4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4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/>
      <c r="AQ5104">
        <v>0</v>
      </c>
      <c r="AR5104">
        <v>0</v>
      </c>
      <c r="AT5104">
        <v>0</v>
      </c>
      <c r="AU5104">
        <v>0</v>
      </c>
      <c r="AW5104">
        <v>0</v>
      </c>
      <c r="AX5104">
        <v>0</v>
      </c>
      <c r="AY5104">
        <v>0</v>
      </c>
      <c r="BC5104" t="str">
        <f t="shared" si="702"/>
        <v>9791137601901</v>
      </c>
      <c r="BE5104" t="str">
        <f t="shared" si="703"/>
        <v>판타지 웹소설 &gt; 퓨전 판타지</v>
      </c>
    </row>
    <row r="5105" spans="1:57" x14ac:dyDescent="0.3">
      <c r="A5105">
        <v>2313018100</v>
      </c>
      <c r="B5105">
        <v>2313018112</v>
      </c>
      <c r="C5105" t="str">
        <f>T("위대한 가문의 망나니가 되다 13화")</f>
        <v>위대한 가문의 망나니가 되다 13화</v>
      </c>
      <c r="D5105" t="str">
        <f>T("13")</f>
        <v>13</v>
      </c>
      <c r="E5105" t="str">
        <f t="shared" si="700"/>
        <v>바나바다</v>
      </c>
      <c r="H5105" t="str">
        <f t="shared" si="704"/>
        <v>스토리위즈</v>
      </c>
      <c r="I5105" t="str">
        <f t="shared" si="701"/>
        <v>위대한 가문의 망나니가 되다</v>
      </c>
      <c r="J5105">
        <v>0</v>
      </c>
      <c r="K5105">
        <v>0</v>
      </c>
      <c r="L5105">
        <v>0</v>
      </c>
      <c r="M5105">
        <v>4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4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/>
      <c r="AQ5105">
        <v>0</v>
      </c>
      <c r="AR5105">
        <v>0</v>
      </c>
      <c r="AT5105">
        <v>0</v>
      </c>
      <c r="AU5105">
        <v>0</v>
      </c>
      <c r="AW5105">
        <v>0</v>
      </c>
      <c r="AX5105">
        <v>0</v>
      </c>
      <c r="AY5105">
        <v>0</v>
      </c>
      <c r="BC5105" t="str">
        <f t="shared" si="702"/>
        <v>9791137601901</v>
      </c>
      <c r="BE5105" t="str">
        <f t="shared" si="703"/>
        <v>판타지 웹소설 &gt; 퓨전 판타지</v>
      </c>
    </row>
    <row r="5106" spans="1:57" x14ac:dyDescent="0.3">
      <c r="A5106">
        <v>2313018100</v>
      </c>
      <c r="B5106">
        <v>2313018113</v>
      </c>
      <c r="C5106" t="str">
        <f>T("위대한 가문의 망나니가 되다 14화")</f>
        <v>위대한 가문의 망나니가 되다 14화</v>
      </c>
      <c r="D5106" t="str">
        <f>T("14")</f>
        <v>14</v>
      </c>
      <c r="E5106" t="str">
        <f t="shared" si="700"/>
        <v>바나바다</v>
      </c>
      <c r="H5106" t="str">
        <f t="shared" si="704"/>
        <v>스토리위즈</v>
      </c>
      <c r="I5106" t="str">
        <f t="shared" si="701"/>
        <v>위대한 가문의 망나니가 되다</v>
      </c>
      <c r="J5106">
        <v>0</v>
      </c>
      <c r="K5106">
        <v>0</v>
      </c>
      <c r="L5106">
        <v>0</v>
      </c>
      <c r="M5106">
        <v>4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4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/>
      <c r="AQ5106">
        <v>0</v>
      </c>
      <c r="AR5106">
        <v>0</v>
      </c>
      <c r="AT5106">
        <v>0</v>
      </c>
      <c r="AU5106">
        <v>0</v>
      </c>
      <c r="AW5106">
        <v>0</v>
      </c>
      <c r="AX5106">
        <v>0</v>
      </c>
      <c r="AY5106">
        <v>0</v>
      </c>
      <c r="BC5106" t="str">
        <f t="shared" si="702"/>
        <v>9791137601901</v>
      </c>
      <c r="BE5106" t="str">
        <f t="shared" si="703"/>
        <v>판타지 웹소설 &gt; 퓨전 판타지</v>
      </c>
    </row>
    <row r="5107" spans="1:57" x14ac:dyDescent="0.3">
      <c r="A5107">
        <v>2313018100</v>
      </c>
      <c r="B5107">
        <v>2313018114</v>
      </c>
      <c r="C5107" t="str">
        <f>T("위대한 가문의 망나니가 되다 15화")</f>
        <v>위대한 가문의 망나니가 되다 15화</v>
      </c>
      <c r="D5107" t="str">
        <f>T("15")</f>
        <v>15</v>
      </c>
      <c r="E5107" t="str">
        <f t="shared" si="700"/>
        <v>바나바다</v>
      </c>
      <c r="H5107" t="str">
        <f t="shared" si="704"/>
        <v>스토리위즈</v>
      </c>
      <c r="I5107" t="str">
        <f t="shared" si="701"/>
        <v>위대한 가문의 망나니가 되다</v>
      </c>
      <c r="J5107">
        <v>0</v>
      </c>
      <c r="K5107">
        <v>0</v>
      </c>
      <c r="L5107">
        <v>0</v>
      </c>
      <c r="M5107">
        <v>4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4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/>
      <c r="AQ5107">
        <v>0</v>
      </c>
      <c r="AR5107">
        <v>0</v>
      </c>
      <c r="AT5107">
        <v>0</v>
      </c>
      <c r="AU5107">
        <v>0</v>
      </c>
      <c r="AW5107">
        <v>0</v>
      </c>
      <c r="AX5107">
        <v>0</v>
      </c>
      <c r="AY5107">
        <v>0</v>
      </c>
      <c r="BC5107" t="str">
        <f t="shared" si="702"/>
        <v>9791137601901</v>
      </c>
      <c r="BE5107" t="str">
        <f t="shared" si="703"/>
        <v>판타지 웹소설 &gt; 퓨전 판타지</v>
      </c>
    </row>
    <row r="5108" spans="1:57" x14ac:dyDescent="0.3">
      <c r="A5108">
        <v>2313018100</v>
      </c>
      <c r="B5108">
        <v>2313018115</v>
      </c>
      <c r="C5108" t="str">
        <f>T("위대한 가문의 망나니가 되다 16화")</f>
        <v>위대한 가문의 망나니가 되다 16화</v>
      </c>
      <c r="D5108" t="str">
        <f>T("16")</f>
        <v>16</v>
      </c>
      <c r="E5108" t="str">
        <f t="shared" si="700"/>
        <v>바나바다</v>
      </c>
      <c r="H5108" t="str">
        <f t="shared" si="704"/>
        <v>스토리위즈</v>
      </c>
      <c r="I5108" t="str">
        <f t="shared" si="701"/>
        <v>위대한 가문의 망나니가 되다</v>
      </c>
      <c r="J5108">
        <v>0</v>
      </c>
      <c r="K5108">
        <v>0</v>
      </c>
      <c r="L5108">
        <v>0</v>
      </c>
      <c r="M5108">
        <v>4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4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/>
      <c r="AQ5108">
        <v>0</v>
      </c>
      <c r="AR5108">
        <v>0</v>
      </c>
      <c r="AT5108">
        <v>0</v>
      </c>
      <c r="AU5108">
        <v>0</v>
      </c>
      <c r="AW5108">
        <v>0</v>
      </c>
      <c r="AX5108">
        <v>0</v>
      </c>
      <c r="AY5108">
        <v>0</v>
      </c>
      <c r="BC5108" t="str">
        <f t="shared" si="702"/>
        <v>9791137601901</v>
      </c>
      <c r="BE5108" t="str">
        <f t="shared" si="703"/>
        <v>판타지 웹소설 &gt; 퓨전 판타지</v>
      </c>
    </row>
    <row r="5109" spans="1:57" x14ac:dyDescent="0.3">
      <c r="A5109">
        <v>2313018100</v>
      </c>
      <c r="B5109">
        <v>2313018116</v>
      </c>
      <c r="C5109" t="str">
        <f>T("위대한 가문의 망나니가 되다 17화")</f>
        <v>위대한 가문의 망나니가 되다 17화</v>
      </c>
      <c r="D5109" t="str">
        <f>T("17")</f>
        <v>17</v>
      </c>
      <c r="E5109" t="str">
        <f t="shared" si="700"/>
        <v>바나바다</v>
      </c>
      <c r="H5109" t="str">
        <f t="shared" si="704"/>
        <v>스토리위즈</v>
      </c>
      <c r="I5109" t="str">
        <f t="shared" si="701"/>
        <v>위대한 가문의 망나니가 되다</v>
      </c>
      <c r="J5109">
        <v>0</v>
      </c>
      <c r="K5109">
        <v>0</v>
      </c>
      <c r="L5109">
        <v>0</v>
      </c>
      <c r="M5109">
        <v>4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4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/>
      <c r="AQ5109">
        <v>0</v>
      </c>
      <c r="AR5109">
        <v>0</v>
      </c>
      <c r="AT5109">
        <v>0</v>
      </c>
      <c r="AU5109">
        <v>0</v>
      </c>
      <c r="AW5109">
        <v>0</v>
      </c>
      <c r="AX5109">
        <v>0</v>
      </c>
      <c r="AY5109">
        <v>0</v>
      </c>
      <c r="BC5109" t="str">
        <f t="shared" si="702"/>
        <v>9791137601901</v>
      </c>
      <c r="BE5109" t="str">
        <f t="shared" si="703"/>
        <v>판타지 웹소설 &gt; 퓨전 판타지</v>
      </c>
    </row>
    <row r="5110" spans="1:57" x14ac:dyDescent="0.3">
      <c r="A5110">
        <v>2313018100</v>
      </c>
      <c r="B5110">
        <v>2313018117</v>
      </c>
      <c r="C5110" t="str">
        <f>T("위대한 가문의 망나니가 되다 18화")</f>
        <v>위대한 가문의 망나니가 되다 18화</v>
      </c>
      <c r="D5110" t="str">
        <f>T("18")</f>
        <v>18</v>
      </c>
      <c r="E5110" t="str">
        <f t="shared" si="700"/>
        <v>바나바다</v>
      </c>
      <c r="H5110" t="str">
        <f t="shared" si="704"/>
        <v>스토리위즈</v>
      </c>
      <c r="I5110" t="str">
        <f t="shared" si="701"/>
        <v>위대한 가문의 망나니가 되다</v>
      </c>
      <c r="J5110">
        <v>0</v>
      </c>
      <c r="K5110">
        <v>0</v>
      </c>
      <c r="L5110">
        <v>0</v>
      </c>
      <c r="M5110">
        <v>4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4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/>
      <c r="AQ5110">
        <v>0</v>
      </c>
      <c r="AR5110">
        <v>0</v>
      </c>
      <c r="AT5110">
        <v>0</v>
      </c>
      <c r="AU5110">
        <v>0</v>
      </c>
      <c r="AW5110">
        <v>0</v>
      </c>
      <c r="AX5110">
        <v>0</v>
      </c>
      <c r="AY5110">
        <v>0</v>
      </c>
      <c r="BC5110" t="str">
        <f t="shared" si="702"/>
        <v>9791137601901</v>
      </c>
      <c r="BE5110" t="str">
        <f t="shared" si="703"/>
        <v>판타지 웹소설 &gt; 퓨전 판타지</v>
      </c>
    </row>
    <row r="5111" spans="1:57" x14ac:dyDescent="0.3">
      <c r="A5111">
        <v>2313018100</v>
      </c>
      <c r="B5111">
        <v>2313018118</v>
      </c>
      <c r="C5111" t="str">
        <f>T("위대한 가문의 망나니가 되다 19화")</f>
        <v>위대한 가문의 망나니가 되다 19화</v>
      </c>
      <c r="D5111" t="str">
        <f>T("19")</f>
        <v>19</v>
      </c>
      <c r="E5111" t="str">
        <f t="shared" si="700"/>
        <v>바나바다</v>
      </c>
      <c r="H5111" t="str">
        <f t="shared" si="704"/>
        <v>스토리위즈</v>
      </c>
      <c r="I5111" t="str">
        <f t="shared" si="701"/>
        <v>위대한 가문의 망나니가 되다</v>
      </c>
      <c r="J5111">
        <v>0</v>
      </c>
      <c r="K5111">
        <v>0</v>
      </c>
      <c r="L5111">
        <v>0</v>
      </c>
      <c r="M5111">
        <v>4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4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/>
      <c r="AQ5111">
        <v>0</v>
      </c>
      <c r="AR5111">
        <v>0</v>
      </c>
      <c r="AT5111">
        <v>0</v>
      </c>
      <c r="AU5111">
        <v>0</v>
      </c>
      <c r="AW5111">
        <v>0</v>
      </c>
      <c r="AX5111">
        <v>0</v>
      </c>
      <c r="AY5111">
        <v>0</v>
      </c>
      <c r="BC5111" t="str">
        <f t="shared" si="702"/>
        <v>9791137601901</v>
      </c>
      <c r="BE5111" t="str">
        <f t="shared" si="703"/>
        <v>판타지 웹소설 &gt; 퓨전 판타지</v>
      </c>
    </row>
    <row r="5112" spans="1:57" x14ac:dyDescent="0.3">
      <c r="A5112">
        <v>2313018100</v>
      </c>
      <c r="B5112">
        <v>2313018119</v>
      </c>
      <c r="C5112" t="str">
        <f>T("위대한 가문의 망나니가 되다 20화")</f>
        <v>위대한 가문의 망나니가 되다 20화</v>
      </c>
      <c r="D5112" t="str">
        <f>T("20")</f>
        <v>20</v>
      </c>
      <c r="E5112" t="str">
        <f t="shared" si="700"/>
        <v>바나바다</v>
      </c>
      <c r="H5112" t="str">
        <f t="shared" si="704"/>
        <v>스토리위즈</v>
      </c>
      <c r="I5112" t="str">
        <f t="shared" si="701"/>
        <v>위대한 가문의 망나니가 되다</v>
      </c>
      <c r="J5112">
        <v>0</v>
      </c>
      <c r="K5112">
        <v>0</v>
      </c>
      <c r="L5112">
        <v>0</v>
      </c>
      <c r="M5112">
        <v>4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4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/>
      <c r="AQ5112">
        <v>0</v>
      </c>
      <c r="AR5112">
        <v>0</v>
      </c>
      <c r="AT5112">
        <v>0</v>
      </c>
      <c r="AU5112">
        <v>0</v>
      </c>
      <c r="AW5112">
        <v>0</v>
      </c>
      <c r="AX5112">
        <v>0</v>
      </c>
      <c r="AY5112">
        <v>0</v>
      </c>
      <c r="BC5112" t="str">
        <f t="shared" si="702"/>
        <v>9791137601901</v>
      </c>
      <c r="BE5112" t="str">
        <f t="shared" si="703"/>
        <v>판타지 웹소설 &gt; 퓨전 판타지</v>
      </c>
    </row>
    <row r="5113" spans="1:57" x14ac:dyDescent="0.3">
      <c r="A5113">
        <v>2313018100</v>
      </c>
      <c r="B5113">
        <v>2313018120</v>
      </c>
      <c r="C5113" t="str">
        <f>T("위대한 가문의 망나니가 되다 21화")</f>
        <v>위대한 가문의 망나니가 되다 21화</v>
      </c>
      <c r="D5113" t="str">
        <f>T("21")</f>
        <v>21</v>
      </c>
      <c r="E5113" t="str">
        <f t="shared" si="700"/>
        <v>바나바다</v>
      </c>
      <c r="H5113" t="str">
        <f t="shared" si="704"/>
        <v>스토리위즈</v>
      </c>
      <c r="I5113" t="str">
        <f t="shared" si="701"/>
        <v>위대한 가문의 망나니가 되다</v>
      </c>
      <c r="J5113">
        <v>0</v>
      </c>
      <c r="K5113">
        <v>0</v>
      </c>
      <c r="L5113">
        <v>0</v>
      </c>
      <c r="M5113">
        <v>4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4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/>
      <c r="AQ5113">
        <v>0</v>
      </c>
      <c r="AR5113">
        <v>0</v>
      </c>
      <c r="AT5113">
        <v>0</v>
      </c>
      <c r="AU5113">
        <v>0</v>
      </c>
      <c r="AW5113">
        <v>0</v>
      </c>
      <c r="AX5113">
        <v>0</v>
      </c>
      <c r="AY5113">
        <v>0</v>
      </c>
      <c r="BC5113" t="str">
        <f t="shared" si="702"/>
        <v>9791137601901</v>
      </c>
      <c r="BE5113" t="str">
        <f t="shared" si="703"/>
        <v>판타지 웹소설 &gt; 퓨전 판타지</v>
      </c>
    </row>
    <row r="5114" spans="1:57" x14ac:dyDescent="0.3">
      <c r="A5114">
        <v>2313018100</v>
      </c>
      <c r="B5114">
        <v>2313018121</v>
      </c>
      <c r="C5114" t="str">
        <f>T("위대한 가문의 망나니가 되다 22화")</f>
        <v>위대한 가문의 망나니가 되다 22화</v>
      </c>
      <c r="D5114" t="str">
        <f>T("22")</f>
        <v>22</v>
      </c>
      <c r="E5114" t="str">
        <f t="shared" si="700"/>
        <v>바나바다</v>
      </c>
      <c r="H5114" t="str">
        <f t="shared" si="704"/>
        <v>스토리위즈</v>
      </c>
      <c r="I5114" t="str">
        <f t="shared" si="701"/>
        <v>위대한 가문의 망나니가 되다</v>
      </c>
      <c r="J5114">
        <v>0</v>
      </c>
      <c r="K5114">
        <v>0</v>
      </c>
      <c r="L5114">
        <v>0</v>
      </c>
      <c r="M5114">
        <v>4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4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/>
      <c r="AQ5114">
        <v>0</v>
      </c>
      <c r="AR5114">
        <v>0</v>
      </c>
      <c r="AT5114">
        <v>0</v>
      </c>
      <c r="AU5114">
        <v>0</v>
      </c>
      <c r="AW5114">
        <v>0</v>
      </c>
      <c r="AX5114">
        <v>0</v>
      </c>
      <c r="AY5114">
        <v>0</v>
      </c>
      <c r="BC5114" t="str">
        <f t="shared" si="702"/>
        <v>9791137601901</v>
      </c>
      <c r="BE5114" t="str">
        <f t="shared" si="703"/>
        <v>판타지 웹소설 &gt; 퓨전 판타지</v>
      </c>
    </row>
    <row r="5115" spans="1:57" x14ac:dyDescent="0.3">
      <c r="A5115">
        <v>2313018100</v>
      </c>
      <c r="B5115">
        <v>2313018122</v>
      </c>
      <c r="C5115" t="str">
        <f>T("위대한 가문의 망나니가 되다 23화")</f>
        <v>위대한 가문의 망나니가 되다 23화</v>
      </c>
      <c r="D5115" t="str">
        <f>T("23")</f>
        <v>23</v>
      </c>
      <c r="E5115" t="str">
        <f t="shared" si="700"/>
        <v>바나바다</v>
      </c>
      <c r="H5115" t="str">
        <f t="shared" si="704"/>
        <v>스토리위즈</v>
      </c>
      <c r="I5115" t="str">
        <f t="shared" si="701"/>
        <v>위대한 가문의 망나니가 되다</v>
      </c>
      <c r="J5115">
        <v>0</v>
      </c>
      <c r="K5115">
        <v>0</v>
      </c>
      <c r="L5115">
        <v>0</v>
      </c>
      <c r="M5115">
        <v>4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4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/>
      <c r="AQ5115">
        <v>0</v>
      </c>
      <c r="AR5115">
        <v>0</v>
      </c>
      <c r="AT5115">
        <v>0</v>
      </c>
      <c r="AU5115">
        <v>0</v>
      </c>
      <c r="AW5115">
        <v>0</v>
      </c>
      <c r="AX5115">
        <v>0</v>
      </c>
      <c r="AY5115">
        <v>0</v>
      </c>
      <c r="BC5115" t="str">
        <f t="shared" si="702"/>
        <v>9791137601901</v>
      </c>
      <c r="BE5115" t="str">
        <f t="shared" si="703"/>
        <v>판타지 웹소설 &gt; 퓨전 판타지</v>
      </c>
    </row>
    <row r="5116" spans="1:57" x14ac:dyDescent="0.3">
      <c r="A5116">
        <v>2313018100</v>
      </c>
      <c r="B5116">
        <v>2313018123</v>
      </c>
      <c r="C5116" t="str">
        <f>T("위대한 가문의 망나니가 되다 24화")</f>
        <v>위대한 가문의 망나니가 되다 24화</v>
      </c>
      <c r="D5116" t="str">
        <f>T("24")</f>
        <v>24</v>
      </c>
      <c r="E5116" t="str">
        <f t="shared" si="700"/>
        <v>바나바다</v>
      </c>
      <c r="H5116" t="str">
        <f t="shared" si="704"/>
        <v>스토리위즈</v>
      </c>
      <c r="I5116" t="str">
        <f t="shared" si="701"/>
        <v>위대한 가문의 망나니가 되다</v>
      </c>
      <c r="J5116">
        <v>0</v>
      </c>
      <c r="K5116">
        <v>0</v>
      </c>
      <c r="L5116">
        <v>0</v>
      </c>
      <c r="M5116">
        <v>4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4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/>
      <c r="AQ5116">
        <v>0</v>
      </c>
      <c r="AR5116">
        <v>0</v>
      </c>
      <c r="AT5116">
        <v>0</v>
      </c>
      <c r="AU5116">
        <v>0</v>
      </c>
      <c r="AW5116">
        <v>0</v>
      </c>
      <c r="AX5116">
        <v>0</v>
      </c>
      <c r="AY5116">
        <v>0</v>
      </c>
      <c r="BC5116" t="str">
        <f t="shared" si="702"/>
        <v>9791137601901</v>
      </c>
      <c r="BE5116" t="str">
        <f t="shared" si="703"/>
        <v>판타지 웹소설 &gt; 퓨전 판타지</v>
      </c>
    </row>
    <row r="5117" spans="1:57" x14ac:dyDescent="0.3">
      <c r="A5117">
        <v>2313018100</v>
      </c>
      <c r="B5117">
        <v>2313018124</v>
      </c>
      <c r="C5117" t="str">
        <f>T("위대한 가문의 망나니가 되다 25화")</f>
        <v>위대한 가문의 망나니가 되다 25화</v>
      </c>
      <c r="D5117" t="str">
        <f>T("25")</f>
        <v>25</v>
      </c>
      <c r="E5117" t="str">
        <f t="shared" si="700"/>
        <v>바나바다</v>
      </c>
      <c r="H5117" t="str">
        <f t="shared" si="704"/>
        <v>스토리위즈</v>
      </c>
      <c r="I5117" t="str">
        <f t="shared" si="701"/>
        <v>위대한 가문의 망나니가 되다</v>
      </c>
      <c r="J5117">
        <v>0</v>
      </c>
      <c r="K5117">
        <v>0</v>
      </c>
      <c r="L5117">
        <v>0</v>
      </c>
      <c r="M5117">
        <v>4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4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/>
      <c r="AQ5117">
        <v>0</v>
      </c>
      <c r="AR5117">
        <v>0</v>
      </c>
      <c r="AT5117">
        <v>0</v>
      </c>
      <c r="AU5117">
        <v>0</v>
      </c>
      <c r="AW5117">
        <v>0</v>
      </c>
      <c r="AX5117">
        <v>0</v>
      </c>
      <c r="AY5117">
        <v>0</v>
      </c>
      <c r="BC5117" t="str">
        <f t="shared" si="702"/>
        <v>9791137601901</v>
      </c>
      <c r="BE5117" t="str">
        <f t="shared" si="703"/>
        <v>판타지 웹소설 &gt; 퓨전 판타지</v>
      </c>
    </row>
    <row r="5118" spans="1:57" x14ac:dyDescent="0.3">
      <c r="A5118">
        <v>2313018365</v>
      </c>
      <c r="B5118">
        <v>2313018365</v>
      </c>
      <c r="C5118" t="str">
        <f>T("나 혼자 스킬융합 1화")</f>
        <v>나 혼자 스킬융합 1화</v>
      </c>
      <c r="D5118" t="str">
        <f>T("1")</f>
        <v>1</v>
      </c>
      <c r="E5118" t="str">
        <f t="shared" ref="E5118:E5142" si="705">T("붕어빵")</f>
        <v>붕어빵</v>
      </c>
      <c r="H5118" t="str">
        <f t="shared" si="704"/>
        <v>스토리위즈</v>
      </c>
      <c r="I5118" t="str">
        <f t="shared" ref="I5118:I5142" si="706">T("나 혼자 스킬융합")</f>
        <v>나 혼자 스킬융합</v>
      </c>
      <c r="J5118">
        <v>0</v>
      </c>
      <c r="K5118">
        <v>0</v>
      </c>
      <c r="L5118">
        <v>0</v>
      </c>
      <c r="M5118">
        <v>3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3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/>
      <c r="AQ5118">
        <v>0</v>
      </c>
      <c r="AR5118">
        <v>0</v>
      </c>
      <c r="AT5118">
        <v>0</v>
      </c>
      <c r="AU5118">
        <v>0</v>
      </c>
      <c r="AW5118">
        <v>0</v>
      </c>
      <c r="AX5118">
        <v>0</v>
      </c>
      <c r="AY5118">
        <v>0</v>
      </c>
      <c r="BC5118" t="str">
        <f t="shared" ref="BC5118:BC5142" si="707">T("9791137602069")</f>
        <v>9791137602069</v>
      </c>
      <c r="BE5118" t="str">
        <f t="shared" ref="BE5118:BE5142" si="708">T("판타지 웹소설 &gt; 현대 판타지")</f>
        <v>판타지 웹소설 &gt; 현대 판타지</v>
      </c>
    </row>
    <row r="5119" spans="1:57" x14ac:dyDescent="0.3">
      <c r="A5119">
        <v>2313018365</v>
      </c>
      <c r="B5119">
        <v>2313018366</v>
      </c>
      <c r="C5119" t="str">
        <f>T("나 혼자 스킬융합 2화")</f>
        <v>나 혼자 스킬융합 2화</v>
      </c>
      <c r="D5119" t="str">
        <f>T("2")</f>
        <v>2</v>
      </c>
      <c r="E5119" t="str">
        <f t="shared" si="705"/>
        <v>붕어빵</v>
      </c>
      <c r="H5119" t="str">
        <f t="shared" si="704"/>
        <v>스토리위즈</v>
      </c>
      <c r="I5119" t="str">
        <f t="shared" si="706"/>
        <v>나 혼자 스킬융합</v>
      </c>
      <c r="J5119">
        <v>0</v>
      </c>
      <c r="K5119">
        <v>0</v>
      </c>
      <c r="L5119">
        <v>0</v>
      </c>
      <c r="M5119">
        <v>3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3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/>
      <c r="AQ5119">
        <v>0</v>
      </c>
      <c r="AR5119">
        <v>0</v>
      </c>
      <c r="AT5119">
        <v>0</v>
      </c>
      <c r="AU5119">
        <v>0</v>
      </c>
      <c r="AW5119">
        <v>0</v>
      </c>
      <c r="AX5119">
        <v>0</v>
      </c>
      <c r="AY5119">
        <v>0</v>
      </c>
      <c r="BC5119" t="str">
        <f t="shared" si="707"/>
        <v>9791137602069</v>
      </c>
      <c r="BE5119" t="str">
        <f t="shared" si="708"/>
        <v>판타지 웹소설 &gt; 현대 판타지</v>
      </c>
    </row>
    <row r="5120" spans="1:57" x14ac:dyDescent="0.3">
      <c r="A5120">
        <v>2313018365</v>
      </c>
      <c r="B5120">
        <v>2313018367</v>
      </c>
      <c r="C5120" t="str">
        <f>T("나 혼자 스킬융합 3화")</f>
        <v>나 혼자 스킬융합 3화</v>
      </c>
      <c r="D5120" t="str">
        <f>T("3")</f>
        <v>3</v>
      </c>
      <c r="E5120" t="str">
        <f t="shared" si="705"/>
        <v>붕어빵</v>
      </c>
      <c r="H5120" t="str">
        <f t="shared" si="704"/>
        <v>스토리위즈</v>
      </c>
      <c r="I5120" t="str">
        <f t="shared" si="706"/>
        <v>나 혼자 스킬융합</v>
      </c>
      <c r="J5120">
        <v>0</v>
      </c>
      <c r="K5120">
        <v>0</v>
      </c>
      <c r="L5120">
        <v>0</v>
      </c>
      <c r="M5120">
        <v>3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3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/>
      <c r="AQ5120">
        <v>0</v>
      </c>
      <c r="AR5120">
        <v>0</v>
      </c>
      <c r="AT5120">
        <v>0</v>
      </c>
      <c r="AU5120">
        <v>0</v>
      </c>
      <c r="AW5120">
        <v>0</v>
      </c>
      <c r="AX5120">
        <v>0</v>
      </c>
      <c r="AY5120">
        <v>0</v>
      </c>
      <c r="BC5120" t="str">
        <f t="shared" si="707"/>
        <v>9791137602069</v>
      </c>
      <c r="BE5120" t="str">
        <f t="shared" si="708"/>
        <v>판타지 웹소설 &gt; 현대 판타지</v>
      </c>
    </row>
    <row r="5121" spans="1:57" x14ac:dyDescent="0.3">
      <c r="A5121">
        <v>2313018365</v>
      </c>
      <c r="B5121">
        <v>2313018368</v>
      </c>
      <c r="C5121" t="str">
        <f>T("나 혼자 스킬융합 4화")</f>
        <v>나 혼자 스킬융합 4화</v>
      </c>
      <c r="D5121" t="str">
        <f>T("4")</f>
        <v>4</v>
      </c>
      <c r="E5121" t="str">
        <f t="shared" si="705"/>
        <v>붕어빵</v>
      </c>
      <c r="H5121" t="str">
        <f t="shared" si="704"/>
        <v>스토리위즈</v>
      </c>
      <c r="I5121" t="str">
        <f t="shared" si="706"/>
        <v>나 혼자 스킬융합</v>
      </c>
      <c r="J5121">
        <v>0</v>
      </c>
      <c r="K5121">
        <v>0</v>
      </c>
      <c r="L5121">
        <v>0</v>
      </c>
      <c r="M5121">
        <v>3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3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/>
      <c r="AQ5121">
        <v>0</v>
      </c>
      <c r="AR5121">
        <v>0</v>
      </c>
      <c r="AT5121">
        <v>0</v>
      </c>
      <c r="AU5121">
        <v>0</v>
      </c>
      <c r="AW5121">
        <v>0</v>
      </c>
      <c r="AX5121">
        <v>0</v>
      </c>
      <c r="AY5121">
        <v>0</v>
      </c>
      <c r="BC5121" t="str">
        <f t="shared" si="707"/>
        <v>9791137602069</v>
      </c>
      <c r="BE5121" t="str">
        <f t="shared" si="708"/>
        <v>판타지 웹소설 &gt; 현대 판타지</v>
      </c>
    </row>
    <row r="5122" spans="1:57" x14ac:dyDescent="0.3">
      <c r="A5122">
        <v>2313018365</v>
      </c>
      <c r="B5122">
        <v>2313018369</v>
      </c>
      <c r="C5122" t="str">
        <f>T("나 혼자 스킬융합 5화")</f>
        <v>나 혼자 스킬융합 5화</v>
      </c>
      <c r="D5122" t="str">
        <f>T("5")</f>
        <v>5</v>
      </c>
      <c r="E5122" t="str">
        <f t="shared" si="705"/>
        <v>붕어빵</v>
      </c>
      <c r="H5122" t="str">
        <f t="shared" si="704"/>
        <v>스토리위즈</v>
      </c>
      <c r="I5122" t="str">
        <f t="shared" si="706"/>
        <v>나 혼자 스킬융합</v>
      </c>
      <c r="J5122">
        <v>0</v>
      </c>
      <c r="K5122">
        <v>0</v>
      </c>
      <c r="L5122">
        <v>0</v>
      </c>
      <c r="M5122">
        <v>3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3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/>
      <c r="AQ5122">
        <v>0</v>
      </c>
      <c r="AR5122">
        <v>0</v>
      </c>
      <c r="AT5122">
        <v>0</v>
      </c>
      <c r="AU5122">
        <v>0</v>
      </c>
      <c r="AW5122">
        <v>0</v>
      </c>
      <c r="AX5122">
        <v>0</v>
      </c>
      <c r="AY5122">
        <v>0</v>
      </c>
      <c r="BC5122" t="str">
        <f t="shared" si="707"/>
        <v>9791137602069</v>
      </c>
      <c r="BE5122" t="str">
        <f t="shared" si="708"/>
        <v>판타지 웹소설 &gt; 현대 판타지</v>
      </c>
    </row>
    <row r="5123" spans="1:57" x14ac:dyDescent="0.3">
      <c r="A5123">
        <v>2313018365</v>
      </c>
      <c r="B5123">
        <v>2313018370</v>
      </c>
      <c r="C5123" t="str">
        <f>T("나 혼자 스킬융합 6화")</f>
        <v>나 혼자 스킬융합 6화</v>
      </c>
      <c r="D5123" t="str">
        <f>T("6")</f>
        <v>6</v>
      </c>
      <c r="E5123" t="str">
        <f t="shared" si="705"/>
        <v>붕어빵</v>
      </c>
      <c r="H5123" t="str">
        <f t="shared" si="704"/>
        <v>스토리위즈</v>
      </c>
      <c r="I5123" t="str">
        <f t="shared" si="706"/>
        <v>나 혼자 스킬융합</v>
      </c>
      <c r="J5123">
        <v>0</v>
      </c>
      <c r="K5123">
        <v>0</v>
      </c>
      <c r="L5123">
        <v>0</v>
      </c>
      <c r="M5123">
        <v>3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3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/>
      <c r="AQ5123">
        <v>0</v>
      </c>
      <c r="AR5123">
        <v>0</v>
      </c>
      <c r="AT5123">
        <v>0</v>
      </c>
      <c r="AU5123">
        <v>0</v>
      </c>
      <c r="AW5123">
        <v>0</v>
      </c>
      <c r="AX5123">
        <v>0</v>
      </c>
      <c r="AY5123">
        <v>0</v>
      </c>
      <c r="BC5123" t="str">
        <f t="shared" si="707"/>
        <v>9791137602069</v>
      </c>
      <c r="BE5123" t="str">
        <f t="shared" si="708"/>
        <v>판타지 웹소설 &gt; 현대 판타지</v>
      </c>
    </row>
    <row r="5124" spans="1:57" x14ac:dyDescent="0.3">
      <c r="A5124">
        <v>2313018365</v>
      </c>
      <c r="B5124">
        <v>2313018371</v>
      </c>
      <c r="C5124" t="str">
        <f>T("나 혼자 스킬융합 7화")</f>
        <v>나 혼자 스킬융합 7화</v>
      </c>
      <c r="D5124" t="str">
        <f>T("7")</f>
        <v>7</v>
      </c>
      <c r="E5124" t="str">
        <f t="shared" si="705"/>
        <v>붕어빵</v>
      </c>
      <c r="H5124" t="str">
        <f t="shared" si="704"/>
        <v>스토리위즈</v>
      </c>
      <c r="I5124" t="str">
        <f t="shared" si="706"/>
        <v>나 혼자 스킬융합</v>
      </c>
      <c r="J5124">
        <v>0</v>
      </c>
      <c r="K5124">
        <v>0</v>
      </c>
      <c r="L5124">
        <v>0</v>
      </c>
      <c r="M5124">
        <v>3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3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/>
      <c r="AQ5124">
        <v>0</v>
      </c>
      <c r="AR5124">
        <v>0</v>
      </c>
      <c r="AT5124">
        <v>0</v>
      </c>
      <c r="AU5124">
        <v>0</v>
      </c>
      <c r="AW5124">
        <v>0</v>
      </c>
      <c r="AX5124">
        <v>0</v>
      </c>
      <c r="AY5124">
        <v>0</v>
      </c>
      <c r="BC5124" t="str">
        <f t="shared" si="707"/>
        <v>9791137602069</v>
      </c>
      <c r="BE5124" t="str">
        <f t="shared" si="708"/>
        <v>판타지 웹소설 &gt; 현대 판타지</v>
      </c>
    </row>
    <row r="5125" spans="1:57" x14ac:dyDescent="0.3">
      <c r="A5125">
        <v>2313018365</v>
      </c>
      <c r="B5125">
        <v>2313018372</v>
      </c>
      <c r="C5125" t="str">
        <f>T("나 혼자 스킬융합 8화")</f>
        <v>나 혼자 스킬융합 8화</v>
      </c>
      <c r="D5125" t="str">
        <f>T("8")</f>
        <v>8</v>
      </c>
      <c r="E5125" t="str">
        <f t="shared" si="705"/>
        <v>붕어빵</v>
      </c>
      <c r="H5125" t="str">
        <f t="shared" si="704"/>
        <v>스토리위즈</v>
      </c>
      <c r="I5125" t="str">
        <f t="shared" si="706"/>
        <v>나 혼자 스킬융합</v>
      </c>
      <c r="J5125">
        <v>0</v>
      </c>
      <c r="K5125">
        <v>0</v>
      </c>
      <c r="L5125">
        <v>0</v>
      </c>
      <c r="M5125">
        <v>3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3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/>
      <c r="AQ5125">
        <v>0</v>
      </c>
      <c r="AR5125">
        <v>0</v>
      </c>
      <c r="AT5125">
        <v>0</v>
      </c>
      <c r="AU5125">
        <v>0</v>
      </c>
      <c r="AW5125">
        <v>0</v>
      </c>
      <c r="AX5125">
        <v>0</v>
      </c>
      <c r="AY5125">
        <v>0</v>
      </c>
      <c r="BC5125" t="str">
        <f t="shared" si="707"/>
        <v>9791137602069</v>
      </c>
      <c r="BE5125" t="str">
        <f t="shared" si="708"/>
        <v>판타지 웹소설 &gt; 현대 판타지</v>
      </c>
    </row>
    <row r="5126" spans="1:57" x14ac:dyDescent="0.3">
      <c r="A5126">
        <v>2313018365</v>
      </c>
      <c r="B5126">
        <v>2313018373</v>
      </c>
      <c r="C5126" t="str">
        <f>T("나 혼자 스킬융합 9화")</f>
        <v>나 혼자 스킬융합 9화</v>
      </c>
      <c r="D5126" t="str">
        <f>T("9")</f>
        <v>9</v>
      </c>
      <c r="E5126" t="str">
        <f t="shared" si="705"/>
        <v>붕어빵</v>
      </c>
      <c r="H5126" t="str">
        <f t="shared" si="704"/>
        <v>스토리위즈</v>
      </c>
      <c r="I5126" t="str">
        <f t="shared" si="706"/>
        <v>나 혼자 스킬융합</v>
      </c>
      <c r="J5126">
        <v>0</v>
      </c>
      <c r="K5126">
        <v>0</v>
      </c>
      <c r="L5126">
        <v>0</v>
      </c>
      <c r="M5126">
        <v>3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3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/>
      <c r="AQ5126">
        <v>0</v>
      </c>
      <c r="AR5126">
        <v>0</v>
      </c>
      <c r="AT5126">
        <v>0</v>
      </c>
      <c r="AU5126">
        <v>0</v>
      </c>
      <c r="AW5126">
        <v>0</v>
      </c>
      <c r="AX5126">
        <v>0</v>
      </c>
      <c r="AY5126">
        <v>0</v>
      </c>
      <c r="BC5126" t="str">
        <f t="shared" si="707"/>
        <v>9791137602069</v>
      </c>
      <c r="BE5126" t="str">
        <f t="shared" si="708"/>
        <v>판타지 웹소설 &gt; 현대 판타지</v>
      </c>
    </row>
    <row r="5127" spans="1:57" x14ac:dyDescent="0.3">
      <c r="A5127">
        <v>2313018365</v>
      </c>
      <c r="B5127">
        <v>2313018374</v>
      </c>
      <c r="C5127" t="str">
        <f>T("나 혼자 스킬융합 10화")</f>
        <v>나 혼자 스킬융합 10화</v>
      </c>
      <c r="D5127" t="str">
        <f>T("10")</f>
        <v>10</v>
      </c>
      <c r="E5127" t="str">
        <f t="shared" si="705"/>
        <v>붕어빵</v>
      </c>
      <c r="H5127" t="str">
        <f t="shared" si="704"/>
        <v>스토리위즈</v>
      </c>
      <c r="I5127" t="str">
        <f t="shared" si="706"/>
        <v>나 혼자 스킬융합</v>
      </c>
      <c r="J5127">
        <v>0</v>
      </c>
      <c r="K5127">
        <v>0</v>
      </c>
      <c r="L5127">
        <v>0</v>
      </c>
      <c r="M5127">
        <v>3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3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/>
      <c r="AQ5127">
        <v>0</v>
      </c>
      <c r="AR5127">
        <v>0</v>
      </c>
      <c r="AT5127">
        <v>0</v>
      </c>
      <c r="AU5127">
        <v>0</v>
      </c>
      <c r="AW5127">
        <v>0</v>
      </c>
      <c r="AX5127">
        <v>0</v>
      </c>
      <c r="AY5127">
        <v>0</v>
      </c>
      <c r="BC5127" t="str">
        <f t="shared" si="707"/>
        <v>9791137602069</v>
      </c>
      <c r="BE5127" t="str">
        <f t="shared" si="708"/>
        <v>판타지 웹소설 &gt; 현대 판타지</v>
      </c>
    </row>
    <row r="5128" spans="1:57" x14ac:dyDescent="0.3">
      <c r="A5128">
        <v>2313018365</v>
      </c>
      <c r="B5128">
        <v>2313018375</v>
      </c>
      <c r="C5128" t="str">
        <f>T("나 혼자 스킬융합 11화")</f>
        <v>나 혼자 스킬융합 11화</v>
      </c>
      <c r="D5128" t="str">
        <f>T("11")</f>
        <v>11</v>
      </c>
      <c r="E5128" t="str">
        <f t="shared" si="705"/>
        <v>붕어빵</v>
      </c>
      <c r="H5128" t="str">
        <f t="shared" si="704"/>
        <v>스토리위즈</v>
      </c>
      <c r="I5128" t="str">
        <f t="shared" si="706"/>
        <v>나 혼자 스킬융합</v>
      </c>
      <c r="J5128">
        <v>0</v>
      </c>
      <c r="K5128">
        <v>0</v>
      </c>
      <c r="L5128">
        <v>0</v>
      </c>
      <c r="M5128">
        <v>3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3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/>
      <c r="AQ5128">
        <v>0</v>
      </c>
      <c r="AR5128">
        <v>0</v>
      </c>
      <c r="AT5128">
        <v>0</v>
      </c>
      <c r="AU5128">
        <v>0</v>
      </c>
      <c r="AW5128">
        <v>0</v>
      </c>
      <c r="AX5128">
        <v>0</v>
      </c>
      <c r="AY5128">
        <v>0</v>
      </c>
      <c r="BC5128" t="str">
        <f t="shared" si="707"/>
        <v>9791137602069</v>
      </c>
      <c r="BE5128" t="str">
        <f t="shared" si="708"/>
        <v>판타지 웹소설 &gt; 현대 판타지</v>
      </c>
    </row>
    <row r="5129" spans="1:57" x14ac:dyDescent="0.3">
      <c r="A5129">
        <v>2313018365</v>
      </c>
      <c r="B5129">
        <v>2313018376</v>
      </c>
      <c r="C5129" t="str">
        <f>T("나 혼자 스킬융합 12화")</f>
        <v>나 혼자 스킬융합 12화</v>
      </c>
      <c r="D5129" t="str">
        <f>T("12")</f>
        <v>12</v>
      </c>
      <c r="E5129" t="str">
        <f t="shared" si="705"/>
        <v>붕어빵</v>
      </c>
      <c r="H5129" t="str">
        <f t="shared" si="704"/>
        <v>스토리위즈</v>
      </c>
      <c r="I5129" t="str">
        <f t="shared" si="706"/>
        <v>나 혼자 스킬융합</v>
      </c>
      <c r="J5129">
        <v>0</v>
      </c>
      <c r="K5129">
        <v>0</v>
      </c>
      <c r="L5129">
        <v>0</v>
      </c>
      <c r="M5129">
        <v>3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3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/>
      <c r="AQ5129">
        <v>0</v>
      </c>
      <c r="AR5129">
        <v>0</v>
      </c>
      <c r="AT5129">
        <v>0</v>
      </c>
      <c r="AU5129">
        <v>0</v>
      </c>
      <c r="AW5129">
        <v>0</v>
      </c>
      <c r="AX5129">
        <v>0</v>
      </c>
      <c r="AY5129">
        <v>0</v>
      </c>
      <c r="BC5129" t="str">
        <f t="shared" si="707"/>
        <v>9791137602069</v>
      </c>
      <c r="BE5129" t="str">
        <f t="shared" si="708"/>
        <v>판타지 웹소설 &gt; 현대 판타지</v>
      </c>
    </row>
    <row r="5130" spans="1:57" x14ac:dyDescent="0.3">
      <c r="A5130">
        <v>2313018365</v>
      </c>
      <c r="B5130">
        <v>2313018377</v>
      </c>
      <c r="C5130" t="str">
        <f>T("나 혼자 스킬융합 13화")</f>
        <v>나 혼자 스킬융합 13화</v>
      </c>
      <c r="D5130" t="str">
        <f>T("13")</f>
        <v>13</v>
      </c>
      <c r="E5130" t="str">
        <f t="shared" si="705"/>
        <v>붕어빵</v>
      </c>
      <c r="H5130" t="str">
        <f t="shared" si="704"/>
        <v>스토리위즈</v>
      </c>
      <c r="I5130" t="str">
        <f t="shared" si="706"/>
        <v>나 혼자 스킬융합</v>
      </c>
      <c r="J5130">
        <v>0</v>
      </c>
      <c r="K5130">
        <v>0</v>
      </c>
      <c r="L5130">
        <v>0</v>
      </c>
      <c r="M5130">
        <v>3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3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/>
      <c r="AQ5130">
        <v>0</v>
      </c>
      <c r="AR5130">
        <v>0</v>
      </c>
      <c r="AT5130">
        <v>0</v>
      </c>
      <c r="AU5130">
        <v>0</v>
      </c>
      <c r="AW5130">
        <v>0</v>
      </c>
      <c r="AX5130">
        <v>0</v>
      </c>
      <c r="AY5130">
        <v>0</v>
      </c>
      <c r="BC5130" t="str">
        <f t="shared" si="707"/>
        <v>9791137602069</v>
      </c>
      <c r="BE5130" t="str">
        <f t="shared" si="708"/>
        <v>판타지 웹소설 &gt; 현대 판타지</v>
      </c>
    </row>
    <row r="5131" spans="1:57" x14ac:dyDescent="0.3">
      <c r="A5131">
        <v>2313018365</v>
      </c>
      <c r="B5131">
        <v>2313018378</v>
      </c>
      <c r="C5131" t="str">
        <f>T("나 혼자 스킬융합 14화")</f>
        <v>나 혼자 스킬융합 14화</v>
      </c>
      <c r="D5131" t="str">
        <f>T("14")</f>
        <v>14</v>
      </c>
      <c r="E5131" t="str">
        <f t="shared" si="705"/>
        <v>붕어빵</v>
      </c>
      <c r="H5131" t="str">
        <f t="shared" si="704"/>
        <v>스토리위즈</v>
      </c>
      <c r="I5131" t="str">
        <f t="shared" si="706"/>
        <v>나 혼자 스킬융합</v>
      </c>
      <c r="J5131">
        <v>0</v>
      </c>
      <c r="K5131">
        <v>0</v>
      </c>
      <c r="L5131">
        <v>0</v>
      </c>
      <c r="M5131">
        <v>3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3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/>
      <c r="AQ5131">
        <v>0</v>
      </c>
      <c r="AR5131">
        <v>0</v>
      </c>
      <c r="AT5131">
        <v>0</v>
      </c>
      <c r="AU5131">
        <v>0</v>
      </c>
      <c r="AW5131">
        <v>0</v>
      </c>
      <c r="AX5131">
        <v>0</v>
      </c>
      <c r="AY5131">
        <v>0</v>
      </c>
      <c r="BC5131" t="str">
        <f t="shared" si="707"/>
        <v>9791137602069</v>
      </c>
      <c r="BE5131" t="str">
        <f t="shared" si="708"/>
        <v>판타지 웹소설 &gt; 현대 판타지</v>
      </c>
    </row>
    <row r="5132" spans="1:57" x14ac:dyDescent="0.3">
      <c r="A5132">
        <v>2313018365</v>
      </c>
      <c r="B5132">
        <v>2313018379</v>
      </c>
      <c r="C5132" t="str">
        <f>T("나 혼자 스킬융합 15화")</f>
        <v>나 혼자 스킬융합 15화</v>
      </c>
      <c r="D5132" t="str">
        <f>T("15")</f>
        <v>15</v>
      </c>
      <c r="E5132" t="str">
        <f t="shared" si="705"/>
        <v>붕어빵</v>
      </c>
      <c r="H5132" t="str">
        <f t="shared" si="704"/>
        <v>스토리위즈</v>
      </c>
      <c r="I5132" t="str">
        <f t="shared" si="706"/>
        <v>나 혼자 스킬융합</v>
      </c>
      <c r="J5132">
        <v>0</v>
      </c>
      <c r="K5132">
        <v>0</v>
      </c>
      <c r="L5132">
        <v>0</v>
      </c>
      <c r="M5132">
        <v>3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3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/>
      <c r="AQ5132">
        <v>0</v>
      </c>
      <c r="AR5132">
        <v>0</v>
      </c>
      <c r="AT5132">
        <v>0</v>
      </c>
      <c r="AU5132">
        <v>0</v>
      </c>
      <c r="AW5132">
        <v>0</v>
      </c>
      <c r="AX5132">
        <v>0</v>
      </c>
      <c r="AY5132">
        <v>0</v>
      </c>
      <c r="BC5132" t="str">
        <f t="shared" si="707"/>
        <v>9791137602069</v>
      </c>
      <c r="BE5132" t="str">
        <f t="shared" si="708"/>
        <v>판타지 웹소설 &gt; 현대 판타지</v>
      </c>
    </row>
    <row r="5133" spans="1:57" x14ac:dyDescent="0.3">
      <c r="A5133">
        <v>2313018365</v>
      </c>
      <c r="B5133">
        <v>2313018380</v>
      </c>
      <c r="C5133" t="str">
        <f>T("나 혼자 스킬융합 16화")</f>
        <v>나 혼자 스킬융합 16화</v>
      </c>
      <c r="D5133" t="str">
        <f>T("16")</f>
        <v>16</v>
      </c>
      <c r="E5133" t="str">
        <f t="shared" si="705"/>
        <v>붕어빵</v>
      </c>
      <c r="H5133" t="str">
        <f t="shared" si="704"/>
        <v>스토리위즈</v>
      </c>
      <c r="I5133" t="str">
        <f t="shared" si="706"/>
        <v>나 혼자 스킬융합</v>
      </c>
      <c r="J5133">
        <v>0</v>
      </c>
      <c r="K5133">
        <v>0</v>
      </c>
      <c r="L5133">
        <v>0</v>
      </c>
      <c r="M5133">
        <v>3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3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/>
      <c r="AQ5133">
        <v>0</v>
      </c>
      <c r="AR5133">
        <v>0</v>
      </c>
      <c r="AT5133">
        <v>0</v>
      </c>
      <c r="AU5133">
        <v>0</v>
      </c>
      <c r="AW5133">
        <v>0</v>
      </c>
      <c r="AX5133">
        <v>0</v>
      </c>
      <c r="AY5133">
        <v>0</v>
      </c>
      <c r="BC5133" t="str">
        <f t="shared" si="707"/>
        <v>9791137602069</v>
      </c>
      <c r="BE5133" t="str">
        <f t="shared" si="708"/>
        <v>판타지 웹소설 &gt; 현대 판타지</v>
      </c>
    </row>
    <row r="5134" spans="1:57" x14ac:dyDescent="0.3">
      <c r="A5134">
        <v>2313018365</v>
      </c>
      <c r="B5134">
        <v>2313018381</v>
      </c>
      <c r="C5134" t="str">
        <f>T("나 혼자 스킬융합 17화")</f>
        <v>나 혼자 스킬융합 17화</v>
      </c>
      <c r="D5134" t="str">
        <f>T("17")</f>
        <v>17</v>
      </c>
      <c r="E5134" t="str">
        <f t="shared" si="705"/>
        <v>붕어빵</v>
      </c>
      <c r="H5134" t="str">
        <f t="shared" si="704"/>
        <v>스토리위즈</v>
      </c>
      <c r="I5134" t="str">
        <f t="shared" si="706"/>
        <v>나 혼자 스킬융합</v>
      </c>
      <c r="J5134">
        <v>0</v>
      </c>
      <c r="K5134">
        <v>0</v>
      </c>
      <c r="L5134">
        <v>0</v>
      </c>
      <c r="M5134">
        <v>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3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/>
      <c r="AQ5134">
        <v>0</v>
      </c>
      <c r="AR5134">
        <v>0</v>
      </c>
      <c r="AT5134">
        <v>0</v>
      </c>
      <c r="AU5134">
        <v>0</v>
      </c>
      <c r="AW5134">
        <v>0</v>
      </c>
      <c r="AX5134">
        <v>0</v>
      </c>
      <c r="AY5134">
        <v>0</v>
      </c>
      <c r="BC5134" t="str">
        <f t="shared" si="707"/>
        <v>9791137602069</v>
      </c>
      <c r="BE5134" t="str">
        <f t="shared" si="708"/>
        <v>판타지 웹소설 &gt; 현대 판타지</v>
      </c>
    </row>
    <row r="5135" spans="1:57" x14ac:dyDescent="0.3">
      <c r="A5135">
        <v>2313018365</v>
      </c>
      <c r="B5135">
        <v>2313018382</v>
      </c>
      <c r="C5135" t="str">
        <f>T("나 혼자 스킬융합 18화")</f>
        <v>나 혼자 스킬융합 18화</v>
      </c>
      <c r="D5135" t="str">
        <f>T("18")</f>
        <v>18</v>
      </c>
      <c r="E5135" t="str">
        <f t="shared" si="705"/>
        <v>붕어빵</v>
      </c>
      <c r="H5135" t="str">
        <f t="shared" si="704"/>
        <v>스토리위즈</v>
      </c>
      <c r="I5135" t="str">
        <f t="shared" si="706"/>
        <v>나 혼자 스킬융합</v>
      </c>
      <c r="J5135">
        <v>0</v>
      </c>
      <c r="K5135">
        <v>0</v>
      </c>
      <c r="L5135">
        <v>0</v>
      </c>
      <c r="M5135">
        <v>3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3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/>
      <c r="AQ5135">
        <v>0</v>
      </c>
      <c r="AR5135">
        <v>0</v>
      </c>
      <c r="AT5135">
        <v>0</v>
      </c>
      <c r="AU5135">
        <v>0</v>
      </c>
      <c r="AW5135">
        <v>0</v>
      </c>
      <c r="AX5135">
        <v>0</v>
      </c>
      <c r="AY5135">
        <v>0</v>
      </c>
      <c r="BC5135" t="str">
        <f t="shared" si="707"/>
        <v>9791137602069</v>
      </c>
      <c r="BE5135" t="str">
        <f t="shared" si="708"/>
        <v>판타지 웹소설 &gt; 현대 판타지</v>
      </c>
    </row>
    <row r="5136" spans="1:57" x14ac:dyDescent="0.3">
      <c r="A5136">
        <v>2313018365</v>
      </c>
      <c r="B5136">
        <v>2313018383</v>
      </c>
      <c r="C5136" t="str">
        <f>T("나 혼자 스킬융합 19화")</f>
        <v>나 혼자 스킬융합 19화</v>
      </c>
      <c r="D5136" t="str">
        <f>T("19")</f>
        <v>19</v>
      </c>
      <c r="E5136" t="str">
        <f t="shared" si="705"/>
        <v>붕어빵</v>
      </c>
      <c r="H5136" t="str">
        <f t="shared" si="704"/>
        <v>스토리위즈</v>
      </c>
      <c r="I5136" t="str">
        <f t="shared" si="706"/>
        <v>나 혼자 스킬융합</v>
      </c>
      <c r="J5136">
        <v>0</v>
      </c>
      <c r="K5136">
        <v>0</v>
      </c>
      <c r="L5136">
        <v>0</v>
      </c>
      <c r="M5136">
        <v>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2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/>
      <c r="AQ5136">
        <v>0</v>
      </c>
      <c r="AR5136">
        <v>0</v>
      </c>
      <c r="AT5136">
        <v>0</v>
      </c>
      <c r="AU5136">
        <v>0</v>
      </c>
      <c r="AW5136">
        <v>0</v>
      </c>
      <c r="AX5136">
        <v>0</v>
      </c>
      <c r="AY5136">
        <v>0</v>
      </c>
      <c r="BC5136" t="str">
        <f t="shared" si="707"/>
        <v>9791137602069</v>
      </c>
      <c r="BE5136" t="str">
        <f t="shared" si="708"/>
        <v>판타지 웹소설 &gt; 현대 판타지</v>
      </c>
    </row>
    <row r="5137" spans="1:57" x14ac:dyDescent="0.3">
      <c r="A5137">
        <v>2313018365</v>
      </c>
      <c r="B5137">
        <v>2313018384</v>
      </c>
      <c r="C5137" t="str">
        <f>T("나 혼자 스킬융합 20화")</f>
        <v>나 혼자 스킬융합 20화</v>
      </c>
      <c r="D5137" t="str">
        <f>T("20")</f>
        <v>20</v>
      </c>
      <c r="E5137" t="str">
        <f t="shared" si="705"/>
        <v>붕어빵</v>
      </c>
      <c r="H5137" t="str">
        <f t="shared" si="704"/>
        <v>스토리위즈</v>
      </c>
      <c r="I5137" t="str">
        <f t="shared" si="706"/>
        <v>나 혼자 스킬융합</v>
      </c>
      <c r="J5137">
        <v>0</v>
      </c>
      <c r="K5137">
        <v>0</v>
      </c>
      <c r="L5137">
        <v>0</v>
      </c>
      <c r="M5137">
        <v>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2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/>
      <c r="AQ5137">
        <v>0</v>
      </c>
      <c r="AR5137">
        <v>0</v>
      </c>
      <c r="AT5137">
        <v>0</v>
      </c>
      <c r="AU5137">
        <v>0</v>
      </c>
      <c r="AW5137">
        <v>0</v>
      </c>
      <c r="AX5137">
        <v>0</v>
      </c>
      <c r="AY5137">
        <v>0</v>
      </c>
      <c r="BC5137" t="str">
        <f t="shared" si="707"/>
        <v>9791137602069</v>
      </c>
      <c r="BE5137" t="str">
        <f t="shared" si="708"/>
        <v>판타지 웹소설 &gt; 현대 판타지</v>
      </c>
    </row>
    <row r="5138" spans="1:57" x14ac:dyDescent="0.3">
      <c r="A5138">
        <v>2313018365</v>
      </c>
      <c r="B5138">
        <v>2313018385</v>
      </c>
      <c r="C5138" t="str">
        <f>T("나 혼자 스킬융합 21화")</f>
        <v>나 혼자 스킬융합 21화</v>
      </c>
      <c r="D5138" t="str">
        <f>T("21")</f>
        <v>21</v>
      </c>
      <c r="E5138" t="str">
        <f t="shared" si="705"/>
        <v>붕어빵</v>
      </c>
      <c r="H5138" t="str">
        <f t="shared" si="704"/>
        <v>스토리위즈</v>
      </c>
      <c r="I5138" t="str">
        <f t="shared" si="706"/>
        <v>나 혼자 스킬융합</v>
      </c>
      <c r="J5138">
        <v>0</v>
      </c>
      <c r="K5138">
        <v>0</v>
      </c>
      <c r="L5138">
        <v>0</v>
      </c>
      <c r="M5138">
        <v>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2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/>
      <c r="AQ5138">
        <v>0</v>
      </c>
      <c r="AR5138">
        <v>0</v>
      </c>
      <c r="AT5138">
        <v>0</v>
      </c>
      <c r="AU5138">
        <v>0</v>
      </c>
      <c r="AW5138">
        <v>0</v>
      </c>
      <c r="AX5138">
        <v>0</v>
      </c>
      <c r="AY5138">
        <v>0</v>
      </c>
      <c r="BC5138" t="str">
        <f t="shared" si="707"/>
        <v>9791137602069</v>
      </c>
      <c r="BE5138" t="str">
        <f t="shared" si="708"/>
        <v>판타지 웹소설 &gt; 현대 판타지</v>
      </c>
    </row>
    <row r="5139" spans="1:57" x14ac:dyDescent="0.3">
      <c r="A5139">
        <v>2313018365</v>
      </c>
      <c r="B5139">
        <v>2313018386</v>
      </c>
      <c r="C5139" t="str">
        <f>T("나 혼자 스킬융합 22화")</f>
        <v>나 혼자 스킬융합 22화</v>
      </c>
      <c r="D5139" t="str">
        <f>T("22")</f>
        <v>22</v>
      </c>
      <c r="E5139" t="str">
        <f t="shared" si="705"/>
        <v>붕어빵</v>
      </c>
      <c r="H5139" t="str">
        <f t="shared" si="704"/>
        <v>스토리위즈</v>
      </c>
      <c r="I5139" t="str">
        <f t="shared" si="706"/>
        <v>나 혼자 스킬융합</v>
      </c>
      <c r="J5139">
        <v>0</v>
      </c>
      <c r="K5139">
        <v>0</v>
      </c>
      <c r="L5139">
        <v>0</v>
      </c>
      <c r="M5139">
        <v>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2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/>
      <c r="AQ5139">
        <v>0</v>
      </c>
      <c r="AR5139">
        <v>0</v>
      </c>
      <c r="AT5139">
        <v>0</v>
      </c>
      <c r="AU5139">
        <v>0</v>
      </c>
      <c r="AW5139">
        <v>0</v>
      </c>
      <c r="AX5139">
        <v>0</v>
      </c>
      <c r="AY5139">
        <v>0</v>
      </c>
      <c r="BC5139" t="str">
        <f t="shared" si="707"/>
        <v>9791137602069</v>
      </c>
      <c r="BE5139" t="str">
        <f t="shared" si="708"/>
        <v>판타지 웹소설 &gt; 현대 판타지</v>
      </c>
    </row>
    <row r="5140" spans="1:57" x14ac:dyDescent="0.3">
      <c r="A5140">
        <v>2313018365</v>
      </c>
      <c r="B5140">
        <v>2313018387</v>
      </c>
      <c r="C5140" t="str">
        <f>T("나 혼자 스킬융합 23화")</f>
        <v>나 혼자 스킬융합 23화</v>
      </c>
      <c r="D5140" t="str">
        <f>T("23")</f>
        <v>23</v>
      </c>
      <c r="E5140" t="str">
        <f t="shared" si="705"/>
        <v>붕어빵</v>
      </c>
      <c r="H5140" t="str">
        <f t="shared" si="704"/>
        <v>스토리위즈</v>
      </c>
      <c r="I5140" t="str">
        <f t="shared" si="706"/>
        <v>나 혼자 스킬융합</v>
      </c>
      <c r="J5140">
        <v>0</v>
      </c>
      <c r="K5140">
        <v>0</v>
      </c>
      <c r="L5140">
        <v>0</v>
      </c>
      <c r="M5140">
        <v>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2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/>
      <c r="AQ5140">
        <v>0</v>
      </c>
      <c r="AR5140">
        <v>0</v>
      </c>
      <c r="AT5140">
        <v>0</v>
      </c>
      <c r="AU5140">
        <v>0</v>
      </c>
      <c r="AW5140">
        <v>0</v>
      </c>
      <c r="AX5140">
        <v>0</v>
      </c>
      <c r="AY5140">
        <v>0</v>
      </c>
      <c r="BC5140" t="str">
        <f t="shared" si="707"/>
        <v>9791137602069</v>
      </c>
      <c r="BE5140" t="str">
        <f t="shared" si="708"/>
        <v>판타지 웹소설 &gt; 현대 판타지</v>
      </c>
    </row>
    <row r="5141" spans="1:57" x14ac:dyDescent="0.3">
      <c r="A5141">
        <v>2313018365</v>
      </c>
      <c r="B5141">
        <v>2313018388</v>
      </c>
      <c r="C5141" t="str">
        <f>T("나 혼자 스킬융합 24화")</f>
        <v>나 혼자 스킬융합 24화</v>
      </c>
      <c r="D5141" t="str">
        <f>T("24")</f>
        <v>24</v>
      </c>
      <c r="E5141" t="str">
        <f t="shared" si="705"/>
        <v>붕어빵</v>
      </c>
      <c r="H5141" t="str">
        <f t="shared" si="704"/>
        <v>스토리위즈</v>
      </c>
      <c r="I5141" t="str">
        <f t="shared" si="706"/>
        <v>나 혼자 스킬융합</v>
      </c>
      <c r="J5141">
        <v>0</v>
      </c>
      <c r="K5141">
        <v>0</v>
      </c>
      <c r="L5141">
        <v>0</v>
      </c>
      <c r="M5141">
        <v>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2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/>
      <c r="AQ5141">
        <v>0</v>
      </c>
      <c r="AR5141">
        <v>0</v>
      </c>
      <c r="AT5141">
        <v>0</v>
      </c>
      <c r="AU5141">
        <v>0</v>
      </c>
      <c r="AW5141">
        <v>0</v>
      </c>
      <c r="AX5141">
        <v>0</v>
      </c>
      <c r="AY5141">
        <v>0</v>
      </c>
      <c r="BC5141" t="str">
        <f t="shared" si="707"/>
        <v>9791137602069</v>
      </c>
      <c r="BE5141" t="str">
        <f t="shared" si="708"/>
        <v>판타지 웹소설 &gt; 현대 판타지</v>
      </c>
    </row>
    <row r="5142" spans="1:57" x14ac:dyDescent="0.3">
      <c r="A5142">
        <v>2313018365</v>
      </c>
      <c r="B5142">
        <v>2313018389</v>
      </c>
      <c r="C5142" t="str">
        <f>T("나 혼자 스킬융합 25화")</f>
        <v>나 혼자 스킬융합 25화</v>
      </c>
      <c r="D5142" t="str">
        <f>T("25")</f>
        <v>25</v>
      </c>
      <c r="E5142" t="str">
        <f t="shared" si="705"/>
        <v>붕어빵</v>
      </c>
      <c r="H5142" t="str">
        <f t="shared" si="704"/>
        <v>스토리위즈</v>
      </c>
      <c r="I5142" t="str">
        <f t="shared" si="706"/>
        <v>나 혼자 스킬융합</v>
      </c>
      <c r="J5142">
        <v>0</v>
      </c>
      <c r="K5142">
        <v>0</v>
      </c>
      <c r="L5142">
        <v>0</v>
      </c>
      <c r="M5142">
        <v>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2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/>
      <c r="AQ5142">
        <v>0</v>
      </c>
      <c r="AR5142">
        <v>0</v>
      </c>
      <c r="AT5142">
        <v>0</v>
      </c>
      <c r="AU5142">
        <v>0</v>
      </c>
      <c r="AW5142">
        <v>0</v>
      </c>
      <c r="AX5142">
        <v>0</v>
      </c>
      <c r="AY5142">
        <v>0</v>
      </c>
      <c r="BC5142" t="str">
        <f t="shared" si="707"/>
        <v>9791137602069</v>
      </c>
      <c r="BE5142" t="str">
        <f t="shared" si="708"/>
        <v>판타지 웹소설 &gt; 현대 판타지</v>
      </c>
    </row>
    <row r="5143" spans="1:57" x14ac:dyDescent="0.3">
      <c r="A5143">
        <v>2313018565</v>
      </c>
      <c r="B5143">
        <v>2313018565</v>
      </c>
      <c r="C5143" t="str">
        <f>T("[e북]슈퍼스타의 비밀어플 1권")</f>
        <v>[e북]슈퍼스타의 비밀어플 1권</v>
      </c>
      <c r="D5143" t="str">
        <f>T("1")</f>
        <v>1</v>
      </c>
      <c r="E5143" t="str">
        <f>T("왕십리글쟁이")</f>
        <v>왕십리글쟁이</v>
      </c>
      <c r="H5143" t="str">
        <f t="shared" si="704"/>
        <v>스토리위즈</v>
      </c>
      <c r="I5143" t="str">
        <f>T("[e북]슈퍼스타의 비밀어플")</f>
        <v>[e북]슈퍼스타의 비밀어플</v>
      </c>
      <c r="J5143">
        <v>0</v>
      </c>
      <c r="K5143">
        <v>0</v>
      </c>
      <c r="L5143">
        <v>0</v>
      </c>
      <c r="M5143">
        <v>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2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/>
      <c r="AQ5143">
        <v>0</v>
      </c>
      <c r="AR5143">
        <v>0</v>
      </c>
      <c r="AT5143">
        <v>0</v>
      </c>
      <c r="AU5143">
        <v>0</v>
      </c>
      <c r="AW5143">
        <v>0</v>
      </c>
      <c r="AX5143">
        <v>0</v>
      </c>
      <c r="AY5143">
        <v>0</v>
      </c>
      <c r="BC5143" t="str">
        <f>T("9791137601826")</f>
        <v>9791137601826</v>
      </c>
      <c r="BE5143" t="str">
        <f>T("판타지 e북 &gt; 현대 판타지")</f>
        <v>판타지 e북 &gt; 현대 판타지</v>
      </c>
    </row>
    <row r="5144" spans="1:57" x14ac:dyDescent="0.3">
      <c r="A5144">
        <v>2313018571</v>
      </c>
      <c r="B5144">
        <v>2313018571</v>
      </c>
      <c r="C5144" t="str">
        <f>T("[e북]유성하소월 1권")</f>
        <v>[e북]유성하소월 1권</v>
      </c>
      <c r="D5144" t="str">
        <f>T("1")</f>
        <v>1</v>
      </c>
      <c r="E5144" t="str">
        <f>T("무장")</f>
        <v>무장</v>
      </c>
      <c r="H5144" t="str">
        <f t="shared" si="704"/>
        <v>스토리위즈</v>
      </c>
      <c r="I5144" t="str">
        <f>T("[e북]유성하소월")</f>
        <v>[e북]유성하소월</v>
      </c>
      <c r="J5144">
        <v>0</v>
      </c>
      <c r="K5144">
        <v>0</v>
      </c>
      <c r="L5144">
        <v>0</v>
      </c>
      <c r="M5144">
        <v>6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6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/>
      <c r="AQ5144">
        <v>0</v>
      </c>
      <c r="AR5144">
        <v>0</v>
      </c>
      <c r="AT5144">
        <v>0</v>
      </c>
      <c r="AU5144">
        <v>0</v>
      </c>
      <c r="AW5144">
        <v>0</v>
      </c>
      <c r="AX5144">
        <v>0</v>
      </c>
      <c r="AY5144">
        <v>0</v>
      </c>
      <c r="BC5144" t="str">
        <f>T("9791137601758")</f>
        <v>9791137601758</v>
      </c>
      <c r="BE5144" t="str">
        <f>T("판타지 e북 &gt; 신무협")</f>
        <v>판타지 e북 &gt; 신무협</v>
      </c>
    </row>
    <row r="5145" spans="1:57" x14ac:dyDescent="0.3">
      <c r="A5145">
        <v>2313018571</v>
      </c>
      <c r="B5145">
        <v>2313018575</v>
      </c>
      <c r="C5145" t="str">
        <f>T("[e북]유성하소월 5권")</f>
        <v>[e북]유성하소월 5권</v>
      </c>
      <c r="D5145" t="str">
        <f>T("5")</f>
        <v>5</v>
      </c>
      <c r="E5145" t="str">
        <f>T("무장")</f>
        <v>무장</v>
      </c>
      <c r="H5145" t="str">
        <f t="shared" si="704"/>
        <v>스토리위즈</v>
      </c>
      <c r="I5145" t="str">
        <f>T("[e북]유성하소월")</f>
        <v>[e북]유성하소월</v>
      </c>
      <c r="J5145">
        <v>0</v>
      </c>
      <c r="K5145">
        <v>0</v>
      </c>
      <c r="L5145">
        <v>0</v>
      </c>
      <c r="M5145">
        <v>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2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/>
      <c r="AQ5145">
        <v>0</v>
      </c>
      <c r="AR5145">
        <v>0</v>
      </c>
      <c r="AT5145">
        <v>0</v>
      </c>
      <c r="AU5145">
        <v>0</v>
      </c>
      <c r="AW5145">
        <v>0</v>
      </c>
      <c r="AX5145">
        <v>0</v>
      </c>
      <c r="AY5145">
        <v>0</v>
      </c>
      <c r="BC5145" t="str">
        <f>T("9791137601796")</f>
        <v>9791137601796</v>
      </c>
      <c r="BE5145" t="str">
        <f>T("판타지 e북 &gt; 신무협")</f>
        <v>판타지 e북 &gt; 신무협</v>
      </c>
    </row>
    <row r="5146" spans="1:57" x14ac:dyDescent="0.3">
      <c r="A5146">
        <v>2313018597</v>
      </c>
      <c r="B5146">
        <v>2313018597</v>
      </c>
      <c r="C5146" t="str">
        <f>T("[e북]회귀자의 슬기로운 복수생활 1권")</f>
        <v>[e북]회귀자의 슬기로운 복수생활 1권</v>
      </c>
      <c r="D5146" t="str">
        <f>T("1")</f>
        <v>1</v>
      </c>
      <c r="E5146" t="str">
        <f>T("구공")</f>
        <v>구공</v>
      </c>
      <c r="H5146" t="str">
        <f t="shared" si="704"/>
        <v>스토리위즈</v>
      </c>
      <c r="I5146" t="str">
        <f>T("[e북]회귀자의 슬기로운 복수생활")</f>
        <v>[e북]회귀자의 슬기로운 복수생활</v>
      </c>
      <c r="J5146">
        <v>0</v>
      </c>
      <c r="K5146">
        <v>0</v>
      </c>
      <c r="L5146">
        <v>0</v>
      </c>
      <c r="M5146">
        <v>5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5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/>
      <c r="AQ5146">
        <v>0</v>
      </c>
      <c r="AR5146">
        <v>0</v>
      </c>
      <c r="AT5146">
        <v>0</v>
      </c>
      <c r="AU5146">
        <v>0</v>
      </c>
      <c r="AW5146">
        <v>0</v>
      </c>
      <c r="AX5146">
        <v>0</v>
      </c>
      <c r="AY5146">
        <v>0</v>
      </c>
      <c r="BC5146" t="str">
        <f>T("9791137605268")</f>
        <v>9791137605268</v>
      </c>
      <c r="BE5146" t="str">
        <f>T("판타지 e북 &gt; 퓨전 판타지")</f>
        <v>판타지 e북 &gt; 퓨전 판타지</v>
      </c>
    </row>
    <row r="5147" spans="1:57" x14ac:dyDescent="0.3">
      <c r="A5147">
        <v>2313018609</v>
      </c>
      <c r="B5147">
        <v>2313018609</v>
      </c>
      <c r="C5147" t="str">
        <f>T("[e북]위대한 가문의 망나니가 되다 1권")</f>
        <v>[e북]위대한 가문의 망나니가 되다 1권</v>
      </c>
      <c r="D5147" t="str">
        <f>T("1")</f>
        <v>1</v>
      </c>
      <c r="E5147" t="str">
        <f>T("바나바다")</f>
        <v>바나바다</v>
      </c>
      <c r="H5147" t="str">
        <f t="shared" si="704"/>
        <v>스토리위즈</v>
      </c>
      <c r="I5147" t="str">
        <f>T("[e북]위대한 가문의 망나니가 되다")</f>
        <v>[e북]위대한 가문의 망나니가 되다</v>
      </c>
      <c r="J5147">
        <v>0</v>
      </c>
      <c r="K5147">
        <v>0</v>
      </c>
      <c r="L5147">
        <v>0</v>
      </c>
      <c r="M5147">
        <v>3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3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/>
      <c r="AQ5147">
        <v>0</v>
      </c>
      <c r="AR5147">
        <v>0</v>
      </c>
      <c r="AT5147">
        <v>0</v>
      </c>
      <c r="AU5147">
        <v>0</v>
      </c>
      <c r="AW5147">
        <v>0</v>
      </c>
      <c r="AX5147">
        <v>0</v>
      </c>
      <c r="AY5147">
        <v>0</v>
      </c>
      <c r="BC5147" t="str">
        <f>T("9791137605626")</f>
        <v>9791137605626</v>
      </c>
      <c r="BE5147" t="str">
        <f>T("판타지 e북 &gt; 퓨전 판타지")</f>
        <v>판타지 e북 &gt; 퓨전 판타지</v>
      </c>
    </row>
    <row r="5148" spans="1:57" x14ac:dyDescent="0.3">
      <c r="A5148">
        <v>2313018620</v>
      </c>
      <c r="B5148">
        <v>2313018620</v>
      </c>
      <c r="C5148" t="str">
        <f>T("[e북]나 혼자 스킬융합 1권")</f>
        <v>[e북]나 혼자 스킬융합 1권</v>
      </c>
      <c r="D5148" t="str">
        <f>T("1")</f>
        <v>1</v>
      </c>
      <c r="E5148" t="str">
        <f>T("붕어빵")</f>
        <v>붕어빵</v>
      </c>
      <c r="H5148" t="str">
        <f t="shared" si="704"/>
        <v>스토리위즈</v>
      </c>
      <c r="I5148" t="str">
        <f>T("[e북]나 혼자 스킬융합")</f>
        <v>[e북]나 혼자 스킬융합</v>
      </c>
      <c r="J5148">
        <v>0</v>
      </c>
      <c r="K5148">
        <v>0</v>
      </c>
      <c r="L5148">
        <v>0</v>
      </c>
      <c r="M5148">
        <v>16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16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/>
      <c r="AQ5148">
        <v>0</v>
      </c>
      <c r="AR5148">
        <v>0</v>
      </c>
      <c r="AT5148">
        <v>0</v>
      </c>
      <c r="AU5148">
        <v>0</v>
      </c>
      <c r="AW5148">
        <v>0</v>
      </c>
      <c r="AX5148">
        <v>0</v>
      </c>
      <c r="AY5148">
        <v>0</v>
      </c>
      <c r="BC5148" t="str">
        <f>T("9791137605480")</f>
        <v>9791137605480</v>
      </c>
      <c r="BE5148" t="str">
        <f>T("판타지 e북 &gt; 현대 판타지")</f>
        <v>판타지 e북 &gt; 현대 판타지</v>
      </c>
    </row>
    <row r="5149" spans="1:57" x14ac:dyDescent="0.3">
      <c r="A5149">
        <v>2313018633</v>
      </c>
      <c r="B5149">
        <v>2313018633</v>
      </c>
      <c r="C5149" t="str">
        <f>T("천재 배우의 다이어리 1화")</f>
        <v>천재 배우의 다이어리 1화</v>
      </c>
      <c r="D5149" t="str">
        <f>T("1")</f>
        <v>1</v>
      </c>
      <c r="E5149" t="str">
        <f t="shared" ref="E5149:E5173" si="709">T("mollen")</f>
        <v>mollen</v>
      </c>
      <c r="H5149" t="str">
        <f t="shared" si="704"/>
        <v>스토리위즈</v>
      </c>
      <c r="I5149" t="str">
        <f t="shared" ref="I5149:I5173" si="710">T("천재 배우의 다이어리")</f>
        <v>천재 배우의 다이어리</v>
      </c>
      <c r="J5149">
        <v>0</v>
      </c>
      <c r="K5149">
        <v>0</v>
      </c>
      <c r="L5149">
        <v>0</v>
      </c>
      <c r="M5149">
        <v>5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5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/>
      <c r="AQ5149">
        <v>0</v>
      </c>
      <c r="AR5149">
        <v>0</v>
      </c>
      <c r="AT5149">
        <v>0</v>
      </c>
      <c r="AU5149">
        <v>0</v>
      </c>
      <c r="AW5149">
        <v>0</v>
      </c>
      <c r="AX5149">
        <v>0</v>
      </c>
      <c r="AY5149">
        <v>0</v>
      </c>
      <c r="BC5149" t="str">
        <f t="shared" ref="BC5149:BC5173" si="711">T("9791137600683")</f>
        <v>9791137600683</v>
      </c>
      <c r="BE5149" t="str">
        <f t="shared" ref="BE5149:BE5173" si="712">T("판타지 웹소설 &gt; 현대 판타지")</f>
        <v>판타지 웹소설 &gt; 현대 판타지</v>
      </c>
    </row>
    <row r="5150" spans="1:57" x14ac:dyDescent="0.3">
      <c r="A5150">
        <v>2313018633</v>
      </c>
      <c r="B5150">
        <v>2313018634</v>
      </c>
      <c r="C5150" t="str">
        <f>T("천재 배우의 다이어리 2화")</f>
        <v>천재 배우의 다이어리 2화</v>
      </c>
      <c r="D5150" t="str">
        <f>T("2")</f>
        <v>2</v>
      </c>
      <c r="E5150" t="str">
        <f t="shared" si="709"/>
        <v>mollen</v>
      </c>
      <c r="H5150" t="str">
        <f t="shared" si="704"/>
        <v>스토리위즈</v>
      </c>
      <c r="I5150" t="str">
        <f t="shared" si="710"/>
        <v>천재 배우의 다이어리</v>
      </c>
      <c r="J5150">
        <v>0</v>
      </c>
      <c r="K5150">
        <v>0</v>
      </c>
      <c r="L5150">
        <v>0</v>
      </c>
      <c r="M5150">
        <v>5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5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/>
      <c r="AQ5150">
        <v>0</v>
      </c>
      <c r="AR5150">
        <v>0</v>
      </c>
      <c r="AT5150">
        <v>0</v>
      </c>
      <c r="AU5150">
        <v>0</v>
      </c>
      <c r="AW5150">
        <v>0</v>
      </c>
      <c r="AX5150">
        <v>0</v>
      </c>
      <c r="AY5150">
        <v>0</v>
      </c>
      <c r="BC5150" t="str">
        <f t="shared" si="711"/>
        <v>9791137600683</v>
      </c>
      <c r="BE5150" t="str">
        <f t="shared" si="712"/>
        <v>판타지 웹소설 &gt; 현대 판타지</v>
      </c>
    </row>
    <row r="5151" spans="1:57" x14ac:dyDescent="0.3">
      <c r="A5151">
        <v>2313018633</v>
      </c>
      <c r="B5151">
        <v>2313018635</v>
      </c>
      <c r="C5151" t="str">
        <f>T("천재 배우의 다이어리 3화")</f>
        <v>천재 배우의 다이어리 3화</v>
      </c>
      <c r="D5151" t="str">
        <f>T("3")</f>
        <v>3</v>
      </c>
      <c r="E5151" t="str">
        <f t="shared" si="709"/>
        <v>mollen</v>
      </c>
      <c r="H5151" t="str">
        <f t="shared" si="704"/>
        <v>스토리위즈</v>
      </c>
      <c r="I5151" t="str">
        <f t="shared" si="710"/>
        <v>천재 배우의 다이어리</v>
      </c>
      <c r="J5151">
        <v>0</v>
      </c>
      <c r="K5151">
        <v>0</v>
      </c>
      <c r="L5151">
        <v>0</v>
      </c>
      <c r="M5151">
        <v>5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5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/>
      <c r="AQ5151">
        <v>0</v>
      </c>
      <c r="AR5151">
        <v>0</v>
      </c>
      <c r="AT5151">
        <v>0</v>
      </c>
      <c r="AU5151">
        <v>0</v>
      </c>
      <c r="AW5151">
        <v>0</v>
      </c>
      <c r="AX5151">
        <v>0</v>
      </c>
      <c r="AY5151">
        <v>0</v>
      </c>
      <c r="BC5151" t="str">
        <f t="shared" si="711"/>
        <v>9791137600683</v>
      </c>
      <c r="BE5151" t="str">
        <f t="shared" si="712"/>
        <v>판타지 웹소설 &gt; 현대 판타지</v>
      </c>
    </row>
    <row r="5152" spans="1:57" x14ac:dyDescent="0.3">
      <c r="A5152">
        <v>2313018633</v>
      </c>
      <c r="B5152">
        <v>2313018636</v>
      </c>
      <c r="C5152" t="str">
        <f>T("천재 배우의 다이어리 4화")</f>
        <v>천재 배우의 다이어리 4화</v>
      </c>
      <c r="D5152" t="str">
        <f>T("4")</f>
        <v>4</v>
      </c>
      <c r="E5152" t="str">
        <f t="shared" si="709"/>
        <v>mollen</v>
      </c>
      <c r="H5152" t="str">
        <f t="shared" si="704"/>
        <v>스토리위즈</v>
      </c>
      <c r="I5152" t="str">
        <f t="shared" si="710"/>
        <v>천재 배우의 다이어리</v>
      </c>
      <c r="J5152">
        <v>0</v>
      </c>
      <c r="K5152">
        <v>0</v>
      </c>
      <c r="L5152">
        <v>0</v>
      </c>
      <c r="M5152">
        <v>5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5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/>
      <c r="AQ5152">
        <v>0</v>
      </c>
      <c r="AR5152">
        <v>0</v>
      </c>
      <c r="AT5152">
        <v>0</v>
      </c>
      <c r="AU5152">
        <v>0</v>
      </c>
      <c r="AW5152">
        <v>0</v>
      </c>
      <c r="AX5152">
        <v>0</v>
      </c>
      <c r="AY5152">
        <v>0</v>
      </c>
      <c r="BC5152" t="str">
        <f t="shared" si="711"/>
        <v>9791137600683</v>
      </c>
      <c r="BE5152" t="str">
        <f t="shared" si="712"/>
        <v>판타지 웹소설 &gt; 현대 판타지</v>
      </c>
    </row>
    <row r="5153" spans="1:57" x14ac:dyDescent="0.3">
      <c r="A5153">
        <v>2313018633</v>
      </c>
      <c r="B5153">
        <v>2313018637</v>
      </c>
      <c r="C5153" t="str">
        <f>T("천재 배우의 다이어리 5화")</f>
        <v>천재 배우의 다이어리 5화</v>
      </c>
      <c r="D5153" t="str">
        <f>T("5")</f>
        <v>5</v>
      </c>
      <c r="E5153" t="str">
        <f t="shared" si="709"/>
        <v>mollen</v>
      </c>
      <c r="H5153" t="str">
        <f t="shared" si="704"/>
        <v>스토리위즈</v>
      </c>
      <c r="I5153" t="str">
        <f t="shared" si="710"/>
        <v>천재 배우의 다이어리</v>
      </c>
      <c r="J5153">
        <v>0</v>
      </c>
      <c r="K5153">
        <v>0</v>
      </c>
      <c r="L5153">
        <v>0</v>
      </c>
      <c r="M5153">
        <v>5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5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/>
      <c r="AQ5153">
        <v>0</v>
      </c>
      <c r="AR5153">
        <v>0</v>
      </c>
      <c r="AT5153">
        <v>0</v>
      </c>
      <c r="AU5153">
        <v>0</v>
      </c>
      <c r="AW5153">
        <v>0</v>
      </c>
      <c r="AX5153">
        <v>0</v>
      </c>
      <c r="AY5153">
        <v>0</v>
      </c>
      <c r="BC5153" t="str">
        <f t="shared" si="711"/>
        <v>9791137600683</v>
      </c>
      <c r="BE5153" t="str">
        <f t="shared" si="712"/>
        <v>판타지 웹소설 &gt; 현대 판타지</v>
      </c>
    </row>
    <row r="5154" spans="1:57" x14ac:dyDescent="0.3">
      <c r="A5154">
        <v>2313018633</v>
      </c>
      <c r="B5154">
        <v>2313018638</v>
      </c>
      <c r="C5154" t="str">
        <f>T("천재 배우의 다이어리 6화")</f>
        <v>천재 배우의 다이어리 6화</v>
      </c>
      <c r="D5154" t="str">
        <f>T("6")</f>
        <v>6</v>
      </c>
      <c r="E5154" t="str">
        <f t="shared" si="709"/>
        <v>mollen</v>
      </c>
      <c r="H5154" t="str">
        <f t="shared" si="704"/>
        <v>스토리위즈</v>
      </c>
      <c r="I5154" t="str">
        <f t="shared" si="710"/>
        <v>천재 배우의 다이어리</v>
      </c>
      <c r="J5154">
        <v>0</v>
      </c>
      <c r="K5154">
        <v>0</v>
      </c>
      <c r="L5154">
        <v>0</v>
      </c>
      <c r="M5154">
        <v>5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5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/>
      <c r="AQ5154">
        <v>0</v>
      </c>
      <c r="AR5154">
        <v>0</v>
      </c>
      <c r="AT5154">
        <v>0</v>
      </c>
      <c r="AU5154">
        <v>0</v>
      </c>
      <c r="AW5154">
        <v>0</v>
      </c>
      <c r="AX5154">
        <v>0</v>
      </c>
      <c r="AY5154">
        <v>0</v>
      </c>
      <c r="BC5154" t="str">
        <f t="shared" si="711"/>
        <v>9791137600683</v>
      </c>
      <c r="BE5154" t="str">
        <f t="shared" si="712"/>
        <v>판타지 웹소설 &gt; 현대 판타지</v>
      </c>
    </row>
    <row r="5155" spans="1:57" x14ac:dyDescent="0.3">
      <c r="A5155">
        <v>2313018633</v>
      </c>
      <c r="B5155">
        <v>2313018639</v>
      </c>
      <c r="C5155" t="str">
        <f>T("천재 배우의 다이어리 7화")</f>
        <v>천재 배우의 다이어리 7화</v>
      </c>
      <c r="D5155" t="str">
        <f>T("7")</f>
        <v>7</v>
      </c>
      <c r="E5155" t="str">
        <f t="shared" si="709"/>
        <v>mollen</v>
      </c>
      <c r="H5155" t="str">
        <f t="shared" si="704"/>
        <v>스토리위즈</v>
      </c>
      <c r="I5155" t="str">
        <f t="shared" si="710"/>
        <v>천재 배우의 다이어리</v>
      </c>
      <c r="J5155">
        <v>0</v>
      </c>
      <c r="K5155">
        <v>0</v>
      </c>
      <c r="L5155">
        <v>0</v>
      </c>
      <c r="M5155">
        <v>6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6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/>
      <c r="AQ5155">
        <v>0</v>
      </c>
      <c r="AR5155">
        <v>0</v>
      </c>
      <c r="AT5155">
        <v>0</v>
      </c>
      <c r="AU5155">
        <v>0</v>
      </c>
      <c r="AW5155">
        <v>0</v>
      </c>
      <c r="AX5155">
        <v>0</v>
      </c>
      <c r="AY5155">
        <v>0</v>
      </c>
      <c r="BC5155" t="str">
        <f t="shared" si="711"/>
        <v>9791137600683</v>
      </c>
      <c r="BE5155" t="str">
        <f t="shared" si="712"/>
        <v>판타지 웹소설 &gt; 현대 판타지</v>
      </c>
    </row>
    <row r="5156" spans="1:57" x14ac:dyDescent="0.3">
      <c r="A5156">
        <v>2313018633</v>
      </c>
      <c r="B5156">
        <v>2313018640</v>
      </c>
      <c r="C5156" t="str">
        <f>T("천재 배우의 다이어리 8화")</f>
        <v>천재 배우의 다이어리 8화</v>
      </c>
      <c r="D5156" t="str">
        <f>T("8")</f>
        <v>8</v>
      </c>
      <c r="E5156" t="str">
        <f t="shared" si="709"/>
        <v>mollen</v>
      </c>
      <c r="H5156" t="str">
        <f t="shared" si="704"/>
        <v>스토리위즈</v>
      </c>
      <c r="I5156" t="str">
        <f t="shared" si="710"/>
        <v>천재 배우의 다이어리</v>
      </c>
      <c r="J5156">
        <v>0</v>
      </c>
      <c r="K5156">
        <v>0</v>
      </c>
      <c r="L5156">
        <v>0</v>
      </c>
      <c r="M5156">
        <v>6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6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/>
      <c r="AQ5156">
        <v>0</v>
      </c>
      <c r="AR5156">
        <v>0</v>
      </c>
      <c r="AT5156">
        <v>0</v>
      </c>
      <c r="AU5156">
        <v>0</v>
      </c>
      <c r="AW5156">
        <v>0</v>
      </c>
      <c r="AX5156">
        <v>0</v>
      </c>
      <c r="AY5156">
        <v>0</v>
      </c>
      <c r="BC5156" t="str">
        <f t="shared" si="711"/>
        <v>9791137600683</v>
      </c>
      <c r="BE5156" t="str">
        <f t="shared" si="712"/>
        <v>판타지 웹소설 &gt; 현대 판타지</v>
      </c>
    </row>
    <row r="5157" spans="1:57" x14ac:dyDescent="0.3">
      <c r="A5157">
        <v>2313018633</v>
      </c>
      <c r="B5157">
        <v>2313018641</v>
      </c>
      <c r="C5157" t="str">
        <f>T("천재 배우의 다이어리 9화")</f>
        <v>천재 배우의 다이어리 9화</v>
      </c>
      <c r="D5157" t="str">
        <f>T("9")</f>
        <v>9</v>
      </c>
      <c r="E5157" t="str">
        <f t="shared" si="709"/>
        <v>mollen</v>
      </c>
      <c r="H5157" t="str">
        <f t="shared" si="704"/>
        <v>스토리위즈</v>
      </c>
      <c r="I5157" t="str">
        <f t="shared" si="710"/>
        <v>천재 배우의 다이어리</v>
      </c>
      <c r="J5157">
        <v>0</v>
      </c>
      <c r="K5157">
        <v>0</v>
      </c>
      <c r="L5157">
        <v>0</v>
      </c>
      <c r="M5157">
        <v>6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6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/>
      <c r="AQ5157">
        <v>0</v>
      </c>
      <c r="AR5157">
        <v>0</v>
      </c>
      <c r="AT5157">
        <v>0</v>
      </c>
      <c r="AU5157">
        <v>0</v>
      </c>
      <c r="AW5157">
        <v>0</v>
      </c>
      <c r="AX5157">
        <v>0</v>
      </c>
      <c r="AY5157">
        <v>0</v>
      </c>
      <c r="BC5157" t="str">
        <f t="shared" si="711"/>
        <v>9791137600683</v>
      </c>
      <c r="BE5157" t="str">
        <f t="shared" si="712"/>
        <v>판타지 웹소설 &gt; 현대 판타지</v>
      </c>
    </row>
    <row r="5158" spans="1:57" x14ac:dyDescent="0.3">
      <c r="A5158">
        <v>2313018633</v>
      </c>
      <c r="B5158">
        <v>2313018642</v>
      </c>
      <c r="C5158" t="str">
        <f>T("천재 배우의 다이어리 10화")</f>
        <v>천재 배우의 다이어리 10화</v>
      </c>
      <c r="D5158" t="str">
        <f>T("10")</f>
        <v>10</v>
      </c>
      <c r="E5158" t="str">
        <f t="shared" si="709"/>
        <v>mollen</v>
      </c>
      <c r="H5158" t="str">
        <f t="shared" si="704"/>
        <v>스토리위즈</v>
      </c>
      <c r="I5158" t="str">
        <f t="shared" si="710"/>
        <v>천재 배우의 다이어리</v>
      </c>
      <c r="J5158">
        <v>0</v>
      </c>
      <c r="K5158">
        <v>0</v>
      </c>
      <c r="L5158">
        <v>0</v>
      </c>
      <c r="M5158">
        <v>6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6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/>
      <c r="AQ5158">
        <v>0</v>
      </c>
      <c r="AR5158">
        <v>0</v>
      </c>
      <c r="AT5158">
        <v>0</v>
      </c>
      <c r="AU5158">
        <v>0</v>
      </c>
      <c r="AW5158">
        <v>0</v>
      </c>
      <c r="AX5158">
        <v>0</v>
      </c>
      <c r="AY5158">
        <v>0</v>
      </c>
      <c r="BC5158" t="str">
        <f t="shared" si="711"/>
        <v>9791137600683</v>
      </c>
      <c r="BE5158" t="str">
        <f t="shared" si="712"/>
        <v>판타지 웹소설 &gt; 현대 판타지</v>
      </c>
    </row>
    <row r="5159" spans="1:57" x14ac:dyDescent="0.3">
      <c r="A5159">
        <v>2313018633</v>
      </c>
      <c r="B5159">
        <v>2313018643</v>
      </c>
      <c r="C5159" t="str">
        <f>T("천재 배우의 다이어리 11화")</f>
        <v>천재 배우의 다이어리 11화</v>
      </c>
      <c r="D5159" t="str">
        <f>T("11")</f>
        <v>11</v>
      </c>
      <c r="E5159" t="str">
        <f t="shared" si="709"/>
        <v>mollen</v>
      </c>
      <c r="H5159" t="str">
        <f t="shared" si="704"/>
        <v>스토리위즈</v>
      </c>
      <c r="I5159" t="str">
        <f t="shared" si="710"/>
        <v>천재 배우의 다이어리</v>
      </c>
      <c r="J5159">
        <v>0</v>
      </c>
      <c r="K5159">
        <v>0</v>
      </c>
      <c r="L5159">
        <v>0</v>
      </c>
      <c r="M5159">
        <v>6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6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/>
      <c r="AQ5159">
        <v>0</v>
      </c>
      <c r="AR5159">
        <v>0</v>
      </c>
      <c r="AT5159">
        <v>0</v>
      </c>
      <c r="AU5159">
        <v>0</v>
      </c>
      <c r="AW5159">
        <v>0</v>
      </c>
      <c r="AX5159">
        <v>0</v>
      </c>
      <c r="AY5159">
        <v>0</v>
      </c>
      <c r="BC5159" t="str">
        <f t="shared" si="711"/>
        <v>9791137600683</v>
      </c>
      <c r="BE5159" t="str">
        <f t="shared" si="712"/>
        <v>판타지 웹소설 &gt; 현대 판타지</v>
      </c>
    </row>
    <row r="5160" spans="1:57" x14ac:dyDescent="0.3">
      <c r="A5160">
        <v>2313018633</v>
      </c>
      <c r="B5160">
        <v>2313018644</v>
      </c>
      <c r="C5160" t="str">
        <f>T("천재 배우의 다이어리 12화")</f>
        <v>천재 배우의 다이어리 12화</v>
      </c>
      <c r="D5160" t="str">
        <f>T("12")</f>
        <v>12</v>
      </c>
      <c r="E5160" t="str">
        <f t="shared" si="709"/>
        <v>mollen</v>
      </c>
      <c r="H5160" t="str">
        <f t="shared" si="704"/>
        <v>스토리위즈</v>
      </c>
      <c r="I5160" t="str">
        <f t="shared" si="710"/>
        <v>천재 배우의 다이어리</v>
      </c>
      <c r="J5160">
        <v>0</v>
      </c>
      <c r="K5160">
        <v>0</v>
      </c>
      <c r="L5160">
        <v>0</v>
      </c>
      <c r="M5160">
        <v>6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6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/>
      <c r="AQ5160">
        <v>0</v>
      </c>
      <c r="AR5160">
        <v>0</v>
      </c>
      <c r="AT5160">
        <v>0</v>
      </c>
      <c r="AU5160">
        <v>0</v>
      </c>
      <c r="AW5160">
        <v>0</v>
      </c>
      <c r="AX5160">
        <v>0</v>
      </c>
      <c r="AY5160">
        <v>0</v>
      </c>
      <c r="BC5160" t="str">
        <f t="shared" si="711"/>
        <v>9791137600683</v>
      </c>
      <c r="BE5160" t="str">
        <f t="shared" si="712"/>
        <v>판타지 웹소설 &gt; 현대 판타지</v>
      </c>
    </row>
    <row r="5161" spans="1:57" x14ac:dyDescent="0.3">
      <c r="A5161">
        <v>2313018633</v>
      </c>
      <c r="B5161">
        <v>2313018645</v>
      </c>
      <c r="C5161" t="str">
        <f>T("천재 배우의 다이어리 13화")</f>
        <v>천재 배우의 다이어리 13화</v>
      </c>
      <c r="D5161" t="str">
        <f>T("13")</f>
        <v>13</v>
      </c>
      <c r="E5161" t="str">
        <f t="shared" si="709"/>
        <v>mollen</v>
      </c>
      <c r="H5161" t="str">
        <f t="shared" si="704"/>
        <v>스토리위즈</v>
      </c>
      <c r="I5161" t="str">
        <f t="shared" si="710"/>
        <v>천재 배우의 다이어리</v>
      </c>
      <c r="J5161">
        <v>0</v>
      </c>
      <c r="K5161">
        <v>0</v>
      </c>
      <c r="L5161">
        <v>0</v>
      </c>
      <c r="M5161">
        <v>6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6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/>
      <c r="AQ5161">
        <v>0</v>
      </c>
      <c r="AR5161">
        <v>0</v>
      </c>
      <c r="AT5161">
        <v>0</v>
      </c>
      <c r="AU5161">
        <v>0</v>
      </c>
      <c r="AW5161">
        <v>0</v>
      </c>
      <c r="AX5161">
        <v>0</v>
      </c>
      <c r="AY5161">
        <v>0</v>
      </c>
      <c r="BC5161" t="str">
        <f t="shared" si="711"/>
        <v>9791137600683</v>
      </c>
      <c r="BE5161" t="str">
        <f t="shared" si="712"/>
        <v>판타지 웹소설 &gt; 현대 판타지</v>
      </c>
    </row>
    <row r="5162" spans="1:57" x14ac:dyDescent="0.3">
      <c r="A5162">
        <v>2313018633</v>
      </c>
      <c r="B5162">
        <v>2313018646</v>
      </c>
      <c r="C5162" t="str">
        <f>T("천재 배우의 다이어리 14화")</f>
        <v>천재 배우의 다이어리 14화</v>
      </c>
      <c r="D5162" t="str">
        <f>T("14")</f>
        <v>14</v>
      </c>
      <c r="E5162" t="str">
        <f t="shared" si="709"/>
        <v>mollen</v>
      </c>
      <c r="H5162" t="str">
        <f t="shared" si="704"/>
        <v>스토리위즈</v>
      </c>
      <c r="I5162" t="str">
        <f t="shared" si="710"/>
        <v>천재 배우의 다이어리</v>
      </c>
      <c r="J5162">
        <v>0</v>
      </c>
      <c r="K5162">
        <v>0</v>
      </c>
      <c r="L5162">
        <v>0</v>
      </c>
      <c r="M5162">
        <v>6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6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/>
      <c r="AQ5162">
        <v>0</v>
      </c>
      <c r="AR5162">
        <v>0</v>
      </c>
      <c r="AT5162">
        <v>0</v>
      </c>
      <c r="AU5162">
        <v>0</v>
      </c>
      <c r="AW5162">
        <v>0</v>
      </c>
      <c r="AX5162">
        <v>0</v>
      </c>
      <c r="AY5162">
        <v>0</v>
      </c>
      <c r="BC5162" t="str">
        <f t="shared" si="711"/>
        <v>9791137600683</v>
      </c>
      <c r="BE5162" t="str">
        <f t="shared" si="712"/>
        <v>판타지 웹소설 &gt; 현대 판타지</v>
      </c>
    </row>
    <row r="5163" spans="1:57" x14ac:dyDescent="0.3">
      <c r="A5163">
        <v>2313018633</v>
      </c>
      <c r="B5163">
        <v>2313018647</v>
      </c>
      <c r="C5163" t="str">
        <f>T("천재 배우의 다이어리 15화")</f>
        <v>천재 배우의 다이어리 15화</v>
      </c>
      <c r="D5163" t="str">
        <f>T("15")</f>
        <v>15</v>
      </c>
      <c r="E5163" t="str">
        <f t="shared" si="709"/>
        <v>mollen</v>
      </c>
      <c r="H5163" t="str">
        <f t="shared" si="704"/>
        <v>스토리위즈</v>
      </c>
      <c r="I5163" t="str">
        <f t="shared" si="710"/>
        <v>천재 배우의 다이어리</v>
      </c>
      <c r="J5163">
        <v>0</v>
      </c>
      <c r="K5163">
        <v>0</v>
      </c>
      <c r="L5163">
        <v>0</v>
      </c>
      <c r="M5163">
        <v>6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6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/>
      <c r="AQ5163">
        <v>0</v>
      </c>
      <c r="AR5163">
        <v>0</v>
      </c>
      <c r="AT5163">
        <v>0</v>
      </c>
      <c r="AU5163">
        <v>0</v>
      </c>
      <c r="AW5163">
        <v>0</v>
      </c>
      <c r="AX5163">
        <v>0</v>
      </c>
      <c r="AY5163">
        <v>0</v>
      </c>
      <c r="BC5163" t="str">
        <f t="shared" si="711"/>
        <v>9791137600683</v>
      </c>
      <c r="BE5163" t="str">
        <f t="shared" si="712"/>
        <v>판타지 웹소설 &gt; 현대 판타지</v>
      </c>
    </row>
    <row r="5164" spans="1:57" x14ac:dyDescent="0.3">
      <c r="A5164">
        <v>2313018633</v>
      </c>
      <c r="B5164">
        <v>2313018648</v>
      </c>
      <c r="C5164" t="str">
        <f>T("천재 배우의 다이어리 16화")</f>
        <v>천재 배우의 다이어리 16화</v>
      </c>
      <c r="D5164" t="str">
        <f>T("16")</f>
        <v>16</v>
      </c>
      <c r="E5164" t="str">
        <f t="shared" si="709"/>
        <v>mollen</v>
      </c>
      <c r="H5164" t="str">
        <f t="shared" si="704"/>
        <v>스토리위즈</v>
      </c>
      <c r="I5164" t="str">
        <f t="shared" si="710"/>
        <v>천재 배우의 다이어리</v>
      </c>
      <c r="J5164">
        <v>0</v>
      </c>
      <c r="K5164">
        <v>0</v>
      </c>
      <c r="L5164">
        <v>0</v>
      </c>
      <c r="M5164">
        <v>6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6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/>
      <c r="AQ5164">
        <v>0</v>
      </c>
      <c r="AR5164">
        <v>0</v>
      </c>
      <c r="AT5164">
        <v>0</v>
      </c>
      <c r="AU5164">
        <v>0</v>
      </c>
      <c r="AW5164">
        <v>0</v>
      </c>
      <c r="AX5164">
        <v>0</v>
      </c>
      <c r="AY5164">
        <v>0</v>
      </c>
      <c r="BC5164" t="str">
        <f t="shared" si="711"/>
        <v>9791137600683</v>
      </c>
      <c r="BE5164" t="str">
        <f t="shared" si="712"/>
        <v>판타지 웹소설 &gt; 현대 판타지</v>
      </c>
    </row>
    <row r="5165" spans="1:57" x14ac:dyDescent="0.3">
      <c r="A5165">
        <v>2313018633</v>
      </c>
      <c r="B5165">
        <v>2313018649</v>
      </c>
      <c r="C5165" t="str">
        <f>T("천재 배우의 다이어리 17화")</f>
        <v>천재 배우의 다이어리 17화</v>
      </c>
      <c r="D5165" t="str">
        <f>T("17")</f>
        <v>17</v>
      </c>
      <c r="E5165" t="str">
        <f t="shared" si="709"/>
        <v>mollen</v>
      </c>
      <c r="H5165" t="str">
        <f t="shared" si="704"/>
        <v>스토리위즈</v>
      </c>
      <c r="I5165" t="str">
        <f t="shared" si="710"/>
        <v>천재 배우의 다이어리</v>
      </c>
      <c r="J5165">
        <v>0</v>
      </c>
      <c r="K5165">
        <v>0</v>
      </c>
      <c r="L5165">
        <v>0</v>
      </c>
      <c r="M5165">
        <v>6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6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/>
      <c r="AQ5165">
        <v>0</v>
      </c>
      <c r="AR5165">
        <v>0</v>
      </c>
      <c r="AT5165">
        <v>0</v>
      </c>
      <c r="AU5165">
        <v>0</v>
      </c>
      <c r="AW5165">
        <v>0</v>
      </c>
      <c r="AX5165">
        <v>0</v>
      </c>
      <c r="AY5165">
        <v>0</v>
      </c>
      <c r="BC5165" t="str">
        <f t="shared" si="711"/>
        <v>9791137600683</v>
      </c>
      <c r="BE5165" t="str">
        <f t="shared" si="712"/>
        <v>판타지 웹소설 &gt; 현대 판타지</v>
      </c>
    </row>
    <row r="5166" spans="1:57" x14ac:dyDescent="0.3">
      <c r="A5166">
        <v>2313018633</v>
      </c>
      <c r="B5166">
        <v>2313018650</v>
      </c>
      <c r="C5166" t="str">
        <f>T("천재 배우의 다이어리 18화")</f>
        <v>천재 배우의 다이어리 18화</v>
      </c>
      <c r="D5166" t="str">
        <f>T("18")</f>
        <v>18</v>
      </c>
      <c r="E5166" t="str">
        <f t="shared" si="709"/>
        <v>mollen</v>
      </c>
      <c r="H5166" t="str">
        <f t="shared" si="704"/>
        <v>스토리위즈</v>
      </c>
      <c r="I5166" t="str">
        <f t="shared" si="710"/>
        <v>천재 배우의 다이어리</v>
      </c>
      <c r="J5166">
        <v>0</v>
      </c>
      <c r="K5166">
        <v>0</v>
      </c>
      <c r="L5166">
        <v>0</v>
      </c>
      <c r="M5166">
        <v>6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6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/>
      <c r="AQ5166">
        <v>0</v>
      </c>
      <c r="AR5166">
        <v>0</v>
      </c>
      <c r="AT5166">
        <v>0</v>
      </c>
      <c r="AU5166">
        <v>0</v>
      </c>
      <c r="AW5166">
        <v>0</v>
      </c>
      <c r="AX5166">
        <v>0</v>
      </c>
      <c r="AY5166">
        <v>0</v>
      </c>
      <c r="BC5166" t="str">
        <f t="shared" si="711"/>
        <v>9791137600683</v>
      </c>
      <c r="BE5166" t="str">
        <f t="shared" si="712"/>
        <v>판타지 웹소설 &gt; 현대 판타지</v>
      </c>
    </row>
    <row r="5167" spans="1:57" x14ac:dyDescent="0.3">
      <c r="A5167">
        <v>2313018633</v>
      </c>
      <c r="B5167">
        <v>2313018651</v>
      </c>
      <c r="C5167" t="str">
        <f>T("천재 배우의 다이어리 19화")</f>
        <v>천재 배우의 다이어리 19화</v>
      </c>
      <c r="D5167" t="str">
        <f>T("19")</f>
        <v>19</v>
      </c>
      <c r="E5167" t="str">
        <f t="shared" si="709"/>
        <v>mollen</v>
      </c>
      <c r="H5167" t="str">
        <f t="shared" ref="H5167:H5173" si="713">T("스토리위즈")</f>
        <v>스토리위즈</v>
      </c>
      <c r="I5167" t="str">
        <f t="shared" si="710"/>
        <v>천재 배우의 다이어리</v>
      </c>
      <c r="J5167">
        <v>0</v>
      </c>
      <c r="K5167">
        <v>0</v>
      </c>
      <c r="L5167">
        <v>0</v>
      </c>
      <c r="M5167">
        <v>6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6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/>
      <c r="AQ5167">
        <v>0</v>
      </c>
      <c r="AR5167">
        <v>0</v>
      </c>
      <c r="AT5167">
        <v>0</v>
      </c>
      <c r="AU5167">
        <v>0</v>
      </c>
      <c r="AW5167">
        <v>0</v>
      </c>
      <c r="AX5167">
        <v>0</v>
      </c>
      <c r="AY5167">
        <v>0</v>
      </c>
      <c r="BC5167" t="str">
        <f t="shared" si="711"/>
        <v>9791137600683</v>
      </c>
      <c r="BE5167" t="str">
        <f t="shared" si="712"/>
        <v>판타지 웹소설 &gt; 현대 판타지</v>
      </c>
    </row>
    <row r="5168" spans="1:57" x14ac:dyDescent="0.3">
      <c r="A5168">
        <v>2313018633</v>
      </c>
      <c r="B5168">
        <v>2313018652</v>
      </c>
      <c r="C5168" t="str">
        <f>T("천재 배우의 다이어리 20화")</f>
        <v>천재 배우의 다이어리 20화</v>
      </c>
      <c r="D5168" t="str">
        <f>T("20")</f>
        <v>20</v>
      </c>
      <c r="E5168" t="str">
        <f t="shared" si="709"/>
        <v>mollen</v>
      </c>
      <c r="H5168" t="str">
        <f t="shared" si="713"/>
        <v>스토리위즈</v>
      </c>
      <c r="I5168" t="str">
        <f t="shared" si="710"/>
        <v>천재 배우의 다이어리</v>
      </c>
      <c r="J5168">
        <v>0</v>
      </c>
      <c r="K5168">
        <v>0</v>
      </c>
      <c r="L5168">
        <v>0</v>
      </c>
      <c r="M5168">
        <v>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6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/>
      <c r="AQ5168">
        <v>0</v>
      </c>
      <c r="AR5168">
        <v>0</v>
      </c>
      <c r="AT5168">
        <v>0</v>
      </c>
      <c r="AU5168">
        <v>0</v>
      </c>
      <c r="AW5168">
        <v>0</v>
      </c>
      <c r="AX5168">
        <v>0</v>
      </c>
      <c r="AY5168">
        <v>0</v>
      </c>
      <c r="BC5168" t="str">
        <f t="shared" si="711"/>
        <v>9791137600683</v>
      </c>
      <c r="BE5168" t="str">
        <f t="shared" si="712"/>
        <v>판타지 웹소설 &gt; 현대 판타지</v>
      </c>
    </row>
    <row r="5169" spans="1:57" x14ac:dyDescent="0.3">
      <c r="A5169">
        <v>2313018633</v>
      </c>
      <c r="B5169">
        <v>2313018653</v>
      </c>
      <c r="C5169" t="str">
        <f>T("천재 배우의 다이어리 21화")</f>
        <v>천재 배우의 다이어리 21화</v>
      </c>
      <c r="D5169" t="str">
        <f>T("21")</f>
        <v>21</v>
      </c>
      <c r="E5169" t="str">
        <f t="shared" si="709"/>
        <v>mollen</v>
      </c>
      <c r="H5169" t="str">
        <f t="shared" si="713"/>
        <v>스토리위즈</v>
      </c>
      <c r="I5169" t="str">
        <f t="shared" si="710"/>
        <v>천재 배우의 다이어리</v>
      </c>
      <c r="J5169">
        <v>0</v>
      </c>
      <c r="K5169">
        <v>0</v>
      </c>
      <c r="L5169">
        <v>0</v>
      </c>
      <c r="M5169">
        <v>6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6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/>
      <c r="AQ5169">
        <v>0</v>
      </c>
      <c r="AR5169">
        <v>0</v>
      </c>
      <c r="AT5169">
        <v>0</v>
      </c>
      <c r="AU5169">
        <v>0</v>
      </c>
      <c r="AW5169">
        <v>0</v>
      </c>
      <c r="AX5169">
        <v>0</v>
      </c>
      <c r="AY5169">
        <v>0</v>
      </c>
      <c r="BC5169" t="str">
        <f t="shared" si="711"/>
        <v>9791137600683</v>
      </c>
      <c r="BE5169" t="str">
        <f t="shared" si="712"/>
        <v>판타지 웹소설 &gt; 현대 판타지</v>
      </c>
    </row>
    <row r="5170" spans="1:57" x14ac:dyDescent="0.3">
      <c r="A5170">
        <v>2313018633</v>
      </c>
      <c r="B5170">
        <v>2313018654</v>
      </c>
      <c r="C5170" t="str">
        <f>T("천재 배우의 다이어리 22화")</f>
        <v>천재 배우의 다이어리 22화</v>
      </c>
      <c r="D5170" t="str">
        <f>T("22")</f>
        <v>22</v>
      </c>
      <c r="E5170" t="str">
        <f t="shared" si="709"/>
        <v>mollen</v>
      </c>
      <c r="H5170" t="str">
        <f t="shared" si="713"/>
        <v>스토리위즈</v>
      </c>
      <c r="I5170" t="str">
        <f t="shared" si="710"/>
        <v>천재 배우의 다이어리</v>
      </c>
      <c r="J5170">
        <v>0</v>
      </c>
      <c r="K5170">
        <v>0</v>
      </c>
      <c r="L5170">
        <v>0</v>
      </c>
      <c r="M5170">
        <v>6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6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/>
      <c r="AQ5170">
        <v>0</v>
      </c>
      <c r="AR5170">
        <v>0</v>
      </c>
      <c r="AT5170">
        <v>0</v>
      </c>
      <c r="AU5170">
        <v>0</v>
      </c>
      <c r="AW5170">
        <v>0</v>
      </c>
      <c r="AX5170">
        <v>0</v>
      </c>
      <c r="AY5170">
        <v>0</v>
      </c>
      <c r="BC5170" t="str">
        <f t="shared" si="711"/>
        <v>9791137600683</v>
      </c>
      <c r="BE5170" t="str">
        <f t="shared" si="712"/>
        <v>판타지 웹소설 &gt; 현대 판타지</v>
      </c>
    </row>
    <row r="5171" spans="1:57" x14ac:dyDescent="0.3">
      <c r="A5171">
        <v>2313018633</v>
      </c>
      <c r="B5171">
        <v>2313018655</v>
      </c>
      <c r="C5171" t="str">
        <f>T("천재 배우의 다이어리 23화")</f>
        <v>천재 배우의 다이어리 23화</v>
      </c>
      <c r="D5171" t="str">
        <f>T("23")</f>
        <v>23</v>
      </c>
      <c r="E5171" t="str">
        <f t="shared" si="709"/>
        <v>mollen</v>
      </c>
      <c r="H5171" t="str">
        <f t="shared" si="713"/>
        <v>스토리위즈</v>
      </c>
      <c r="I5171" t="str">
        <f t="shared" si="710"/>
        <v>천재 배우의 다이어리</v>
      </c>
      <c r="J5171">
        <v>0</v>
      </c>
      <c r="K5171">
        <v>0</v>
      </c>
      <c r="L5171">
        <v>0</v>
      </c>
      <c r="M5171">
        <v>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6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/>
      <c r="AQ5171">
        <v>0</v>
      </c>
      <c r="AR5171">
        <v>0</v>
      </c>
      <c r="AT5171">
        <v>0</v>
      </c>
      <c r="AU5171">
        <v>0</v>
      </c>
      <c r="AW5171">
        <v>0</v>
      </c>
      <c r="AX5171">
        <v>0</v>
      </c>
      <c r="AY5171">
        <v>0</v>
      </c>
      <c r="BC5171" t="str">
        <f t="shared" si="711"/>
        <v>9791137600683</v>
      </c>
      <c r="BE5171" t="str">
        <f t="shared" si="712"/>
        <v>판타지 웹소설 &gt; 현대 판타지</v>
      </c>
    </row>
    <row r="5172" spans="1:57" x14ac:dyDescent="0.3">
      <c r="A5172">
        <v>2313018633</v>
      </c>
      <c r="B5172">
        <v>2313018656</v>
      </c>
      <c r="C5172" t="str">
        <f>T("천재 배우의 다이어리 24화")</f>
        <v>천재 배우의 다이어리 24화</v>
      </c>
      <c r="D5172" t="str">
        <f>T("24")</f>
        <v>24</v>
      </c>
      <c r="E5172" t="str">
        <f t="shared" si="709"/>
        <v>mollen</v>
      </c>
      <c r="H5172" t="str">
        <f t="shared" si="713"/>
        <v>스토리위즈</v>
      </c>
      <c r="I5172" t="str">
        <f t="shared" si="710"/>
        <v>천재 배우의 다이어리</v>
      </c>
      <c r="J5172">
        <v>0</v>
      </c>
      <c r="K5172">
        <v>0</v>
      </c>
      <c r="L5172">
        <v>0</v>
      </c>
      <c r="M5172">
        <v>6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6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/>
      <c r="AQ5172">
        <v>0</v>
      </c>
      <c r="AR5172">
        <v>0</v>
      </c>
      <c r="AT5172">
        <v>0</v>
      </c>
      <c r="AU5172">
        <v>0</v>
      </c>
      <c r="AW5172">
        <v>0</v>
      </c>
      <c r="AX5172">
        <v>0</v>
      </c>
      <c r="AY5172">
        <v>0</v>
      </c>
      <c r="BC5172" t="str">
        <f t="shared" si="711"/>
        <v>9791137600683</v>
      </c>
      <c r="BE5172" t="str">
        <f t="shared" si="712"/>
        <v>판타지 웹소설 &gt; 현대 판타지</v>
      </c>
    </row>
    <row r="5173" spans="1:57" x14ac:dyDescent="0.3">
      <c r="A5173">
        <v>2313018633</v>
      </c>
      <c r="B5173">
        <v>2313018657</v>
      </c>
      <c r="C5173" t="str">
        <f>T("천재 배우의 다이어리 25화")</f>
        <v>천재 배우의 다이어리 25화</v>
      </c>
      <c r="D5173" t="str">
        <f>T("25")</f>
        <v>25</v>
      </c>
      <c r="E5173" t="str">
        <f t="shared" si="709"/>
        <v>mollen</v>
      </c>
      <c r="H5173" t="str">
        <f t="shared" si="713"/>
        <v>스토리위즈</v>
      </c>
      <c r="I5173" t="str">
        <f t="shared" si="710"/>
        <v>천재 배우의 다이어리</v>
      </c>
      <c r="J5173">
        <v>0</v>
      </c>
      <c r="K5173">
        <v>0</v>
      </c>
      <c r="L5173">
        <v>0</v>
      </c>
      <c r="M5173">
        <v>6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6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/>
      <c r="AQ5173">
        <v>0</v>
      </c>
      <c r="AR5173">
        <v>0</v>
      </c>
      <c r="AT5173">
        <v>0</v>
      </c>
      <c r="AU5173">
        <v>0</v>
      </c>
      <c r="AW5173">
        <v>0</v>
      </c>
      <c r="AX5173">
        <v>0</v>
      </c>
      <c r="AY5173">
        <v>0</v>
      </c>
      <c r="BC5173" t="str">
        <f t="shared" si="711"/>
        <v>9791137600683</v>
      </c>
      <c r="BE5173" t="str">
        <f t="shared" si="712"/>
        <v>판타지 웹소설 &gt; 현대 판타지</v>
      </c>
    </row>
    <row r="5174" spans="1:57" x14ac:dyDescent="0.3">
      <c r="A5174">
        <v>2313018966</v>
      </c>
      <c r="B5174">
        <v>2313018966</v>
      </c>
      <c r="C5174" t="str">
        <f>T("멸망한 세계로부터 1화")</f>
        <v>멸망한 세계로부터 1화</v>
      </c>
      <c r="D5174" t="str">
        <f>T("1")</f>
        <v>1</v>
      </c>
      <c r="E5174" t="str">
        <f>T("프레인")</f>
        <v>프레인</v>
      </c>
      <c r="H5174" t="str">
        <f>T("도서출판 태랑")</f>
        <v>도서출판 태랑</v>
      </c>
      <c r="I5174" t="str">
        <f>T("멸망한 세계로부터")</f>
        <v>멸망한 세계로부터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1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/>
      <c r="AQ5174">
        <v>0</v>
      </c>
      <c r="AR5174">
        <v>0</v>
      </c>
      <c r="AT5174">
        <v>0</v>
      </c>
      <c r="AU5174">
        <v>0</v>
      </c>
      <c r="AW5174">
        <v>0</v>
      </c>
      <c r="AX5174">
        <v>0</v>
      </c>
      <c r="AY5174">
        <v>0</v>
      </c>
      <c r="BC5174" t="str">
        <f>T("9791164370306")</f>
        <v>9791164370306</v>
      </c>
      <c r="BE5174" t="str">
        <f>T("판타지 웹소설 &gt; 정통 판타지")</f>
        <v>판타지 웹소설 &gt; 정통 판타지</v>
      </c>
    </row>
    <row r="5175" spans="1:57" x14ac:dyDescent="0.3">
      <c r="A5175">
        <v>2313018966</v>
      </c>
      <c r="B5175">
        <v>2313018967</v>
      </c>
      <c r="C5175" t="str">
        <f>T("멸망한 세계로부터 2화")</f>
        <v>멸망한 세계로부터 2화</v>
      </c>
      <c r="D5175" t="str">
        <f>T("2")</f>
        <v>2</v>
      </c>
      <c r="E5175" t="str">
        <f>T("프레인")</f>
        <v>프레인</v>
      </c>
      <c r="H5175" t="str">
        <f>T("도서출판 태랑")</f>
        <v>도서출판 태랑</v>
      </c>
      <c r="I5175" t="str">
        <f>T("멸망한 세계로부터")</f>
        <v>멸망한 세계로부터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/>
      <c r="AQ5175">
        <v>0</v>
      </c>
      <c r="AR5175">
        <v>0</v>
      </c>
      <c r="AT5175">
        <v>0</v>
      </c>
      <c r="AU5175">
        <v>0</v>
      </c>
      <c r="AW5175">
        <v>0</v>
      </c>
      <c r="AX5175">
        <v>0</v>
      </c>
      <c r="AY5175">
        <v>0</v>
      </c>
      <c r="BC5175" t="str">
        <f>T("9791164370306")</f>
        <v>9791164370306</v>
      </c>
      <c r="BE5175" t="str">
        <f>T("판타지 웹소설 &gt; 정통 판타지")</f>
        <v>판타지 웹소설 &gt; 정통 판타지</v>
      </c>
    </row>
    <row r="5176" spans="1:57" x14ac:dyDescent="0.3">
      <c r="A5176">
        <v>2313019331</v>
      </c>
      <c r="B5176">
        <v>2313019331</v>
      </c>
      <c r="C5176" t="str">
        <f>T("상태창빨로 천재 재벌 1화")</f>
        <v>상태창빨로 천재 재벌 1화</v>
      </c>
      <c r="D5176" t="str">
        <f>T("1")</f>
        <v>1</v>
      </c>
      <c r="E5176" t="str">
        <f t="shared" ref="E5176:E5200" si="714">T("리얼탄산")</f>
        <v>리얼탄산</v>
      </c>
      <c r="H5176" t="str">
        <f t="shared" ref="H5176:H5224" si="715">T("스토리위즈")</f>
        <v>스토리위즈</v>
      </c>
      <c r="I5176" t="str">
        <f t="shared" ref="I5176:I5200" si="716">T("상태창빨로 천재 재벌")</f>
        <v>상태창빨로 천재 재벌</v>
      </c>
      <c r="J5176">
        <v>0</v>
      </c>
      <c r="K5176">
        <v>0</v>
      </c>
      <c r="L5176">
        <v>0</v>
      </c>
      <c r="M5176">
        <v>9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9</v>
      </c>
      <c r="AI5176">
        <v>0</v>
      </c>
      <c r="AJ5176">
        <v>1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/>
      <c r="AQ5176">
        <v>0</v>
      </c>
      <c r="AR5176">
        <v>0</v>
      </c>
      <c r="AT5176">
        <v>0</v>
      </c>
      <c r="AU5176">
        <v>0</v>
      </c>
      <c r="AW5176">
        <v>0</v>
      </c>
      <c r="AX5176">
        <v>0</v>
      </c>
      <c r="AY5176">
        <v>0</v>
      </c>
      <c r="BC5176" t="str">
        <f t="shared" ref="BC5176:BC5200" si="717">T("9791137601741")</f>
        <v>9791137601741</v>
      </c>
      <c r="BE5176" t="str">
        <f t="shared" ref="BE5176:BE5224" si="718">T("판타지 웹소설 &gt; 현대 판타지")</f>
        <v>판타지 웹소설 &gt; 현대 판타지</v>
      </c>
    </row>
    <row r="5177" spans="1:57" x14ac:dyDescent="0.3">
      <c r="A5177">
        <v>2313019331</v>
      </c>
      <c r="B5177">
        <v>2313019332</v>
      </c>
      <c r="C5177" t="str">
        <f>T("상태창빨로 천재 재벌 2화")</f>
        <v>상태창빨로 천재 재벌 2화</v>
      </c>
      <c r="D5177" t="str">
        <f>T("2")</f>
        <v>2</v>
      </c>
      <c r="E5177" t="str">
        <f t="shared" si="714"/>
        <v>리얼탄산</v>
      </c>
      <c r="H5177" t="str">
        <f t="shared" si="715"/>
        <v>스토리위즈</v>
      </c>
      <c r="I5177" t="str">
        <f t="shared" si="716"/>
        <v>상태창빨로 천재 재벌</v>
      </c>
      <c r="J5177">
        <v>0</v>
      </c>
      <c r="K5177">
        <v>0</v>
      </c>
      <c r="L5177">
        <v>0</v>
      </c>
      <c r="M5177">
        <v>8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8</v>
      </c>
      <c r="AI5177">
        <v>0</v>
      </c>
      <c r="AJ5177">
        <v>1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/>
      <c r="AQ5177">
        <v>0</v>
      </c>
      <c r="AR5177">
        <v>0</v>
      </c>
      <c r="AT5177">
        <v>0</v>
      </c>
      <c r="AU5177">
        <v>0</v>
      </c>
      <c r="AW5177">
        <v>0</v>
      </c>
      <c r="AX5177">
        <v>0</v>
      </c>
      <c r="AY5177">
        <v>0</v>
      </c>
      <c r="BC5177" t="str">
        <f t="shared" si="717"/>
        <v>9791137601741</v>
      </c>
      <c r="BE5177" t="str">
        <f t="shared" si="718"/>
        <v>판타지 웹소설 &gt; 현대 판타지</v>
      </c>
    </row>
    <row r="5178" spans="1:57" x14ac:dyDescent="0.3">
      <c r="A5178">
        <v>2313019331</v>
      </c>
      <c r="B5178">
        <v>2313019333</v>
      </c>
      <c r="C5178" t="str">
        <f>T("상태창빨로 천재 재벌 3화")</f>
        <v>상태창빨로 천재 재벌 3화</v>
      </c>
      <c r="D5178" t="str">
        <f>T("3")</f>
        <v>3</v>
      </c>
      <c r="E5178" t="str">
        <f t="shared" si="714"/>
        <v>리얼탄산</v>
      </c>
      <c r="H5178" t="str">
        <f t="shared" si="715"/>
        <v>스토리위즈</v>
      </c>
      <c r="I5178" t="str">
        <f t="shared" si="716"/>
        <v>상태창빨로 천재 재벌</v>
      </c>
      <c r="J5178">
        <v>0</v>
      </c>
      <c r="K5178">
        <v>0</v>
      </c>
      <c r="L5178">
        <v>0</v>
      </c>
      <c r="M5178">
        <v>8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8</v>
      </c>
      <c r="AI5178">
        <v>0</v>
      </c>
      <c r="AJ5178">
        <v>1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/>
      <c r="AQ5178">
        <v>0</v>
      </c>
      <c r="AR5178">
        <v>0</v>
      </c>
      <c r="AT5178">
        <v>0</v>
      </c>
      <c r="AU5178">
        <v>0</v>
      </c>
      <c r="AW5178">
        <v>0</v>
      </c>
      <c r="AX5178">
        <v>0</v>
      </c>
      <c r="AY5178">
        <v>0</v>
      </c>
      <c r="BC5178" t="str">
        <f t="shared" si="717"/>
        <v>9791137601741</v>
      </c>
      <c r="BE5178" t="str">
        <f t="shared" si="718"/>
        <v>판타지 웹소설 &gt; 현대 판타지</v>
      </c>
    </row>
    <row r="5179" spans="1:57" x14ac:dyDescent="0.3">
      <c r="A5179">
        <v>2313019331</v>
      </c>
      <c r="B5179">
        <v>2313019334</v>
      </c>
      <c r="C5179" t="str">
        <f>T("상태창빨로 천재 재벌 4화")</f>
        <v>상태창빨로 천재 재벌 4화</v>
      </c>
      <c r="D5179" t="str">
        <f>T("4")</f>
        <v>4</v>
      </c>
      <c r="E5179" t="str">
        <f t="shared" si="714"/>
        <v>리얼탄산</v>
      </c>
      <c r="H5179" t="str">
        <f t="shared" si="715"/>
        <v>스토리위즈</v>
      </c>
      <c r="I5179" t="str">
        <f t="shared" si="716"/>
        <v>상태창빨로 천재 재벌</v>
      </c>
      <c r="J5179">
        <v>0</v>
      </c>
      <c r="K5179">
        <v>0</v>
      </c>
      <c r="L5179">
        <v>0</v>
      </c>
      <c r="M5179">
        <v>8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8</v>
      </c>
      <c r="AI5179">
        <v>0</v>
      </c>
      <c r="AJ5179">
        <v>1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/>
      <c r="AQ5179">
        <v>0</v>
      </c>
      <c r="AR5179">
        <v>0</v>
      </c>
      <c r="AT5179">
        <v>0</v>
      </c>
      <c r="AU5179">
        <v>0</v>
      </c>
      <c r="AW5179">
        <v>0</v>
      </c>
      <c r="AX5179">
        <v>0</v>
      </c>
      <c r="AY5179">
        <v>0</v>
      </c>
      <c r="BC5179" t="str">
        <f t="shared" si="717"/>
        <v>9791137601741</v>
      </c>
      <c r="BE5179" t="str">
        <f t="shared" si="718"/>
        <v>판타지 웹소설 &gt; 현대 판타지</v>
      </c>
    </row>
    <row r="5180" spans="1:57" x14ac:dyDescent="0.3">
      <c r="A5180">
        <v>2313019331</v>
      </c>
      <c r="B5180">
        <v>2313019335</v>
      </c>
      <c r="C5180" t="str">
        <f>T("상태창빨로 천재 재벌 5화")</f>
        <v>상태창빨로 천재 재벌 5화</v>
      </c>
      <c r="D5180" t="str">
        <f>T("5")</f>
        <v>5</v>
      </c>
      <c r="E5180" t="str">
        <f t="shared" si="714"/>
        <v>리얼탄산</v>
      </c>
      <c r="H5180" t="str">
        <f t="shared" si="715"/>
        <v>스토리위즈</v>
      </c>
      <c r="I5180" t="str">
        <f t="shared" si="716"/>
        <v>상태창빨로 천재 재벌</v>
      </c>
      <c r="J5180">
        <v>0</v>
      </c>
      <c r="K5180">
        <v>0</v>
      </c>
      <c r="L5180">
        <v>0</v>
      </c>
      <c r="M5180">
        <v>8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8</v>
      </c>
      <c r="AI5180">
        <v>0</v>
      </c>
      <c r="AJ5180">
        <v>1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/>
      <c r="AQ5180">
        <v>0</v>
      </c>
      <c r="AR5180">
        <v>0</v>
      </c>
      <c r="AT5180">
        <v>0</v>
      </c>
      <c r="AU5180">
        <v>0</v>
      </c>
      <c r="AW5180">
        <v>0</v>
      </c>
      <c r="AX5180">
        <v>0</v>
      </c>
      <c r="AY5180">
        <v>0</v>
      </c>
      <c r="BC5180" t="str">
        <f t="shared" si="717"/>
        <v>9791137601741</v>
      </c>
      <c r="BE5180" t="str">
        <f t="shared" si="718"/>
        <v>판타지 웹소설 &gt; 현대 판타지</v>
      </c>
    </row>
    <row r="5181" spans="1:57" x14ac:dyDescent="0.3">
      <c r="A5181">
        <v>2313019331</v>
      </c>
      <c r="B5181">
        <v>2313019336</v>
      </c>
      <c r="C5181" t="str">
        <f>T("상태창빨로 천재 재벌 6화")</f>
        <v>상태창빨로 천재 재벌 6화</v>
      </c>
      <c r="D5181" t="str">
        <f>T("6")</f>
        <v>6</v>
      </c>
      <c r="E5181" t="str">
        <f t="shared" si="714"/>
        <v>리얼탄산</v>
      </c>
      <c r="H5181" t="str">
        <f t="shared" si="715"/>
        <v>스토리위즈</v>
      </c>
      <c r="I5181" t="str">
        <f t="shared" si="716"/>
        <v>상태창빨로 천재 재벌</v>
      </c>
      <c r="J5181">
        <v>0</v>
      </c>
      <c r="K5181">
        <v>0</v>
      </c>
      <c r="L5181">
        <v>0</v>
      </c>
      <c r="M5181">
        <v>8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8</v>
      </c>
      <c r="AI5181">
        <v>0</v>
      </c>
      <c r="AJ5181">
        <v>1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/>
      <c r="AQ5181">
        <v>0</v>
      </c>
      <c r="AR5181">
        <v>0</v>
      </c>
      <c r="AT5181">
        <v>0</v>
      </c>
      <c r="AU5181">
        <v>0</v>
      </c>
      <c r="AW5181">
        <v>0</v>
      </c>
      <c r="AX5181">
        <v>0</v>
      </c>
      <c r="AY5181">
        <v>0</v>
      </c>
      <c r="BC5181" t="str">
        <f t="shared" si="717"/>
        <v>9791137601741</v>
      </c>
      <c r="BE5181" t="str">
        <f t="shared" si="718"/>
        <v>판타지 웹소설 &gt; 현대 판타지</v>
      </c>
    </row>
    <row r="5182" spans="1:57" x14ac:dyDescent="0.3">
      <c r="A5182">
        <v>2313019331</v>
      </c>
      <c r="B5182">
        <v>2313019337</v>
      </c>
      <c r="C5182" t="str">
        <f>T("상태창빨로 천재 재벌 7화")</f>
        <v>상태창빨로 천재 재벌 7화</v>
      </c>
      <c r="D5182" t="str">
        <f>T("7")</f>
        <v>7</v>
      </c>
      <c r="E5182" t="str">
        <f t="shared" si="714"/>
        <v>리얼탄산</v>
      </c>
      <c r="H5182" t="str">
        <f t="shared" si="715"/>
        <v>스토리위즈</v>
      </c>
      <c r="I5182" t="str">
        <f t="shared" si="716"/>
        <v>상태창빨로 천재 재벌</v>
      </c>
      <c r="J5182">
        <v>0</v>
      </c>
      <c r="K5182">
        <v>0</v>
      </c>
      <c r="L5182">
        <v>0</v>
      </c>
      <c r="M5182">
        <v>8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8</v>
      </c>
      <c r="AI5182">
        <v>0</v>
      </c>
      <c r="AJ5182">
        <v>1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/>
      <c r="AQ5182">
        <v>0</v>
      </c>
      <c r="AR5182">
        <v>0</v>
      </c>
      <c r="AT5182">
        <v>0</v>
      </c>
      <c r="AU5182">
        <v>0</v>
      </c>
      <c r="AW5182">
        <v>0</v>
      </c>
      <c r="AX5182">
        <v>0</v>
      </c>
      <c r="AY5182">
        <v>0</v>
      </c>
      <c r="BC5182" t="str">
        <f t="shared" si="717"/>
        <v>9791137601741</v>
      </c>
      <c r="BE5182" t="str">
        <f t="shared" si="718"/>
        <v>판타지 웹소설 &gt; 현대 판타지</v>
      </c>
    </row>
    <row r="5183" spans="1:57" x14ac:dyDescent="0.3">
      <c r="A5183">
        <v>2313019331</v>
      </c>
      <c r="B5183">
        <v>2313019338</v>
      </c>
      <c r="C5183" t="str">
        <f>T("상태창빨로 천재 재벌 8화")</f>
        <v>상태창빨로 천재 재벌 8화</v>
      </c>
      <c r="D5183" t="str">
        <f>T("8")</f>
        <v>8</v>
      </c>
      <c r="E5183" t="str">
        <f t="shared" si="714"/>
        <v>리얼탄산</v>
      </c>
      <c r="H5183" t="str">
        <f t="shared" si="715"/>
        <v>스토리위즈</v>
      </c>
      <c r="I5183" t="str">
        <f t="shared" si="716"/>
        <v>상태창빨로 천재 재벌</v>
      </c>
      <c r="J5183">
        <v>0</v>
      </c>
      <c r="K5183">
        <v>0</v>
      </c>
      <c r="L5183">
        <v>0</v>
      </c>
      <c r="M5183">
        <v>8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8</v>
      </c>
      <c r="AI5183">
        <v>0</v>
      </c>
      <c r="AJ5183">
        <v>1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/>
      <c r="AQ5183">
        <v>0</v>
      </c>
      <c r="AR5183">
        <v>0</v>
      </c>
      <c r="AT5183">
        <v>0</v>
      </c>
      <c r="AU5183">
        <v>0</v>
      </c>
      <c r="AW5183">
        <v>0</v>
      </c>
      <c r="AX5183">
        <v>0</v>
      </c>
      <c r="AY5183">
        <v>0</v>
      </c>
      <c r="BC5183" t="str">
        <f t="shared" si="717"/>
        <v>9791137601741</v>
      </c>
      <c r="BE5183" t="str">
        <f t="shared" si="718"/>
        <v>판타지 웹소설 &gt; 현대 판타지</v>
      </c>
    </row>
    <row r="5184" spans="1:57" x14ac:dyDescent="0.3">
      <c r="A5184">
        <v>2313019331</v>
      </c>
      <c r="B5184">
        <v>2313019339</v>
      </c>
      <c r="C5184" t="str">
        <f>T("상태창빨로 천재 재벌 9화")</f>
        <v>상태창빨로 천재 재벌 9화</v>
      </c>
      <c r="D5184" t="str">
        <f>T("9")</f>
        <v>9</v>
      </c>
      <c r="E5184" t="str">
        <f t="shared" si="714"/>
        <v>리얼탄산</v>
      </c>
      <c r="H5184" t="str">
        <f t="shared" si="715"/>
        <v>스토리위즈</v>
      </c>
      <c r="I5184" t="str">
        <f t="shared" si="716"/>
        <v>상태창빨로 천재 재벌</v>
      </c>
      <c r="J5184">
        <v>0</v>
      </c>
      <c r="K5184">
        <v>0</v>
      </c>
      <c r="L5184">
        <v>0</v>
      </c>
      <c r="M5184">
        <v>8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8</v>
      </c>
      <c r="AI5184">
        <v>0</v>
      </c>
      <c r="AJ5184">
        <v>1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/>
      <c r="AQ5184">
        <v>0</v>
      </c>
      <c r="AR5184">
        <v>0</v>
      </c>
      <c r="AT5184">
        <v>0</v>
      </c>
      <c r="AU5184">
        <v>0</v>
      </c>
      <c r="AW5184">
        <v>0</v>
      </c>
      <c r="AX5184">
        <v>0</v>
      </c>
      <c r="AY5184">
        <v>0</v>
      </c>
      <c r="BC5184" t="str">
        <f t="shared" si="717"/>
        <v>9791137601741</v>
      </c>
      <c r="BE5184" t="str">
        <f t="shared" si="718"/>
        <v>판타지 웹소설 &gt; 현대 판타지</v>
      </c>
    </row>
    <row r="5185" spans="1:57" x14ac:dyDescent="0.3">
      <c r="A5185">
        <v>2313019331</v>
      </c>
      <c r="B5185">
        <v>2313019340</v>
      </c>
      <c r="C5185" t="str">
        <f>T("상태창빨로 천재 재벌 10화")</f>
        <v>상태창빨로 천재 재벌 10화</v>
      </c>
      <c r="D5185" t="str">
        <f>T("10")</f>
        <v>10</v>
      </c>
      <c r="E5185" t="str">
        <f t="shared" si="714"/>
        <v>리얼탄산</v>
      </c>
      <c r="H5185" t="str">
        <f t="shared" si="715"/>
        <v>스토리위즈</v>
      </c>
      <c r="I5185" t="str">
        <f t="shared" si="716"/>
        <v>상태창빨로 천재 재벌</v>
      </c>
      <c r="J5185">
        <v>0</v>
      </c>
      <c r="K5185">
        <v>0</v>
      </c>
      <c r="L5185">
        <v>0</v>
      </c>
      <c r="M5185">
        <v>8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8</v>
      </c>
      <c r="AI5185">
        <v>0</v>
      </c>
      <c r="AJ5185">
        <v>1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/>
      <c r="AQ5185">
        <v>0</v>
      </c>
      <c r="AR5185">
        <v>0</v>
      </c>
      <c r="AT5185">
        <v>0</v>
      </c>
      <c r="AU5185">
        <v>0</v>
      </c>
      <c r="AW5185">
        <v>0</v>
      </c>
      <c r="AX5185">
        <v>0</v>
      </c>
      <c r="AY5185">
        <v>0</v>
      </c>
      <c r="BC5185" t="str">
        <f t="shared" si="717"/>
        <v>9791137601741</v>
      </c>
      <c r="BE5185" t="str">
        <f t="shared" si="718"/>
        <v>판타지 웹소설 &gt; 현대 판타지</v>
      </c>
    </row>
    <row r="5186" spans="1:57" x14ac:dyDescent="0.3">
      <c r="A5186">
        <v>2313019331</v>
      </c>
      <c r="B5186">
        <v>2313019341</v>
      </c>
      <c r="C5186" t="str">
        <f>T("상태창빨로 천재 재벌 11화")</f>
        <v>상태창빨로 천재 재벌 11화</v>
      </c>
      <c r="D5186" t="str">
        <f>T("11")</f>
        <v>11</v>
      </c>
      <c r="E5186" t="str">
        <f t="shared" si="714"/>
        <v>리얼탄산</v>
      </c>
      <c r="H5186" t="str">
        <f t="shared" si="715"/>
        <v>스토리위즈</v>
      </c>
      <c r="I5186" t="str">
        <f t="shared" si="716"/>
        <v>상태창빨로 천재 재벌</v>
      </c>
      <c r="J5186">
        <v>0</v>
      </c>
      <c r="K5186">
        <v>0</v>
      </c>
      <c r="L5186">
        <v>0</v>
      </c>
      <c r="M5186">
        <v>8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8</v>
      </c>
      <c r="AI5186">
        <v>0</v>
      </c>
      <c r="AJ5186">
        <v>1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/>
      <c r="AQ5186">
        <v>0</v>
      </c>
      <c r="AR5186">
        <v>0</v>
      </c>
      <c r="AT5186">
        <v>0</v>
      </c>
      <c r="AU5186">
        <v>0</v>
      </c>
      <c r="AW5186">
        <v>0</v>
      </c>
      <c r="AX5186">
        <v>0</v>
      </c>
      <c r="AY5186">
        <v>0</v>
      </c>
      <c r="BC5186" t="str">
        <f t="shared" si="717"/>
        <v>9791137601741</v>
      </c>
      <c r="BE5186" t="str">
        <f t="shared" si="718"/>
        <v>판타지 웹소설 &gt; 현대 판타지</v>
      </c>
    </row>
    <row r="5187" spans="1:57" x14ac:dyDescent="0.3">
      <c r="A5187">
        <v>2313019331</v>
      </c>
      <c r="B5187">
        <v>2313019342</v>
      </c>
      <c r="C5187" t="str">
        <f>T("상태창빨로 천재 재벌 12화")</f>
        <v>상태창빨로 천재 재벌 12화</v>
      </c>
      <c r="D5187" t="str">
        <f>T("12")</f>
        <v>12</v>
      </c>
      <c r="E5187" t="str">
        <f t="shared" si="714"/>
        <v>리얼탄산</v>
      </c>
      <c r="H5187" t="str">
        <f t="shared" si="715"/>
        <v>스토리위즈</v>
      </c>
      <c r="I5187" t="str">
        <f t="shared" si="716"/>
        <v>상태창빨로 천재 재벌</v>
      </c>
      <c r="J5187">
        <v>0</v>
      </c>
      <c r="K5187">
        <v>0</v>
      </c>
      <c r="L5187">
        <v>0</v>
      </c>
      <c r="M5187">
        <v>8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8</v>
      </c>
      <c r="AI5187">
        <v>0</v>
      </c>
      <c r="AJ5187">
        <v>1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/>
      <c r="AQ5187">
        <v>0</v>
      </c>
      <c r="AR5187">
        <v>0</v>
      </c>
      <c r="AT5187">
        <v>0</v>
      </c>
      <c r="AU5187">
        <v>0</v>
      </c>
      <c r="AW5187">
        <v>0</v>
      </c>
      <c r="AX5187">
        <v>0</v>
      </c>
      <c r="AY5187">
        <v>0</v>
      </c>
      <c r="BC5187" t="str">
        <f t="shared" si="717"/>
        <v>9791137601741</v>
      </c>
      <c r="BE5187" t="str">
        <f t="shared" si="718"/>
        <v>판타지 웹소설 &gt; 현대 판타지</v>
      </c>
    </row>
    <row r="5188" spans="1:57" x14ac:dyDescent="0.3">
      <c r="A5188">
        <v>2313019331</v>
      </c>
      <c r="B5188">
        <v>2313019343</v>
      </c>
      <c r="C5188" t="str">
        <f>T("상태창빨로 천재 재벌 13화")</f>
        <v>상태창빨로 천재 재벌 13화</v>
      </c>
      <c r="D5188" t="str">
        <f>T("13")</f>
        <v>13</v>
      </c>
      <c r="E5188" t="str">
        <f t="shared" si="714"/>
        <v>리얼탄산</v>
      </c>
      <c r="H5188" t="str">
        <f t="shared" si="715"/>
        <v>스토리위즈</v>
      </c>
      <c r="I5188" t="str">
        <f t="shared" si="716"/>
        <v>상태창빨로 천재 재벌</v>
      </c>
      <c r="J5188">
        <v>0</v>
      </c>
      <c r="K5188">
        <v>0</v>
      </c>
      <c r="L5188">
        <v>0</v>
      </c>
      <c r="M5188">
        <v>7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7</v>
      </c>
      <c r="AI5188">
        <v>0</v>
      </c>
      <c r="AJ5188">
        <v>1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/>
      <c r="AQ5188">
        <v>0</v>
      </c>
      <c r="AR5188">
        <v>0</v>
      </c>
      <c r="AT5188">
        <v>0</v>
      </c>
      <c r="AU5188">
        <v>0</v>
      </c>
      <c r="AW5188">
        <v>0</v>
      </c>
      <c r="AX5188">
        <v>0</v>
      </c>
      <c r="AY5188">
        <v>0</v>
      </c>
      <c r="BC5188" t="str">
        <f t="shared" si="717"/>
        <v>9791137601741</v>
      </c>
      <c r="BE5188" t="str">
        <f t="shared" si="718"/>
        <v>판타지 웹소설 &gt; 현대 판타지</v>
      </c>
    </row>
    <row r="5189" spans="1:57" x14ac:dyDescent="0.3">
      <c r="A5189">
        <v>2313019331</v>
      </c>
      <c r="B5189">
        <v>2313019344</v>
      </c>
      <c r="C5189" t="str">
        <f>T("상태창빨로 천재 재벌 14화")</f>
        <v>상태창빨로 천재 재벌 14화</v>
      </c>
      <c r="D5189" t="str">
        <f>T("14")</f>
        <v>14</v>
      </c>
      <c r="E5189" t="str">
        <f t="shared" si="714"/>
        <v>리얼탄산</v>
      </c>
      <c r="H5189" t="str">
        <f t="shared" si="715"/>
        <v>스토리위즈</v>
      </c>
      <c r="I5189" t="str">
        <f t="shared" si="716"/>
        <v>상태창빨로 천재 재벌</v>
      </c>
      <c r="J5189">
        <v>0</v>
      </c>
      <c r="K5189">
        <v>0</v>
      </c>
      <c r="L5189">
        <v>0</v>
      </c>
      <c r="M5189">
        <v>7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7</v>
      </c>
      <c r="AI5189">
        <v>0</v>
      </c>
      <c r="AJ5189">
        <v>1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/>
      <c r="AQ5189">
        <v>0</v>
      </c>
      <c r="AR5189">
        <v>0</v>
      </c>
      <c r="AT5189">
        <v>0</v>
      </c>
      <c r="AU5189">
        <v>0</v>
      </c>
      <c r="AW5189">
        <v>0</v>
      </c>
      <c r="AX5189">
        <v>0</v>
      </c>
      <c r="AY5189">
        <v>0</v>
      </c>
      <c r="BC5189" t="str">
        <f t="shared" si="717"/>
        <v>9791137601741</v>
      </c>
      <c r="BE5189" t="str">
        <f t="shared" si="718"/>
        <v>판타지 웹소설 &gt; 현대 판타지</v>
      </c>
    </row>
    <row r="5190" spans="1:57" x14ac:dyDescent="0.3">
      <c r="A5190">
        <v>2313019331</v>
      </c>
      <c r="B5190">
        <v>2313019345</v>
      </c>
      <c r="C5190" t="str">
        <f>T("상태창빨로 천재 재벌 15화")</f>
        <v>상태창빨로 천재 재벌 15화</v>
      </c>
      <c r="D5190" t="str">
        <f>T("15")</f>
        <v>15</v>
      </c>
      <c r="E5190" t="str">
        <f t="shared" si="714"/>
        <v>리얼탄산</v>
      </c>
      <c r="H5190" t="str">
        <f t="shared" si="715"/>
        <v>스토리위즈</v>
      </c>
      <c r="I5190" t="str">
        <f t="shared" si="716"/>
        <v>상태창빨로 천재 재벌</v>
      </c>
      <c r="J5190">
        <v>0</v>
      </c>
      <c r="K5190">
        <v>0</v>
      </c>
      <c r="L5190">
        <v>0</v>
      </c>
      <c r="M5190">
        <v>7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7</v>
      </c>
      <c r="AI5190">
        <v>0</v>
      </c>
      <c r="AJ5190">
        <v>1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/>
      <c r="AQ5190">
        <v>0</v>
      </c>
      <c r="AR5190">
        <v>0</v>
      </c>
      <c r="AT5190">
        <v>0</v>
      </c>
      <c r="AU5190">
        <v>0</v>
      </c>
      <c r="AW5190">
        <v>0</v>
      </c>
      <c r="AX5190">
        <v>0</v>
      </c>
      <c r="AY5190">
        <v>0</v>
      </c>
      <c r="BC5190" t="str">
        <f t="shared" si="717"/>
        <v>9791137601741</v>
      </c>
      <c r="BE5190" t="str">
        <f t="shared" si="718"/>
        <v>판타지 웹소설 &gt; 현대 판타지</v>
      </c>
    </row>
    <row r="5191" spans="1:57" x14ac:dyDescent="0.3">
      <c r="A5191">
        <v>2313019331</v>
      </c>
      <c r="B5191">
        <v>2313019346</v>
      </c>
      <c r="C5191" t="str">
        <f>T("상태창빨로 천재 재벌 16화")</f>
        <v>상태창빨로 천재 재벌 16화</v>
      </c>
      <c r="D5191" t="str">
        <f>T("16")</f>
        <v>16</v>
      </c>
      <c r="E5191" t="str">
        <f t="shared" si="714"/>
        <v>리얼탄산</v>
      </c>
      <c r="H5191" t="str">
        <f t="shared" si="715"/>
        <v>스토리위즈</v>
      </c>
      <c r="I5191" t="str">
        <f t="shared" si="716"/>
        <v>상태창빨로 천재 재벌</v>
      </c>
      <c r="J5191">
        <v>0</v>
      </c>
      <c r="K5191">
        <v>0</v>
      </c>
      <c r="L5191">
        <v>0</v>
      </c>
      <c r="M5191">
        <v>7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7</v>
      </c>
      <c r="AI5191">
        <v>0</v>
      </c>
      <c r="AJ5191">
        <v>1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/>
      <c r="AQ5191">
        <v>0</v>
      </c>
      <c r="AR5191">
        <v>0</v>
      </c>
      <c r="AT5191">
        <v>0</v>
      </c>
      <c r="AU5191">
        <v>0</v>
      </c>
      <c r="AW5191">
        <v>0</v>
      </c>
      <c r="AX5191">
        <v>0</v>
      </c>
      <c r="AY5191">
        <v>0</v>
      </c>
      <c r="BC5191" t="str">
        <f t="shared" si="717"/>
        <v>9791137601741</v>
      </c>
      <c r="BE5191" t="str">
        <f t="shared" si="718"/>
        <v>판타지 웹소설 &gt; 현대 판타지</v>
      </c>
    </row>
    <row r="5192" spans="1:57" x14ac:dyDescent="0.3">
      <c r="A5192">
        <v>2313019331</v>
      </c>
      <c r="B5192">
        <v>2313019347</v>
      </c>
      <c r="C5192" t="str">
        <f>T("상태창빨로 천재 재벌 17화")</f>
        <v>상태창빨로 천재 재벌 17화</v>
      </c>
      <c r="D5192" t="str">
        <f>T("17")</f>
        <v>17</v>
      </c>
      <c r="E5192" t="str">
        <f t="shared" si="714"/>
        <v>리얼탄산</v>
      </c>
      <c r="H5192" t="str">
        <f t="shared" si="715"/>
        <v>스토리위즈</v>
      </c>
      <c r="I5192" t="str">
        <f t="shared" si="716"/>
        <v>상태창빨로 천재 재벌</v>
      </c>
      <c r="J5192">
        <v>0</v>
      </c>
      <c r="K5192">
        <v>0</v>
      </c>
      <c r="L5192">
        <v>0</v>
      </c>
      <c r="M5192">
        <v>7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7</v>
      </c>
      <c r="AI5192">
        <v>0</v>
      </c>
      <c r="AJ5192">
        <v>1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/>
      <c r="AQ5192">
        <v>0</v>
      </c>
      <c r="AR5192">
        <v>0</v>
      </c>
      <c r="AT5192">
        <v>0</v>
      </c>
      <c r="AU5192">
        <v>0</v>
      </c>
      <c r="AW5192">
        <v>0</v>
      </c>
      <c r="AX5192">
        <v>0</v>
      </c>
      <c r="AY5192">
        <v>0</v>
      </c>
      <c r="BC5192" t="str">
        <f t="shared" si="717"/>
        <v>9791137601741</v>
      </c>
      <c r="BE5192" t="str">
        <f t="shared" si="718"/>
        <v>판타지 웹소설 &gt; 현대 판타지</v>
      </c>
    </row>
    <row r="5193" spans="1:57" x14ac:dyDescent="0.3">
      <c r="A5193">
        <v>2313019331</v>
      </c>
      <c r="B5193">
        <v>2313019348</v>
      </c>
      <c r="C5193" t="str">
        <f>T("상태창빨로 천재 재벌 18화")</f>
        <v>상태창빨로 천재 재벌 18화</v>
      </c>
      <c r="D5193" t="str">
        <f>T("18")</f>
        <v>18</v>
      </c>
      <c r="E5193" t="str">
        <f t="shared" si="714"/>
        <v>리얼탄산</v>
      </c>
      <c r="H5193" t="str">
        <f t="shared" si="715"/>
        <v>스토리위즈</v>
      </c>
      <c r="I5193" t="str">
        <f t="shared" si="716"/>
        <v>상태창빨로 천재 재벌</v>
      </c>
      <c r="J5193">
        <v>0</v>
      </c>
      <c r="K5193">
        <v>0</v>
      </c>
      <c r="L5193">
        <v>0</v>
      </c>
      <c r="M5193">
        <v>7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7</v>
      </c>
      <c r="AI5193">
        <v>0</v>
      </c>
      <c r="AJ5193">
        <v>1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/>
      <c r="AQ5193">
        <v>0</v>
      </c>
      <c r="AR5193">
        <v>0</v>
      </c>
      <c r="AT5193">
        <v>0</v>
      </c>
      <c r="AU5193">
        <v>0</v>
      </c>
      <c r="AW5193">
        <v>0</v>
      </c>
      <c r="AX5193">
        <v>0</v>
      </c>
      <c r="AY5193">
        <v>0</v>
      </c>
      <c r="BC5193" t="str">
        <f t="shared" si="717"/>
        <v>9791137601741</v>
      </c>
      <c r="BE5193" t="str">
        <f t="shared" si="718"/>
        <v>판타지 웹소설 &gt; 현대 판타지</v>
      </c>
    </row>
    <row r="5194" spans="1:57" x14ac:dyDescent="0.3">
      <c r="A5194">
        <v>2313019331</v>
      </c>
      <c r="B5194">
        <v>2313019349</v>
      </c>
      <c r="C5194" t="str">
        <f>T("상태창빨로 천재 재벌 19화")</f>
        <v>상태창빨로 천재 재벌 19화</v>
      </c>
      <c r="D5194" t="str">
        <f>T("19")</f>
        <v>19</v>
      </c>
      <c r="E5194" t="str">
        <f t="shared" si="714"/>
        <v>리얼탄산</v>
      </c>
      <c r="H5194" t="str">
        <f t="shared" si="715"/>
        <v>스토리위즈</v>
      </c>
      <c r="I5194" t="str">
        <f t="shared" si="716"/>
        <v>상태창빨로 천재 재벌</v>
      </c>
      <c r="J5194">
        <v>0</v>
      </c>
      <c r="K5194">
        <v>0</v>
      </c>
      <c r="L5194">
        <v>0</v>
      </c>
      <c r="M5194">
        <v>8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8</v>
      </c>
      <c r="AI5194">
        <v>0</v>
      </c>
      <c r="AJ5194">
        <v>1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/>
      <c r="AQ5194">
        <v>0</v>
      </c>
      <c r="AR5194">
        <v>0</v>
      </c>
      <c r="AT5194">
        <v>0</v>
      </c>
      <c r="AU5194">
        <v>0</v>
      </c>
      <c r="AW5194">
        <v>0</v>
      </c>
      <c r="AX5194">
        <v>0</v>
      </c>
      <c r="AY5194">
        <v>0</v>
      </c>
      <c r="BC5194" t="str">
        <f t="shared" si="717"/>
        <v>9791137601741</v>
      </c>
      <c r="BE5194" t="str">
        <f t="shared" si="718"/>
        <v>판타지 웹소설 &gt; 현대 판타지</v>
      </c>
    </row>
    <row r="5195" spans="1:57" x14ac:dyDescent="0.3">
      <c r="A5195">
        <v>2313019331</v>
      </c>
      <c r="B5195">
        <v>2313019350</v>
      </c>
      <c r="C5195" t="str">
        <f>T("상태창빨로 천재 재벌 20화")</f>
        <v>상태창빨로 천재 재벌 20화</v>
      </c>
      <c r="D5195" t="str">
        <f>T("20")</f>
        <v>20</v>
      </c>
      <c r="E5195" t="str">
        <f t="shared" si="714"/>
        <v>리얼탄산</v>
      </c>
      <c r="H5195" t="str">
        <f t="shared" si="715"/>
        <v>스토리위즈</v>
      </c>
      <c r="I5195" t="str">
        <f t="shared" si="716"/>
        <v>상태창빨로 천재 재벌</v>
      </c>
      <c r="J5195">
        <v>0</v>
      </c>
      <c r="K5195">
        <v>0</v>
      </c>
      <c r="L5195">
        <v>0</v>
      </c>
      <c r="M5195">
        <v>8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8</v>
      </c>
      <c r="AI5195">
        <v>0</v>
      </c>
      <c r="AJ5195">
        <v>1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/>
      <c r="AQ5195">
        <v>0</v>
      </c>
      <c r="AR5195">
        <v>0</v>
      </c>
      <c r="AT5195">
        <v>0</v>
      </c>
      <c r="AU5195">
        <v>0</v>
      </c>
      <c r="AW5195">
        <v>0</v>
      </c>
      <c r="AX5195">
        <v>0</v>
      </c>
      <c r="AY5195">
        <v>0</v>
      </c>
      <c r="BC5195" t="str">
        <f t="shared" si="717"/>
        <v>9791137601741</v>
      </c>
      <c r="BE5195" t="str">
        <f t="shared" si="718"/>
        <v>판타지 웹소설 &gt; 현대 판타지</v>
      </c>
    </row>
    <row r="5196" spans="1:57" x14ac:dyDescent="0.3">
      <c r="A5196">
        <v>2313019331</v>
      </c>
      <c r="B5196">
        <v>2313019351</v>
      </c>
      <c r="C5196" t="str">
        <f>T("상태창빨로 천재 재벌 21화")</f>
        <v>상태창빨로 천재 재벌 21화</v>
      </c>
      <c r="D5196" t="str">
        <f>T("21")</f>
        <v>21</v>
      </c>
      <c r="E5196" t="str">
        <f t="shared" si="714"/>
        <v>리얼탄산</v>
      </c>
      <c r="H5196" t="str">
        <f t="shared" si="715"/>
        <v>스토리위즈</v>
      </c>
      <c r="I5196" t="str">
        <f t="shared" si="716"/>
        <v>상태창빨로 천재 재벌</v>
      </c>
      <c r="J5196">
        <v>0</v>
      </c>
      <c r="K5196">
        <v>0</v>
      </c>
      <c r="L5196">
        <v>0</v>
      </c>
      <c r="M5196">
        <v>8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8</v>
      </c>
      <c r="AI5196">
        <v>0</v>
      </c>
      <c r="AJ5196">
        <v>1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/>
      <c r="AQ5196">
        <v>0</v>
      </c>
      <c r="AR5196">
        <v>0</v>
      </c>
      <c r="AT5196">
        <v>0</v>
      </c>
      <c r="AU5196">
        <v>0</v>
      </c>
      <c r="AW5196">
        <v>0</v>
      </c>
      <c r="AX5196">
        <v>0</v>
      </c>
      <c r="AY5196">
        <v>0</v>
      </c>
      <c r="BC5196" t="str">
        <f t="shared" si="717"/>
        <v>9791137601741</v>
      </c>
      <c r="BE5196" t="str">
        <f t="shared" si="718"/>
        <v>판타지 웹소설 &gt; 현대 판타지</v>
      </c>
    </row>
    <row r="5197" spans="1:57" x14ac:dyDescent="0.3">
      <c r="A5197">
        <v>2313019331</v>
      </c>
      <c r="B5197">
        <v>2313019352</v>
      </c>
      <c r="C5197" t="str">
        <f>T("상태창빨로 천재 재벌 22화")</f>
        <v>상태창빨로 천재 재벌 22화</v>
      </c>
      <c r="D5197" t="str">
        <f>T("22")</f>
        <v>22</v>
      </c>
      <c r="E5197" t="str">
        <f t="shared" si="714"/>
        <v>리얼탄산</v>
      </c>
      <c r="H5197" t="str">
        <f t="shared" si="715"/>
        <v>스토리위즈</v>
      </c>
      <c r="I5197" t="str">
        <f t="shared" si="716"/>
        <v>상태창빨로 천재 재벌</v>
      </c>
      <c r="J5197">
        <v>0</v>
      </c>
      <c r="K5197">
        <v>0</v>
      </c>
      <c r="L5197">
        <v>0</v>
      </c>
      <c r="M5197">
        <v>7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7</v>
      </c>
      <c r="AI5197">
        <v>0</v>
      </c>
      <c r="AJ5197">
        <v>1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/>
      <c r="AQ5197">
        <v>0</v>
      </c>
      <c r="AR5197">
        <v>0</v>
      </c>
      <c r="AT5197">
        <v>0</v>
      </c>
      <c r="AU5197">
        <v>0</v>
      </c>
      <c r="AW5197">
        <v>0</v>
      </c>
      <c r="AX5197">
        <v>0</v>
      </c>
      <c r="AY5197">
        <v>0</v>
      </c>
      <c r="BC5197" t="str">
        <f t="shared" si="717"/>
        <v>9791137601741</v>
      </c>
      <c r="BE5197" t="str">
        <f t="shared" si="718"/>
        <v>판타지 웹소설 &gt; 현대 판타지</v>
      </c>
    </row>
    <row r="5198" spans="1:57" x14ac:dyDescent="0.3">
      <c r="A5198">
        <v>2313019331</v>
      </c>
      <c r="B5198">
        <v>2313019353</v>
      </c>
      <c r="C5198" t="str">
        <f>T("상태창빨로 천재 재벌 23화")</f>
        <v>상태창빨로 천재 재벌 23화</v>
      </c>
      <c r="D5198" t="str">
        <f>T("23")</f>
        <v>23</v>
      </c>
      <c r="E5198" t="str">
        <f t="shared" si="714"/>
        <v>리얼탄산</v>
      </c>
      <c r="H5198" t="str">
        <f t="shared" si="715"/>
        <v>스토리위즈</v>
      </c>
      <c r="I5198" t="str">
        <f t="shared" si="716"/>
        <v>상태창빨로 천재 재벌</v>
      </c>
      <c r="J5198">
        <v>0</v>
      </c>
      <c r="K5198">
        <v>0</v>
      </c>
      <c r="L5198">
        <v>0</v>
      </c>
      <c r="M5198">
        <v>7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7</v>
      </c>
      <c r="AI5198">
        <v>0</v>
      </c>
      <c r="AJ5198">
        <v>1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/>
      <c r="AQ5198">
        <v>0</v>
      </c>
      <c r="AR5198">
        <v>0</v>
      </c>
      <c r="AT5198">
        <v>0</v>
      </c>
      <c r="AU5198">
        <v>0</v>
      </c>
      <c r="AW5198">
        <v>0</v>
      </c>
      <c r="AX5198">
        <v>0</v>
      </c>
      <c r="AY5198">
        <v>0</v>
      </c>
      <c r="BC5198" t="str">
        <f t="shared" si="717"/>
        <v>9791137601741</v>
      </c>
      <c r="BE5198" t="str">
        <f t="shared" si="718"/>
        <v>판타지 웹소설 &gt; 현대 판타지</v>
      </c>
    </row>
    <row r="5199" spans="1:57" x14ac:dyDescent="0.3">
      <c r="A5199">
        <v>2313019331</v>
      </c>
      <c r="B5199">
        <v>2313019354</v>
      </c>
      <c r="C5199" t="str">
        <f>T("상태창빨로 천재 재벌 24화")</f>
        <v>상태창빨로 천재 재벌 24화</v>
      </c>
      <c r="D5199" t="str">
        <f>T("24")</f>
        <v>24</v>
      </c>
      <c r="E5199" t="str">
        <f t="shared" si="714"/>
        <v>리얼탄산</v>
      </c>
      <c r="H5199" t="str">
        <f t="shared" si="715"/>
        <v>스토리위즈</v>
      </c>
      <c r="I5199" t="str">
        <f t="shared" si="716"/>
        <v>상태창빨로 천재 재벌</v>
      </c>
      <c r="J5199">
        <v>0</v>
      </c>
      <c r="K5199">
        <v>0</v>
      </c>
      <c r="L5199">
        <v>0</v>
      </c>
      <c r="M5199">
        <v>7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7</v>
      </c>
      <c r="AI5199">
        <v>0</v>
      </c>
      <c r="AJ5199">
        <v>1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/>
      <c r="AQ5199">
        <v>0</v>
      </c>
      <c r="AR5199">
        <v>0</v>
      </c>
      <c r="AT5199">
        <v>0</v>
      </c>
      <c r="AU5199">
        <v>0</v>
      </c>
      <c r="AW5199">
        <v>0</v>
      </c>
      <c r="AX5199">
        <v>0</v>
      </c>
      <c r="AY5199">
        <v>0</v>
      </c>
      <c r="BC5199" t="str">
        <f t="shared" si="717"/>
        <v>9791137601741</v>
      </c>
      <c r="BE5199" t="str">
        <f t="shared" si="718"/>
        <v>판타지 웹소설 &gt; 현대 판타지</v>
      </c>
    </row>
    <row r="5200" spans="1:57" x14ac:dyDescent="0.3">
      <c r="A5200">
        <v>2313019331</v>
      </c>
      <c r="B5200">
        <v>2313019355</v>
      </c>
      <c r="C5200" t="str">
        <f>T("상태창빨로 천재 재벌 25화")</f>
        <v>상태창빨로 천재 재벌 25화</v>
      </c>
      <c r="D5200" t="str">
        <f>T("25")</f>
        <v>25</v>
      </c>
      <c r="E5200" t="str">
        <f t="shared" si="714"/>
        <v>리얼탄산</v>
      </c>
      <c r="H5200" t="str">
        <f t="shared" si="715"/>
        <v>스토리위즈</v>
      </c>
      <c r="I5200" t="str">
        <f t="shared" si="716"/>
        <v>상태창빨로 천재 재벌</v>
      </c>
      <c r="J5200">
        <v>0</v>
      </c>
      <c r="K5200">
        <v>0</v>
      </c>
      <c r="L5200">
        <v>0</v>
      </c>
      <c r="M5200">
        <v>6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6</v>
      </c>
      <c r="AI5200">
        <v>0</v>
      </c>
      <c r="AJ5200">
        <v>1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/>
      <c r="AQ5200">
        <v>0</v>
      </c>
      <c r="AR5200">
        <v>0</v>
      </c>
      <c r="AT5200">
        <v>0</v>
      </c>
      <c r="AU5200">
        <v>0</v>
      </c>
      <c r="AW5200">
        <v>0</v>
      </c>
      <c r="AX5200">
        <v>0</v>
      </c>
      <c r="AY5200">
        <v>0</v>
      </c>
      <c r="BC5200" t="str">
        <f t="shared" si="717"/>
        <v>9791137601741</v>
      </c>
      <c r="BE5200" t="str">
        <f t="shared" si="718"/>
        <v>판타지 웹소설 &gt; 현대 판타지</v>
      </c>
    </row>
    <row r="5201" spans="1:57" x14ac:dyDescent="0.3">
      <c r="A5201">
        <v>2313019631</v>
      </c>
      <c r="B5201">
        <v>2313019631</v>
      </c>
      <c r="C5201" t="str">
        <f>T("망생부터 시작하는 천재작가의 회귀 1화")</f>
        <v>망생부터 시작하는 천재작가의 회귀 1화</v>
      </c>
      <c r="D5201" t="str">
        <f>T("1")</f>
        <v>1</v>
      </c>
      <c r="E5201" t="str">
        <f t="shared" ref="E5201:E5224" si="719">T("알랙스")</f>
        <v>알랙스</v>
      </c>
      <c r="H5201" t="str">
        <f t="shared" si="715"/>
        <v>스토리위즈</v>
      </c>
      <c r="I5201" t="str">
        <f t="shared" ref="I5201:I5224" si="720">T("망생부터 시작하는 천재작가의 회귀")</f>
        <v>망생부터 시작하는 천재작가의 회귀</v>
      </c>
      <c r="J5201">
        <v>0</v>
      </c>
      <c r="K5201">
        <v>0</v>
      </c>
      <c r="L5201">
        <v>0</v>
      </c>
      <c r="M5201">
        <v>4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4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/>
      <c r="AQ5201">
        <v>0</v>
      </c>
      <c r="AR5201">
        <v>0</v>
      </c>
      <c r="AT5201">
        <v>0</v>
      </c>
      <c r="AU5201">
        <v>0</v>
      </c>
      <c r="AW5201">
        <v>0</v>
      </c>
      <c r="AX5201">
        <v>0</v>
      </c>
      <c r="AY5201">
        <v>0</v>
      </c>
      <c r="BC5201" t="str">
        <f t="shared" ref="BC5201:BC5224" si="721">T("9791137603097")</f>
        <v>9791137603097</v>
      </c>
      <c r="BE5201" t="str">
        <f t="shared" si="718"/>
        <v>판타지 웹소설 &gt; 현대 판타지</v>
      </c>
    </row>
    <row r="5202" spans="1:57" x14ac:dyDescent="0.3">
      <c r="A5202">
        <v>2313019631</v>
      </c>
      <c r="B5202">
        <v>2313019632</v>
      </c>
      <c r="C5202" t="str">
        <f>T("망생부터 시작하는 천재작가의 회귀 2화")</f>
        <v>망생부터 시작하는 천재작가의 회귀 2화</v>
      </c>
      <c r="D5202" t="str">
        <f>T("2")</f>
        <v>2</v>
      </c>
      <c r="E5202" t="str">
        <f t="shared" si="719"/>
        <v>알랙스</v>
      </c>
      <c r="H5202" t="str">
        <f t="shared" si="715"/>
        <v>스토리위즈</v>
      </c>
      <c r="I5202" t="str">
        <f t="shared" si="720"/>
        <v>망생부터 시작하는 천재작가의 회귀</v>
      </c>
      <c r="J5202">
        <v>0</v>
      </c>
      <c r="K5202">
        <v>0</v>
      </c>
      <c r="L5202">
        <v>0</v>
      </c>
      <c r="M5202">
        <v>3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3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/>
      <c r="AQ5202">
        <v>0</v>
      </c>
      <c r="AR5202">
        <v>0</v>
      </c>
      <c r="AT5202">
        <v>0</v>
      </c>
      <c r="AU5202">
        <v>0</v>
      </c>
      <c r="AW5202">
        <v>0</v>
      </c>
      <c r="AX5202">
        <v>0</v>
      </c>
      <c r="AY5202">
        <v>0</v>
      </c>
      <c r="BC5202" t="str">
        <f t="shared" si="721"/>
        <v>9791137603097</v>
      </c>
      <c r="BE5202" t="str">
        <f t="shared" si="718"/>
        <v>판타지 웹소설 &gt; 현대 판타지</v>
      </c>
    </row>
    <row r="5203" spans="1:57" x14ac:dyDescent="0.3">
      <c r="A5203">
        <v>2313019631</v>
      </c>
      <c r="B5203">
        <v>2313019633</v>
      </c>
      <c r="C5203" t="str">
        <f>T("망생부터 시작하는 천재작가의 회귀 3화")</f>
        <v>망생부터 시작하는 천재작가의 회귀 3화</v>
      </c>
      <c r="D5203" t="str">
        <f>T("3")</f>
        <v>3</v>
      </c>
      <c r="E5203" t="str">
        <f t="shared" si="719"/>
        <v>알랙스</v>
      </c>
      <c r="H5203" t="str">
        <f t="shared" si="715"/>
        <v>스토리위즈</v>
      </c>
      <c r="I5203" t="str">
        <f t="shared" si="720"/>
        <v>망생부터 시작하는 천재작가의 회귀</v>
      </c>
      <c r="J5203">
        <v>0</v>
      </c>
      <c r="K5203">
        <v>0</v>
      </c>
      <c r="L5203">
        <v>0</v>
      </c>
      <c r="M5203">
        <v>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3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/>
      <c r="AQ5203">
        <v>0</v>
      </c>
      <c r="AR5203">
        <v>0</v>
      </c>
      <c r="AT5203">
        <v>0</v>
      </c>
      <c r="AU5203">
        <v>0</v>
      </c>
      <c r="AW5203">
        <v>0</v>
      </c>
      <c r="AX5203">
        <v>0</v>
      </c>
      <c r="AY5203">
        <v>0</v>
      </c>
      <c r="BC5203" t="str">
        <f t="shared" si="721"/>
        <v>9791137603097</v>
      </c>
      <c r="BE5203" t="str">
        <f t="shared" si="718"/>
        <v>판타지 웹소설 &gt; 현대 판타지</v>
      </c>
    </row>
    <row r="5204" spans="1:57" x14ac:dyDescent="0.3">
      <c r="A5204">
        <v>2313019631</v>
      </c>
      <c r="B5204">
        <v>2313019634</v>
      </c>
      <c r="C5204" t="str">
        <f>T("망생부터 시작하는 천재작가의 회귀 4화")</f>
        <v>망생부터 시작하는 천재작가의 회귀 4화</v>
      </c>
      <c r="D5204" t="str">
        <f>T("4")</f>
        <v>4</v>
      </c>
      <c r="E5204" t="str">
        <f t="shared" si="719"/>
        <v>알랙스</v>
      </c>
      <c r="H5204" t="str">
        <f t="shared" si="715"/>
        <v>스토리위즈</v>
      </c>
      <c r="I5204" t="str">
        <f t="shared" si="720"/>
        <v>망생부터 시작하는 천재작가의 회귀</v>
      </c>
      <c r="J5204">
        <v>0</v>
      </c>
      <c r="K5204">
        <v>0</v>
      </c>
      <c r="L5204">
        <v>0</v>
      </c>
      <c r="M5204">
        <v>3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3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/>
      <c r="AQ5204">
        <v>0</v>
      </c>
      <c r="AR5204">
        <v>0</v>
      </c>
      <c r="AT5204">
        <v>0</v>
      </c>
      <c r="AU5204">
        <v>0</v>
      </c>
      <c r="AW5204">
        <v>0</v>
      </c>
      <c r="AX5204">
        <v>0</v>
      </c>
      <c r="AY5204">
        <v>0</v>
      </c>
      <c r="BC5204" t="str">
        <f t="shared" si="721"/>
        <v>9791137603097</v>
      </c>
      <c r="BE5204" t="str">
        <f t="shared" si="718"/>
        <v>판타지 웹소설 &gt; 현대 판타지</v>
      </c>
    </row>
    <row r="5205" spans="1:57" x14ac:dyDescent="0.3">
      <c r="A5205">
        <v>2313019631</v>
      </c>
      <c r="B5205">
        <v>2313019635</v>
      </c>
      <c r="C5205" t="str">
        <f>T("망생부터 시작하는 천재작가의 회귀 5화")</f>
        <v>망생부터 시작하는 천재작가의 회귀 5화</v>
      </c>
      <c r="D5205" t="str">
        <f>T("5")</f>
        <v>5</v>
      </c>
      <c r="E5205" t="str">
        <f t="shared" si="719"/>
        <v>알랙스</v>
      </c>
      <c r="H5205" t="str">
        <f t="shared" si="715"/>
        <v>스토리위즈</v>
      </c>
      <c r="I5205" t="str">
        <f t="shared" si="720"/>
        <v>망생부터 시작하는 천재작가의 회귀</v>
      </c>
      <c r="J5205">
        <v>0</v>
      </c>
      <c r="K5205">
        <v>0</v>
      </c>
      <c r="L5205">
        <v>0</v>
      </c>
      <c r="M5205">
        <v>3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3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/>
      <c r="AQ5205">
        <v>0</v>
      </c>
      <c r="AR5205">
        <v>0</v>
      </c>
      <c r="AT5205">
        <v>0</v>
      </c>
      <c r="AU5205">
        <v>0</v>
      </c>
      <c r="AW5205">
        <v>0</v>
      </c>
      <c r="AX5205">
        <v>0</v>
      </c>
      <c r="AY5205">
        <v>0</v>
      </c>
      <c r="BC5205" t="str">
        <f t="shared" si="721"/>
        <v>9791137603097</v>
      </c>
      <c r="BE5205" t="str">
        <f t="shared" si="718"/>
        <v>판타지 웹소설 &gt; 현대 판타지</v>
      </c>
    </row>
    <row r="5206" spans="1:57" x14ac:dyDescent="0.3">
      <c r="A5206">
        <v>2313019631</v>
      </c>
      <c r="B5206">
        <v>2313019636</v>
      </c>
      <c r="C5206" t="str">
        <f>T("망생부터 시작하는 천재작가의 회귀 6화")</f>
        <v>망생부터 시작하는 천재작가의 회귀 6화</v>
      </c>
      <c r="D5206" t="str">
        <f>T("6")</f>
        <v>6</v>
      </c>
      <c r="E5206" t="str">
        <f t="shared" si="719"/>
        <v>알랙스</v>
      </c>
      <c r="H5206" t="str">
        <f t="shared" si="715"/>
        <v>스토리위즈</v>
      </c>
      <c r="I5206" t="str">
        <f t="shared" si="720"/>
        <v>망생부터 시작하는 천재작가의 회귀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/>
      <c r="AQ5206">
        <v>0</v>
      </c>
      <c r="AR5206">
        <v>0</v>
      </c>
      <c r="AT5206">
        <v>0</v>
      </c>
      <c r="AU5206">
        <v>0</v>
      </c>
      <c r="AW5206">
        <v>0</v>
      </c>
      <c r="AX5206">
        <v>0</v>
      </c>
      <c r="AY5206">
        <v>0</v>
      </c>
      <c r="BC5206" t="str">
        <f t="shared" si="721"/>
        <v>9791137603097</v>
      </c>
      <c r="BE5206" t="str">
        <f t="shared" si="718"/>
        <v>판타지 웹소설 &gt; 현대 판타지</v>
      </c>
    </row>
    <row r="5207" spans="1:57" x14ac:dyDescent="0.3">
      <c r="A5207">
        <v>2313019631</v>
      </c>
      <c r="B5207">
        <v>2313019638</v>
      </c>
      <c r="C5207" t="str">
        <f>T("망생부터 시작하는 천재작가의 회귀 8화")</f>
        <v>망생부터 시작하는 천재작가의 회귀 8화</v>
      </c>
      <c r="D5207" t="str">
        <f>T("8")</f>
        <v>8</v>
      </c>
      <c r="E5207" t="str">
        <f t="shared" si="719"/>
        <v>알랙스</v>
      </c>
      <c r="H5207" t="str">
        <f t="shared" si="715"/>
        <v>스토리위즈</v>
      </c>
      <c r="I5207" t="str">
        <f t="shared" si="720"/>
        <v>망생부터 시작하는 천재작가의 회귀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/>
      <c r="AQ5207">
        <v>0</v>
      </c>
      <c r="AR5207">
        <v>0</v>
      </c>
      <c r="AT5207">
        <v>0</v>
      </c>
      <c r="AU5207">
        <v>0</v>
      </c>
      <c r="AW5207">
        <v>0</v>
      </c>
      <c r="AX5207">
        <v>0</v>
      </c>
      <c r="AY5207">
        <v>0</v>
      </c>
      <c r="BC5207" t="str">
        <f t="shared" si="721"/>
        <v>9791137603097</v>
      </c>
      <c r="BE5207" t="str">
        <f t="shared" si="718"/>
        <v>판타지 웹소설 &gt; 현대 판타지</v>
      </c>
    </row>
    <row r="5208" spans="1:57" x14ac:dyDescent="0.3">
      <c r="A5208">
        <v>2313019631</v>
      </c>
      <c r="B5208">
        <v>2313019639</v>
      </c>
      <c r="C5208" t="str">
        <f>T("망생부터 시작하는 천재작가의 회귀 9화")</f>
        <v>망생부터 시작하는 천재작가의 회귀 9화</v>
      </c>
      <c r="D5208" t="str">
        <f>T("9")</f>
        <v>9</v>
      </c>
      <c r="E5208" t="str">
        <f t="shared" si="719"/>
        <v>알랙스</v>
      </c>
      <c r="H5208" t="str">
        <f t="shared" si="715"/>
        <v>스토리위즈</v>
      </c>
      <c r="I5208" t="str">
        <f t="shared" si="720"/>
        <v>망생부터 시작하는 천재작가의 회귀</v>
      </c>
      <c r="J5208">
        <v>0</v>
      </c>
      <c r="K5208">
        <v>0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/>
      <c r="AQ5208">
        <v>0</v>
      </c>
      <c r="AR5208">
        <v>0</v>
      </c>
      <c r="AT5208">
        <v>0</v>
      </c>
      <c r="AU5208">
        <v>0</v>
      </c>
      <c r="AW5208">
        <v>0</v>
      </c>
      <c r="AX5208">
        <v>0</v>
      </c>
      <c r="AY5208">
        <v>0</v>
      </c>
      <c r="BC5208" t="str">
        <f t="shared" si="721"/>
        <v>9791137603097</v>
      </c>
      <c r="BE5208" t="str">
        <f t="shared" si="718"/>
        <v>판타지 웹소설 &gt; 현대 판타지</v>
      </c>
    </row>
    <row r="5209" spans="1:57" x14ac:dyDescent="0.3">
      <c r="A5209">
        <v>2313019631</v>
      </c>
      <c r="B5209">
        <v>2313019640</v>
      </c>
      <c r="C5209" t="str">
        <f>T("망생부터 시작하는 천재작가의 회귀 10화")</f>
        <v>망생부터 시작하는 천재작가의 회귀 10화</v>
      </c>
      <c r="D5209" t="str">
        <f>T("10")</f>
        <v>10</v>
      </c>
      <c r="E5209" t="str">
        <f t="shared" si="719"/>
        <v>알랙스</v>
      </c>
      <c r="H5209" t="str">
        <f t="shared" si="715"/>
        <v>스토리위즈</v>
      </c>
      <c r="I5209" t="str">
        <f t="shared" si="720"/>
        <v>망생부터 시작하는 천재작가의 회귀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/>
      <c r="AQ5209">
        <v>0</v>
      </c>
      <c r="AR5209">
        <v>0</v>
      </c>
      <c r="AT5209">
        <v>0</v>
      </c>
      <c r="AU5209">
        <v>0</v>
      </c>
      <c r="AW5209">
        <v>0</v>
      </c>
      <c r="AX5209">
        <v>0</v>
      </c>
      <c r="AY5209">
        <v>0</v>
      </c>
      <c r="BC5209" t="str">
        <f t="shared" si="721"/>
        <v>9791137603097</v>
      </c>
      <c r="BE5209" t="str">
        <f t="shared" si="718"/>
        <v>판타지 웹소설 &gt; 현대 판타지</v>
      </c>
    </row>
    <row r="5210" spans="1:57" x14ac:dyDescent="0.3">
      <c r="A5210">
        <v>2313019631</v>
      </c>
      <c r="B5210">
        <v>2313019641</v>
      </c>
      <c r="C5210" t="str">
        <f>T("망생부터 시작하는 천재작가의 회귀 11화")</f>
        <v>망생부터 시작하는 천재작가의 회귀 11화</v>
      </c>
      <c r="D5210" t="str">
        <f>T("11")</f>
        <v>11</v>
      </c>
      <c r="E5210" t="str">
        <f t="shared" si="719"/>
        <v>알랙스</v>
      </c>
      <c r="H5210" t="str">
        <f t="shared" si="715"/>
        <v>스토리위즈</v>
      </c>
      <c r="I5210" t="str">
        <f t="shared" si="720"/>
        <v>망생부터 시작하는 천재작가의 회귀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/>
      <c r="AQ5210">
        <v>0</v>
      </c>
      <c r="AR5210">
        <v>0</v>
      </c>
      <c r="AT5210">
        <v>0</v>
      </c>
      <c r="AU5210">
        <v>0</v>
      </c>
      <c r="AW5210">
        <v>0</v>
      </c>
      <c r="AX5210">
        <v>0</v>
      </c>
      <c r="AY5210">
        <v>0</v>
      </c>
      <c r="BC5210" t="str">
        <f t="shared" si="721"/>
        <v>9791137603097</v>
      </c>
      <c r="BE5210" t="str">
        <f t="shared" si="718"/>
        <v>판타지 웹소설 &gt; 현대 판타지</v>
      </c>
    </row>
    <row r="5211" spans="1:57" x14ac:dyDescent="0.3">
      <c r="A5211">
        <v>2313019631</v>
      </c>
      <c r="B5211">
        <v>2313019642</v>
      </c>
      <c r="C5211" t="str">
        <f>T("망생부터 시작하는 천재작가의 회귀 12화")</f>
        <v>망생부터 시작하는 천재작가의 회귀 12화</v>
      </c>
      <c r="D5211" t="str">
        <f>T("12")</f>
        <v>12</v>
      </c>
      <c r="E5211" t="str">
        <f t="shared" si="719"/>
        <v>알랙스</v>
      </c>
      <c r="H5211" t="str">
        <f t="shared" si="715"/>
        <v>스토리위즈</v>
      </c>
      <c r="I5211" t="str">
        <f t="shared" si="720"/>
        <v>망생부터 시작하는 천재작가의 회귀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/>
      <c r="AQ5211">
        <v>0</v>
      </c>
      <c r="AR5211">
        <v>0</v>
      </c>
      <c r="AT5211">
        <v>0</v>
      </c>
      <c r="AU5211">
        <v>0</v>
      </c>
      <c r="AW5211">
        <v>0</v>
      </c>
      <c r="AX5211">
        <v>0</v>
      </c>
      <c r="AY5211">
        <v>0</v>
      </c>
      <c r="BC5211" t="str">
        <f t="shared" si="721"/>
        <v>9791137603097</v>
      </c>
      <c r="BE5211" t="str">
        <f t="shared" si="718"/>
        <v>판타지 웹소설 &gt; 현대 판타지</v>
      </c>
    </row>
    <row r="5212" spans="1:57" x14ac:dyDescent="0.3">
      <c r="A5212">
        <v>2313019631</v>
      </c>
      <c r="B5212">
        <v>2313019643</v>
      </c>
      <c r="C5212" t="str">
        <f>T("망생부터 시작하는 천재작가의 회귀 13화")</f>
        <v>망생부터 시작하는 천재작가의 회귀 13화</v>
      </c>
      <c r="D5212" t="str">
        <f>T("13")</f>
        <v>13</v>
      </c>
      <c r="E5212" t="str">
        <f t="shared" si="719"/>
        <v>알랙스</v>
      </c>
      <c r="H5212" t="str">
        <f t="shared" si="715"/>
        <v>스토리위즈</v>
      </c>
      <c r="I5212" t="str">
        <f t="shared" si="720"/>
        <v>망생부터 시작하는 천재작가의 회귀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/>
      <c r="AQ5212">
        <v>0</v>
      </c>
      <c r="AR5212">
        <v>0</v>
      </c>
      <c r="AT5212">
        <v>0</v>
      </c>
      <c r="AU5212">
        <v>0</v>
      </c>
      <c r="AW5212">
        <v>0</v>
      </c>
      <c r="AX5212">
        <v>0</v>
      </c>
      <c r="AY5212">
        <v>0</v>
      </c>
      <c r="BC5212" t="str">
        <f t="shared" si="721"/>
        <v>9791137603097</v>
      </c>
      <c r="BE5212" t="str">
        <f t="shared" si="718"/>
        <v>판타지 웹소설 &gt; 현대 판타지</v>
      </c>
    </row>
    <row r="5213" spans="1:57" x14ac:dyDescent="0.3">
      <c r="A5213">
        <v>2313019631</v>
      </c>
      <c r="B5213">
        <v>2313019644</v>
      </c>
      <c r="C5213" t="str">
        <f>T("망생부터 시작하는 천재작가의 회귀 14화")</f>
        <v>망생부터 시작하는 천재작가의 회귀 14화</v>
      </c>
      <c r="D5213" t="str">
        <f>T("14")</f>
        <v>14</v>
      </c>
      <c r="E5213" t="str">
        <f t="shared" si="719"/>
        <v>알랙스</v>
      </c>
      <c r="H5213" t="str">
        <f t="shared" si="715"/>
        <v>스토리위즈</v>
      </c>
      <c r="I5213" t="str">
        <f t="shared" si="720"/>
        <v>망생부터 시작하는 천재작가의 회귀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/>
      <c r="AQ5213">
        <v>0</v>
      </c>
      <c r="AR5213">
        <v>0</v>
      </c>
      <c r="AT5213">
        <v>0</v>
      </c>
      <c r="AU5213">
        <v>0</v>
      </c>
      <c r="AW5213">
        <v>0</v>
      </c>
      <c r="AX5213">
        <v>0</v>
      </c>
      <c r="AY5213">
        <v>0</v>
      </c>
      <c r="BC5213" t="str">
        <f t="shared" si="721"/>
        <v>9791137603097</v>
      </c>
      <c r="BE5213" t="str">
        <f t="shared" si="718"/>
        <v>판타지 웹소설 &gt; 현대 판타지</v>
      </c>
    </row>
    <row r="5214" spans="1:57" x14ac:dyDescent="0.3">
      <c r="A5214">
        <v>2313019631</v>
      </c>
      <c r="B5214">
        <v>2313019645</v>
      </c>
      <c r="C5214" t="str">
        <f>T("망생부터 시작하는 천재작가의 회귀 15화")</f>
        <v>망생부터 시작하는 천재작가의 회귀 15화</v>
      </c>
      <c r="D5214" t="str">
        <f>T("15")</f>
        <v>15</v>
      </c>
      <c r="E5214" t="str">
        <f t="shared" si="719"/>
        <v>알랙스</v>
      </c>
      <c r="H5214" t="str">
        <f t="shared" si="715"/>
        <v>스토리위즈</v>
      </c>
      <c r="I5214" t="str">
        <f t="shared" si="720"/>
        <v>망생부터 시작하는 천재작가의 회귀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/>
      <c r="AQ5214">
        <v>0</v>
      </c>
      <c r="AR5214">
        <v>0</v>
      </c>
      <c r="AT5214">
        <v>0</v>
      </c>
      <c r="AU5214">
        <v>0</v>
      </c>
      <c r="AW5214">
        <v>0</v>
      </c>
      <c r="AX5214">
        <v>0</v>
      </c>
      <c r="AY5214">
        <v>0</v>
      </c>
      <c r="BC5214" t="str">
        <f t="shared" si="721"/>
        <v>9791137603097</v>
      </c>
      <c r="BE5214" t="str">
        <f t="shared" si="718"/>
        <v>판타지 웹소설 &gt; 현대 판타지</v>
      </c>
    </row>
    <row r="5215" spans="1:57" x14ac:dyDescent="0.3">
      <c r="A5215">
        <v>2313019631</v>
      </c>
      <c r="B5215">
        <v>2313019646</v>
      </c>
      <c r="C5215" t="str">
        <f>T("망생부터 시작하는 천재작가의 회귀 16화")</f>
        <v>망생부터 시작하는 천재작가의 회귀 16화</v>
      </c>
      <c r="D5215" t="str">
        <f>T("16")</f>
        <v>16</v>
      </c>
      <c r="E5215" t="str">
        <f t="shared" si="719"/>
        <v>알랙스</v>
      </c>
      <c r="H5215" t="str">
        <f t="shared" si="715"/>
        <v>스토리위즈</v>
      </c>
      <c r="I5215" t="str">
        <f t="shared" si="720"/>
        <v>망생부터 시작하는 천재작가의 회귀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/>
      <c r="AQ5215">
        <v>0</v>
      </c>
      <c r="AR5215">
        <v>0</v>
      </c>
      <c r="AT5215">
        <v>0</v>
      </c>
      <c r="AU5215">
        <v>0</v>
      </c>
      <c r="AW5215">
        <v>0</v>
      </c>
      <c r="AX5215">
        <v>0</v>
      </c>
      <c r="AY5215">
        <v>0</v>
      </c>
      <c r="BC5215" t="str">
        <f t="shared" si="721"/>
        <v>9791137603097</v>
      </c>
      <c r="BE5215" t="str">
        <f t="shared" si="718"/>
        <v>판타지 웹소설 &gt; 현대 판타지</v>
      </c>
    </row>
    <row r="5216" spans="1:57" x14ac:dyDescent="0.3">
      <c r="A5216">
        <v>2313019631</v>
      </c>
      <c r="B5216">
        <v>2313019647</v>
      </c>
      <c r="C5216" t="str">
        <f>T("망생부터 시작하는 천재작가의 회귀 17화")</f>
        <v>망생부터 시작하는 천재작가의 회귀 17화</v>
      </c>
      <c r="D5216" t="str">
        <f>T("17")</f>
        <v>17</v>
      </c>
      <c r="E5216" t="str">
        <f t="shared" si="719"/>
        <v>알랙스</v>
      </c>
      <c r="H5216" t="str">
        <f t="shared" si="715"/>
        <v>스토리위즈</v>
      </c>
      <c r="I5216" t="str">
        <f t="shared" si="720"/>
        <v>망생부터 시작하는 천재작가의 회귀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/>
      <c r="AQ5216">
        <v>0</v>
      </c>
      <c r="AR5216">
        <v>0</v>
      </c>
      <c r="AT5216">
        <v>0</v>
      </c>
      <c r="AU5216">
        <v>0</v>
      </c>
      <c r="AW5216">
        <v>0</v>
      </c>
      <c r="AX5216">
        <v>0</v>
      </c>
      <c r="AY5216">
        <v>0</v>
      </c>
      <c r="BC5216" t="str">
        <f t="shared" si="721"/>
        <v>9791137603097</v>
      </c>
      <c r="BE5216" t="str">
        <f t="shared" si="718"/>
        <v>판타지 웹소설 &gt; 현대 판타지</v>
      </c>
    </row>
    <row r="5217" spans="1:57" x14ac:dyDescent="0.3">
      <c r="A5217">
        <v>2313019631</v>
      </c>
      <c r="B5217">
        <v>2313019648</v>
      </c>
      <c r="C5217" t="str">
        <f>T("망생부터 시작하는 천재작가의 회귀 18화")</f>
        <v>망생부터 시작하는 천재작가의 회귀 18화</v>
      </c>
      <c r="D5217" t="str">
        <f>T("18")</f>
        <v>18</v>
      </c>
      <c r="E5217" t="str">
        <f t="shared" si="719"/>
        <v>알랙스</v>
      </c>
      <c r="H5217" t="str">
        <f t="shared" si="715"/>
        <v>스토리위즈</v>
      </c>
      <c r="I5217" t="str">
        <f t="shared" si="720"/>
        <v>망생부터 시작하는 천재작가의 회귀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/>
      <c r="AQ5217">
        <v>0</v>
      </c>
      <c r="AR5217">
        <v>0</v>
      </c>
      <c r="AT5217">
        <v>0</v>
      </c>
      <c r="AU5217">
        <v>0</v>
      </c>
      <c r="AW5217">
        <v>0</v>
      </c>
      <c r="AX5217">
        <v>0</v>
      </c>
      <c r="AY5217">
        <v>0</v>
      </c>
      <c r="BC5217" t="str">
        <f t="shared" si="721"/>
        <v>9791137603097</v>
      </c>
      <c r="BE5217" t="str">
        <f t="shared" si="718"/>
        <v>판타지 웹소설 &gt; 현대 판타지</v>
      </c>
    </row>
    <row r="5218" spans="1:57" x14ac:dyDescent="0.3">
      <c r="A5218">
        <v>2313019631</v>
      </c>
      <c r="B5218">
        <v>2313019649</v>
      </c>
      <c r="C5218" t="str">
        <f>T("망생부터 시작하는 천재작가의 회귀 19화")</f>
        <v>망생부터 시작하는 천재작가의 회귀 19화</v>
      </c>
      <c r="D5218" t="str">
        <f>T("19")</f>
        <v>19</v>
      </c>
      <c r="E5218" t="str">
        <f t="shared" si="719"/>
        <v>알랙스</v>
      </c>
      <c r="H5218" t="str">
        <f t="shared" si="715"/>
        <v>스토리위즈</v>
      </c>
      <c r="I5218" t="str">
        <f t="shared" si="720"/>
        <v>망생부터 시작하는 천재작가의 회귀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/>
      <c r="AQ5218">
        <v>0</v>
      </c>
      <c r="AR5218">
        <v>0</v>
      </c>
      <c r="AT5218">
        <v>0</v>
      </c>
      <c r="AU5218">
        <v>0</v>
      </c>
      <c r="AW5218">
        <v>0</v>
      </c>
      <c r="AX5218">
        <v>0</v>
      </c>
      <c r="AY5218">
        <v>0</v>
      </c>
      <c r="BC5218" t="str">
        <f t="shared" si="721"/>
        <v>9791137603097</v>
      </c>
      <c r="BE5218" t="str">
        <f t="shared" si="718"/>
        <v>판타지 웹소설 &gt; 현대 판타지</v>
      </c>
    </row>
    <row r="5219" spans="1:57" x14ac:dyDescent="0.3">
      <c r="A5219">
        <v>2313019631</v>
      </c>
      <c r="B5219">
        <v>2313019650</v>
      </c>
      <c r="C5219" t="str">
        <f>T("망생부터 시작하는 천재작가의 회귀 20화")</f>
        <v>망생부터 시작하는 천재작가의 회귀 20화</v>
      </c>
      <c r="D5219" t="str">
        <f>T("20")</f>
        <v>20</v>
      </c>
      <c r="E5219" t="str">
        <f t="shared" si="719"/>
        <v>알랙스</v>
      </c>
      <c r="H5219" t="str">
        <f t="shared" si="715"/>
        <v>스토리위즈</v>
      </c>
      <c r="I5219" t="str">
        <f t="shared" si="720"/>
        <v>망생부터 시작하는 천재작가의 회귀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/>
      <c r="AQ5219">
        <v>0</v>
      </c>
      <c r="AR5219">
        <v>0</v>
      </c>
      <c r="AT5219">
        <v>0</v>
      </c>
      <c r="AU5219">
        <v>0</v>
      </c>
      <c r="AW5219">
        <v>0</v>
      </c>
      <c r="AX5219">
        <v>0</v>
      </c>
      <c r="AY5219">
        <v>0</v>
      </c>
      <c r="BC5219" t="str">
        <f t="shared" si="721"/>
        <v>9791137603097</v>
      </c>
      <c r="BE5219" t="str">
        <f t="shared" si="718"/>
        <v>판타지 웹소설 &gt; 현대 판타지</v>
      </c>
    </row>
    <row r="5220" spans="1:57" x14ac:dyDescent="0.3">
      <c r="A5220">
        <v>2313019631</v>
      </c>
      <c r="B5220">
        <v>2313019651</v>
      </c>
      <c r="C5220" t="str">
        <f>T("망생부터 시작하는 천재작가의 회귀 21화")</f>
        <v>망생부터 시작하는 천재작가의 회귀 21화</v>
      </c>
      <c r="D5220" t="str">
        <f>T("21")</f>
        <v>21</v>
      </c>
      <c r="E5220" t="str">
        <f t="shared" si="719"/>
        <v>알랙스</v>
      </c>
      <c r="H5220" t="str">
        <f t="shared" si="715"/>
        <v>스토리위즈</v>
      </c>
      <c r="I5220" t="str">
        <f t="shared" si="720"/>
        <v>망생부터 시작하는 천재작가의 회귀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/>
      <c r="AQ5220">
        <v>0</v>
      </c>
      <c r="AR5220">
        <v>0</v>
      </c>
      <c r="AT5220">
        <v>0</v>
      </c>
      <c r="AU5220">
        <v>0</v>
      </c>
      <c r="AW5220">
        <v>0</v>
      </c>
      <c r="AX5220">
        <v>0</v>
      </c>
      <c r="AY5220">
        <v>0</v>
      </c>
      <c r="BC5220" t="str">
        <f t="shared" si="721"/>
        <v>9791137603097</v>
      </c>
      <c r="BE5220" t="str">
        <f t="shared" si="718"/>
        <v>판타지 웹소설 &gt; 현대 판타지</v>
      </c>
    </row>
    <row r="5221" spans="1:57" x14ac:dyDescent="0.3">
      <c r="A5221">
        <v>2313019631</v>
      </c>
      <c r="B5221">
        <v>2313019652</v>
      </c>
      <c r="C5221" t="str">
        <f>T("망생부터 시작하는 천재작가의 회귀 22화")</f>
        <v>망생부터 시작하는 천재작가의 회귀 22화</v>
      </c>
      <c r="D5221" t="str">
        <f>T("22")</f>
        <v>22</v>
      </c>
      <c r="E5221" t="str">
        <f t="shared" si="719"/>
        <v>알랙스</v>
      </c>
      <c r="H5221" t="str">
        <f t="shared" si="715"/>
        <v>스토리위즈</v>
      </c>
      <c r="I5221" t="str">
        <f t="shared" si="720"/>
        <v>망생부터 시작하는 천재작가의 회귀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/>
      <c r="AQ5221">
        <v>0</v>
      </c>
      <c r="AR5221">
        <v>0</v>
      </c>
      <c r="AT5221">
        <v>0</v>
      </c>
      <c r="AU5221">
        <v>0</v>
      </c>
      <c r="AW5221">
        <v>0</v>
      </c>
      <c r="AX5221">
        <v>0</v>
      </c>
      <c r="AY5221">
        <v>0</v>
      </c>
      <c r="BC5221" t="str">
        <f t="shared" si="721"/>
        <v>9791137603097</v>
      </c>
      <c r="BE5221" t="str">
        <f t="shared" si="718"/>
        <v>판타지 웹소설 &gt; 현대 판타지</v>
      </c>
    </row>
    <row r="5222" spans="1:57" x14ac:dyDescent="0.3">
      <c r="A5222">
        <v>2313019631</v>
      </c>
      <c r="B5222">
        <v>2313019653</v>
      </c>
      <c r="C5222" t="str">
        <f>T("망생부터 시작하는 천재작가의 회귀 23화")</f>
        <v>망생부터 시작하는 천재작가의 회귀 23화</v>
      </c>
      <c r="D5222" t="str">
        <f>T("23")</f>
        <v>23</v>
      </c>
      <c r="E5222" t="str">
        <f t="shared" si="719"/>
        <v>알랙스</v>
      </c>
      <c r="H5222" t="str">
        <f t="shared" si="715"/>
        <v>스토리위즈</v>
      </c>
      <c r="I5222" t="str">
        <f t="shared" si="720"/>
        <v>망생부터 시작하는 천재작가의 회귀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/>
      <c r="AQ5222">
        <v>0</v>
      </c>
      <c r="AR5222">
        <v>0</v>
      </c>
      <c r="AT5222">
        <v>0</v>
      </c>
      <c r="AU5222">
        <v>0</v>
      </c>
      <c r="AW5222">
        <v>0</v>
      </c>
      <c r="AX5222">
        <v>0</v>
      </c>
      <c r="AY5222">
        <v>0</v>
      </c>
      <c r="BC5222" t="str">
        <f t="shared" si="721"/>
        <v>9791137603097</v>
      </c>
      <c r="BE5222" t="str">
        <f t="shared" si="718"/>
        <v>판타지 웹소설 &gt; 현대 판타지</v>
      </c>
    </row>
    <row r="5223" spans="1:57" x14ac:dyDescent="0.3">
      <c r="A5223">
        <v>2313019631</v>
      </c>
      <c r="B5223">
        <v>2313019654</v>
      </c>
      <c r="C5223" t="str">
        <f>T("망생부터 시작하는 천재작가의 회귀 24화")</f>
        <v>망생부터 시작하는 천재작가의 회귀 24화</v>
      </c>
      <c r="D5223" t="str">
        <f>T("24")</f>
        <v>24</v>
      </c>
      <c r="E5223" t="str">
        <f t="shared" si="719"/>
        <v>알랙스</v>
      </c>
      <c r="H5223" t="str">
        <f t="shared" si="715"/>
        <v>스토리위즈</v>
      </c>
      <c r="I5223" t="str">
        <f t="shared" si="720"/>
        <v>망생부터 시작하는 천재작가의 회귀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/>
      <c r="AQ5223">
        <v>0</v>
      </c>
      <c r="AR5223">
        <v>0</v>
      </c>
      <c r="AT5223">
        <v>0</v>
      </c>
      <c r="AU5223">
        <v>0</v>
      </c>
      <c r="AW5223">
        <v>0</v>
      </c>
      <c r="AX5223">
        <v>0</v>
      </c>
      <c r="AY5223">
        <v>0</v>
      </c>
      <c r="BC5223" t="str">
        <f t="shared" si="721"/>
        <v>9791137603097</v>
      </c>
      <c r="BE5223" t="str">
        <f t="shared" si="718"/>
        <v>판타지 웹소설 &gt; 현대 판타지</v>
      </c>
    </row>
    <row r="5224" spans="1:57" x14ac:dyDescent="0.3">
      <c r="A5224">
        <v>2313019631</v>
      </c>
      <c r="B5224">
        <v>2313019655</v>
      </c>
      <c r="C5224" t="str">
        <f>T("망생부터 시작하는 천재작가의 회귀 25화")</f>
        <v>망생부터 시작하는 천재작가의 회귀 25화</v>
      </c>
      <c r="D5224" t="str">
        <f>T("25")</f>
        <v>25</v>
      </c>
      <c r="E5224" t="str">
        <f t="shared" si="719"/>
        <v>알랙스</v>
      </c>
      <c r="H5224" t="str">
        <f t="shared" si="715"/>
        <v>스토리위즈</v>
      </c>
      <c r="I5224" t="str">
        <f t="shared" si="720"/>
        <v>망생부터 시작하는 천재작가의 회귀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/>
      <c r="AQ5224">
        <v>0</v>
      </c>
      <c r="AR5224">
        <v>0</v>
      </c>
      <c r="AT5224">
        <v>0</v>
      </c>
      <c r="AU5224">
        <v>0</v>
      </c>
      <c r="AW5224">
        <v>0</v>
      </c>
      <c r="AX5224">
        <v>0</v>
      </c>
      <c r="AY5224">
        <v>0</v>
      </c>
      <c r="BC5224" t="str">
        <f t="shared" si="721"/>
        <v>9791137603097</v>
      </c>
      <c r="BE5224" t="str">
        <f t="shared" si="718"/>
        <v>판타지 웹소설 &gt; 현대 판타지</v>
      </c>
    </row>
    <row r="5225" spans="1:57" x14ac:dyDescent="0.3">
      <c r="A5225">
        <v>2313019796</v>
      </c>
      <c r="B5225">
        <v>2313019796</v>
      </c>
      <c r="C5225" t="str">
        <f>T("[e북]멸망한 세계로부터 1권")</f>
        <v>[e북]멸망한 세계로부터 1권</v>
      </c>
      <c r="D5225" t="str">
        <f>T("1")</f>
        <v>1</v>
      </c>
      <c r="E5225" t="str">
        <f>T("프레인")</f>
        <v>프레인</v>
      </c>
      <c r="H5225" t="str">
        <f>T("도서출판 태랑")</f>
        <v>도서출판 태랑</v>
      </c>
      <c r="I5225" t="str">
        <f>T("[e북]멸망한 세계로부터")</f>
        <v>[e북]멸망한 세계로부터</v>
      </c>
      <c r="J5225">
        <v>0</v>
      </c>
      <c r="K5225">
        <v>0</v>
      </c>
      <c r="L5225">
        <v>0</v>
      </c>
      <c r="M5225">
        <v>5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5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/>
      <c r="AQ5225">
        <v>0</v>
      </c>
      <c r="AR5225">
        <v>0</v>
      </c>
      <c r="AT5225">
        <v>0</v>
      </c>
      <c r="AU5225">
        <v>0</v>
      </c>
      <c r="AW5225">
        <v>0</v>
      </c>
      <c r="AX5225">
        <v>0</v>
      </c>
      <c r="AY5225">
        <v>0</v>
      </c>
      <c r="BC5225" t="str">
        <f>T("9791137606760")</f>
        <v>9791137606760</v>
      </c>
      <c r="BE5225" t="str">
        <f>T("판타지 e북 &gt; 정통 판타지")</f>
        <v>판타지 e북 &gt; 정통 판타지</v>
      </c>
    </row>
    <row r="5226" spans="1:57" x14ac:dyDescent="0.3">
      <c r="A5226">
        <v>2313019814</v>
      </c>
      <c r="B5226">
        <v>2313019814</v>
      </c>
      <c r="C5226" t="str">
        <f>T("친구 졸업 1화")</f>
        <v>친구 졸업 1화</v>
      </c>
      <c r="D5226" t="str">
        <f>T("1")</f>
        <v>1</v>
      </c>
      <c r="E5226" t="str">
        <f>T("세상")</f>
        <v>세상</v>
      </c>
      <c r="H5226" t="str">
        <f>T("앰퍼샌드B")</f>
        <v>앰퍼샌드B</v>
      </c>
      <c r="I5226" t="str">
        <f>T("친구 졸업")</f>
        <v>친구 졸업</v>
      </c>
      <c r="J5226">
        <v>0</v>
      </c>
      <c r="K5226">
        <v>0</v>
      </c>
      <c r="L5226">
        <v>0</v>
      </c>
      <c r="M5226">
        <v>38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38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/>
      <c r="AQ5226">
        <v>0</v>
      </c>
      <c r="AR5226">
        <v>0</v>
      </c>
      <c r="AT5226">
        <v>0</v>
      </c>
      <c r="AU5226">
        <v>0</v>
      </c>
      <c r="AW5226">
        <v>0</v>
      </c>
      <c r="AX5226">
        <v>0</v>
      </c>
      <c r="AY5226">
        <v>0</v>
      </c>
      <c r="BC5226" t="str">
        <f>T("9791137606975")</f>
        <v>9791137606975</v>
      </c>
      <c r="BE5226" t="str">
        <f>T("BL 웹소설 &gt; 현대물")</f>
        <v>BL 웹소설 &gt; 현대물</v>
      </c>
    </row>
    <row r="5227" spans="1:57" x14ac:dyDescent="0.3">
      <c r="A5227">
        <v>2313019814</v>
      </c>
      <c r="B5227">
        <v>2313019815</v>
      </c>
      <c r="C5227" t="str">
        <f>T("친구 졸업 2화")</f>
        <v>친구 졸업 2화</v>
      </c>
      <c r="D5227" t="str">
        <f>T("2")</f>
        <v>2</v>
      </c>
      <c r="E5227" t="str">
        <f>T("세상")</f>
        <v>세상</v>
      </c>
      <c r="H5227" t="str">
        <f>T("앰퍼샌드B")</f>
        <v>앰퍼샌드B</v>
      </c>
      <c r="I5227" t="str">
        <f>T("친구 졸업")</f>
        <v>친구 졸업</v>
      </c>
      <c r="J5227">
        <v>0</v>
      </c>
      <c r="K5227">
        <v>0</v>
      </c>
      <c r="L5227">
        <v>0</v>
      </c>
      <c r="M5227">
        <v>20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20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/>
      <c r="AQ5227">
        <v>0</v>
      </c>
      <c r="AR5227">
        <v>0</v>
      </c>
      <c r="AT5227">
        <v>0</v>
      </c>
      <c r="AU5227">
        <v>0</v>
      </c>
      <c r="AW5227">
        <v>0</v>
      </c>
      <c r="AX5227">
        <v>0</v>
      </c>
      <c r="AY5227">
        <v>0</v>
      </c>
      <c r="BC5227" t="str">
        <f>T("9791137606975")</f>
        <v>9791137606975</v>
      </c>
      <c r="BE5227" t="str">
        <f>T("BL 웹소설 &gt; 현대물")</f>
        <v>BL 웹소설 &gt; 현대물</v>
      </c>
    </row>
    <row r="5228" spans="1:57" x14ac:dyDescent="0.3">
      <c r="A5228">
        <v>2313019814</v>
      </c>
      <c r="B5228">
        <v>2313019816</v>
      </c>
      <c r="C5228" t="str">
        <f>T("친구 졸업 3화")</f>
        <v>친구 졸업 3화</v>
      </c>
      <c r="D5228" t="str">
        <f>T("3")</f>
        <v>3</v>
      </c>
      <c r="E5228" t="str">
        <f>T("세상")</f>
        <v>세상</v>
      </c>
      <c r="H5228" t="str">
        <f>T("앰퍼샌드B")</f>
        <v>앰퍼샌드B</v>
      </c>
      <c r="I5228" t="str">
        <f>T("친구 졸업")</f>
        <v>친구 졸업</v>
      </c>
      <c r="J5228">
        <v>0</v>
      </c>
      <c r="K5228">
        <v>0</v>
      </c>
      <c r="L5228">
        <v>0</v>
      </c>
      <c r="M5228">
        <v>19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19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/>
      <c r="AQ5228">
        <v>0</v>
      </c>
      <c r="AR5228">
        <v>0</v>
      </c>
      <c r="AT5228">
        <v>0</v>
      </c>
      <c r="AU5228">
        <v>0</v>
      </c>
      <c r="AW5228">
        <v>0</v>
      </c>
      <c r="AX5228">
        <v>0</v>
      </c>
      <c r="AY5228">
        <v>0</v>
      </c>
      <c r="BC5228" t="str">
        <f>T("9791137606975")</f>
        <v>9791137606975</v>
      </c>
      <c r="BE5228" t="str">
        <f>T("BL 웹소설 &gt; 현대물")</f>
        <v>BL 웹소설 &gt; 현대물</v>
      </c>
    </row>
    <row r="5229" spans="1:57" x14ac:dyDescent="0.3">
      <c r="A5229">
        <v>2313019824</v>
      </c>
      <c r="B5229">
        <v>2313019824</v>
      </c>
      <c r="C5229" t="str">
        <f>T("[e북]천재 배우의 다이어리 1권")</f>
        <v>[e북]천재 배우의 다이어리 1권</v>
      </c>
      <c r="D5229" t="str">
        <f>T("1")</f>
        <v>1</v>
      </c>
      <c r="E5229" t="str">
        <f>T("mollen")</f>
        <v>mollen</v>
      </c>
      <c r="H5229" t="str">
        <f t="shared" ref="H5229:H5292" si="722">T("스토리위즈")</f>
        <v>스토리위즈</v>
      </c>
      <c r="I5229" t="str">
        <f>T("[e북]천재 배우의 다이어리")</f>
        <v>[e북]천재 배우의 다이어리</v>
      </c>
      <c r="J5229">
        <v>0</v>
      </c>
      <c r="K5229">
        <v>0</v>
      </c>
      <c r="L5229">
        <v>0</v>
      </c>
      <c r="M5229">
        <v>5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5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/>
      <c r="AQ5229">
        <v>0</v>
      </c>
      <c r="AR5229">
        <v>0</v>
      </c>
      <c r="AT5229">
        <v>0</v>
      </c>
      <c r="AU5229">
        <v>0</v>
      </c>
      <c r="AW5229">
        <v>0</v>
      </c>
      <c r="AX5229">
        <v>0</v>
      </c>
      <c r="AY5229">
        <v>0</v>
      </c>
      <c r="BC5229" t="str">
        <f>T("9791137606982")</f>
        <v>9791137606982</v>
      </c>
      <c r="BE5229" t="str">
        <f>T("판타지 e북 &gt; 현대 판타지")</f>
        <v>판타지 e북 &gt; 현대 판타지</v>
      </c>
    </row>
    <row r="5230" spans="1:57" x14ac:dyDescent="0.3">
      <c r="A5230">
        <v>2313020108</v>
      </c>
      <c r="B5230">
        <v>2313020108</v>
      </c>
      <c r="C5230" t="str">
        <f>T("아빠는 마교대장 1화")</f>
        <v>아빠는 마교대장 1화</v>
      </c>
      <c r="D5230" t="str">
        <f>T("1")</f>
        <v>1</v>
      </c>
      <c r="E5230" t="str">
        <f t="shared" ref="E5230:E5254" si="723">T("구땡")</f>
        <v>구땡</v>
      </c>
      <c r="H5230" t="str">
        <f t="shared" si="722"/>
        <v>스토리위즈</v>
      </c>
      <c r="I5230" t="str">
        <f t="shared" ref="I5230:I5254" si="724">T("아빠는 마교대장")</f>
        <v>아빠는 마교대장</v>
      </c>
      <c r="J5230">
        <v>0</v>
      </c>
      <c r="K5230">
        <v>0</v>
      </c>
      <c r="L5230">
        <v>0</v>
      </c>
      <c r="M5230">
        <v>345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345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/>
      <c r="AQ5230">
        <v>0</v>
      </c>
      <c r="AR5230">
        <v>0</v>
      </c>
      <c r="AT5230">
        <v>0</v>
      </c>
      <c r="AU5230">
        <v>0</v>
      </c>
      <c r="AW5230">
        <v>0</v>
      </c>
      <c r="AX5230">
        <v>0</v>
      </c>
      <c r="AY5230">
        <v>0</v>
      </c>
      <c r="BC5230" t="str">
        <f t="shared" ref="BC5230:BC5254" si="725">T("9791137602076")</f>
        <v>9791137602076</v>
      </c>
      <c r="BE5230" t="str">
        <f t="shared" ref="BE5230:BE5254" si="726">T("판타지 웹소설 &gt; 무협 소설")</f>
        <v>판타지 웹소설 &gt; 무협 소설</v>
      </c>
    </row>
    <row r="5231" spans="1:57" x14ac:dyDescent="0.3">
      <c r="A5231">
        <v>2313020108</v>
      </c>
      <c r="B5231">
        <v>2313020109</v>
      </c>
      <c r="C5231" t="str">
        <f>T("아빠는 마교대장 2화")</f>
        <v>아빠는 마교대장 2화</v>
      </c>
      <c r="D5231" t="str">
        <f>T("2")</f>
        <v>2</v>
      </c>
      <c r="E5231" t="str">
        <f t="shared" si="723"/>
        <v>구땡</v>
      </c>
      <c r="H5231" t="str">
        <f t="shared" si="722"/>
        <v>스토리위즈</v>
      </c>
      <c r="I5231" t="str">
        <f t="shared" si="724"/>
        <v>아빠는 마교대장</v>
      </c>
      <c r="J5231">
        <v>0</v>
      </c>
      <c r="K5231">
        <v>0</v>
      </c>
      <c r="L5231">
        <v>0</v>
      </c>
      <c r="M5231">
        <v>334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334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/>
      <c r="AQ5231">
        <v>0</v>
      </c>
      <c r="AR5231">
        <v>0</v>
      </c>
      <c r="AT5231">
        <v>0</v>
      </c>
      <c r="AU5231">
        <v>0</v>
      </c>
      <c r="AW5231">
        <v>0</v>
      </c>
      <c r="AX5231">
        <v>0</v>
      </c>
      <c r="AY5231">
        <v>0</v>
      </c>
      <c r="BC5231" t="str">
        <f t="shared" si="725"/>
        <v>9791137602076</v>
      </c>
      <c r="BE5231" t="str">
        <f t="shared" si="726"/>
        <v>판타지 웹소설 &gt; 무협 소설</v>
      </c>
    </row>
    <row r="5232" spans="1:57" x14ac:dyDescent="0.3">
      <c r="A5232">
        <v>2313020108</v>
      </c>
      <c r="B5232">
        <v>2313020110</v>
      </c>
      <c r="C5232" t="str">
        <f>T("아빠는 마교대장 3화")</f>
        <v>아빠는 마교대장 3화</v>
      </c>
      <c r="D5232" t="str">
        <f>T("3")</f>
        <v>3</v>
      </c>
      <c r="E5232" t="str">
        <f t="shared" si="723"/>
        <v>구땡</v>
      </c>
      <c r="H5232" t="str">
        <f t="shared" si="722"/>
        <v>스토리위즈</v>
      </c>
      <c r="I5232" t="str">
        <f t="shared" si="724"/>
        <v>아빠는 마교대장</v>
      </c>
      <c r="J5232">
        <v>0</v>
      </c>
      <c r="K5232">
        <v>0</v>
      </c>
      <c r="L5232">
        <v>0</v>
      </c>
      <c r="M5232">
        <v>329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329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/>
      <c r="AQ5232">
        <v>0</v>
      </c>
      <c r="AR5232">
        <v>0</v>
      </c>
      <c r="AT5232">
        <v>0</v>
      </c>
      <c r="AU5232">
        <v>0</v>
      </c>
      <c r="AW5232">
        <v>0</v>
      </c>
      <c r="AX5232">
        <v>0</v>
      </c>
      <c r="AY5232">
        <v>0</v>
      </c>
      <c r="BC5232" t="str">
        <f t="shared" si="725"/>
        <v>9791137602076</v>
      </c>
      <c r="BE5232" t="str">
        <f t="shared" si="726"/>
        <v>판타지 웹소설 &gt; 무협 소설</v>
      </c>
    </row>
    <row r="5233" spans="1:57" x14ac:dyDescent="0.3">
      <c r="A5233">
        <v>2313020108</v>
      </c>
      <c r="B5233">
        <v>2313020111</v>
      </c>
      <c r="C5233" t="str">
        <f>T("아빠는 마교대장 4화")</f>
        <v>아빠는 마교대장 4화</v>
      </c>
      <c r="D5233" t="str">
        <f>T("4")</f>
        <v>4</v>
      </c>
      <c r="E5233" t="str">
        <f t="shared" si="723"/>
        <v>구땡</v>
      </c>
      <c r="H5233" t="str">
        <f t="shared" si="722"/>
        <v>스토리위즈</v>
      </c>
      <c r="I5233" t="str">
        <f t="shared" si="724"/>
        <v>아빠는 마교대장</v>
      </c>
      <c r="J5233">
        <v>0</v>
      </c>
      <c r="K5233">
        <v>0</v>
      </c>
      <c r="L5233">
        <v>0</v>
      </c>
      <c r="M5233">
        <v>320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320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/>
      <c r="AQ5233">
        <v>0</v>
      </c>
      <c r="AR5233">
        <v>0</v>
      </c>
      <c r="AT5233">
        <v>0</v>
      </c>
      <c r="AU5233">
        <v>0</v>
      </c>
      <c r="AW5233">
        <v>0</v>
      </c>
      <c r="AX5233">
        <v>0</v>
      </c>
      <c r="AY5233">
        <v>0</v>
      </c>
      <c r="BC5233" t="str">
        <f t="shared" si="725"/>
        <v>9791137602076</v>
      </c>
      <c r="BE5233" t="str">
        <f t="shared" si="726"/>
        <v>판타지 웹소설 &gt; 무협 소설</v>
      </c>
    </row>
    <row r="5234" spans="1:57" x14ac:dyDescent="0.3">
      <c r="A5234">
        <v>2313020108</v>
      </c>
      <c r="B5234">
        <v>2313020112</v>
      </c>
      <c r="C5234" t="str">
        <f>T("아빠는 마교대장 5화")</f>
        <v>아빠는 마교대장 5화</v>
      </c>
      <c r="D5234" t="str">
        <f>T("5")</f>
        <v>5</v>
      </c>
      <c r="E5234" t="str">
        <f t="shared" si="723"/>
        <v>구땡</v>
      </c>
      <c r="H5234" t="str">
        <f t="shared" si="722"/>
        <v>스토리위즈</v>
      </c>
      <c r="I5234" t="str">
        <f t="shared" si="724"/>
        <v>아빠는 마교대장</v>
      </c>
      <c r="J5234">
        <v>0</v>
      </c>
      <c r="K5234">
        <v>0</v>
      </c>
      <c r="L5234">
        <v>0</v>
      </c>
      <c r="M5234">
        <v>313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313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/>
      <c r="AQ5234">
        <v>0</v>
      </c>
      <c r="AR5234">
        <v>0</v>
      </c>
      <c r="AT5234">
        <v>0</v>
      </c>
      <c r="AU5234">
        <v>0</v>
      </c>
      <c r="AW5234">
        <v>0</v>
      </c>
      <c r="AX5234">
        <v>0</v>
      </c>
      <c r="AY5234">
        <v>0</v>
      </c>
      <c r="BC5234" t="str">
        <f t="shared" si="725"/>
        <v>9791137602076</v>
      </c>
      <c r="BE5234" t="str">
        <f t="shared" si="726"/>
        <v>판타지 웹소설 &gt; 무협 소설</v>
      </c>
    </row>
    <row r="5235" spans="1:57" x14ac:dyDescent="0.3">
      <c r="A5235">
        <v>2313020108</v>
      </c>
      <c r="B5235">
        <v>2313020113</v>
      </c>
      <c r="C5235" t="str">
        <f>T("아빠는 마교대장 6화")</f>
        <v>아빠는 마교대장 6화</v>
      </c>
      <c r="D5235" t="str">
        <f>T("6")</f>
        <v>6</v>
      </c>
      <c r="E5235" t="str">
        <f t="shared" si="723"/>
        <v>구땡</v>
      </c>
      <c r="H5235" t="str">
        <f t="shared" si="722"/>
        <v>스토리위즈</v>
      </c>
      <c r="I5235" t="str">
        <f t="shared" si="724"/>
        <v>아빠는 마교대장</v>
      </c>
      <c r="J5235">
        <v>0</v>
      </c>
      <c r="K5235">
        <v>0</v>
      </c>
      <c r="L5235">
        <v>0</v>
      </c>
      <c r="M5235">
        <v>304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304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/>
      <c r="AQ5235">
        <v>0</v>
      </c>
      <c r="AR5235">
        <v>0</v>
      </c>
      <c r="AT5235">
        <v>0</v>
      </c>
      <c r="AU5235">
        <v>0</v>
      </c>
      <c r="AW5235">
        <v>0</v>
      </c>
      <c r="AX5235">
        <v>0</v>
      </c>
      <c r="AY5235">
        <v>0</v>
      </c>
      <c r="BC5235" t="str">
        <f t="shared" si="725"/>
        <v>9791137602076</v>
      </c>
      <c r="BE5235" t="str">
        <f t="shared" si="726"/>
        <v>판타지 웹소설 &gt; 무협 소설</v>
      </c>
    </row>
    <row r="5236" spans="1:57" x14ac:dyDescent="0.3">
      <c r="A5236">
        <v>2313020108</v>
      </c>
      <c r="B5236">
        <v>2313020114</v>
      </c>
      <c r="C5236" t="str">
        <f>T("아빠는 마교대장 7화")</f>
        <v>아빠는 마교대장 7화</v>
      </c>
      <c r="D5236" t="str">
        <f>T("7")</f>
        <v>7</v>
      </c>
      <c r="E5236" t="str">
        <f t="shared" si="723"/>
        <v>구땡</v>
      </c>
      <c r="H5236" t="str">
        <f t="shared" si="722"/>
        <v>스토리위즈</v>
      </c>
      <c r="I5236" t="str">
        <f t="shared" si="724"/>
        <v>아빠는 마교대장</v>
      </c>
      <c r="J5236">
        <v>0</v>
      </c>
      <c r="K5236">
        <v>0</v>
      </c>
      <c r="L5236">
        <v>0</v>
      </c>
      <c r="M5236">
        <v>304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304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/>
      <c r="AQ5236">
        <v>0</v>
      </c>
      <c r="AR5236">
        <v>0</v>
      </c>
      <c r="AT5236">
        <v>0</v>
      </c>
      <c r="AU5236">
        <v>0</v>
      </c>
      <c r="AW5236">
        <v>0</v>
      </c>
      <c r="AX5236">
        <v>0</v>
      </c>
      <c r="AY5236">
        <v>0</v>
      </c>
      <c r="BC5236" t="str">
        <f t="shared" si="725"/>
        <v>9791137602076</v>
      </c>
      <c r="BE5236" t="str">
        <f t="shared" si="726"/>
        <v>판타지 웹소설 &gt; 무협 소설</v>
      </c>
    </row>
    <row r="5237" spans="1:57" x14ac:dyDescent="0.3">
      <c r="A5237">
        <v>2313020108</v>
      </c>
      <c r="B5237">
        <v>2313020115</v>
      </c>
      <c r="C5237" t="str">
        <f>T("아빠는 마교대장 8화")</f>
        <v>아빠는 마교대장 8화</v>
      </c>
      <c r="D5237" t="str">
        <f>T("8")</f>
        <v>8</v>
      </c>
      <c r="E5237" t="str">
        <f t="shared" si="723"/>
        <v>구땡</v>
      </c>
      <c r="H5237" t="str">
        <f t="shared" si="722"/>
        <v>스토리위즈</v>
      </c>
      <c r="I5237" t="str">
        <f t="shared" si="724"/>
        <v>아빠는 마교대장</v>
      </c>
      <c r="J5237">
        <v>0</v>
      </c>
      <c r="K5237">
        <v>0</v>
      </c>
      <c r="L5237">
        <v>0</v>
      </c>
      <c r="M5237">
        <v>303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303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/>
      <c r="AQ5237">
        <v>0</v>
      </c>
      <c r="AR5237">
        <v>0</v>
      </c>
      <c r="AT5237">
        <v>0</v>
      </c>
      <c r="AU5237">
        <v>0</v>
      </c>
      <c r="AW5237">
        <v>0</v>
      </c>
      <c r="AX5237">
        <v>0</v>
      </c>
      <c r="AY5237">
        <v>0</v>
      </c>
      <c r="BC5237" t="str">
        <f t="shared" si="725"/>
        <v>9791137602076</v>
      </c>
      <c r="BE5237" t="str">
        <f t="shared" si="726"/>
        <v>판타지 웹소설 &gt; 무협 소설</v>
      </c>
    </row>
    <row r="5238" spans="1:57" x14ac:dyDescent="0.3">
      <c r="A5238">
        <v>2313020108</v>
      </c>
      <c r="B5238">
        <v>2313020116</v>
      </c>
      <c r="C5238" t="str">
        <f>T("아빠는 마교대장 9화")</f>
        <v>아빠는 마교대장 9화</v>
      </c>
      <c r="D5238" t="str">
        <f>T("9")</f>
        <v>9</v>
      </c>
      <c r="E5238" t="str">
        <f t="shared" si="723"/>
        <v>구땡</v>
      </c>
      <c r="H5238" t="str">
        <f t="shared" si="722"/>
        <v>스토리위즈</v>
      </c>
      <c r="I5238" t="str">
        <f t="shared" si="724"/>
        <v>아빠는 마교대장</v>
      </c>
      <c r="J5238">
        <v>0</v>
      </c>
      <c r="K5238">
        <v>0</v>
      </c>
      <c r="L5238">
        <v>0</v>
      </c>
      <c r="M5238">
        <v>299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299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/>
      <c r="AQ5238">
        <v>0</v>
      </c>
      <c r="AR5238">
        <v>0</v>
      </c>
      <c r="AT5238">
        <v>0</v>
      </c>
      <c r="AU5238">
        <v>0</v>
      </c>
      <c r="AW5238">
        <v>0</v>
      </c>
      <c r="AX5238">
        <v>0</v>
      </c>
      <c r="AY5238">
        <v>0</v>
      </c>
      <c r="BC5238" t="str">
        <f t="shared" si="725"/>
        <v>9791137602076</v>
      </c>
      <c r="BE5238" t="str">
        <f t="shared" si="726"/>
        <v>판타지 웹소설 &gt; 무협 소설</v>
      </c>
    </row>
    <row r="5239" spans="1:57" x14ac:dyDescent="0.3">
      <c r="A5239">
        <v>2313020108</v>
      </c>
      <c r="B5239">
        <v>2313020117</v>
      </c>
      <c r="C5239" t="str">
        <f>T("아빠는 마교대장 10화")</f>
        <v>아빠는 마교대장 10화</v>
      </c>
      <c r="D5239" t="str">
        <f>T("10")</f>
        <v>10</v>
      </c>
      <c r="E5239" t="str">
        <f t="shared" si="723"/>
        <v>구땡</v>
      </c>
      <c r="H5239" t="str">
        <f t="shared" si="722"/>
        <v>스토리위즈</v>
      </c>
      <c r="I5239" t="str">
        <f t="shared" si="724"/>
        <v>아빠는 마교대장</v>
      </c>
      <c r="J5239">
        <v>0</v>
      </c>
      <c r="K5239">
        <v>0</v>
      </c>
      <c r="L5239">
        <v>0</v>
      </c>
      <c r="M5239">
        <v>299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299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/>
      <c r="AQ5239">
        <v>0</v>
      </c>
      <c r="AR5239">
        <v>0</v>
      </c>
      <c r="AT5239">
        <v>0</v>
      </c>
      <c r="AU5239">
        <v>0</v>
      </c>
      <c r="AW5239">
        <v>0</v>
      </c>
      <c r="AX5239">
        <v>0</v>
      </c>
      <c r="AY5239">
        <v>0</v>
      </c>
      <c r="BC5239" t="str">
        <f t="shared" si="725"/>
        <v>9791137602076</v>
      </c>
      <c r="BE5239" t="str">
        <f t="shared" si="726"/>
        <v>판타지 웹소설 &gt; 무협 소설</v>
      </c>
    </row>
    <row r="5240" spans="1:57" x14ac:dyDescent="0.3">
      <c r="A5240">
        <v>2313020108</v>
      </c>
      <c r="B5240">
        <v>2313020118</v>
      </c>
      <c r="C5240" t="str">
        <f>T("아빠는 마교대장 11화")</f>
        <v>아빠는 마교대장 11화</v>
      </c>
      <c r="D5240" t="str">
        <f>T("11")</f>
        <v>11</v>
      </c>
      <c r="E5240" t="str">
        <f t="shared" si="723"/>
        <v>구땡</v>
      </c>
      <c r="H5240" t="str">
        <f t="shared" si="722"/>
        <v>스토리위즈</v>
      </c>
      <c r="I5240" t="str">
        <f t="shared" si="724"/>
        <v>아빠는 마교대장</v>
      </c>
      <c r="J5240">
        <v>0</v>
      </c>
      <c r="K5240">
        <v>0</v>
      </c>
      <c r="L5240">
        <v>0</v>
      </c>
      <c r="M5240">
        <v>267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267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/>
      <c r="AQ5240">
        <v>0</v>
      </c>
      <c r="AR5240">
        <v>0</v>
      </c>
      <c r="AT5240">
        <v>0</v>
      </c>
      <c r="AU5240">
        <v>0</v>
      </c>
      <c r="AW5240">
        <v>0</v>
      </c>
      <c r="AX5240">
        <v>0</v>
      </c>
      <c r="AY5240">
        <v>0</v>
      </c>
      <c r="BC5240" t="str">
        <f t="shared" si="725"/>
        <v>9791137602076</v>
      </c>
      <c r="BE5240" t="str">
        <f t="shared" si="726"/>
        <v>판타지 웹소설 &gt; 무협 소설</v>
      </c>
    </row>
    <row r="5241" spans="1:57" x14ac:dyDescent="0.3">
      <c r="A5241">
        <v>2313020108</v>
      </c>
      <c r="B5241">
        <v>2313020119</v>
      </c>
      <c r="C5241" t="str">
        <f>T("아빠는 마교대장 12화")</f>
        <v>아빠는 마교대장 12화</v>
      </c>
      <c r="D5241" t="str">
        <f>T("12")</f>
        <v>12</v>
      </c>
      <c r="E5241" t="str">
        <f t="shared" si="723"/>
        <v>구땡</v>
      </c>
      <c r="H5241" t="str">
        <f t="shared" si="722"/>
        <v>스토리위즈</v>
      </c>
      <c r="I5241" t="str">
        <f t="shared" si="724"/>
        <v>아빠는 마교대장</v>
      </c>
      <c r="J5241">
        <v>0</v>
      </c>
      <c r="K5241">
        <v>0</v>
      </c>
      <c r="L5241">
        <v>0</v>
      </c>
      <c r="M5241">
        <v>244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244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/>
      <c r="AQ5241">
        <v>0</v>
      </c>
      <c r="AR5241">
        <v>0</v>
      </c>
      <c r="AT5241">
        <v>0</v>
      </c>
      <c r="AU5241">
        <v>0</v>
      </c>
      <c r="AW5241">
        <v>0</v>
      </c>
      <c r="AX5241">
        <v>0</v>
      </c>
      <c r="AY5241">
        <v>0</v>
      </c>
      <c r="BC5241" t="str">
        <f t="shared" si="725"/>
        <v>9791137602076</v>
      </c>
      <c r="BE5241" t="str">
        <f t="shared" si="726"/>
        <v>판타지 웹소설 &gt; 무협 소설</v>
      </c>
    </row>
    <row r="5242" spans="1:57" x14ac:dyDescent="0.3">
      <c r="A5242">
        <v>2313020108</v>
      </c>
      <c r="B5242">
        <v>2313020120</v>
      </c>
      <c r="C5242" t="str">
        <f>T("아빠는 마교대장 13화")</f>
        <v>아빠는 마교대장 13화</v>
      </c>
      <c r="D5242" t="str">
        <f>T("13")</f>
        <v>13</v>
      </c>
      <c r="E5242" t="str">
        <f t="shared" si="723"/>
        <v>구땡</v>
      </c>
      <c r="H5242" t="str">
        <f t="shared" si="722"/>
        <v>스토리위즈</v>
      </c>
      <c r="I5242" t="str">
        <f t="shared" si="724"/>
        <v>아빠는 마교대장</v>
      </c>
      <c r="J5242">
        <v>0</v>
      </c>
      <c r="K5242">
        <v>0</v>
      </c>
      <c r="L5242">
        <v>0</v>
      </c>
      <c r="M5242">
        <v>234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234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/>
      <c r="AQ5242">
        <v>0</v>
      </c>
      <c r="AR5242">
        <v>0</v>
      </c>
      <c r="AT5242">
        <v>0</v>
      </c>
      <c r="AU5242">
        <v>0</v>
      </c>
      <c r="AW5242">
        <v>0</v>
      </c>
      <c r="AX5242">
        <v>0</v>
      </c>
      <c r="AY5242">
        <v>0</v>
      </c>
      <c r="BC5242" t="str">
        <f t="shared" si="725"/>
        <v>9791137602076</v>
      </c>
      <c r="BE5242" t="str">
        <f t="shared" si="726"/>
        <v>판타지 웹소설 &gt; 무협 소설</v>
      </c>
    </row>
    <row r="5243" spans="1:57" x14ac:dyDescent="0.3">
      <c r="A5243">
        <v>2313020108</v>
      </c>
      <c r="B5243">
        <v>2313020121</v>
      </c>
      <c r="C5243" t="str">
        <f>T("아빠는 마교대장 14화")</f>
        <v>아빠는 마교대장 14화</v>
      </c>
      <c r="D5243" t="str">
        <f>T("14")</f>
        <v>14</v>
      </c>
      <c r="E5243" t="str">
        <f t="shared" si="723"/>
        <v>구땡</v>
      </c>
      <c r="H5243" t="str">
        <f t="shared" si="722"/>
        <v>스토리위즈</v>
      </c>
      <c r="I5243" t="str">
        <f t="shared" si="724"/>
        <v>아빠는 마교대장</v>
      </c>
      <c r="J5243">
        <v>0</v>
      </c>
      <c r="K5243">
        <v>0</v>
      </c>
      <c r="L5243">
        <v>0</v>
      </c>
      <c r="M5243">
        <v>229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229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/>
      <c r="AQ5243">
        <v>0</v>
      </c>
      <c r="AR5243">
        <v>0</v>
      </c>
      <c r="AT5243">
        <v>0</v>
      </c>
      <c r="AU5243">
        <v>0</v>
      </c>
      <c r="AW5243">
        <v>0</v>
      </c>
      <c r="AX5243">
        <v>0</v>
      </c>
      <c r="AY5243">
        <v>0</v>
      </c>
      <c r="BC5243" t="str">
        <f t="shared" si="725"/>
        <v>9791137602076</v>
      </c>
      <c r="BE5243" t="str">
        <f t="shared" si="726"/>
        <v>판타지 웹소설 &gt; 무협 소설</v>
      </c>
    </row>
    <row r="5244" spans="1:57" x14ac:dyDescent="0.3">
      <c r="A5244">
        <v>2313020108</v>
      </c>
      <c r="B5244">
        <v>2313020122</v>
      </c>
      <c r="C5244" t="str">
        <f>T("아빠는 마교대장 15화")</f>
        <v>아빠는 마교대장 15화</v>
      </c>
      <c r="D5244" t="str">
        <f>T("15")</f>
        <v>15</v>
      </c>
      <c r="E5244" t="str">
        <f t="shared" si="723"/>
        <v>구땡</v>
      </c>
      <c r="H5244" t="str">
        <f t="shared" si="722"/>
        <v>스토리위즈</v>
      </c>
      <c r="I5244" t="str">
        <f t="shared" si="724"/>
        <v>아빠는 마교대장</v>
      </c>
      <c r="J5244">
        <v>0</v>
      </c>
      <c r="K5244">
        <v>0</v>
      </c>
      <c r="L5244">
        <v>0</v>
      </c>
      <c r="M5244">
        <v>228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228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/>
      <c r="AQ5244">
        <v>0</v>
      </c>
      <c r="AR5244">
        <v>0</v>
      </c>
      <c r="AT5244">
        <v>0</v>
      </c>
      <c r="AU5244">
        <v>0</v>
      </c>
      <c r="AW5244">
        <v>0</v>
      </c>
      <c r="AX5244">
        <v>0</v>
      </c>
      <c r="AY5244">
        <v>0</v>
      </c>
      <c r="BC5244" t="str">
        <f t="shared" si="725"/>
        <v>9791137602076</v>
      </c>
      <c r="BE5244" t="str">
        <f t="shared" si="726"/>
        <v>판타지 웹소설 &gt; 무협 소설</v>
      </c>
    </row>
    <row r="5245" spans="1:57" x14ac:dyDescent="0.3">
      <c r="A5245">
        <v>2313020108</v>
      </c>
      <c r="B5245">
        <v>2313020123</v>
      </c>
      <c r="C5245" t="str">
        <f>T("아빠는 마교대장 16화")</f>
        <v>아빠는 마교대장 16화</v>
      </c>
      <c r="D5245" t="str">
        <f>T("16")</f>
        <v>16</v>
      </c>
      <c r="E5245" t="str">
        <f t="shared" si="723"/>
        <v>구땡</v>
      </c>
      <c r="H5245" t="str">
        <f t="shared" si="722"/>
        <v>스토리위즈</v>
      </c>
      <c r="I5245" t="str">
        <f t="shared" si="724"/>
        <v>아빠는 마교대장</v>
      </c>
      <c r="J5245">
        <v>0</v>
      </c>
      <c r="K5245">
        <v>0</v>
      </c>
      <c r="L5245">
        <v>0</v>
      </c>
      <c r="M5245">
        <v>231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231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/>
      <c r="AQ5245">
        <v>0</v>
      </c>
      <c r="AR5245">
        <v>0</v>
      </c>
      <c r="AT5245">
        <v>0</v>
      </c>
      <c r="AU5245">
        <v>0</v>
      </c>
      <c r="AW5245">
        <v>0</v>
      </c>
      <c r="AX5245">
        <v>0</v>
      </c>
      <c r="AY5245">
        <v>0</v>
      </c>
      <c r="BC5245" t="str">
        <f t="shared" si="725"/>
        <v>9791137602076</v>
      </c>
      <c r="BE5245" t="str">
        <f t="shared" si="726"/>
        <v>판타지 웹소설 &gt; 무협 소설</v>
      </c>
    </row>
    <row r="5246" spans="1:57" x14ac:dyDescent="0.3">
      <c r="A5246">
        <v>2313020108</v>
      </c>
      <c r="B5246">
        <v>2313020124</v>
      </c>
      <c r="C5246" t="str">
        <f>T("아빠는 마교대장 17화")</f>
        <v>아빠는 마교대장 17화</v>
      </c>
      <c r="D5246" t="str">
        <f>T("17")</f>
        <v>17</v>
      </c>
      <c r="E5246" t="str">
        <f t="shared" si="723"/>
        <v>구땡</v>
      </c>
      <c r="H5246" t="str">
        <f t="shared" si="722"/>
        <v>스토리위즈</v>
      </c>
      <c r="I5246" t="str">
        <f t="shared" si="724"/>
        <v>아빠는 마교대장</v>
      </c>
      <c r="J5246">
        <v>0</v>
      </c>
      <c r="K5246">
        <v>0</v>
      </c>
      <c r="L5246">
        <v>0</v>
      </c>
      <c r="M5246">
        <v>227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227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/>
      <c r="AQ5246">
        <v>0</v>
      </c>
      <c r="AR5246">
        <v>0</v>
      </c>
      <c r="AT5246">
        <v>0</v>
      </c>
      <c r="AU5246">
        <v>0</v>
      </c>
      <c r="AW5246">
        <v>0</v>
      </c>
      <c r="AX5246">
        <v>0</v>
      </c>
      <c r="AY5246">
        <v>0</v>
      </c>
      <c r="BC5246" t="str">
        <f t="shared" si="725"/>
        <v>9791137602076</v>
      </c>
      <c r="BE5246" t="str">
        <f t="shared" si="726"/>
        <v>판타지 웹소설 &gt; 무협 소설</v>
      </c>
    </row>
    <row r="5247" spans="1:57" x14ac:dyDescent="0.3">
      <c r="A5247">
        <v>2313020108</v>
      </c>
      <c r="B5247">
        <v>2313020125</v>
      </c>
      <c r="C5247" t="str">
        <f>T("아빠는 마교대장 18화")</f>
        <v>아빠는 마교대장 18화</v>
      </c>
      <c r="D5247" t="str">
        <f>T("18")</f>
        <v>18</v>
      </c>
      <c r="E5247" t="str">
        <f t="shared" si="723"/>
        <v>구땡</v>
      </c>
      <c r="H5247" t="str">
        <f t="shared" si="722"/>
        <v>스토리위즈</v>
      </c>
      <c r="I5247" t="str">
        <f t="shared" si="724"/>
        <v>아빠는 마교대장</v>
      </c>
      <c r="J5247">
        <v>0</v>
      </c>
      <c r="K5247">
        <v>0</v>
      </c>
      <c r="L5247">
        <v>0</v>
      </c>
      <c r="M5247">
        <v>219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219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/>
      <c r="AQ5247">
        <v>0</v>
      </c>
      <c r="AR5247">
        <v>0</v>
      </c>
      <c r="AT5247">
        <v>0</v>
      </c>
      <c r="AU5247">
        <v>0</v>
      </c>
      <c r="AW5247">
        <v>0</v>
      </c>
      <c r="AX5247">
        <v>0</v>
      </c>
      <c r="AY5247">
        <v>0</v>
      </c>
      <c r="BC5247" t="str">
        <f t="shared" si="725"/>
        <v>9791137602076</v>
      </c>
      <c r="BE5247" t="str">
        <f t="shared" si="726"/>
        <v>판타지 웹소설 &gt; 무협 소설</v>
      </c>
    </row>
    <row r="5248" spans="1:57" x14ac:dyDescent="0.3">
      <c r="A5248">
        <v>2313020108</v>
      </c>
      <c r="B5248">
        <v>2313020126</v>
      </c>
      <c r="C5248" t="str">
        <f>T("아빠는 마교대장 19화")</f>
        <v>아빠는 마교대장 19화</v>
      </c>
      <c r="D5248" t="str">
        <f>T("19")</f>
        <v>19</v>
      </c>
      <c r="E5248" t="str">
        <f t="shared" si="723"/>
        <v>구땡</v>
      </c>
      <c r="H5248" t="str">
        <f t="shared" si="722"/>
        <v>스토리위즈</v>
      </c>
      <c r="I5248" t="str">
        <f t="shared" si="724"/>
        <v>아빠는 마교대장</v>
      </c>
      <c r="J5248">
        <v>0</v>
      </c>
      <c r="K5248">
        <v>0</v>
      </c>
      <c r="L5248">
        <v>0</v>
      </c>
      <c r="M5248">
        <v>216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216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/>
      <c r="AQ5248">
        <v>0</v>
      </c>
      <c r="AR5248">
        <v>0</v>
      </c>
      <c r="AT5248">
        <v>0</v>
      </c>
      <c r="AU5248">
        <v>0</v>
      </c>
      <c r="AW5248">
        <v>0</v>
      </c>
      <c r="AX5248">
        <v>0</v>
      </c>
      <c r="AY5248">
        <v>0</v>
      </c>
      <c r="BC5248" t="str">
        <f t="shared" si="725"/>
        <v>9791137602076</v>
      </c>
      <c r="BE5248" t="str">
        <f t="shared" si="726"/>
        <v>판타지 웹소설 &gt; 무협 소설</v>
      </c>
    </row>
    <row r="5249" spans="1:57" x14ac:dyDescent="0.3">
      <c r="A5249">
        <v>2313020108</v>
      </c>
      <c r="B5249">
        <v>2313020127</v>
      </c>
      <c r="C5249" t="str">
        <f>T("아빠는 마교대장 20화")</f>
        <v>아빠는 마교대장 20화</v>
      </c>
      <c r="D5249" t="str">
        <f>T("20")</f>
        <v>20</v>
      </c>
      <c r="E5249" t="str">
        <f t="shared" si="723"/>
        <v>구땡</v>
      </c>
      <c r="H5249" t="str">
        <f t="shared" si="722"/>
        <v>스토리위즈</v>
      </c>
      <c r="I5249" t="str">
        <f t="shared" si="724"/>
        <v>아빠는 마교대장</v>
      </c>
      <c r="J5249">
        <v>0</v>
      </c>
      <c r="K5249">
        <v>0</v>
      </c>
      <c r="L5249">
        <v>0</v>
      </c>
      <c r="M5249">
        <v>211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211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/>
      <c r="AQ5249">
        <v>0</v>
      </c>
      <c r="AR5249">
        <v>0</v>
      </c>
      <c r="AT5249">
        <v>0</v>
      </c>
      <c r="AU5249">
        <v>0</v>
      </c>
      <c r="AW5249">
        <v>0</v>
      </c>
      <c r="AX5249">
        <v>0</v>
      </c>
      <c r="AY5249">
        <v>0</v>
      </c>
      <c r="BC5249" t="str">
        <f t="shared" si="725"/>
        <v>9791137602076</v>
      </c>
      <c r="BE5249" t="str">
        <f t="shared" si="726"/>
        <v>판타지 웹소설 &gt; 무협 소설</v>
      </c>
    </row>
    <row r="5250" spans="1:57" x14ac:dyDescent="0.3">
      <c r="A5250">
        <v>2313020108</v>
      </c>
      <c r="B5250">
        <v>2313020128</v>
      </c>
      <c r="C5250" t="str">
        <f>T("아빠는 마교대장 21화")</f>
        <v>아빠는 마교대장 21화</v>
      </c>
      <c r="D5250" t="str">
        <f>T("21")</f>
        <v>21</v>
      </c>
      <c r="E5250" t="str">
        <f t="shared" si="723"/>
        <v>구땡</v>
      </c>
      <c r="H5250" t="str">
        <f t="shared" si="722"/>
        <v>스토리위즈</v>
      </c>
      <c r="I5250" t="str">
        <f t="shared" si="724"/>
        <v>아빠는 마교대장</v>
      </c>
      <c r="J5250">
        <v>0</v>
      </c>
      <c r="K5250">
        <v>0</v>
      </c>
      <c r="L5250">
        <v>0</v>
      </c>
      <c r="M5250">
        <v>206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206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/>
      <c r="AQ5250">
        <v>0</v>
      </c>
      <c r="AR5250">
        <v>0</v>
      </c>
      <c r="AT5250">
        <v>0</v>
      </c>
      <c r="AU5250">
        <v>0</v>
      </c>
      <c r="AW5250">
        <v>0</v>
      </c>
      <c r="AX5250">
        <v>0</v>
      </c>
      <c r="AY5250">
        <v>0</v>
      </c>
      <c r="BC5250" t="str">
        <f t="shared" si="725"/>
        <v>9791137602076</v>
      </c>
      <c r="BE5250" t="str">
        <f t="shared" si="726"/>
        <v>판타지 웹소설 &gt; 무협 소설</v>
      </c>
    </row>
    <row r="5251" spans="1:57" x14ac:dyDescent="0.3">
      <c r="A5251">
        <v>2313020108</v>
      </c>
      <c r="B5251">
        <v>2313020129</v>
      </c>
      <c r="C5251" t="str">
        <f>T("아빠는 마교대장 22화")</f>
        <v>아빠는 마교대장 22화</v>
      </c>
      <c r="D5251" t="str">
        <f>T("22")</f>
        <v>22</v>
      </c>
      <c r="E5251" t="str">
        <f t="shared" si="723"/>
        <v>구땡</v>
      </c>
      <c r="H5251" t="str">
        <f t="shared" si="722"/>
        <v>스토리위즈</v>
      </c>
      <c r="I5251" t="str">
        <f t="shared" si="724"/>
        <v>아빠는 마교대장</v>
      </c>
      <c r="J5251">
        <v>0</v>
      </c>
      <c r="K5251">
        <v>0</v>
      </c>
      <c r="L5251">
        <v>0</v>
      </c>
      <c r="M5251">
        <v>198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198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/>
      <c r="AQ5251">
        <v>0</v>
      </c>
      <c r="AR5251">
        <v>0</v>
      </c>
      <c r="AT5251">
        <v>0</v>
      </c>
      <c r="AU5251">
        <v>0</v>
      </c>
      <c r="AW5251">
        <v>0</v>
      </c>
      <c r="AX5251">
        <v>0</v>
      </c>
      <c r="AY5251">
        <v>0</v>
      </c>
      <c r="BC5251" t="str">
        <f t="shared" si="725"/>
        <v>9791137602076</v>
      </c>
      <c r="BE5251" t="str">
        <f t="shared" si="726"/>
        <v>판타지 웹소설 &gt; 무협 소설</v>
      </c>
    </row>
    <row r="5252" spans="1:57" x14ac:dyDescent="0.3">
      <c r="A5252">
        <v>2313020108</v>
      </c>
      <c r="B5252">
        <v>2313020130</v>
      </c>
      <c r="C5252" t="str">
        <f>T("아빠는 마교대장 23화")</f>
        <v>아빠는 마교대장 23화</v>
      </c>
      <c r="D5252" t="str">
        <f>T("23")</f>
        <v>23</v>
      </c>
      <c r="E5252" t="str">
        <f t="shared" si="723"/>
        <v>구땡</v>
      </c>
      <c r="H5252" t="str">
        <f t="shared" si="722"/>
        <v>스토리위즈</v>
      </c>
      <c r="I5252" t="str">
        <f t="shared" si="724"/>
        <v>아빠는 마교대장</v>
      </c>
      <c r="J5252">
        <v>0</v>
      </c>
      <c r="K5252">
        <v>0</v>
      </c>
      <c r="L5252">
        <v>0</v>
      </c>
      <c r="M5252">
        <v>196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196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/>
      <c r="AQ5252">
        <v>0</v>
      </c>
      <c r="AR5252">
        <v>0</v>
      </c>
      <c r="AT5252">
        <v>0</v>
      </c>
      <c r="AU5252">
        <v>0</v>
      </c>
      <c r="AW5252">
        <v>0</v>
      </c>
      <c r="AX5252">
        <v>0</v>
      </c>
      <c r="AY5252">
        <v>0</v>
      </c>
      <c r="BC5252" t="str">
        <f t="shared" si="725"/>
        <v>9791137602076</v>
      </c>
      <c r="BE5252" t="str">
        <f t="shared" si="726"/>
        <v>판타지 웹소설 &gt; 무협 소설</v>
      </c>
    </row>
    <row r="5253" spans="1:57" x14ac:dyDescent="0.3">
      <c r="A5253">
        <v>2313020108</v>
      </c>
      <c r="B5253">
        <v>2313020131</v>
      </c>
      <c r="C5253" t="str">
        <f>T("아빠는 마교대장 24화")</f>
        <v>아빠는 마교대장 24화</v>
      </c>
      <c r="D5253" t="str">
        <f>T("24")</f>
        <v>24</v>
      </c>
      <c r="E5253" t="str">
        <f t="shared" si="723"/>
        <v>구땡</v>
      </c>
      <c r="H5253" t="str">
        <f t="shared" si="722"/>
        <v>스토리위즈</v>
      </c>
      <c r="I5253" t="str">
        <f t="shared" si="724"/>
        <v>아빠는 마교대장</v>
      </c>
      <c r="J5253">
        <v>0</v>
      </c>
      <c r="K5253">
        <v>0</v>
      </c>
      <c r="L5253">
        <v>0</v>
      </c>
      <c r="M5253">
        <v>196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196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/>
      <c r="AQ5253">
        <v>0</v>
      </c>
      <c r="AR5253">
        <v>0</v>
      </c>
      <c r="AT5253">
        <v>0</v>
      </c>
      <c r="AU5253">
        <v>0</v>
      </c>
      <c r="AW5253">
        <v>0</v>
      </c>
      <c r="AX5253">
        <v>0</v>
      </c>
      <c r="AY5253">
        <v>0</v>
      </c>
      <c r="BC5253" t="str">
        <f t="shared" si="725"/>
        <v>9791137602076</v>
      </c>
      <c r="BE5253" t="str">
        <f t="shared" si="726"/>
        <v>판타지 웹소설 &gt; 무협 소설</v>
      </c>
    </row>
    <row r="5254" spans="1:57" x14ac:dyDescent="0.3">
      <c r="A5254">
        <v>2313020108</v>
      </c>
      <c r="B5254">
        <v>2313020132</v>
      </c>
      <c r="C5254" t="str">
        <f>T("아빠는 마교대장 25화")</f>
        <v>아빠는 마교대장 25화</v>
      </c>
      <c r="D5254" t="str">
        <f>T("25")</f>
        <v>25</v>
      </c>
      <c r="E5254" t="str">
        <f t="shared" si="723"/>
        <v>구땡</v>
      </c>
      <c r="H5254" t="str">
        <f t="shared" si="722"/>
        <v>스토리위즈</v>
      </c>
      <c r="I5254" t="str">
        <f t="shared" si="724"/>
        <v>아빠는 마교대장</v>
      </c>
      <c r="J5254">
        <v>0</v>
      </c>
      <c r="K5254">
        <v>0</v>
      </c>
      <c r="L5254">
        <v>0</v>
      </c>
      <c r="M5254">
        <v>188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188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/>
      <c r="AQ5254">
        <v>0</v>
      </c>
      <c r="AR5254">
        <v>0</v>
      </c>
      <c r="AT5254">
        <v>0</v>
      </c>
      <c r="AU5254">
        <v>0</v>
      </c>
      <c r="AW5254">
        <v>0</v>
      </c>
      <c r="AX5254">
        <v>0</v>
      </c>
      <c r="AY5254">
        <v>0</v>
      </c>
      <c r="BC5254" t="str">
        <f t="shared" si="725"/>
        <v>9791137602076</v>
      </c>
      <c r="BE5254" t="str">
        <f t="shared" si="726"/>
        <v>판타지 웹소설 &gt; 무협 소설</v>
      </c>
    </row>
    <row r="5255" spans="1:57" x14ac:dyDescent="0.3">
      <c r="A5255">
        <v>2313020308</v>
      </c>
      <c r="B5255">
        <v>2313020308</v>
      </c>
      <c r="C5255" t="str">
        <f>T("[e북]상태창빨로 천재 재벌 1권")</f>
        <v>[e북]상태창빨로 천재 재벌 1권</v>
      </c>
      <c r="D5255" t="str">
        <f>T("1")</f>
        <v>1</v>
      </c>
      <c r="E5255" t="str">
        <f>T("리얼탄산")</f>
        <v>리얼탄산</v>
      </c>
      <c r="H5255" t="str">
        <f t="shared" si="722"/>
        <v>스토리위즈</v>
      </c>
      <c r="I5255" t="str">
        <f>T("[e북]상태창빨로 천재 재벌")</f>
        <v>[e북]상태창빨로 천재 재벌</v>
      </c>
      <c r="J5255">
        <v>0</v>
      </c>
      <c r="K5255">
        <v>0</v>
      </c>
      <c r="L5255">
        <v>0</v>
      </c>
      <c r="M5255">
        <v>11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11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/>
      <c r="AQ5255">
        <v>0</v>
      </c>
      <c r="AR5255">
        <v>0</v>
      </c>
      <c r="AT5255">
        <v>0</v>
      </c>
      <c r="AU5255">
        <v>0</v>
      </c>
      <c r="AW5255">
        <v>0</v>
      </c>
      <c r="AX5255">
        <v>0</v>
      </c>
      <c r="AY5255">
        <v>0</v>
      </c>
      <c r="BC5255" t="str">
        <f>T("9791137607446")</f>
        <v>9791137607446</v>
      </c>
      <c r="BE5255" t="str">
        <f>T("판타지 e북 &gt; 현대 판타지")</f>
        <v>판타지 e북 &gt; 현대 판타지</v>
      </c>
    </row>
    <row r="5256" spans="1:57" x14ac:dyDescent="0.3">
      <c r="A5256">
        <v>2313020320</v>
      </c>
      <c r="B5256">
        <v>2313020320</v>
      </c>
      <c r="C5256" t="str">
        <f>T("[e북]망생부터 시작하는 천재작가의 회귀 1권")</f>
        <v>[e북]망생부터 시작하는 천재작가의 회귀 1권</v>
      </c>
      <c r="D5256" t="str">
        <f>T("1")</f>
        <v>1</v>
      </c>
      <c r="E5256" t="str">
        <f>T("알랙스")</f>
        <v>알랙스</v>
      </c>
      <c r="H5256" t="str">
        <f t="shared" si="722"/>
        <v>스토리위즈</v>
      </c>
      <c r="I5256" t="str">
        <f>T("[e북]망생부터 시작하는 천재작가의 회귀")</f>
        <v>[e북]망생부터 시작하는 천재작가의 회귀</v>
      </c>
      <c r="J5256">
        <v>0</v>
      </c>
      <c r="K5256">
        <v>0</v>
      </c>
      <c r="L5256">
        <v>0</v>
      </c>
      <c r="M5256">
        <v>8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8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/>
      <c r="AQ5256">
        <v>0</v>
      </c>
      <c r="AR5256">
        <v>0</v>
      </c>
      <c r="AT5256">
        <v>0</v>
      </c>
      <c r="AU5256">
        <v>0</v>
      </c>
      <c r="AW5256">
        <v>0</v>
      </c>
      <c r="AX5256">
        <v>0</v>
      </c>
      <c r="AY5256">
        <v>0</v>
      </c>
      <c r="BC5256" t="str">
        <f>T("9791137607569")</f>
        <v>9791137607569</v>
      </c>
      <c r="BE5256" t="str">
        <f>T("판타지 e북 &gt; 현대 판타지")</f>
        <v>판타지 e북 &gt; 현대 판타지</v>
      </c>
    </row>
    <row r="5257" spans="1:57" x14ac:dyDescent="0.3">
      <c r="A5257">
        <v>2313020329</v>
      </c>
      <c r="B5257">
        <v>2313020329</v>
      </c>
      <c r="C5257" t="str">
        <f>T("[e북]디버프 마스터 1권")</f>
        <v>[e북]디버프 마스터 1권</v>
      </c>
      <c r="D5257" t="str">
        <f>T("1")</f>
        <v>1</v>
      </c>
      <c r="E5257" t="str">
        <f t="shared" ref="E5257:E5277" si="727">T("담화공")</f>
        <v>담화공</v>
      </c>
      <c r="H5257" t="str">
        <f t="shared" si="722"/>
        <v>스토리위즈</v>
      </c>
      <c r="I5257" t="str">
        <f t="shared" ref="I5257:I5277" si="728">T("[e북]디버프 마스터")</f>
        <v>[e북]디버프 마스터</v>
      </c>
      <c r="J5257">
        <v>0</v>
      </c>
      <c r="K5257">
        <v>0</v>
      </c>
      <c r="L5257">
        <v>0</v>
      </c>
      <c r="M5257">
        <v>82</v>
      </c>
      <c r="N5257">
        <v>0</v>
      </c>
      <c r="O5257">
        <v>0</v>
      </c>
      <c r="P5257">
        <v>150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232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/>
      <c r="AQ5257">
        <v>0</v>
      </c>
      <c r="AR5257">
        <v>0</v>
      </c>
      <c r="AT5257">
        <v>0</v>
      </c>
      <c r="AU5257">
        <v>0</v>
      </c>
      <c r="AW5257">
        <v>0</v>
      </c>
      <c r="AX5257">
        <v>0</v>
      </c>
      <c r="AY5257">
        <v>0</v>
      </c>
      <c r="BC5257" t="str">
        <f>T("9791137606173")</f>
        <v>9791137606173</v>
      </c>
      <c r="BE5257" t="str">
        <f t="shared" ref="BE5257:BE5277" si="729">T("판타지 e북 &gt; 게임 판타지")</f>
        <v>판타지 e북 &gt; 게임 판타지</v>
      </c>
    </row>
    <row r="5258" spans="1:57" x14ac:dyDescent="0.3">
      <c r="A5258">
        <v>2313020329</v>
      </c>
      <c r="B5258">
        <v>2313020343</v>
      </c>
      <c r="C5258" t="str">
        <f>T("[e북]디버프 마스터 15권")</f>
        <v>[e북]디버프 마스터 15권</v>
      </c>
      <c r="D5258" t="str">
        <f>T("15")</f>
        <v>15</v>
      </c>
      <c r="E5258" t="str">
        <f t="shared" si="727"/>
        <v>담화공</v>
      </c>
      <c r="H5258" t="str">
        <f t="shared" si="722"/>
        <v>스토리위즈</v>
      </c>
      <c r="I5258" t="str">
        <f t="shared" si="728"/>
        <v>[e북]디버프 마스터</v>
      </c>
      <c r="J5258">
        <v>3200</v>
      </c>
      <c r="K5258">
        <v>0</v>
      </c>
      <c r="L5258">
        <v>0</v>
      </c>
      <c r="M5258">
        <v>0</v>
      </c>
      <c r="N5258">
        <v>19620</v>
      </c>
      <c r="O5258">
        <v>29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19620</v>
      </c>
      <c r="AH5258">
        <v>29</v>
      </c>
      <c r="AI5258">
        <v>0</v>
      </c>
      <c r="AJ5258">
        <v>0</v>
      </c>
      <c r="AK5258">
        <v>15578</v>
      </c>
      <c r="AL5258">
        <v>0</v>
      </c>
      <c r="AM5258">
        <v>4850.3999999999996</v>
      </c>
      <c r="AN5258">
        <v>-621.12</v>
      </c>
      <c r="AO5258">
        <v>0</v>
      </c>
      <c r="AP5258"/>
      <c r="AQ5258">
        <v>0</v>
      </c>
      <c r="AR5258">
        <v>0</v>
      </c>
      <c r="AS5258">
        <v>4850.3999999999996</v>
      </c>
      <c r="AT5258">
        <v>-621.12</v>
      </c>
      <c r="AU5258">
        <v>0</v>
      </c>
      <c r="AW5258">
        <v>0</v>
      </c>
      <c r="AX5258">
        <v>0</v>
      </c>
      <c r="AY5258">
        <v>13865.1</v>
      </c>
      <c r="BC5258" t="str">
        <f>T("9791137606319")</f>
        <v>9791137606319</v>
      </c>
      <c r="BE5258" t="str">
        <f t="shared" si="729"/>
        <v>판타지 e북 &gt; 게임 판타지</v>
      </c>
    </row>
    <row r="5259" spans="1:57" x14ac:dyDescent="0.3">
      <c r="A5259">
        <v>2313020329</v>
      </c>
      <c r="B5259">
        <v>2313020344</v>
      </c>
      <c r="C5259" t="str">
        <f>T("[e북]디버프 마스터 16권")</f>
        <v>[e북]디버프 마스터 16권</v>
      </c>
      <c r="D5259" t="str">
        <f>T("16")</f>
        <v>16</v>
      </c>
      <c r="E5259" t="str">
        <f t="shared" si="727"/>
        <v>담화공</v>
      </c>
      <c r="H5259" t="str">
        <f t="shared" si="722"/>
        <v>스토리위즈</v>
      </c>
      <c r="I5259" t="str">
        <f t="shared" si="728"/>
        <v>[e북]디버프 마스터</v>
      </c>
      <c r="J5259">
        <v>3200</v>
      </c>
      <c r="K5259">
        <v>0</v>
      </c>
      <c r="L5259">
        <v>0</v>
      </c>
      <c r="M5259">
        <v>0</v>
      </c>
      <c r="N5259">
        <v>18720</v>
      </c>
      <c r="O5259">
        <v>28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18720</v>
      </c>
      <c r="AH5259">
        <v>28</v>
      </c>
      <c r="AI5259">
        <v>0</v>
      </c>
      <c r="AJ5259">
        <v>0</v>
      </c>
      <c r="AK5259">
        <v>15579</v>
      </c>
      <c r="AL5259">
        <v>0</v>
      </c>
      <c r="AM5259">
        <v>3769.2</v>
      </c>
      <c r="AN5259">
        <v>-513</v>
      </c>
      <c r="AO5259">
        <v>0</v>
      </c>
      <c r="AP5259"/>
      <c r="AQ5259">
        <v>0</v>
      </c>
      <c r="AR5259">
        <v>0</v>
      </c>
      <c r="AS5259">
        <v>3769.2</v>
      </c>
      <c r="AT5259">
        <v>-513</v>
      </c>
      <c r="AU5259">
        <v>0</v>
      </c>
      <c r="AW5259">
        <v>0</v>
      </c>
      <c r="AX5259">
        <v>0</v>
      </c>
      <c r="AY5259">
        <v>13184.64</v>
      </c>
      <c r="BC5259" t="str">
        <f>T("9791137606326")</f>
        <v>9791137606326</v>
      </c>
      <c r="BE5259" t="str">
        <f t="shared" si="729"/>
        <v>판타지 e북 &gt; 게임 판타지</v>
      </c>
    </row>
    <row r="5260" spans="1:57" x14ac:dyDescent="0.3">
      <c r="A5260">
        <v>2313020329</v>
      </c>
      <c r="B5260">
        <v>2313020347</v>
      </c>
      <c r="C5260" t="str">
        <f>T("[e북]디버프 마스터 19권")</f>
        <v>[e북]디버프 마스터 19권</v>
      </c>
      <c r="D5260" t="str">
        <f>T("19")</f>
        <v>19</v>
      </c>
      <c r="E5260" t="str">
        <f t="shared" si="727"/>
        <v>담화공</v>
      </c>
      <c r="H5260" t="str">
        <f t="shared" si="722"/>
        <v>스토리위즈</v>
      </c>
      <c r="I5260" t="str">
        <f t="shared" si="728"/>
        <v>[e북]디버프 마스터</v>
      </c>
      <c r="J5260">
        <v>3200</v>
      </c>
      <c r="K5260">
        <v>0</v>
      </c>
      <c r="L5260">
        <v>0</v>
      </c>
      <c r="M5260">
        <v>0</v>
      </c>
      <c r="N5260">
        <v>18720</v>
      </c>
      <c r="O5260">
        <v>28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18720</v>
      </c>
      <c r="AH5260">
        <v>28</v>
      </c>
      <c r="AI5260">
        <v>0</v>
      </c>
      <c r="AJ5260">
        <v>0</v>
      </c>
      <c r="AK5260">
        <v>15579</v>
      </c>
      <c r="AL5260">
        <v>0</v>
      </c>
      <c r="AM5260">
        <v>3769.2</v>
      </c>
      <c r="AN5260">
        <v>-513</v>
      </c>
      <c r="AO5260">
        <v>0</v>
      </c>
      <c r="AP5260"/>
      <c r="AQ5260">
        <v>0</v>
      </c>
      <c r="AR5260">
        <v>0</v>
      </c>
      <c r="AS5260">
        <v>3769.2</v>
      </c>
      <c r="AT5260">
        <v>-513</v>
      </c>
      <c r="AU5260">
        <v>0</v>
      </c>
      <c r="AW5260">
        <v>0</v>
      </c>
      <c r="AX5260">
        <v>0</v>
      </c>
      <c r="AY5260">
        <v>13184.64</v>
      </c>
      <c r="BC5260" t="str">
        <f>T("9791137606357")</f>
        <v>9791137606357</v>
      </c>
      <c r="BE5260" t="str">
        <f t="shared" si="729"/>
        <v>판타지 e북 &gt; 게임 판타지</v>
      </c>
    </row>
    <row r="5261" spans="1:57" x14ac:dyDescent="0.3">
      <c r="A5261">
        <v>2313020329</v>
      </c>
      <c r="B5261">
        <v>2313020348</v>
      </c>
      <c r="C5261" t="str">
        <f>T("[e북]디버프 마스터 20권")</f>
        <v>[e북]디버프 마스터 20권</v>
      </c>
      <c r="D5261" t="str">
        <f>T("20")</f>
        <v>20</v>
      </c>
      <c r="E5261" t="str">
        <f t="shared" si="727"/>
        <v>담화공</v>
      </c>
      <c r="H5261" t="str">
        <f t="shared" si="722"/>
        <v>스토리위즈</v>
      </c>
      <c r="I5261" t="str">
        <f t="shared" si="728"/>
        <v>[e북]디버프 마스터</v>
      </c>
      <c r="J5261">
        <v>3200</v>
      </c>
      <c r="K5261">
        <v>0</v>
      </c>
      <c r="L5261">
        <v>0</v>
      </c>
      <c r="M5261">
        <v>0</v>
      </c>
      <c r="N5261">
        <v>18720</v>
      </c>
      <c r="O5261">
        <v>28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18720</v>
      </c>
      <c r="AH5261">
        <v>28</v>
      </c>
      <c r="AI5261">
        <v>0</v>
      </c>
      <c r="AJ5261">
        <v>0</v>
      </c>
      <c r="AK5261">
        <v>15579</v>
      </c>
      <c r="AL5261">
        <v>0</v>
      </c>
      <c r="AM5261">
        <v>3769.2</v>
      </c>
      <c r="AN5261">
        <v>-513</v>
      </c>
      <c r="AO5261">
        <v>0</v>
      </c>
      <c r="AP5261"/>
      <c r="AQ5261">
        <v>0</v>
      </c>
      <c r="AR5261">
        <v>0</v>
      </c>
      <c r="AS5261">
        <v>3769.2</v>
      </c>
      <c r="AT5261">
        <v>-513</v>
      </c>
      <c r="AU5261">
        <v>0</v>
      </c>
      <c r="AW5261">
        <v>0</v>
      </c>
      <c r="AX5261">
        <v>0</v>
      </c>
      <c r="AY5261">
        <v>13184.64</v>
      </c>
      <c r="BC5261" t="str">
        <f>T("9791137606364")</f>
        <v>9791137606364</v>
      </c>
      <c r="BE5261" t="str">
        <f t="shared" si="729"/>
        <v>판타지 e북 &gt; 게임 판타지</v>
      </c>
    </row>
    <row r="5262" spans="1:57" x14ac:dyDescent="0.3">
      <c r="A5262">
        <v>2313020329</v>
      </c>
      <c r="B5262">
        <v>2313020349</v>
      </c>
      <c r="C5262" t="str">
        <f>T("[e북]디버프 마스터 21권")</f>
        <v>[e북]디버프 마스터 21권</v>
      </c>
      <c r="D5262" t="str">
        <f>T("21")</f>
        <v>21</v>
      </c>
      <c r="E5262" t="str">
        <f t="shared" si="727"/>
        <v>담화공</v>
      </c>
      <c r="H5262" t="str">
        <f t="shared" si="722"/>
        <v>스토리위즈</v>
      </c>
      <c r="I5262" t="str">
        <f t="shared" si="728"/>
        <v>[e북]디버프 마스터</v>
      </c>
      <c r="J5262">
        <v>3200</v>
      </c>
      <c r="K5262">
        <v>0</v>
      </c>
      <c r="L5262">
        <v>0</v>
      </c>
      <c r="M5262">
        <v>0</v>
      </c>
      <c r="N5262">
        <v>20520</v>
      </c>
      <c r="O5262">
        <v>30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20520</v>
      </c>
      <c r="AH5262">
        <v>30</v>
      </c>
      <c r="AI5262">
        <v>0</v>
      </c>
      <c r="AJ5262">
        <v>0</v>
      </c>
      <c r="AK5262">
        <v>17379</v>
      </c>
      <c r="AL5262">
        <v>0</v>
      </c>
      <c r="AM5262">
        <v>3769.2</v>
      </c>
      <c r="AN5262">
        <v>-513</v>
      </c>
      <c r="AO5262">
        <v>0</v>
      </c>
      <c r="AP5262"/>
      <c r="AQ5262">
        <v>0</v>
      </c>
      <c r="AR5262">
        <v>0</v>
      </c>
      <c r="AS5262">
        <v>3769.2</v>
      </c>
      <c r="AT5262">
        <v>-513</v>
      </c>
      <c r="AU5262">
        <v>0</v>
      </c>
      <c r="AW5262">
        <v>0</v>
      </c>
      <c r="AX5262">
        <v>0</v>
      </c>
      <c r="AY5262">
        <v>14444.64</v>
      </c>
      <c r="BC5262" t="str">
        <f>T("9791137606371")</f>
        <v>9791137606371</v>
      </c>
      <c r="BE5262" t="str">
        <f t="shared" si="729"/>
        <v>판타지 e북 &gt; 게임 판타지</v>
      </c>
    </row>
    <row r="5263" spans="1:57" x14ac:dyDescent="0.3">
      <c r="A5263">
        <v>2313020329</v>
      </c>
      <c r="B5263">
        <v>2313020350</v>
      </c>
      <c r="C5263" t="str">
        <f>T("[e북]디버프 마스터 22권")</f>
        <v>[e북]디버프 마스터 22권</v>
      </c>
      <c r="D5263" t="str">
        <f>T("22")</f>
        <v>22</v>
      </c>
      <c r="E5263" t="str">
        <f t="shared" si="727"/>
        <v>담화공</v>
      </c>
      <c r="H5263" t="str">
        <f t="shared" si="722"/>
        <v>스토리위즈</v>
      </c>
      <c r="I5263" t="str">
        <f t="shared" si="728"/>
        <v>[e북]디버프 마스터</v>
      </c>
      <c r="J5263">
        <v>3200</v>
      </c>
      <c r="K5263">
        <v>0</v>
      </c>
      <c r="L5263">
        <v>0</v>
      </c>
      <c r="M5263">
        <v>0</v>
      </c>
      <c r="N5263">
        <v>19620</v>
      </c>
      <c r="O5263">
        <v>29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19620</v>
      </c>
      <c r="AH5263">
        <v>29</v>
      </c>
      <c r="AI5263">
        <v>0</v>
      </c>
      <c r="AJ5263">
        <v>0</v>
      </c>
      <c r="AK5263">
        <v>16479</v>
      </c>
      <c r="AL5263">
        <v>0</v>
      </c>
      <c r="AM5263">
        <v>3769.2</v>
      </c>
      <c r="AN5263">
        <v>-513</v>
      </c>
      <c r="AO5263">
        <v>0</v>
      </c>
      <c r="AP5263"/>
      <c r="AQ5263">
        <v>0</v>
      </c>
      <c r="AR5263">
        <v>0</v>
      </c>
      <c r="AS5263">
        <v>3769.2</v>
      </c>
      <c r="AT5263">
        <v>-513</v>
      </c>
      <c r="AU5263">
        <v>0</v>
      </c>
      <c r="AW5263">
        <v>0</v>
      </c>
      <c r="AX5263">
        <v>0</v>
      </c>
      <c r="AY5263">
        <v>13814.64</v>
      </c>
      <c r="BC5263" t="str">
        <f>T("9791137606388")</f>
        <v>9791137606388</v>
      </c>
      <c r="BE5263" t="str">
        <f t="shared" si="729"/>
        <v>판타지 e북 &gt; 게임 판타지</v>
      </c>
    </row>
    <row r="5264" spans="1:57" x14ac:dyDescent="0.3">
      <c r="A5264">
        <v>2313020329</v>
      </c>
      <c r="B5264">
        <v>2313020351</v>
      </c>
      <c r="C5264" t="str">
        <f>T("[e북]디버프 마스터 23권")</f>
        <v>[e북]디버프 마스터 23권</v>
      </c>
      <c r="D5264" t="str">
        <f>T("23")</f>
        <v>23</v>
      </c>
      <c r="E5264" t="str">
        <f t="shared" si="727"/>
        <v>담화공</v>
      </c>
      <c r="H5264" t="str">
        <f t="shared" si="722"/>
        <v>스토리위즈</v>
      </c>
      <c r="I5264" t="str">
        <f t="shared" si="728"/>
        <v>[e북]디버프 마스터</v>
      </c>
      <c r="J5264">
        <v>3200</v>
      </c>
      <c r="K5264">
        <v>0</v>
      </c>
      <c r="L5264">
        <v>0</v>
      </c>
      <c r="M5264">
        <v>0</v>
      </c>
      <c r="N5264">
        <v>18720</v>
      </c>
      <c r="O5264">
        <v>28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18720</v>
      </c>
      <c r="AH5264">
        <v>28</v>
      </c>
      <c r="AI5264">
        <v>0</v>
      </c>
      <c r="AJ5264">
        <v>0</v>
      </c>
      <c r="AK5264">
        <v>16479</v>
      </c>
      <c r="AL5264">
        <v>0</v>
      </c>
      <c r="AM5264">
        <v>2689.2</v>
      </c>
      <c r="AN5264">
        <v>-405</v>
      </c>
      <c r="AO5264">
        <v>0</v>
      </c>
      <c r="AP5264"/>
      <c r="AQ5264">
        <v>0</v>
      </c>
      <c r="AR5264">
        <v>0</v>
      </c>
      <c r="AS5264">
        <v>2689.2</v>
      </c>
      <c r="AT5264">
        <v>-405</v>
      </c>
      <c r="AU5264">
        <v>0</v>
      </c>
      <c r="AW5264">
        <v>0</v>
      </c>
      <c r="AX5264">
        <v>0</v>
      </c>
      <c r="AY5264">
        <v>13134.24</v>
      </c>
      <c r="BC5264" t="str">
        <f>T("9791137606395")</f>
        <v>9791137606395</v>
      </c>
      <c r="BE5264" t="str">
        <f t="shared" si="729"/>
        <v>판타지 e북 &gt; 게임 판타지</v>
      </c>
    </row>
    <row r="5265" spans="1:57" x14ac:dyDescent="0.3">
      <c r="A5265">
        <v>2313020329</v>
      </c>
      <c r="B5265">
        <v>2313020352</v>
      </c>
      <c r="C5265" t="str">
        <f>T("[e북]디버프 마스터 24권")</f>
        <v>[e북]디버프 마스터 24권</v>
      </c>
      <c r="D5265" t="str">
        <f>T("24")</f>
        <v>24</v>
      </c>
      <c r="E5265" t="str">
        <f t="shared" si="727"/>
        <v>담화공</v>
      </c>
      <c r="H5265" t="str">
        <f t="shared" si="722"/>
        <v>스토리위즈</v>
      </c>
      <c r="I5265" t="str">
        <f t="shared" si="728"/>
        <v>[e북]디버프 마스터</v>
      </c>
      <c r="J5265">
        <v>3200</v>
      </c>
      <c r="K5265">
        <v>0</v>
      </c>
      <c r="L5265">
        <v>0</v>
      </c>
      <c r="M5265">
        <v>0</v>
      </c>
      <c r="N5265">
        <v>18720</v>
      </c>
      <c r="O5265">
        <v>28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18720</v>
      </c>
      <c r="AH5265">
        <v>28</v>
      </c>
      <c r="AI5265">
        <v>0</v>
      </c>
      <c r="AJ5265">
        <v>0</v>
      </c>
      <c r="AK5265">
        <v>16479</v>
      </c>
      <c r="AL5265">
        <v>0</v>
      </c>
      <c r="AM5265">
        <v>2689.2</v>
      </c>
      <c r="AN5265">
        <v>-405</v>
      </c>
      <c r="AO5265">
        <v>0</v>
      </c>
      <c r="AP5265"/>
      <c r="AQ5265">
        <v>0</v>
      </c>
      <c r="AR5265">
        <v>0</v>
      </c>
      <c r="AS5265">
        <v>2689.2</v>
      </c>
      <c r="AT5265">
        <v>-405</v>
      </c>
      <c r="AU5265">
        <v>0</v>
      </c>
      <c r="AW5265">
        <v>0</v>
      </c>
      <c r="AX5265">
        <v>0</v>
      </c>
      <c r="AY5265">
        <v>13134.24</v>
      </c>
      <c r="BC5265" t="str">
        <f>T("9791137606401")</f>
        <v>9791137606401</v>
      </c>
      <c r="BE5265" t="str">
        <f t="shared" si="729"/>
        <v>판타지 e북 &gt; 게임 판타지</v>
      </c>
    </row>
    <row r="5266" spans="1:57" x14ac:dyDescent="0.3">
      <c r="A5266">
        <v>2313020329</v>
      </c>
      <c r="B5266">
        <v>2313020353</v>
      </c>
      <c r="C5266" t="str">
        <f>T("[e북]디버프 마스터 25권")</f>
        <v>[e북]디버프 마스터 25권</v>
      </c>
      <c r="D5266" t="str">
        <f>T("25")</f>
        <v>25</v>
      </c>
      <c r="E5266" t="str">
        <f t="shared" si="727"/>
        <v>담화공</v>
      </c>
      <c r="H5266" t="str">
        <f t="shared" si="722"/>
        <v>스토리위즈</v>
      </c>
      <c r="I5266" t="str">
        <f t="shared" si="728"/>
        <v>[e북]디버프 마스터</v>
      </c>
      <c r="J5266">
        <v>3200</v>
      </c>
      <c r="K5266">
        <v>0</v>
      </c>
      <c r="L5266">
        <v>0</v>
      </c>
      <c r="M5266">
        <v>0</v>
      </c>
      <c r="N5266">
        <v>17820</v>
      </c>
      <c r="O5266">
        <v>27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17820</v>
      </c>
      <c r="AH5266">
        <v>27</v>
      </c>
      <c r="AI5266">
        <v>0</v>
      </c>
      <c r="AJ5266">
        <v>0</v>
      </c>
      <c r="AK5266">
        <v>15579</v>
      </c>
      <c r="AL5266">
        <v>0</v>
      </c>
      <c r="AM5266">
        <v>2689.2</v>
      </c>
      <c r="AN5266">
        <v>-405</v>
      </c>
      <c r="AO5266">
        <v>0</v>
      </c>
      <c r="AP5266"/>
      <c r="AQ5266">
        <v>0</v>
      </c>
      <c r="AR5266">
        <v>0</v>
      </c>
      <c r="AS5266">
        <v>2689.2</v>
      </c>
      <c r="AT5266">
        <v>-405</v>
      </c>
      <c r="AU5266">
        <v>0</v>
      </c>
      <c r="AW5266">
        <v>0</v>
      </c>
      <c r="AX5266">
        <v>0</v>
      </c>
      <c r="AY5266">
        <v>12504.24</v>
      </c>
      <c r="BC5266" t="str">
        <f>T("9791137606418")</f>
        <v>9791137606418</v>
      </c>
      <c r="BE5266" t="str">
        <f t="shared" si="729"/>
        <v>판타지 e북 &gt; 게임 판타지</v>
      </c>
    </row>
    <row r="5267" spans="1:57" x14ac:dyDescent="0.3">
      <c r="A5267">
        <v>2313020329</v>
      </c>
      <c r="B5267">
        <v>2313020354</v>
      </c>
      <c r="C5267" t="str">
        <f>T("[e북]디버프 마스터 26권")</f>
        <v>[e북]디버프 마스터 26권</v>
      </c>
      <c r="D5267" t="str">
        <f>T("26")</f>
        <v>26</v>
      </c>
      <c r="E5267" t="str">
        <f t="shared" si="727"/>
        <v>담화공</v>
      </c>
      <c r="H5267" t="str">
        <f t="shared" si="722"/>
        <v>스토리위즈</v>
      </c>
      <c r="I5267" t="str">
        <f t="shared" si="728"/>
        <v>[e북]디버프 마스터</v>
      </c>
      <c r="J5267">
        <v>3200</v>
      </c>
      <c r="K5267">
        <v>0</v>
      </c>
      <c r="L5267">
        <v>0</v>
      </c>
      <c r="M5267">
        <v>0</v>
      </c>
      <c r="N5267">
        <v>17820</v>
      </c>
      <c r="O5267">
        <v>27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17820</v>
      </c>
      <c r="AH5267">
        <v>27</v>
      </c>
      <c r="AI5267">
        <v>0</v>
      </c>
      <c r="AJ5267">
        <v>0</v>
      </c>
      <c r="AK5267">
        <v>15579</v>
      </c>
      <c r="AL5267">
        <v>0</v>
      </c>
      <c r="AM5267">
        <v>2689.2</v>
      </c>
      <c r="AN5267">
        <v>-405</v>
      </c>
      <c r="AO5267">
        <v>0</v>
      </c>
      <c r="AP5267"/>
      <c r="AQ5267">
        <v>0</v>
      </c>
      <c r="AR5267">
        <v>0</v>
      </c>
      <c r="AS5267">
        <v>2689.2</v>
      </c>
      <c r="AT5267">
        <v>-405</v>
      </c>
      <c r="AU5267">
        <v>0</v>
      </c>
      <c r="AW5267">
        <v>0</v>
      </c>
      <c r="AX5267">
        <v>0</v>
      </c>
      <c r="AY5267">
        <v>12504.24</v>
      </c>
      <c r="BC5267" t="str">
        <f>T("9791137606425")</f>
        <v>9791137606425</v>
      </c>
      <c r="BE5267" t="str">
        <f t="shared" si="729"/>
        <v>판타지 e북 &gt; 게임 판타지</v>
      </c>
    </row>
    <row r="5268" spans="1:57" x14ac:dyDescent="0.3">
      <c r="A5268">
        <v>2313020329</v>
      </c>
      <c r="B5268">
        <v>2313020355</v>
      </c>
      <c r="C5268" t="str">
        <f>T("[e북]디버프 마스터 27권")</f>
        <v>[e북]디버프 마스터 27권</v>
      </c>
      <c r="D5268" t="str">
        <f>T("27")</f>
        <v>27</v>
      </c>
      <c r="E5268" t="str">
        <f t="shared" si="727"/>
        <v>담화공</v>
      </c>
      <c r="H5268" t="str">
        <f t="shared" si="722"/>
        <v>스토리위즈</v>
      </c>
      <c r="I5268" t="str">
        <f t="shared" si="728"/>
        <v>[e북]디버프 마스터</v>
      </c>
      <c r="J5268">
        <v>3200</v>
      </c>
      <c r="K5268">
        <v>0</v>
      </c>
      <c r="L5268">
        <v>0</v>
      </c>
      <c r="M5268">
        <v>0</v>
      </c>
      <c r="N5268">
        <v>16920</v>
      </c>
      <c r="O5268">
        <v>26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16920</v>
      </c>
      <c r="AH5268">
        <v>26</v>
      </c>
      <c r="AI5268">
        <v>0</v>
      </c>
      <c r="AJ5268">
        <v>0</v>
      </c>
      <c r="AK5268">
        <v>14679</v>
      </c>
      <c r="AL5268">
        <v>0</v>
      </c>
      <c r="AM5268">
        <v>2689.2</v>
      </c>
      <c r="AN5268">
        <v>-405</v>
      </c>
      <c r="AO5268">
        <v>0</v>
      </c>
      <c r="AP5268"/>
      <c r="AQ5268">
        <v>0</v>
      </c>
      <c r="AR5268">
        <v>0</v>
      </c>
      <c r="AS5268">
        <v>2689.2</v>
      </c>
      <c r="AT5268">
        <v>-405</v>
      </c>
      <c r="AU5268">
        <v>0</v>
      </c>
      <c r="AW5268">
        <v>0</v>
      </c>
      <c r="AX5268">
        <v>0</v>
      </c>
      <c r="AY5268">
        <v>11874.24</v>
      </c>
      <c r="BC5268" t="str">
        <f>T("9791137606432")</f>
        <v>9791137606432</v>
      </c>
      <c r="BE5268" t="str">
        <f t="shared" si="729"/>
        <v>판타지 e북 &gt; 게임 판타지</v>
      </c>
    </row>
    <row r="5269" spans="1:57" x14ac:dyDescent="0.3">
      <c r="A5269">
        <v>2313020329</v>
      </c>
      <c r="B5269">
        <v>2313020357</v>
      </c>
      <c r="C5269" t="str">
        <f>T("[e북]디버프 마스터 29권")</f>
        <v>[e북]디버프 마스터 29권</v>
      </c>
      <c r="D5269" t="str">
        <f>T("29")</f>
        <v>29</v>
      </c>
      <c r="E5269" t="str">
        <f t="shared" si="727"/>
        <v>담화공</v>
      </c>
      <c r="H5269" t="str">
        <f t="shared" si="722"/>
        <v>스토리위즈</v>
      </c>
      <c r="I5269" t="str">
        <f t="shared" si="728"/>
        <v>[e북]디버프 마스터</v>
      </c>
      <c r="J5269">
        <v>3200</v>
      </c>
      <c r="K5269">
        <v>0</v>
      </c>
      <c r="L5269">
        <v>0</v>
      </c>
      <c r="M5269">
        <v>0</v>
      </c>
      <c r="N5269">
        <v>16020</v>
      </c>
      <c r="O5269">
        <v>25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16020</v>
      </c>
      <c r="AH5269">
        <v>25</v>
      </c>
      <c r="AI5269">
        <v>0</v>
      </c>
      <c r="AJ5269">
        <v>0</v>
      </c>
      <c r="AK5269">
        <v>13780</v>
      </c>
      <c r="AL5269">
        <v>0</v>
      </c>
      <c r="AM5269">
        <v>2688</v>
      </c>
      <c r="AN5269">
        <v>-404.88</v>
      </c>
      <c r="AO5269">
        <v>0</v>
      </c>
      <c r="AP5269"/>
      <c r="AQ5269">
        <v>0</v>
      </c>
      <c r="AR5269">
        <v>0</v>
      </c>
      <c r="AS5269">
        <v>2688</v>
      </c>
      <c r="AT5269">
        <v>-404.88</v>
      </c>
      <c r="AU5269">
        <v>0</v>
      </c>
      <c r="AW5269">
        <v>0</v>
      </c>
      <c r="AX5269">
        <v>0</v>
      </c>
      <c r="AY5269">
        <v>11244.18</v>
      </c>
      <c r="BC5269" t="str">
        <f>T("9791137606456")</f>
        <v>9791137606456</v>
      </c>
      <c r="BE5269" t="str">
        <f t="shared" si="729"/>
        <v>판타지 e북 &gt; 게임 판타지</v>
      </c>
    </row>
    <row r="5270" spans="1:57" x14ac:dyDescent="0.3">
      <c r="A5270">
        <v>2313020329</v>
      </c>
      <c r="B5270">
        <v>2313020358</v>
      </c>
      <c r="C5270" t="str">
        <f>T("[e북]디버프 마스터 30권")</f>
        <v>[e북]디버프 마스터 30권</v>
      </c>
      <c r="D5270" t="str">
        <f>T("30")</f>
        <v>30</v>
      </c>
      <c r="E5270" t="str">
        <f t="shared" si="727"/>
        <v>담화공</v>
      </c>
      <c r="H5270" t="str">
        <f t="shared" si="722"/>
        <v>스토리위즈</v>
      </c>
      <c r="I5270" t="str">
        <f t="shared" si="728"/>
        <v>[e북]디버프 마스터</v>
      </c>
      <c r="J5270">
        <v>3200</v>
      </c>
      <c r="K5270">
        <v>0</v>
      </c>
      <c r="L5270">
        <v>0</v>
      </c>
      <c r="M5270">
        <v>0</v>
      </c>
      <c r="N5270">
        <v>16020</v>
      </c>
      <c r="O5270">
        <v>25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16020</v>
      </c>
      <c r="AH5270">
        <v>25</v>
      </c>
      <c r="AI5270">
        <v>0</v>
      </c>
      <c r="AJ5270">
        <v>0</v>
      </c>
      <c r="AK5270">
        <v>13780</v>
      </c>
      <c r="AL5270">
        <v>0</v>
      </c>
      <c r="AM5270">
        <v>2688</v>
      </c>
      <c r="AN5270">
        <v>-404.88</v>
      </c>
      <c r="AO5270">
        <v>0</v>
      </c>
      <c r="AP5270"/>
      <c r="AQ5270">
        <v>0</v>
      </c>
      <c r="AR5270">
        <v>0</v>
      </c>
      <c r="AS5270">
        <v>2688</v>
      </c>
      <c r="AT5270">
        <v>-404.88</v>
      </c>
      <c r="AU5270">
        <v>0</v>
      </c>
      <c r="AW5270">
        <v>0</v>
      </c>
      <c r="AX5270">
        <v>0</v>
      </c>
      <c r="AY5270">
        <v>11244.18</v>
      </c>
      <c r="BC5270" t="str">
        <f>T("9791137606463")</f>
        <v>9791137606463</v>
      </c>
      <c r="BE5270" t="str">
        <f t="shared" si="729"/>
        <v>판타지 e북 &gt; 게임 판타지</v>
      </c>
    </row>
    <row r="5271" spans="1:57" x14ac:dyDescent="0.3">
      <c r="A5271">
        <v>2313020329</v>
      </c>
      <c r="B5271">
        <v>2313020359</v>
      </c>
      <c r="C5271" t="str">
        <f>T("[e북]디버프 마스터 31권")</f>
        <v>[e북]디버프 마스터 31권</v>
      </c>
      <c r="D5271" t="str">
        <f>T("31")</f>
        <v>31</v>
      </c>
      <c r="E5271" t="str">
        <f t="shared" si="727"/>
        <v>담화공</v>
      </c>
      <c r="H5271" t="str">
        <f t="shared" si="722"/>
        <v>스토리위즈</v>
      </c>
      <c r="I5271" t="str">
        <f t="shared" si="728"/>
        <v>[e북]디버프 마스터</v>
      </c>
      <c r="J5271">
        <v>3200</v>
      </c>
      <c r="K5271">
        <v>0</v>
      </c>
      <c r="L5271">
        <v>0</v>
      </c>
      <c r="M5271">
        <v>0</v>
      </c>
      <c r="N5271">
        <v>16020</v>
      </c>
      <c r="O5271">
        <v>25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16020</v>
      </c>
      <c r="AH5271">
        <v>25</v>
      </c>
      <c r="AI5271">
        <v>0</v>
      </c>
      <c r="AJ5271">
        <v>0</v>
      </c>
      <c r="AK5271">
        <v>13780</v>
      </c>
      <c r="AL5271">
        <v>0</v>
      </c>
      <c r="AM5271">
        <v>2688</v>
      </c>
      <c r="AN5271">
        <v>-404.88</v>
      </c>
      <c r="AO5271">
        <v>0</v>
      </c>
      <c r="AP5271"/>
      <c r="AQ5271">
        <v>0</v>
      </c>
      <c r="AR5271">
        <v>0</v>
      </c>
      <c r="AS5271">
        <v>2688</v>
      </c>
      <c r="AT5271">
        <v>-404.88</v>
      </c>
      <c r="AU5271">
        <v>0</v>
      </c>
      <c r="AW5271">
        <v>0</v>
      </c>
      <c r="AX5271">
        <v>0</v>
      </c>
      <c r="AY5271">
        <v>11244.18</v>
      </c>
      <c r="BC5271" t="str">
        <f>T("9791137606470")</f>
        <v>9791137606470</v>
      </c>
      <c r="BE5271" t="str">
        <f t="shared" si="729"/>
        <v>판타지 e북 &gt; 게임 판타지</v>
      </c>
    </row>
    <row r="5272" spans="1:57" x14ac:dyDescent="0.3">
      <c r="A5272">
        <v>2313020329</v>
      </c>
      <c r="B5272">
        <v>2313020360</v>
      </c>
      <c r="C5272" t="str">
        <f>T("[e북]디버프 마스터 32권")</f>
        <v>[e북]디버프 마스터 32권</v>
      </c>
      <c r="D5272" t="str">
        <f>T("32")</f>
        <v>32</v>
      </c>
      <c r="E5272" t="str">
        <f t="shared" si="727"/>
        <v>담화공</v>
      </c>
      <c r="H5272" t="str">
        <f t="shared" si="722"/>
        <v>스토리위즈</v>
      </c>
      <c r="I5272" t="str">
        <f t="shared" si="728"/>
        <v>[e북]디버프 마스터</v>
      </c>
      <c r="J5272">
        <v>3200</v>
      </c>
      <c r="K5272">
        <v>0</v>
      </c>
      <c r="L5272">
        <v>0</v>
      </c>
      <c r="M5272">
        <v>0</v>
      </c>
      <c r="N5272">
        <v>16020</v>
      </c>
      <c r="O5272">
        <v>25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16020</v>
      </c>
      <c r="AH5272">
        <v>25</v>
      </c>
      <c r="AI5272">
        <v>0</v>
      </c>
      <c r="AJ5272">
        <v>0</v>
      </c>
      <c r="AK5272">
        <v>13780</v>
      </c>
      <c r="AL5272">
        <v>0</v>
      </c>
      <c r="AM5272">
        <v>2688</v>
      </c>
      <c r="AN5272">
        <v>-404.88</v>
      </c>
      <c r="AO5272">
        <v>0</v>
      </c>
      <c r="AP5272"/>
      <c r="AQ5272">
        <v>0</v>
      </c>
      <c r="AR5272">
        <v>0</v>
      </c>
      <c r="AS5272">
        <v>2688</v>
      </c>
      <c r="AT5272">
        <v>-404.88</v>
      </c>
      <c r="AU5272">
        <v>0</v>
      </c>
      <c r="AW5272">
        <v>0</v>
      </c>
      <c r="AX5272">
        <v>0</v>
      </c>
      <c r="AY5272">
        <v>11244.18</v>
      </c>
      <c r="BC5272" t="str">
        <f>T("9791137606487")</f>
        <v>9791137606487</v>
      </c>
      <c r="BE5272" t="str">
        <f t="shared" si="729"/>
        <v>판타지 e북 &gt; 게임 판타지</v>
      </c>
    </row>
    <row r="5273" spans="1:57" x14ac:dyDescent="0.3">
      <c r="A5273">
        <v>2313020329</v>
      </c>
      <c r="B5273">
        <v>2313020361</v>
      </c>
      <c r="C5273" t="str">
        <f>T("[e북]디버프 마스터 33권")</f>
        <v>[e북]디버프 마스터 33권</v>
      </c>
      <c r="D5273" t="str">
        <f>T("33")</f>
        <v>33</v>
      </c>
      <c r="E5273" t="str">
        <f t="shared" si="727"/>
        <v>담화공</v>
      </c>
      <c r="H5273" t="str">
        <f t="shared" si="722"/>
        <v>스토리위즈</v>
      </c>
      <c r="I5273" t="str">
        <f t="shared" si="728"/>
        <v>[e북]디버프 마스터</v>
      </c>
      <c r="J5273">
        <v>3200</v>
      </c>
      <c r="K5273">
        <v>0</v>
      </c>
      <c r="L5273">
        <v>0</v>
      </c>
      <c r="M5273">
        <v>0</v>
      </c>
      <c r="N5273">
        <v>16020</v>
      </c>
      <c r="O5273">
        <v>25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16020</v>
      </c>
      <c r="AH5273">
        <v>25</v>
      </c>
      <c r="AI5273">
        <v>0</v>
      </c>
      <c r="AJ5273">
        <v>0</v>
      </c>
      <c r="AK5273">
        <v>13780</v>
      </c>
      <c r="AL5273">
        <v>0</v>
      </c>
      <c r="AM5273">
        <v>2688</v>
      </c>
      <c r="AN5273">
        <v>-404.88</v>
      </c>
      <c r="AO5273">
        <v>0</v>
      </c>
      <c r="AP5273"/>
      <c r="AQ5273">
        <v>0</v>
      </c>
      <c r="AR5273">
        <v>0</v>
      </c>
      <c r="AS5273">
        <v>2688</v>
      </c>
      <c r="AT5273">
        <v>-404.88</v>
      </c>
      <c r="AU5273">
        <v>0</v>
      </c>
      <c r="AW5273">
        <v>0</v>
      </c>
      <c r="AX5273">
        <v>0</v>
      </c>
      <c r="AY5273">
        <v>11244.18</v>
      </c>
      <c r="BC5273" t="str">
        <f>T("9791137606494")</f>
        <v>9791137606494</v>
      </c>
      <c r="BE5273" t="str">
        <f t="shared" si="729"/>
        <v>판타지 e북 &gt; 게임 판타지</v>
      </c>
    </row>
    <row r="5274" spans="1:57" x14ac:dyDescent="0.3">
      <c r="A5274">
        <v>2313020329</v>
      </c>
      <c r="B5274">
        <v>2313020362</v>
      </c>
      <c r="C5274" t="str">
        <f>T("[e북]디버프 마스터 34권")</f>
        <v>[e북]디버프 마스터 34권</v>
      </c>
      <c r="D5274" t="str">
        <f>T("34")</f>
        <v>34</v>
      </c>
      <c r="E5274" t="str">
        <f t="shared" si="727"/>
        <v>담화공</v>
      </c>
      <c r="H5274" t="str">
        <f t="shared" si="722"/>
        <v>스토리위즈</v>
      </c>
      <c r="I5274" t="str">
        <f t="shared" si="728"/>
        <v>[e북]디버프 마스터</v>
      </c>
      <c r="J5274">
        <v>3200</v>
      </c>
      <c r="K5274">
        <v>0</v>
      </c>
      <c r="L5274">
        <v>0</v>
      </c>
      <c r="M5274">
        <v>0</v>
      </c>
      <c r="N5274">
        <v>16020</v>
      </c>
      <c r="O5274">
        <v>25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16020</v>
      </c>
      <c r="AH5274">
        <v>25</v>
      </c>
      <c r="AI5274">
        <v>0</v>
      </c>
      <c r="AJ5274">
        <v>0</v>
      </c>
      <c r="AK5274">
        <v>13780</v>
      </c>
      <c r="AL5274">
        <v>0</v>
      </c>
      <c r="AM5274">
        <v>2688</v>
      </c>
      <c r="AN5274">
        <v>-404.88</v>
      </c>
      <c r="AO5274">
        <v>0</v>
      </c>
      <c r="AP5274"/>
      <c r="AQ5274">
        <v>0</v>
      </c>
      <c r="AR5274">
        <v>0</v>
      </c>
      <c r="AS5274">
        <v>2688</v>
      </c>
      <c r="AT5274">
        <v>-404.88</v>
      </c>
      <c r="AU5274">
        <v>0</v>
      </c>
      <c r="AW5274">
        <v>0</v>
      </c>
      <c r="AX5274">
        <v>0</v>
      </c>
      <c r="AY5274">
        <v>11244.18</v>
      </c>
      <c r="BC5274" t="str">
        <f>T("9791137606500")</f>
        <v>9791137606500</v>
      </c>
      <c r="BE5274" t="str">
        <f t="shared" si="729"/>
        <v>판타지 e북 &gt; 게임 판타지</v>
      </c>
    </row>
    <row r="5275" spans="1:57" x14ac:dyDescent="0.3">
      <c r="A5275">
        <v>2313020329</v>
      </c>
      <c r="B5275">
        <v>2313020364</v>
      </c>
      <c r="C5275" t="str">
        <f>T("[e북]디버프 마스터 36권")</f>
        <v>[e북]디버프 마스터 36권</v>
      </c>
      <c r="D5275" t="str">
        <f>T("36")</f>
        <v>36</v>
      </c>
      <c r="E5275" t="str">
        <f t="shared" si="727"/>
        <v>담화공</v>
      </c>
      <c r="H5275" t="str">
        <f t="shared" si="722"/>
        <v>스토리위즈</v>
      </c>
      <c r="I5275" t="str">
        <f t="shared" si="728"/>
        <v>[e북]디버프 마스터</v>
      </c>
      <c r="J5275">
        <v>3200</v>
      </c>
      <c r="K5275">
        <v>0</v>
      </c>
      <c r="L5275">
        <v>0</v>
      </c>
      <c r="M5275">
        <v>0</v>
      </c>
      <c r="N5275">
        <v>15120</v>
      </c>
      <c r="O5275">
        <v>24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15120</v>
      </c>
      <c r="AH5275">
        <v>24</v>
      </c>
      <c r="AI5275">
        <v>0</v>
      </c>
      <c r="AJ5275">
        <v>0</v>
      </c>
      <c r="AK5275">
        <v>12881</v>
      </c>
      <c r="AL5275">
        <v>0</v>
      </c>
      <c r="AM5275">
        <v>2686.8</v>
      </c>
      <c r="AN5275">
        <v>-404.76</v>
      </c>
      <c r="AO5275">
        <v>0</v>
      </c>
      <c r="AP5275"/>
      <c r="AQ5275">
        <v>0</v>
      </c>
      <c r="AR5275">
        <v>0</v>
      </c>
      <c r="AS5275">
        <v>2686.8</v>
      </c>
      <c r="AT5275">
        <v>-404.76</v>
      </c>
      <c r="AU5275">
        <v>0</v>
      </c>
      <c r="AW5275">
        <v>0</v>
      </c>
      <c r="AX5275">
        <v>0</v>
      </c>
      <c r="AY5275">
        <v>10614.13</v>
      </c>
      <c r="BC5275" t="str">
        <f>T("9791137606524")</f>
        <v>9791137606524</v>
      </c>
      <c r="BE5275" t="str">
        <f t="shared" si="729"/>
        <v>판타지 e북 &gt; 게임 판타지</v>
      </c>
    </row>
    <row r="5276" spans="1:57" x14ac:dyDescent="0.3">
      <c r="A5276">
        <v>2313020329</v>
      </c>
      <c r="B5276">
        <v>2313020365</v>
      </c>
      <c r="C5276" t="str">
        <f>T("[e북]디버프 마스터 37권")</f>
        <v>[e북]디버프 마스터 37권</v>
      </c>
      <c r="D5276" t="str">
        <f>T("37")</f>
        <v>37</v>
      </c>
      <c r="E5276" t="str">
        <f t="shared" si="727"/>
        <v>담화공</v>
      </c>
      <c r="H5276" t="str">
        <f t="shared" si="722"/>
        <v>스토리위즈</v>
      </c>
      <c r="I5276" t="str">
        <f t="shared" si="728"/>
        <v>[e북]디버프 마스터</v>
      </c>
      <c r="J5276">
        <v>3200</v>
      </c>
      <c r="K5276">
        <v>0</v>
      </c>
      <c r="L5276">
        <v>0</v>
      </c>
      <c r="M5276">
        <v>0</v>
      </c>
      <c r="N5276">
        <v>15120</v>
      </c>
      <c r="O5276">
        <v>24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15120</v>
      </c>
      <c r="AH5276">
        <v>24</v>
      </c>
      <c r="AI5276">
        <v>0</v>
      </c>
      <c r="AJ5276">
        <v>0</v>
      </c>
      <c r="AK5276">
        <v>12881</v>
      </c>
      <c r="AL5276">
        <v>0</v>
      </c>
      <c r="AM5276">
        <v>2686.8</v>
      </c>
      <c r="AN5276">
        <v>-404.76</v>
      </c>
      <c r="AO5276">
        <v>0</v>
      </c>
      <c r="AP5276"/>
      <c r="AQ5276">
        <v>0</v>
      </c>
      <c r="AR5276">
        <v>0</v>
      </c>
      <c r="AS5276">
        <v>2686.8</v>
      </c>
      <c r="AT5276">
        <v>-404.76</v>
      </c>
      <c r="AU5276">
        <v>0</v>
      </c>
      <c r="AW5276">
        <v>0</v>
      </c>
      <c r="AX5276">
        <v>0</v>
      </c>
      <c r="AY5276">
        <v>10614.13</v>
      </c>
      <c r="BC5276" t="str">
        <f>T("9791137606531")</f>
        <v>9791137606531</v>
      </c>
      <c r="BE5276" t="str">
        <f t="shared" si="729"/>
        <v>판타지 e북 &gt; 게임 판타지</v>
      </c>
    </row>
    <row r="5277" spans="1:57" x14ac:dyDescent="0.3">
      <c r="A5277">
        <v>2313020329</v>
      </c>
      <c r="B5277">
        <v>2313020366</v>
      </c>
      <c r="C5277" t="str">
        <f>T("[e북]디버프 마스터 38권")</f>
        <v>[e북]디버프 마스터 38권</v>
      </c>
      <c r="D5277" t="str">
        <f>T("38")</f>
        <v>38</v>
      </c>
      <c r="E5277" t="str">
        <f t="shared" si="727"/>
        <v>담화공</v>
      </c>
      <c r="H5277" t="str">
        <f t="shared" si="722"/>
        <v>스토리위즈</v>
      </c>
      <c r="I5277" t="str">
        <f t="shared" si="728"/>
        <v>[e북]디버프 마스터</v>
      </c>
      <c r="J5277">
        <v>3200</v>
      </c>
      <c r="K5277">
        <v>0</v>
      </c>
      <c r="L5277">
        <v>0</v>
      </c>
      <c r="M5277">
        <v>0</v>
      </c>
      <c r="N5277">
        <v>15120</v>
      </c>
      <c r="O5277">
        <v>24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15120</v>
      </c>
      <c r="AH5277">
        <v>24</v>
      </c>
      <c r="AI5277">
        <v>0</v>
      </c>
      <c r="AJ5277">
        <v>0</v>
      </c>
      <c r="AK5277">
        <v>12881</v>
      </c>
      <c r="AL5277">
        <v>0</v>
      </c>
      <c r="AM5277">
        <v>2686.8</v>
      </c>
      <c r="AN5277">
        <v>-404.76</v>
      </c>
      <c r="AO5277">
        <v>0</v>
      </c>
      <c r="AP5277"/>
      <c r="AQ5277">
        <v>0</v>
      </c>
      <c r="AR5277">
        <v>0</v>
      </c>
      <c r="AS5277">
        <v>2686.8</v>
      </c>
      <c r="AT5277">
        <v>-404.76</v>
      </c>
      <c r="AU5277">
        <v>0</v>
      </c>
      <c r="AW5277">
        <v>0</v>
      </c>
      <c r="AX5277">
        <v>0</v>
      </c>
      <c r="AY5277">
        <v>10614.13</v>
      </c>
      <c r="BC5277" t="str">
        <f>T("9791137606548")</f>
        <v>9791137606548</v>
      </c>
      <c r="BE5277" t="str">
        <f t="shared" si="729"/>
        <v>판타지 e북 &gt; 게임 판타지</v>
      </c>
    </row>
    <row r="5278" spans="1:57" x14ac:dyDescent="0.3">
      <c r="A5278">
        <v>2313020382</v>
      </c>
      <c r="B5278">
        <v>2313020382</v>
      </c>
      <c r="C5278" t="str">
        <f>T("신입사원이 이렇게 일을 잘했다고? 1화")</f>
        <v>신입사원이 이렇게 일을 잘했다고? 1화</v>
      </c>
      <c r="D5278" t="str">
        <f>T("1")</f>
        <v>1</v>
      </c>
      <c r="E5278" t="str">
        <f t="shared" ref="E5278:E5300" si="730">T("왕십리글쟁이")</f>
        <v>왕십리글쟁이</v>
      </c>
      <c r="H5278" t="str">
        <f t="shared" si="722"/>
        <v>스토리위즈</v>
      </c>
      <c r="I5278" t="str">
        <f t="shared" ref="I5278:I5300" si="731">T("신입사원이 이렇게 일을 잘했다고?")</f>
        <v>신입사원이 이렇게 일을 잘했다고?</v>
      </c>
      <c r="J5278">
        <v>0</v>
      </c>
      <c r="K5278">
        <v>0</v>
      </c>
      <c r="L5278">
        <v>0</v>
      </c>
      <c r="M5278">
        <v>28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28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/>
      <c r="AQ5278">
        <v>0</v>
      </c>
      <c r="AR5278">
        <v>0</v>
      </c>
      <c r="AT5278">
        <v>0</v>
      </c>
      <c r="AU5278">
        <v>0</v>
      </c>
      <c r="AW5278">
        <v>0</v>
      </c>
      <c r="AX5278">
        <v>0</v>
      </c>
      <c r="AY5278">
        <v>0</v>
      </c>
      <c r="BC5278" t="str">
        <f t="shared" ref="BC5278:BC5300" si="732">T("9791137602946")</f>
        <v>9791137602946</v>
      </c>
      <c r="BE5278" t="str">
        <f t="shared" ref="BE5278:BE5300" si="733">T("판타지 웹소설 &gt; 현대 판타지")</f>
        <v>판타지 웹소설 &gt; 현대 판타지</v>
      </c>
    </row>
    <row r="5279" spans="1:57" x14ac:dyDescent="0.3">
      <c r="A5279">
        <v>2313020382</v>
      </c>
      <c r="B5279">
        <v>2313020383</v>
      </c>
      <c r="C5279" t="str">
        <f>T("신입사원이 이렇게 일을 잘했다고? 2화")</f>
        <v>신입사원이 이렇게 일을 잘했다고? 2화</v>
      </c>
      <c r="D5279" t="str">
        <f>T("2")</f>
        <v>2</v>
      </c>
      <c r="E5279" t="str">
        <f t="shared" si="730"/>
        <v>왕십리글쟁이</v>
      </c>
      <c r="H5279" t="str">
        <f t="shared" si="722"/>
        <v>스토리위즈</v>
      </c>
      <c r="I5279" t="str">
        <f t="shared" si="731"/>
        <v>신입사원이 이렇게 일을 잘했다고?</v>
      </c>
      <c r="J5279">
        <v>0</v>
      </c>
      <c r="K5279">
        <v>0</v>
      </c>
      <c r="L5279">
        <v>0</v>
      </c>
      <c r="M5279">
        <v>26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26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/>
      <c r="AQ5279">
        <v>0</v>
      </c>
      <c r="AR5279">
        <v>0</v>
      </c>
      <c r="AT5279">
        <v>0</v>
      </c>
      <c r="AU5279">
        <v>0</v>
      </c>
      <c r="AW5279">
        <v>0</v>
      </c>
      <c r="AX5279">
        <v>0</v>
      </c>
      <c r="AY5279">
        <v>0</v>
      </c>
      <c r="BC5279" t="str">
        <f t="shared" si="732"/>
        <v>9791137602946</v>
      </c>
      <c r="BE5279" t="str">
        <f t="shared" si="733"/>
        <v>판타지 웹소설 &gt; 현대 판타지</v>
      </c>
    </row>
    <row r="5280" spans="1:57" x14ac:dyDescent="0.3">
      <c r="A5280">
        <v>2313020382</v>
      </c>
      <c r="B5280">
        <v>2313020384</v>
      </c>
      <c r="C5280" t="str">
        <f>T("신입사원이 이렇게 일을 잘했다고? 3화")</f>
        <v>신입사원이 이렇게 일을 잘했다고? 3화</v>
      </c>
      <c r="D5280" t="str">
        <f>T("3")</f>
        <v>3</v>
      </c>
      <c r="E5280" t="str">
        <f t="shared" si="730"/>
        <v>왕십리글쟁이</v>
      </c>
      <c r="H5280" t="str">
        <f t="shared" si="722"/>
        <v>스토리위즈</v>
      </c>
      <c r="I5280" t="str">
        <f t="shared" si="731"/>
        <v>신입사원이 이렇게 일을 잘했다고?</v>
      </c>
      <c r="J5280">
        <v>0</v>
      </c>
      <c r="K5280">
        <v>0</v>
      </c>
      <c r="L5280">
        <v>0</v>
      </c>
      <c r="M5280">
        <v>26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26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/>
      <c r="AQ5280">
        <v>0</v>
      </c>
      <c r="AR5280">
        <v>0</v>
      </c>
      <c r="AT5280">
        <v>0</v>
      </c>
      <c r="AU5280">
        <v>0</v>
      </c>
      <c r="AW5280">
        <v>0</v>
      </c>
      <c r="AX5280">
        <v>0</v>
      </c>
      <c r="AY5280">
        <v>0</v>
      </c>
      <c r="BC5280" t="str">
        <f t="shared" si="732"/>
        <v>9791137602946</v>
      </c>
      <c r="BE5280" t="str">
        <f t="shared" si="733"/>
        <v>판타지 웹소설 &gt; 현대 판타지</v>
      </c>
    </row>
    <row r="5281" spans="1:57" x14ac:dyDescent="0.3">
      <c r="A5281">
        <v>2313020382</v>
      </c>
      <c r="B5281">
        <v>2313020385</v>
      </c>
      <c r="C5281" t="str">
        <f>T("신입사원이 이렇게 일을 잘했다고? 4화")</f>
        <v>신입사원이 이렇게 일을 잘했다고? 4화</v>
      </c>
      <c r="D5281" t="str">
        <f>T("4")</f>
        <v>4</v>
      </c>
      <c r="E5281" t="str">
        <f t="shared" si="730"/>
        <v>왕십리글쟁이</v>
      </c>
      <c r="H5281" t="str">
        <f t="shared" si="722"/>
        <v>스토리위즈</v>
      </c>
      <c r="I5281" t="str">
        <f t="shared" si="731"/>
        <v>신입사원이 이렇게 일을 잘했다고?</v>
      </c>
      <c r="J5281">
        <v>0</v>
      </c>
      <c r="K5281">
        <v>0</v>
      </c>
      <c r="L5281">
        <v>0</v>
      </c>
      <c r="M5281">
        <v>27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27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/>
      <c r="AQ5281">
        <v>0</v>
      </c>
      <c r="AR5281">
        <v>0</v>
      </c>
      <c r="AT5281">
        <v>0</v>
      </c>
      <c r="AU5281">
        <v>0</v>
      </c>
      <c r="AW5281">
        <v>0</v>
      </c>
      <c r="AX5281">
        <v>0</v>
      </c>
      <c r="AY5281">
        <v>0</v>
      </c>
      <c r="BC5281" t="str">
        <f t="shared" si="732"/>
        <v>9791137602946</v>
      </c>
      <c r="BE5281" t="str">
        <f t="shared" si="733"/>
        <v>판타지 웹소설 &gt; 현대 판타지</v>
      </c>
    </row>
    <row r="5282" spans="1:57" x14ac:dyDescent="0.3">
      <c r="A5282">
        <v>2313020382</v>
      </c>
      <c r="B5282">
        <v>2313020386</v>
      </c>
      <c r="C5282" t="str">
        <f>T("신입사원이 이렇게 일을 잘했다고? 5화")</f>
        <v>신입사원이 이렇게 일을 잘했다고? 5화</v>
      </c>
      <c r="D5282" t="str">
        <f>T("5")</f>
        <v>5</v>
      </c>
      <c r="E5282" t="str">
        <f t="shared" si="730"/>
        <v>왕십리글쟁이</v>
      </c>
      <c r="H5282" t="str">
        <f t="shared" si="722"/>
        <v>스토리위즈</v>
      </c>
      <c r="I5282" t="str">
        <f t="shared" si="731"/>
        <v>신입사원이 이렇게 일을 잘했다고?</v>
      </c>
      <c r="J5282">
        <v>0</v>
      </c>
      <c r="K5282">
        <v>0</v>
      </c>
      <c r="L5282">
        <v>0</v>
      </c>
      <c r="M5282">
        <v>26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26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/>
      <c r="AQ5282">
        <v>0</v>
      </c>
      <c r="AR5282">
        <v>0</v>
      </c>
      <c r="AT5282">
        <v>0</v>
      </c>
      <c r="AU5282">
        <v>0</v>
      </c>
      <c r="AW5282">
        <v>0</v>
      </c>
      <c r="AX5282">
        <v>0</v>
      </c>
      <c r="AY5282">
        <v>0</v>
      </c>
      <c r="BC5282" t="str">
        <f t="shared" si="732"/>
        <v>9791137602946</v>
      </c>
      <c r="BE5282" t="str">
        <f t="shared" si="733"/>
        <v>판타지 웹소설 &gt; 현대 판타지</v>
      </c>
    </row>
    <row r="5283" spans="1:57" x14ac:dyDescent="0.3">
      <c r="A5283">
        <v>2313020382</v>
      </c>
      <c r="B5283">
        <v>2313020387</v>
      </c>
      <c r="C5283" t="str">
        <f>T("신입사원이 이렇게 일을 잘했다고? 6화")</f>
        <v>신입사원이 이렇게 일을 잘했다고? 6화</v>
      </c>
      <c r="D5283" t="str">
        <f>T("6")</f>
        <v>6</v>
      </c>
      <c r="E5283" t="str">
        <f t="shared" si="730"/>
        <v>왕십리글쟁이</v>
      </c>
      <c r="H5283" t="str">
        <f t="shared" si="722"/>
        <v>스토리위즈</v>
      </c>
      <c r="I5283" t="str">
        <f t="shared" si="731"/>
        <v>신입사원이 이렇게 일을 잘했다고?</v>
      </c>
      <c r="J5283">
        <v>0</v>
      </c>
      <c r="K5283">
        <v>0</v>
      </c>
      <c r="L5283">
        <v>0</v>
      </c>
      <c r="M5283">
        <v>24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24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/>
      <c r="AQ5283">
        <v>0</v>
      </c>
      <c r="AR5283">
        <v>0</v>
      </c>
      <c r="AT5283">
        <v>0</v>
      </c>
      <c r="AU5283">
        <v>0</v>
      </c>
      <c r="AW5283">
        <v>0</v>
      </c>
      <c r="AX5283">
        <v>0</v>
      </c>
      <c r="AY5283">
        <v>0</v>
      </c>
      <c r="BC5283" t="str">
        <f t="shared" si="732"/>
        <v>9791137602946</v>
      </c>
      <c r="BE5283" t="str">
        <f t="shared" si="733"/>
        <v>판타지 웹소설 &gt; 현대 판타지</v>
      </c>
    </row>
    <row r="5284" spans="1:57" x14ac:dyDescent="0.3">
      <c r="A5284">
        <v>2313020382</v>
      </c>
      <c r="B5284">
        <v>2313020388</v>
      </c>
      <c r="C5284" t="str">
        <f>T("신입사원이 이렇게 일을 잘했다고? 7화")</f>
        <v>신입사원이 이렇게 일을 잘했다고? 7화</v>
      </c>
      <c r="D5284" t="str">
        <f>T("7")</f>
        <v>7</v>
      </c>
      <c r="E5284" t="str">
        <f t="shared" si="730"/>
        <v>왕십리글쟁이</v>
      </c>
      <c r="H5284" t="str">
        <f t="shared" si="722"/>
        <v>스토리위즈</v>
      </c>
      <c r="I5284" t="str">
        <f t="shared" si="731"/>
        <v>신입사원이 이렇게 일을 잘했다고?</v>
      </c>
      <c r="J5284">
        <v>0</v>
      </c>
      <c r="K5284">
        <v>0</v>
      </c>
      <c r="L5284">
        <v>0</v>
      </c>
      <c r="M5284">
        <v>24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24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/>
      <c r="AQ5284">
        <v>0</v>
      </c>
      <c r="AR5284">
        <v>0</v>
      </c>
      <c r="AT5284">
        <v>0</v>
      </c>
      <c r="AU5284">
        <v>0</v>
      </c>
      <c r="AW5284">
        <v>0</v>
      </c>
      <c r="AX5284">
        <v>0</v>
      </c>
      <c r="AY5284">
        <v>0</v>
      </c>
      <c r="BC5284" t="str">
        <f t="shared" si="732"/>
        <v>9791137602946</v>
      </c>
      <c r="BE5284" t="str">
        <f t="shared" si="733"/>
        <v>판타지 웹소설 &gt; 현대 판타지</v>
      </c>
    </row>
    <row r="5285" spans="1:57" x14ac:dyDescent="0.3">
      <c r="A5285">
        <v>2313020382</v>
      </c>
      <c r="B5285">
        <v>2313020389</v>
      </c>
      <c r="C5285" t="str">
        <f>T("신입사원이 이렇게 일을 잘했다고? 8화")</f>
        <v>신입사원이 이렇게 일을 잘했다고? 8화</v>
      </c>
      <c r="D5285" t="str">
        <f>T("8")</f>
        <v>8</v>
      </c>
      <c r="E5285" t="str">
        <f t="shared" si="730"/>
        <v>왕십리글쟁이</v>
      </c>
      <c r="H5285" t="str">
        <f t="shared" si="722"/>
        <v>스토리위즈</v>
      </c>
      <c r="I5285" t="str">
        <f t="shared" si="731"/>
        <v>신입사원이 이렇게 일을 잘했다고?</v>
      </c>
      <c r="J5285">
        <v>0</v>
      </c>
      <c r="K5285">
        <v>0</v>
      </c>
      <c r="L5285">
        <v>0</v>
      </c>
      <c r="M5285">
        <v>24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24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/>
      <c r="AQ5285">
        <v>0</v>
      </c>
      <c r="AR5285">
        <v>0</v>
      </c>
      <c r="AT5285">
        <v>0</v>
      </c>
      <c r="AU5285">
        <v>0</v>
      </c>
      <c r="AW5285">
        <v>0</v>
      </c>
      <c r="AX5285">
        <v>0</v>
      </c>
      <c r="AY5285">
        <v>0</v>
      </c>
      <c r="BC5285" t="str">
        <f t="shared" si="732"/>
        <v>9791137602946</v>
      </c>
      <c r="BE5285" t="str">
        <f t="shared" si="733"/>
        <v>판타지 웹소설 &gt; 현대 판타지</v>
      </c>
    </row>
    <row r="5286" spans="1:57" x14ac:dyDescent="0.3">
      <c r="A5286">
        <v>2313020382</v>
      </c>
      <c r="B5286">
        <v>2313020390</v>
      </c>
      <c r="C5286" t="str">
        <f>T("신입사원이 이렇게 일을 잘했다고? 9화")</f>
        <v>신입사원이 이렇게 일을 잘했다고? 9화</v>
      </c>
      <c r="D5286" t="str">
        <f>T("9")</f>
        <v>9</v>
      </c>
      <c r="E5286" t="str">
        <f t="shared" si="730"/>
        <v>왕십리글쟁이</v>
      </c>
      <c r="H5286" t="str">
        <f t="shared" si="722"/>
        <v>스토리위즈</v>
      </c>
      <c r="I5286" t="str">
        <f t="shared" si="731"/>
        <v>신입사원이 이렇게 일을 잘했다고?</v>
      </c>
      <c r="J5286">
        <v>0</v>
      </c>
      <c r="K5286">
        <v>0</v>
      </c>
      <c r="L5286">
        <v>0</v>
      </c>
      <c r="M5286">
        <v>24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24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/>
      <c r="AQ5286">
        <v>0</v>
      </c>
      <c r="AR5286">
        <v>0</v>
      </c>
      <c r="AT5286">
        <v>0</v>
      </c>
      <c r="AU5286">
        <v>0</v>
      </c>
      <c r="AW5286">
        <v>0</v>
      </c>
      <c r="AX5286">
        <v>0</v>
      </c>
      <c r="AY5286">
        <v>0</v>
      </c>
      <c r="BC5286" t="str">
        <f t="shared" si="732"/>
        <v>9791137602946</v>
      </c>
      <c r="BE5286" t="str">
        <f t="shared" si="733"/>
        <v>판타지 웹소설 &gt; 현대 판타지</v>
      </c>
    </row>
    <row r="5287" spans="1:57" x14ac:dyDescent="0.3">
      <c r="A5287">
        <v>2313020382</v>
      </c>
      <c r="B5287">
        <v>2313020391</v>
      </c>
      <c r="C5287" t="str">
        <f>T("신입사원이 이렇게 일을 잘했다고? 10화")</f>
        <v>신입사원이 이렇게 일을 잘했다고? 10화</v>
      </c>
      <c r="D5287" t="str">
        <f>T("10")</f>
        <v>10</v>
      </c>
      <c r="E5287" t="str">
        <f t="shared" si="730"/>
        <v>왕십리글쟁이</v>
      </c>
      <c r="H5287" t="str">
        <f t="shared" si="722"/>
        <v>스토리위즈</v>
      </c>
      <c r="I5287" t="str">
        <f t="shared" si="731"/>
        <v>신입사원이 이렇게 일을 잘했다고?</v>
      </c>
      <c r="J5287">
        <v>0</v>
      </c>
      <c r="K5287">
        <v>0</v>
      </c>
      <c r="L5287">
        <v>0</v>
      </c>
      <c r="M5287">
        <v>24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24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/>
      <c r="AQ5287">
        <v>0</v>
      </c>
      <c r="AR5287">
        <v>0</v>
      </c>
      <c r="AT5287">
        <v>0</v>
      </c>
      <c r="AU5287">
        <v>0</v>
      </c>
      <c r="AW5287">
        <v>0</v>
      </c>
      <c r="AX5287">
        <v>0</v>
      </c>
      <c r="AY5287">
        <v>0</v>
      </c>
      <c r="BC5287" t="str">
        <f t="shared" si="732"/>
        <v>9791137602946</v>
      </c>
      <c r="BE5287" t="str">
        <f t="shared" si="733"/>
        <v>판타지 웹소설 &gt; 현대 판타지</v>
      </c>
    </row>
    <row r="5288" spans="1:57" x14ac:dyDescent="0.3">
      <c r="A5288">
        <v>2313020382</v>
      </c>
      <c r="B5288">
        <v>2313020392</v>
      </c>
      <c r="C5288" t="str">
        <f>T("신입사원이 이렇게 일을 잘했다고? 11화")</f>
        <v>신입사원이 이렇게 일을 잘했다고? 11화</v>
      </c>
      <c r="D5288" t="str">
        <f>T("11")</f>
        <v>11</v>
      </c>
      <c r="E5288" t="str">
        <f t="shared" si="730"/>
        <v>왕십리글쟁이</v>
      </c>
      <c r="H5288" t="str">
        <f t="shared" si="722"/>
        <v>스토리위즈</v>
      </c>
      <c r="I5288" t="str">
        <f t="shared" si="731"/>
        <v>신입사원이 이렇게 일을 잘했다고?</v>
      </c>
      <c r="J5288">
        <v>0</v>
      </c>
      <c r="K5288">
        <v>0</v>
      </c>
      <c r="L5288">
        <v>0</v>
      </c>
      <c r="M5288">
        <v>25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25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/>
      <c r="AQ5288">
        <v>0</v>
      </c>
      <c r="AR5288">
        <v>0</v>
      </c>
      <c r="AT5288">
        <v>0</v>
      </c>
      <c r="AU5288">
        <v>0</v>
      </c>
      <c r="AW5288">
        <v>0</v>
      </c>
      <c r="AX5288">
        <v>0</v>
      </c>
      <c r="AY5288">
        <v>0</v>
      </c>
      <c r="BC5288" t="str">
        <f t="shared" si="732"/>
        <v>9791137602946</v>
      </c>
      <c r="BE5288" t="str">
        <f t="shared" si="733"/>
        <v>판타지 웹소설 &gt; 현대 판타지</v>
      </c>
    </row>
    <row r="5289" spans="1:57" x14ac:dyDescent="0.3">
      <c r="A5289">
        <v>2313020382</v>
      </c>
      <c r="B5289">
        <v>2313020393</v>
      </c>
      <c r="C5289" t="str">
        <f>T("신입사원이 이렇게 일을 잘했다고? 12화")</f>
        <v>신입사원이 이렇게 일을 잘했다고? 12화</v>
      </c>
      <c r="D5289" t="str">
        <f>T("12")</f>
        <v>12</v>
      </c>
      <c r="E5289" t="str">
        <f t="shared" si="730"/>
        <v>왕십리글쟁이</v>
      </c>
      <c r="H5289" t="str">
        <f t="shared" si="722"/>
        <v>스토리위즈</v>
      </c>
      <c r="I5289" t="str">
        <f t="shared" si="731"/>
        <v>신입사원이 이렇게 일을 잘했다고?</v>
      </c>
      <c r="J5289">
        <v>0</v>
      </c>
      <c r="K5289">
        <v>0</v>
      </c>
      <c r="L5289">
        <v>0</v>
      </c>
      <c r="M5289">
        <v>24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24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/>
      <c r="AQ5289">
        <v>0</v>
      </c>
      <c r="AR5289">
        <v>0</v>
      </c>
      <c r="AT5289">
        <v>0</v>
      </c>
      <c r="AU5289">
        <v>0</v>
      </c>
      <c r="AW5289">
        <v>0</v>
      </c>
      <c r="AX5289">
        <v>0</v>
      </c>
      <c r="AY5289">
        <v>0</v>
      </c>
      <c r="BC5289" t="str">
        <f t="shared" si="732"/>
        <v>9791137602946</v>
      </c>
      <c r="BE5289" t="str">
        <f t="shared" si="733"/>
        <v>판타지 웹소설 &gt; 현대 판타지</v>
      </c>
    </row>
    <row r="5290" spans="1:57" x14ac:dyDescent="0.3">
      <c r="A5290">
        <v>2313020382</v>
      </c>
      <c r="B5290">
        <v>2313020394</v>
      </c>
      <c r="C5290" t="str">
        <f>T("신입사원이 이렇게 일을 잘했다고? 13화")</f>
        <v>신입사원이 이렇게 일을 잘했다고? 13화</v>
      </c>
      <c r="D5290" t="str">
        <f>T("13")</f>
        <v>13</v>
      </c>
      <c r="E5290" t="str">
        <f t="shared" si="730"/>
        <v>왕십리글쟁이</v>
      </c>
      <c r="H5290" t="str">
        <f t="shared" si="722"/>
        <v>스토리위즈</v>
      </c>
      <c r="I5290" t="str">
        <f t="shared" si="731"/>
        <v>신입사원이 이렇게 일을 잘했다고?</v>
      </c>
      <c r="J5290">
        <v>0</v>
      </c>
      <c r="K5290">
        <v>0</v>
      </c>
      <c r="L5290">
        <v>0</v>
      </c>
      <c r="M5290">
        <v>25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25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/>
      <c r="AQ5290">
        <v>0</v>
      </c>
      <c r="AR5290">
        <v>0</v>
      </c>
      <c r="AT5290">
        <v>0</v>
      </c>
      <c r="AU5290">
        <v>0</v>
      </c>
      <c r="AW5290">
        <v>0</v>
      </c>
      <c r="AX5290">
        <v>0</v>
      </c>
      <c r="AY5290">
        <v>0</v>
      </c>
      <c r="BC5290" t="str">
        <f t="shared" si="732"/>
        <v>9791137602946</v>
      </c>
      <c r="BE5290" t="str">
        <f t="shared" si="733"/>
        <v>판타지 웹소설 &gt; 현대 판타지</v>
      </c>
    </row>
    <row r="5291" spans="1:57" x14ac:dyDescent="0.3">
      <c r="A5291">
        <v>2313020382</v>
      </c>
      <c r="B5291">
        <v>2313020395</v>
      </c>
      <c r="C5291" t="str">
        <f>T("신입사원이 이렇게 일을 잘했다고? 14화")</f>
        <v>신입사원이 이렇게 일을 잘했다고? 14화</v>
      </c>
      <c r="D5291" t="str">
        <f>T("14")</f>
        <v>14</v>
      </c>
      <c r="E5291" t="str">
        <f t="shared" si="730"/>
        <v>왕십리글쟁이</v>
      </c>
      <c r="H5291" t="str">
        <f t="shared" si="722"/>
        <v>스토리위즈</v>
      </c>
      <c r="I5291" t="str">
        <f t="shared" si="731"/>
        <v>신입사원이 이렇게 일을 잘했다고?</v>
      </c>
      <c r="J5291">
        <v>0</v>
      </c>
      <c r="K5291">
        <v>0</v>
      </c>
      <c r="L5291">
        <v>0</v>
      </c>
      <c r="M5291">
        <v>25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25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/>
      <c r="AQ5291">
        <v>0</v>
      </c>
      <c r="AR5291">
        <v>0</v>
      </c>
      <c r="AT5291">
        <v>0</v>
      </c>
      <c r="AU5291">
        <v>0</v>
      </c>
      <c r="AW5291">
        <v>0</v>
      </c>
      <c r="AX5291">
        <v>0</v>
      </c>
      <c r="AY5291">
        <v>0</v>
      </c>
      <c r="BC5291" t="str">
        <f t="shared" si="732"/>
        <v>9791137602946</v>
      </c>
      <c r="BE5291" t="str">
        <f t="shared" si="733"/>
        <v>판타지 웹소설 &gt; 현대 판타지</v>
      </c>
    </row>
    <row r="5292" spans="1:57" x14ac:dyDescent="0.3">
      <c r="A5292">
        <v>2313020382</v>
      </c>
      <c r="B5292">
        <v>2313020396</v>
      </c>
      <c r="C5292" t="str">
        <f>T("신입사원이 이렇게 일을 잘했다고? 15화")</f>
        <v>신입사원이 이렇게 일을 잘했다고? 15화</v>
      </c>
      <c r="D5292" t="str">
        <f>T("15")</f>
        <v>15</v>
      </c>
      <c r="E5292" t="str">
        <f t="shared" si="730"/>
        <v>왕십리글쟁이</v>
      </c>
      <c r="H5292" t="str">
        <f t="shared" si="722"/>
        <v>스토리위즈</v>
      </c>
      <c r="I5292" t="str">
        <f t="shared" si="731"/>
        <v>신입사원이 이렇게 일을 잘했다고?</v>
      </c>
      <c r="J5292">
        <v>0</v>
      </c>
      <c r="K5292">
        <v>0</v>
      </c>
      <c r="L5292">
        <v>0</v>
      </c>
      <c r="M5292">
        <v>24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24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/>
      <c r="AQ5292">
        <v>0</v>
      </c>
      <c r="AR5292">
        <v>0</v>
      </c>
      <c r="AT5292">
        <v>0</v>
      </c>
      <c r="AU5292">
        <v>0</v>
      </c>
      <c r="AW5292">
        <v>0</v>
      </c>
      <c r="AX5292">
        <v>0</v>
      </c>
      <c r="AY5292">
        <v>0</v>
      </c>
      <c r="BC5292" t="str">
        <f t="shared" si="732"/>
        <v>9791137602946</v>
      </c>
      <c r="BE5292" t="str">
        <f t="shared" si="733"/>
        <v>판타지 웹소설 &gt; 현대 판타지</v>
      </c>
    </row>
    <row r="5293" spans="1:57" x14ac:dyDescent="0.3">
      <c r="A5293">
        <v>2313020382</v>
      </c>
      <c r="B5293">
        <v>2313020397</v>
      </c>
      <c r="C5293" t="str">
        <f>T("신입사원이 이렇게 일을 잘했다고? 16화")</f>
        <v>신입사원이 이렇게 일을 잘했다고? 16화</v>
      </c>
      <c r="D5293" t="str">
        <f>T("16")</f>
        <v>16</v>
      </c>
      <c r="E5293" t="str">
        <f t="shared" si="730"/>
        <v>왕십리글쟁이</v>
      </c>
      <c r="H5293" t="str">
        <f t="shared" ref="H5293:H5300" si="734">T("스토리위즈")</f>
        <v>스토리위즈</v>
      </c>
      <c r="I5293" t="str">
        <f t="shared" si="731"/>
        <v>신입사원이 이렇게 일을 잘했다고?</v>
      </c>
      <c r="J5293">
        <v>0</v>
      </c>
      <c r="K5293">
        <v>0</v>
      </c>
      <c r="L5293">
        <v>0</v>
      </c>
      <c r="M5293">
        <v>25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25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/>
      <c r="AQ5293">
        <v>0</v>
      </c>
      <c r="AR5293">
        <v>0</v>
      </c>
      <c r="AT5293">
        <v>0</v>
      </c>
      <c r="AU5293">
        <v>0</v>
      </c>
      <c r="AW5293">
        <v>0</v>
      </c>
      <c r="AX5293">
        <v>0</v>
      </c>
      <c r="AY5293">
        <v>0</v>
      </c>
      <c r="BC5293" t="str">
        <f t="shared" si="732"/>
        <v>9791137602946</v>
      </c>
      <c r="BE5293" t="str">
        <f t="shared" si="733"/>
        <v>판타지 웹소설 &gt; 현대 판타지</v>
      </c>
    </row>
    <row r="5294" spans="1:57" x14ac:dyDescent="0.3">
      <c r="A5294">
        <v>2313020382</v>
      </c>
      <c r="B5294">
        <v>2313020398</v>
      </c>
      <c r="C5294" t="str">
        <f>T("신입사원이 이렇게 일을 잘했다고? 17화")</f>
        <v>신입사원이 이렇게 일을 잘했다고? 17화</v>
      </c>
      <c r="D5294" t="str">
        <f>T("17")</f>
        <v>17</v>
      </c>
      <c r="E5294" t="str">
        <f t="shared" si="730"/>
        <v>왕십리글쟁이</v>
      </c>
      <c r="H5294" t="str">
        <f t="shared" si="734"/>
        <v>스토리위즈</v>
      </c>
      <c r="I5294" t="str">
        <f t="shared" si="731"/>
        <v>신입사원이 이렇게 일을 잘했다고?</v>
      </c>
      <c r="J5294">
        <v>0</v>
      </c>
      <c r="K5294">
        <v>0</v>
      </c>
      <c r="L5294">
        <v>0</v>
      </c>
      <c r="M5294">
        <v>25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25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/>
      <c r="AQ5294">
        <v>0</v>
      </c>
      <c r="AR5294">
        <v>0</v>
      </c>
      <c r="AT5294">
        <v>0</v>
      </c>
      <c r="AU5294">
        <v>0</v>
      </c>
      <c r="AW5294">
        <v>0</v>
      </c>
      <c r="AX5294">
        <v>0</v>
      </c>
      <c r="AY5294">
        <v>0</v>
      </c>
      <c r="BC5294" t="str">
        <f t="shared" si="732"/>
        <v>9791137602946</v>
      </c>
      <c r="BE5294" t="str">
        <f t="shared" si="733"/>
        <v>판타지 웹소설 &gt; 현대 판타지</v>
      </c>
    </row>
    <row r="5295" spans="1:57" x14ac:dyDescent="0.3">
      <c r="A5295">
        <v>2313020382</v>
      </c>
      <c r="B5295">
        <v>2313020399</v>
      </c>
      <c r="C5295" t="str">
        <f>T("신입사원이 이렇게 일을 잘했다고? 18화")</f>
        <v>신입사원이 이렇게 일을 잘했다고? 18화</v>
      </c>
      <c r="D5295" t="str">
        <f>T("18")</f>
        <v>18</v>
      </c>
      <c r="E5295" t="str">
        <f t="shared" si="730"/>
        <v>왕십리글쟁이</v>
      </c>
      <c r="H5295" t="str">
        <f t="shared" si="734"/>
        <v>스토리위즈</v>
      </c>
      <c r="I5295" t="str">
        <f t="shared" si="731"/>
        <v>신입사원이 이렇게 일을 잘했다고?</v>
      </c>
      <c r="J5295">
        <v>0</v>
      </c>
      <c r="K5295">
        <v>0</v>
      </c>
      <c r="L5295">
        <v>0</v>
      </c>
      <c r="M5295">
        <v>25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25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/>
      <c r="AQ5295">
        <v>0</v>
      </c>
      <c r="AR5295">
        <v>0</v>
      </c>
      <c r="AT5295">
        <v>0</v>
      </c>
      <c r="AU5295">
        <v>0</v>
      </c>
      <c r="AW5295">
        <v>0</v>
      </c>
      <c r="AX5295">
        <v>0</v>
      </c>
      <c r="AY5295">
        <v>0</v>
      </c>
      <c r="BC5295" t="str">
        <f t="shared" si="732"/>
        <v>9791137602946</v>
      </c>
      <c r="BE5295" t="str">
        <f t="shared" si="733"/>
        <v>판타지 웹소설 &gt; 현대 판타지</v>
      </c>
    </row>
    <row r="5296" spans="1:57" x14ac:dyDescent="0.3">
      <c r="A5296">
        <v>2313020382</v>
      </c>
      <c r="B5296">
        <v>2313020400</v>
      </c>
      <c r="C5296" t="str">
        <f>T("신입사원이 이렇게 일을 잘했다고? 19화")</f>
        <v>신입사원이 이렇게 일을 잘했다고? 19화</v>
      </c>
      <c r="D5296" t="str">
        <f>T("19")</f>
        <v>19</v>
      </c>
      <c r="E5296" t="str">
        <f t="shared" si="730"/>
        <v>왕십리글쟁이</v>
      </c>
      <c r="H5296" t="str">
        <f t="shared" si="734"/>
        <v>스토리위즈</v>
      </c>
      <c r="I5296" t="str">
        <f t="shared" si="731"/>
        <v>신입사원이 이렇게 일을 잘했다고?</v>
      </c>
      <c r="J5296">
        <v>0</v>
      </c>
      <c r="K5296">
        <v>0</v>
      </c>
      <c r="L5296">
        <v>0</v>
      </c>
      <c r="M5296">
        <v>25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25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/>
      <c r="AQ5296">
        <v>0</v>
      </c>
      <c r="AR5296">
        <v>0</v>
      </c>
      <c r="AT5296">
        <v>0</v>
      </c>
      <c r="AU5296">
        <v>0</v>
      </c>
      <c r="AW5296">
        <v>0</v>
      </c>
      <c r="AX5296">
        <v>0</v>
      </c>
      <c r="AY5296">
        <v>0</v>
      </c>
      <c r="BC5296" t="str">
        <f t="shared" si="732"/>
        <v>9791137602946</v>
      </c>
      <c r="BE5296" t="str">
        <f t="shared" si="733"/>
        <v>판타지 웹소설 &gt; 현대 판타지</v>
      </c>
    </row>
    <row r="5297" spans="1:57" x14ac:dyDescent="0.3">
      <c r="A5297">
        <v>2313020382</v>
      </c>
      <c r="B5297">
        <v>2313020401</v>
      </c>
      <c r="C5297" t="str">
        <f>T("신입사원이 이렇게 일을 잘했다고? 20화")</f>
        <v>신입사원이 이렇게 일을 잘했다고? 20화</v>
      </c>
      <c r="D5297" t="str">
        <f>T("20")</f>
        <v>20</v>
      </c>
      <c r="E5297" t="str">
        <f t="shared" si="730"/>
        <v>왕십리글쟁이</v>
      </c>
      <c r="H5297" t="str">
        <f t="shared" si="734"/>
        <v>스토리위즈</v>
      </c>
      <c r="I5297" t="str">
        <f t="shared" si="731"/>
        <v>신입사원이 이렇게 일을 잘했다고?</v>
      </c>
      <c r="J5297">
        <v>0</v>
      </c>
      <c r="K5297">
        <v>0</v>
      </c>
      <c r="L5297">
        <v>0</v>
      </c>
      <c r="M5297">
        <v>25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25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/>
      <c r="AQ5297">
        <v>0</v>
      </c>
      <c r="AR5297">
        <v>0</v>
      </c>
      <c r="AT5297">
        <v>0</v>
      </c>
      <c r="AU5297">
        <v>0</v>
      </c>
      <c r="AW5297">
        <v>0</v>
      </c>
      <c r="AX5297">
        <v>0</v>
      </c>
      <c r="AY5297">
        <v>0</v>
      </c>
      <c r="BC5297" t="str">
        <f t="shared" si="732"/>
        <v>9791137602946</v>
      </c>
      <c r="BE5297" t="str">
        <f t="shared" si="733"/>
        <v>판타지 웹소설 &gt; 현대 판타지</v>
      </c>
    </row>
    <row r="5298" spans="1:57" x14ac:dyDescent="0.3">
      <c r="A5298">
        <v>2313020382</v>
      </c>
      <c r="B5298">
        <v>2313020402</v>
      </c>
      <c r="C5298" t="str">
        <f>T("신입사원이 이렇게 일을 잘했다고? 21화")</f>
        <v>신입사원이 이렇게 일을 잘했다고? 21화</v>
      </c>
      <c r="D5298" t="str">
        <f>T("21")</f>
        <v>21</v>
      </c>
      <c r="E5298" t="str">
        <f t="shared" si="730"/>
        <v>왕십리글쟁이</v>
      </c>
      <c r="H5298" t="str">
        <f t="shared" si="734"/>
        <v>스토리위즈</v>
      </c>
      <c r="I5298" t="str">
        <f t="shared" si="731"/>
        <v>신입사원이 이렇게 일을 잘했다고?</v>
      </c>
      <c r="J5298">
        <v>0</v>
      </c>
      <c r="K5298">
        <v>0</v>
      </c>
      <c r="L5298">
        <v>0</v>
      </c>
      <c r="M5298">
        <v>27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27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/>
      <c r="AQ5298">
        <v>0</v>
      </c>
      <c r="AR5298">
        <v>0</v>
      </c>
      <c r="AT5298">
        <v>0</v>
      </c>
      <c r="AU5298">
        <v>0</v>
      </c>
      <c r="AW5298">
        <v>0</v>
      </c>
      <c r="AX5298">
        <v>0</v>
      </c>
      <c r="AY5298">
        <v>0</v>
      </c>
      <c r="BC5298" t="str">
        <f t="shared" si="732"/>
        <v>9791137602946</v>
      </c>
      <c r="BE5298" t="str">
        <f t="shared" si="733"/>
        <v>판타지 웹소설 &gt; 현대 판타지</v>
      </c>
    </row>
    <row r="5299" spans="1:57" x14ac:dyDescent="0.3">
      <c r="A5299">
        <v>2313020382</v>
      </c>
      <c r="B5299">
        <v>2313020403</v>
      </c>
      <c r="C5299" t="str">
        <f>T("신입사원이 이렇게 일을 잘했다고? 22화")</f>
        <v>신입사원이 이렇게 일을 잘했다고? 22화</v>
      </c>
      <c r="D5299" t="str">
        <f>T("22")</f>
        <v>22</v>
      </c>
      <c r="E5299" t="str">
        <f t="shared" si="730"/>
        <v>왕십리글쟁이</v>
      </c>
      <c r="H5299" t="str">
        <f t="shared" si="734"/>
        <v>스토리위즈</v>
      </c>
      <c r="I5299" t="str">
        <f t="shared" si="731"/>
        <v>신입사원이 이렇게 일을 잘했다고?</v>
      </c>
      <c r="J5299">
        <v>0</v>
      </c>
      <c r="K5299">
        <v>0</v>
      </c>
      <c r="L5299">
        <v>0</v>
      </c>
      <c r="M5299">
        <v>27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27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/>
      <c r="AQ5299">
        <v>0</v>
      </c>
      <c r="AR5299">
        <v>0</v>
      </c>
      <c r="AT5299">
        <v>0</v>
      </c>
      <c r="AU5299">
        <v>0</v>
      </c>
      <c r="AW5299">
        <v>0</v>
      </c>
      <c r="AX5299">
        <v>0</v>
      </c>
      <c r="AY5299">
        <v>0</v>
      </c>
      <c r="BC5299" t="str">
        <f t="shared" si="732"/>
        <v>9791137602946</v>
      </c>
      <c r="BE5299" t="str">
        <f t="shared" si="733"/>
        <v>판타지 웹소설 &gt; 현대 판타지</v>
      </c>
    </row>
    <row r="5300" spans="1:57" x14ac:dyDescent="0.3">
      <c r="A5300">
        <v>2313020382</v>
      </c>
      <c r="B5300">
        <v>2313020404</v>
      </c>
      <c r="C5300" t="str">
        <f>T("신입사원이 이렇게 일을 잘했다고? 23화")</f>
        <v>신입사원이 이렇게 일을 잘했다고? 23화</v>
      </c>
      <c r="D5300" t="str">
        <f>T("23")</f>
        <v>23</v>
      </c>
      <c r="E5300" t="str">
        <f t="shared" si="730"/>
        <v>왕십리글쟁이</v>
      </c>
      <c r="H5300" t="str">
        <f t="shared" si="734"/>
        <v>스토리위즈</v>
      </c>
      <c r="I5300" t="str">
        <f t="shared" si="731"/>
        <v>신입사원이 이렇게 일을 잘했다고?</v>
      </c>
      <c r="J5300">
        <v>0</v>
      </c>
      <c r="K5300">
        <v>0</v>
      </c>
      <c r="L5300">
        <v>0</v>
      </c>
      <c r="M5300">
        <v>28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28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/>
      <c r="AQ5300">
        <v>0</v>
      </c>
      <c r="AR5300">
        <v>0</v>
      </c>
      <c r="AT5300">
        <v>0</v>
      </c>
      <c r="AU5300">
        <v>0</v>
      </c>
      <c r="AW5300">
        <v>0</v>
      </c>
      <c r="AX5300">
        <v>0</v>
      </c>
      <c r="AY5300">
        <v>0</v>
      </c>
      <c r="BC5300" t="str">
        <f t="shared" si="732"/>
        <v>9791137602946</v>
      </c>
      <c r="BE5300" t="str">
        <f t="shared" si="733"/>
        <v>판타지 웹소설 &gt; 현대 판타지</v>
      </c>
    </row>
    <row r="5301" spans="1:57" x14ac:dyDescent="0.3">
      <c r="A5301">
        <v>2313020582</v>
      </c>
      <c r="B5301">
        <v>2313020582</v>
      </c>
      <c r="C5301" t="str">
        <f>T("[e북]늑대가문의 신부 1권")</f>
        <v>[e북]늑대가문의 신부 1권</v>
      </c>
      <c r="D5301" t="str">
        <f>T("1")</f>
        <v>1</v>
      </c>
      <c r="E5301" t="str">
        <f>T("김정연")</f>
        <v>김정연</v>
      </c>
      <c r="H5301" t="str">
        <f>T("블레슈(Blesshuu)")</f>
        <v>블레슈(Blesshuu)</v>
      </c>
      <c r="I5301" t="str">
        <f>T("[e북]늑대가문의 신부")</f>
        <v>[e북]늑대가문의 신부</v>
      </c>
      <c r="J5301">
        <v>0</v>
      </c>
      <c r="K5301">
        <v>0</v>
      </c>
      <c r="L5301">
        <v>0</v>
      </c>
      <c r="M5301">
        <v>12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12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/>
      <c r="AQ5301">
        <v>0</v>
      </c>
      <c r="AR5301">
        <v>0</v>
      </c>
      <c r="AT5301">
        <v>0</v>
      </c>
      <c r="AU5301">
        <v>0</v>
      </c>
      <c r="AW5301">
        <v>0</v>
      </c>
      <c r="AX5301">
        <v>0</v>
      </c>
      <c r="AY5301">
        <v>0</v>
      </c>
      <c r="BC5301" t="str">
        <f>T("9791137607651")</f>
        <v>9791137607651</v>
      </c>
      <c r="BE5301" t="str">
        <f>T("로맨스 e북 &gt; 역사/시대물")</f>
        <v>로맨스 e북 &gt; 역사/시대물</v>
      </c>
    </row>
    <row r="5302" spans="1:57" x14ac:dyDescent="0.3">
      <c r="A5302">
        <v>2313020585</v>
      </c>
      <c r="B5302">
        <v>2313020585</v>
      </c>
      <c r="C5302" t="str">
        <f>T("[e북]골 넣는 수비수 1권")</f>
        <v>[e북]골 넣는 수비수 1권</v>
      </c>
      <c r="D5302" t="str">
        <f>T("1")</f>
        <v>1</v>
      </c>
      <c r="E5302" t="str">
        <f>T("muscleup")</f>
        <v>muscleup</v>
      </c>
      <c r="H5302" t="str">
        <f t="shared" ref="H5302:H5340" si="735">T("스토리위즈")</f>
        <v>스토리위즈</v>
      </c>
      <c r="I5302" t="str">
        <f>T("[e북]골 넣는 수비수")</f>
        <v>[e북]골 넣는 수비수</v>
      </c>
      <c r="J5302">
        <v>0</v>
      </c>
      <c r="K5302">
        <v>0</v>
      </c>
      <c r="L5302">
        <v>0</v>
      </c>
      <c r="M5302">
        <v>3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3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/>
      <c r="AQ5302">
        <v>0</v>
      </c>
      <c r="AR5302">
        <v>0</v>
      </c>
      <c r="AT5302">
        <v>0</v>
      </c>
      <c r="AU5302">
        <v>0</v>
      </c>
      <c r="AW5302">
        <v>0</v>
      </c>
      <c r="AX5302">
        <v>0</v>
      </c>
      <c r="AY5302">
        <v>0</v>
      </c>
      <c r="BC5302" t="str">
        <f>T("9791137607361")</f>
        <v>9791137607361</v>
      </c>
      <c r="BE5302" t="str">
        <f>T("판타지 e북 &gt; 현대 판타지")</f>
        <v>판타지 e북 &gt; 현대 판타지</v>
      </c>
    </row>
    <row r="5303" spans="1:57" x14ac:dyDescent="0.3">
      <c r="A5303">
        <v>2313020594</v>
      </c>
      <c r="B5303">
        <v>2313020594</v>
      </c>
      <c r="C5303" t="str">
        <f>T("아카데미 속 궁술천재 1화")</f>
        <v>아카데미 속 궁술천재 1화</v>
      </c>
      <c r="D5303" t="str">
        <f>T("1")</f>
        <v>1</v>
      </c>
      <c r="E5303" t="str">
        <f t="shared" ref="E5303:E5340" si="736">T("깡펀치")</f>
        <v>깡펀치</v>
      </c>
      <c r="H5303" t="str">
        <f t="shared" si="735"/>
        <v>스토리위즈</v>
      </c>
      <c r="I5303" t="str">
        <f t="shared" ref="I5303:I5340" si="737">T("아카데미 속 궁술천재")</f>
        <v>아카데미 속 궁술천재</v>
      </c>
      <c r="J5303">
        <v>0</v>
      </c>
      <c r="K5303">
        <v>0</v>
      </c>
      <c r="L5303">
        <v>0</v>
      </c>
      <c r="M5303">
        <v>120</v>
      </c>
      <c r="N5303">
        <v>0</v>
      </c>
      <c r="O5303">
        <v>0</v>
      </c>
      <c r="P5303">
        <v>144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264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/>
      <c r="AQ5303">
        <v>0</v>
      </c>
      <c r="AR5303">
        <v>0</v>
      </c>
      <c r="AT5303">
        <v>0</v>
      </c>
      <c r="AU5303">
        <v>0</v>
      </c>
      <c r="AW5303">
        <v>0</v>
      </c>
      <c r="AX5303">
        <v>0</v>
      </c>
      <c r="AY5303">
        <v>0</v>
      </c>
      <c r="BC5303" t="str">
        <f t="shared" ref="BC5303:BC5340" si="738">T("9791137602915")</f>
        <v>9791137602915</v>
      </c>
      <c r="BE5303" t="str">
        <f t="shared" ref="BE5303:BE5340" si="739">T("판타지 웹소설 &gt; 퓨전 판타지")</f>
        <v>판타지 웹소설 &gt; 퓨전 판타지</v>
      </c>
    </row>
    <row r="5304" spans="1:57" x14ac:dyDescent="0.3">
      <c r="A5304">
        <v>2313020594</v>
      </c>
      <c r="B5304">
        <v>2313020595</v>
      </c>
      <c r="C5304" t="str">
        <f>T("아카데미 속 궁술천재 2화")</f>
        <v>아카데미 속 궁술천재 2화</v>
      </c>
      <c r="D5304" t="str">
        <f>T("2")</f>
        <v>2</v>
      </c>
      <c r="E5304" t="str">
        <f t="shared" si="736"/>
        <v>깡펀치</v>
      </c>
      <c r="H5304" t="str">
        <f t="shared" si="735"/>
        <v>스토리위즈</v>
      </c>
      <c r="I5304" t="str">
        <f t="shared" si="737"/>
        <v>아카데미 속 궁술천재</v>
      </c>
      <c r="J5304">
        <v>0</v>
      </c>
      <c r="K5304">
        <v>0</v>
      </c>
      <c r="L5304">
        <v>0</v>
      </c>
      <c r="M5304">
        <v>175</v>
      </c>
      <c r="N5304">
        <v>0</v>
      </c>
      <c r="O5304">
        <v>0</v>
      </c>
      <c r="P5304">
        <v>61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236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/>
      <c r="AQ5304">
        <v>0</v>
      </c>
      <c r="AR5304">
        <v>0</v>
      </c>
      <c r="AT5304">
        <v>0</v>
      </c>
      <c r="AU5304">
        <v>0</v>
      </c>
      <c r="AW5304">
        <v>0</v>
      </c>
      <c r="AX5304">
        <v>0</v>
      </c>
      <c r="AY5304">
        <v>0</v>
      </c>
      <c r="BC5304" t="str">
        <f t="shared" si="738"/>
        <v>9791137602915</v>
      </c>
      <c r="BE5304" t="str">
        <f t="shared" si="739"/>
        <v>판타지 웹소설 &gt; 퓨전 판타지</v>
      </c>
    </row>
    <row r="5305" spans="1:57" x14ac:dyDescent="0.3">
      <c r="A5305">
        <v>2313020594</v>
      </c>
      <c r="B5305">
        <v>2313020596</v>
      </c>
      <c r="C5305" t="str">
        <f>T("아카데미 속 궁술천재 3화")</f>
        <v>아카데미 속 궁술천재 3화</v>
      </c>
      <c r="D5305" t="str">
        <f>T("3")</f>
        <v>3</v>
      </c>
      <c r="E5305" t="str">
        <f t="shared" si="736"/>
        <v>깡펀치</v>
      </c>
      <c r="H5305" t="str">
        <f t="shared" si="735"/>
        <v>스토리위즈</v>
      </c>
      <c r="I5305" t="str">
        <f t="shared" si="737"/>
        <v>아카데미 속 궁술천재</v>
      </c>
      <c r="J5305">
        <v>0</v>
      </c>
      <c r="K5305">
        <v>0</v>
      </c>
      <c r="L5305">
        <v>0</v>
      </c>
      <c r="M5305">
        <v>171</v>
      </c>
      <c r="N5305">
        <v>0</v>
      </c>
      <c r="O5305">
        <v>0</v>
      </c>
      <c r="P5305">
        <v>57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228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/>
      <c r="AQ5305">
        <v>0</v>
      </c>
      <c r="AR5305">
        <v>0</v>
      </c>
      <c r="AT5305">
        <v>0</v>
      </c>
      <c r="AU5305">
        <v>0</v>
      </c>
      <c r="AW5305">
        <v>0</v>
      </c>
      <c r="AX5305">
        <v>0</v>
      </c>
      <c r="AY5305">
        <v>0</v>
      </c>
      <c r="BC5305" t="str">
        <f t="shared" si="738"/>
        <v>9791137602915</v>
      </c>
      <c r="BE5305" t="str">
        <f t="shared" si="739"/>
        <v>판타지 웹소설 &gt; 퓨전 판타지</v>
      </c>
    </row>
    <row r="5306" spans="1:57" x14ac:dyDescent="0.3">
      <c r="A5306">
        <v>2313020594</v>
      </c>
      <c r="B5306">
        <v>2313020597</v>
      </c>
      <c r="C5306" t="str">
        <f>T("아카데미 속 궁술천재 4화")</f>
        <v>아카데미 속 궁술천재 4화</v>
      </c>
      <c r="D5306" t="str">
        <f>T("4")</f>
        <v>4</v>
      </c>
      <c r="E5306" t="str">
        <f t="shared" si="736"/>
        <v>깡펀치</v>
      </c>
      <c r="H5306" t="str">
        <f t="shared" si="735"/>
        <v>스토리위즈</v>
      </c>
      <c r="I5306" t="str">
        <f t="shared" si="737"/>
        <v>아카데미 속 궁술천재</v>
      </c>
      <c r="J5306">
        <v>0</v>
      </c>
      <c r="K5306">
        <v>0</v>
      </c>
      <c r="L5306">
        <v>0</v>
      </c>
      <c r="M5306">
        <v>157</v>
      </c>
      <c r="N5306">
        <v>0</v>
      </c>
      <c r="O5306">
        <v>0</v>
      </c>
      <c r="P5306">
        <v>55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212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/>
      <c r="AQ5306">
        <v>0</v>
      </c>
      <c r="AR5306">
        <v>0</v>
      </c>
      <c r="AT5306">
        <v>0</v>
      </c>
      <c r="AU5306">
        <v>0</v>
      </c>
      <c r="AW5306">
        <v>0</v>
      </c>
      <c r="AX5306">
        <v>0</v>
      </c>
      <c r="AY5306">
        <v>0</v>
      </c>
      <c r="BC5306" t="str">
        <f t="shared" si="738"/>
        <v>9791137602915</v>
      </c>
      <c r="BE5306" t="str">
        <f t="shared" si="739"/>
        <v>판타지 웹소설 &gt; 퓨전 판타지</v>
      </c>
    </row>
    <row r="5307" spans="1:57" x14ac:dyDescent="0.3">
      <c r="A5307">
        <v>2313020594</v>
      </c>
      <c r="B5307">
        <v>2313020598</v>
      </c>
      <c r="C5307" t="str">
        <f>T("아카데미 속 궁술천재 5화")</f>
        <v>아카데미 속 궁술천재 5화</v>
      </c>
      <c r="D5307" t="str">
        <f>T("5")</f>
        <v>5</v>
      </c>
      <c r="E5307" t="str">
        <f t="shared" si="736"/>
        <v>깡펀치</v>
      </c>
      <c r="H5307" t="str">
        <f t="shared" si="735"/>
        <v>스토리위즈</v>
      </c>
      <c r="I5307" t="str">
        <f t="shared" si="737"/>
        <v>아카데미 속 궁술천재</v>
      </c>
      <c r="J5307">
        <v>0</v>
      </c>
      <c r="K5307">
        <v>0</v>
      </c>
      <c r="L5307">
        <v>0</v>
      </c>
      <c r="M5307">
        <v>154</v>
      </c>
      <c r="N5307">
        <v>0</v>
      </c>
      <c r="O5307">
        <v>0</v>
      </c>
      <c r="P5307">
        <v>55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209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/>
      <c r="AQ5307">
        <v>0</v>
      </c>
      <c r="AR5307">
        <v>0</v>
      </c>
      <c r="AT5307">
        <v>0</v>
      </c>
      <c r="AU5307">
        <v>0</v>
      </c>
      <c r="AW5307">
        <v>0</v>
      </c>
      <c r="AX5307">
        <v>0</v>
      </c>
      <c r="AY5307">
        <v>0</v>
      </c>
      <c r="BC5307" t="str">
        <f t="shared" si="738"/>
        <v>9791137602915</v>
      </c>
      <c r="BE5307" t="str">
        <f t="shared" si="739"/>
        <v>판타지 웹소설 &gt; 퓨전 판타지</v>
      </c>
    </row>
    <row r="5308" spans="1:57" x14ac:dyDescent="0.3">
      <c r="A5308">
        <v>2313020594</v>
      </c>
      <c r="B5308">
        <v>2313020599</v>
      </c>
      <c r="C5308" t="str">
        <f>T("아카데미 속 궁술천재 6화")</f>
        <v>아카데미 속 궁술천재 6화</v>
      </c>
      <c r="D5308" t="str">
        <f>T("6")</f>
        <v>6</v>
      </c>
      <c r="E5308" t="str">
        <f t="shared" si="736"/>
        <v>깡펀치</v>
      </c>
      <c r="H5308" t="str">
        <f t="shared" si="735"/>
        <v>스토리위즈</v>
      </c>
      <c r="I5308" t="str">
        <f t="shared" si="737"/>
        <v>아카데미 속 궁술천재</v>
      </c>
      <c r="J5308">
        <v>0</v>
      </c>
      <c r="K5308">
        <v>0</v>
      </c>
      <c r="L5308">
        <v>0</v>
      </c>
      <c r="M5308">
        <v>140</v>
      </c>
      <c r="N5308">
        <v>0</v>
      </c>
      <c r="O5308">
        <v>0</v>
      </c>
      <c r="P5308">
        <v>53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193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/>
      <c r="AQ5308">
        <v>0</v>
      </c>
      <c r="AR5308">
        <v>0</v>
      </c>
      <c r="AT5308">
        <v>0</v>
      </c>
      <c r="AU5308">
        <v>0</v>
      </c>
      <c r="AW5308">
        <v>0</v>
      </c>
      <c r="AX5308">
        <v>0</v>
      </c>
      <c r="AY5308">
        <v>0</v>
      </c>
      <c r="BC5308" t="str">
        <f t="shared" si="738"/>
        <v>9791137602915</v>
      </c>
      <c r="BE5308" t="str">
        <f t="shared" si="739"/>
        <v>판타지 웹소설 &gt; 퓨전 판타지</v>
      </c>
    </row>
    <row r="5309" spans="1:57" x14ac:dyDescent="0.3">
      <c r="A5309">
        <v>2313020594</v>
      </c>
      <c r="B5309">
        <v>2313020600</v>
      </c>
      <c r="C5309" t="str">
        <f>T("아카데미 속 궁술천재 7화")</f>
        <v>아카데미 속 궁술천재 7화</v>
      </c>
      <c r="D5309" t="str">
        <f>T("7")</f>
        <v>7</v>
      </c>
      <c r="E5309" t="str">
        <f t="shared" si="736"/>
        <v>깡펀치</v>
      </c>
      <c r="H5309" t="str">
        <f t="shared" si="735"/>
        <v>스토리위즈</v>
      </c>
      <c r="I5309" t="str">
        <f t="shared" si="737"/>
        <v>아카데미 속 궁술천재</v>
      </c>
      <c r="J5309">
        <v>0</v>
      </c>
      <c r="K5309">
        <v>0</v>
      </c>
      <c r="L5309">
        <v>0</v>
      </c>
      <c r="M5309">
        <v>127</v>
      </c>
      <c r="N5309">
        <v>0</v>
      </c>
      <c r="O5309">
        <v>0</v>
      </c>
      <c r="P5309">
        <v>51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178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/>
      <c r="AQ5309">
        <v>0</v>
      </c>
      <c r="AR5309">
        <v>0</v>
      </c>
      <c r="AT5309">
        <v>0</v>
      </c>
      <c r="AU5309">
        <v>0</v>
      </c>
      <c r="AW5309">
        <v>0</v>
      </c>
      <c r="AX5309">
        <v>0</v>
      </c>
      <c r="AY5309">
        <v>0</v>
      </c>
      <c r="BC5309" t="str">
        <f t="shared" si="738"/>
        <v>9791137602915</v>
      </c>
      <c r="BE5309" t="str">
        <f t="shared" si="739"/>
        <v>판타지 웹소설 &gt; 퓨전 판타지</v>
      </c>
    </row>
    <row r="5310" spans="1:57" x14ac:dyDescent="0.3">
      <c r="A5310">
        <v>2313020594</v>
      </c>
      <c r="B5310">
        <v>2313020601</v>
      </c>
      <c r="C5310" t="str">
        <f>T("아카데미 속 궁술천재 8화")</f>
        <v>아카데미 속 궁술천재 8화</v>
      </c>
      <c r="D5310" t="str">
        <f>T("8")</f>
        <v>8</v>
      </c>
      <c r="E5310" t="str">
        <f t="shared" si="736"/>
        <v>깡펀치</v>
      </c>
      <c r="H5310" t="str">
        <f t="shared" si="735"/>
        <v>스토리위즈</v>
      </c>
      <c r="I5310" t="str">
        <f t="shared" si="737"/>
        <v>아카데미 속 궁술천재</v>
      </c>
      <c r="J5310">
        <v>0</v>
      </c>
      <c r="K5310">
        <v>0</v>
      </c>
      <c r="L5310">
        <v>0</v>
      </c>
      <c r="M5310">
        <v>124</v>
      </c>
      <c r="N5310">
        <v>0</v>
      </c>
      <c r="O5310">
        <v>0</v>
      </c>
      <c r="P5310">
        <v>52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176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/>
      <c r="AQ5310">
        <v>0</v>
      </c>
      <c r="AR5310">
        <v>0</v>
      </c>
      <c r="AT5310">
        <v>0</v>
      </c>
      <c r="AU5310">
        <v>0</v>
      </c>
      <c r="AW5310">
        <v>0</v>
      </c>
      <c r="AX5310">
        <v>0</v>
      </c>
      <c r="AY5310">
        <v>0</v>
      </c>
      <c r="BC5310" t="str">
        <f t="shared" si="738"/>
        <v>9791137602915</v>
      </c>
      <c r="BE5310" t="str">
        <f t="shared" si="739"/>
        <v>판타지 웹소설 &gt; 퓨전 판타지</v>
      </c>
    </row>
    <row r="5311" spans="1:57" x14ac:dyDescent="0.3">
      <c r="A5311">
        <v>2313020594</v>
      </c>
      <c r="B5311">
        <v>2313020602</v>
      </c>
      <c r="C5311" t="str">
        <f>T("아카데미 속 궁술천재 9화")</f>
        <v>아카데미 속 궁술천재 9화</v>
      </c>
      <c r="D5311" t="str">
        <f>T("9")</f>
        <v>9</v>
      </c>
      <c r="E5311" t="str">
        <f t="shared" si="736"/>
        <v>깡펀치</v>
      </c>
      <c r="H5311" t="str">
        <f t="shared" si="735"/>
        <v>스토리위즈</v>
      </c>
      <c r="I5311" t="str">
        <f t="shared" si="737"/>
        <v>아카데미 속 궁술천재</v>
      </c>
      <c r="J5311">
        <v>0</v>
      </c>
      <c r="K5311">
        <v>0</v>
      </c>
      <c r="L5311">
        <v>0</v>
      </c>
      <c r="M5311">
        <v>123</v>
      </c>
      <c r="N5311">
        <v>0</v>
      </c>
      <c r="O5311">
        <v>0</v>
      </c>
      <c r="P5311">
        <v>51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174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/>
      <c r="AQ5311">
        <v>0</v>
      </c>
      <c r="AR5311">
        <v>0</v>
      </c>
      <c r="AT5311">
        <v>0</v>
      </c>
      <c r="AU5311">
        <v>0</v>
      </c>
      <c r="AW5311">
        <v>0</v>
      </c>
      <c r="AX5311">
        <v>0</v>
      </c>
      <c r="AY5311">
        <v>0</v>
      </c>
      <c r="BC5311" t="str">
        <f t="shared" si="738"/>
        <v>9791137602915</v>
      </c>
      <c r="BE5311" t="str">
        <f t="shared" si="739"/>
        <v>판타지 웹소설 &gt; 퓨전 판타지</v>
      </c>
    </row>
    <row r="5312" spans="1:57" x14ac:dyDescent="0.3">
      <c r="A5312">
        <v>2313020594</v>
      </c>
      <c r="B5312">
        <v>2313020603</v>
      </c>
      <c r="C5312" t="str">
        <f>T("아카데미 속 궁술천재 10화")</f>
        <v>아카데미 속 궁술천재 10화</v>
      </c>
      <c r="D5312" t="str">
        <f>T("10")</f>
        <v>10</v>
      </c>
      <c r="E5312" t="str">
        <f t="shared" si="736"/>
        <v>깡펀치</v>
      </c>
      <c r="H5312" t="str">
        <f t="shared" si="735"/>
        <v>스토리위즈</v>
      </c>
      <c r="I5312" t="str">
        <f t="shared" si="737"/>
        <v>아카데미 속 궁술천재</v>
      </c>
      <c r="J5312">
        <v>0</v>
      </c>
      <c r="K5312">
        <v>0</v>
      </c>
      <c r="L5312">
        <v>0</v>
      </c>
      <c r="M5312">
        <v>126</v>
      </c>
      <c r="N5312">
        <v>0</v>
      </c>
      <c r="O5312">
        <v>0</v>
      </c>
      <c r="P5312">
        <v>50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176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/>
      <c r="AQ5312">
        <v>0</v>
      </c>
      <c r="AR5312">
        <v>0</v>
      </c>
      <c r="AT5312">
        <v>0</v>
      </c>
      <c r="AU5312">
        <v>0</v>
      </c>
      <c r="AW5312">
        <v>0</v>
      </c>
      <c r="AX5312">
        <v>0</v>
      </c>
      <c r="AY5312">
        <v>0</v>
      </c>
      <c r="BC5312" t="str">
        <f t="shared" si="738"/>
        <v>9791137602915</v>
      </c>
      <c r="BE5312" t="str">
        <f t="shared" si="739"/>
        <v>판타지 웹소설 &gt; 퓨전 판타지</v>
      </c>
    </row>
    <row r="5313" spans="1:57" x14ac:dyDescent="0.3">
      <c r="A5313">
        <v>2313020594</v>
      </c>
      <c r="B5313">
        <v>2313020604</v>
      </c>
      <c r="C5313" t="str">
        <f>T("아카데미 속 궁술천재 11화")</f>
        <v>아카데미 속 궁술천재 11화</v>
      </c>
      <c r="D5313" t="str">
        <f>T("11")</f>
        <v>11</v>
      </c>
      <c r="E5313" t="str">
        <f t="shared" si="736"/>
        <v>깡펀치</v>
      </c>
      <c r="H5313" t="str">
        <f t="shared" si="735"/>
        <v>스토리위즈</v>
      </c>
      <c r="I5313" t="str">
        <f t="shared" si="737"/>
        <v>아카데미 속 궁술천재</v>
      </c>
      <c r="J5313">
        <v>0</v>
      </c>
      <c r="K5313">
        <v>0</v>
      </c>
      <c r="L5313">
        <v>0</v>
      </c>
      <c r="M5313">
        <v>123</v>
      </c>
      <c r="N5313">
        <v>0</v>
      </c>
      <c r="O5313">
        <v>0</v>
      </c>
      <c r="P5313">
        <v>50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173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/>
      <c r="AQ5313">
        <v>0</v>
      </c>
      <c r="AR5313">
        <v>0</v>
      </c>
      <c r="AT5313">
        <v>0</v>
      </c>
      <c r="AU5313">
        <v>0</v>
      </c>
      <c r="AW5313">
        <v>0</v>
      </c>
      <c r="AX5313">
        <v>0</v>
      </c>
      <c r="AY5313">
        <v>0</v>
      </c>
      <c r="BC5313" t="str">
        <f t="shared" si="738"/>
        <v>9791137602915</v>
      </c>
      <c r="BE5313" t="str">
        <f t="shared" si="739"/>
        <v>판타지 웹소설 &gt; 퓨전 판타지</v>
      </c>
    </row>
    <row r="5314" spans="1:57" x14ac:dyDescent="0.3">
      <c r="A5314">
        <v>2313020594</v>
      </c>
      <c r="B5314">
        <v>2313020605</v>
      </c>
      <c r="C5314" t="str">
        <f>T("아카데미 속 궁술천재 12화")</f>
        <v>아카데미 속 궁술천재 12화</v>
      </c>
      <c r="D5314" t="str">
        <f>T("12")</f>
        <v>12</v>
      </c>
      <c r="E5314" t="str">
        <f t="shared" si="736"/>
        <v>깡펀치</v>
      </c>
      <c r="H5314" t="str">
        <f t="shared" si="735"/>
        <v>스토리위즈</v>
      </c>
      <c r="I5314" t="str">
        <f t="shared" si="737"/>
        <v>아카데미 속 궁술천재</v>
      </c>
      <c r="J5314">
        <v>0</v>
      </c>
      <c r="K5314">
        <v>0</v>
      </c>
      <c r="L5314">
        <v>0</v>
      </c>
      <c r="M5314">
        <v>122</v>
      </c>
      <c r="N5314">
        <v>0</v>
      </c>
      <c r="O5314">
        <v>0</v>
      </c>
      <c r="P5314">
        <v>49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171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/>
      <c r="AQ5314">
        <v>0</v>
      </c>
      <c r="AR5314">
        <v>0</v>
      </c>
      <c r="AT5314">
        <v>0</v>
      </c>
      <c r="AU5314">
        <v>0</v>
      </c>
      <c r="AW5314">
        <v>0</v>
      </c>
      <c r="AX5314">
        <v>0</v>
      </c>
      <c r="AY5314">
        <v>0</v>
      </c>
      <c r="BC5314" t="str">
        <f t="shared" si="738"/>
        <v>9791137602915</v>
      </c>
      <c r="BE5314" t="str">
        <f t="shared" si="739"/>
        <v>판타지 웹소설 &gt; 퓨전 판타지</v>
      </c>
    </row>
    <row r="5315" spans="1:57" x14ac:dyDescent="0.3">
      <c r="A5315">
        <v>2313020594</v>
      </c>
      <c r="B5315">
        <v>2313020606</v>
      </c>
      <c r="C5315" t="str">
        <f>T("아카데미 속 궁술천재 13화")</f>
        <v>아카데미 속 궁술천재 13화</v>
      </c>
      <c r="D5315" t="str">
        <f>T("13")</f>
        <v>13</v>
      </c>
      <c r="E5315" t="str">
        <f t="shared" si="736"/>
        <v>깡펀치</v>
      </c>
      <c r="H5315" t="str">
        <f t="shared" si="735"/>
        <v>스토리위즈</v>
      </c>
      <c r="I5315" t="str">
        <f t="shared" si="737"/>
        <v>아카데미 속 궁술천재</v>
      </c>
      <c r="J5315">
        <v>0</v>
      </c>
      <c r="K5315">
        <v>0</v>
      </c>
      <c r="L5315">
        <v>0</v>
      </c>
      <c r="M5315">
        <v>116</v>
      </c>
      <c r="N5315">
        <v>0</v>
      </c>
      <c r="O5315">
        <v>0</v>
      </c>
      <c r="P5315">
        <v>49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165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/>
      <c r="AQ5315">
        <v>0</v>
      </c>
      <c r="AR5315">
        <v>0</v>
      </c>
      <c r="AT5315">
        <v>0</v>
      </c>
      <c r="AU5315">
        <v>0</v>
      </c>
      <c r="AW5315">
        <v>0</v>
      </c>
      <c r="AX5315">
        <v>0</v>
      </c>
      <c r="AY5315">
        <v>0</v>
      </c>
      <c r="BC5315" t="str">
        <f t="shared" si="738"/>
        <v>9791137602915</v>
      </c>
      <c r="BE5315" t="str">
        <f t="shared" si="739"/>
        <v>판타지 웹소설 &gt; 퓨전 판타지</v>
      </c>
    </row>
    <row r="5316" spans="1:57" x14ac:dyDescent="0.3">
      <c r="A5316">
        <v>2313020594</v>
      </c>
      <c r="B5316">
        <v>2313020607</v>
      </c>
      <c r="C5316" t="str">
        <f>T("아카데미 속 궁술천재 14화")</f>
        <v>아카데미 속 궁술천재 14화</v>
      </c>
      <c r="D5316" t="str">
        <f>T("14")</f>
        <v>14</v>
      </c>
      <c r="E5316" t="str">
        <f t="shared" si="736"/>
        <v>깡펀치</v>
      </c>
      <c r="H5316" t="str">
        <f t="shared" si="735"/>
        <v>스토리위즈</v>
      </c>
      <c r="I5316" t="str">
        <f t="shared" si="737"/>
        <v>아카데미 속 궁술천재</v>
      </c>
      <c r="J5316">
        <v>0</v>
      </c>
      <c r="K5316">
        <v>0</v>
      </c>
      <c r="L5316">
        <v>0</v>
      </c>
      <c r="M5316">
        <v>110</v>
      </c>
      <c r="N5316">
        <v>0</v>
      </c>
      <c r="O5316">
        <v>0</v>
      </c>
      <c r="P5316">
        <v>49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159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/>
      <c r="AQ5316">
        <v>0</v>
      </c>
      <c r="AR5316">
        <v>0</v>
      </c>
      <c r="AT5316">
        <v>0</v>
      </c>
      <c r="AU5316">
        <v>0</v>
      </c>
      <c r="AW5316">
        <v>0</v>
      </c>
      <c r="AX5316">
        <v>0</v>
      </c>
      <c r="AY5316">
        <v>0</v>
      </c>
      <c r="BC5316" t="str">
        <f t="shared" si="738"/>
        <v>9791137602915</v>
      </c>
      <c r="BE5316" t="str">
        <f t="shared" si="739"/>
        <v>판타지 웹소설 &gt; 퓨전 판타지</v>
      </c>
    </row>
    <row r="5317" spans="1:57" x14ac:dyDescent="0.3">
      <c r="A5317">
        <v>2313020594</v>
      </c>
      <c r="B5317">
        <v>2313020608</v>
      </c>
      <c r="C5317" t="str">
        <f>T("아카데미 속 궁술천재 15화")</f>
        <v>아카데미 속 궁술천재 15화</v>
      </c>
      <c r="D5317" t="str">
        <f>T("15")</f>
        <v>15</v>
      </c>
      <c r="E5317" t="str">
        <f t="shared" si="736"/>
        <v>깡펀치</v>
      </c>
      <c r="H5317" t="str">
        <f t="shared" si="735"/>
        <v>스토리위즈</v>
      </c>
      <c r="I5317" t="str">
        <f t="shared" si="737"/>
        <v>아카데미 속 궁술천재</v>
      </c>
      <c r="J5317">
        <v>0</v>
      </c>
      <c r="K5317">
        <v>0</v>
      </c>
      <c r="L5317">
        <v>0</v>
      </c>
      <c r="M5317">
        <v>108</v>
      </c>
      <c r="N5317">
        <v>0</v>
      </c>
      <c r="O5317">
        <v>0</v>
      </c>
      <c r="P5317">
        <v>47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155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/>
      <c r="AQ5317">
        <v>0</v>
      </c>
      <c r="AR5317">
        <v>0</v>
      </c>
      <c r="AT5317">
        <v>0</v>
      </c>
      <c r="AU5317">
        <v>0</v>
      </c>
      <c r="AW5317">
        <v>0</v>
      </c>
      <c r="AX5317">
        <v>0</v>
      </c>
      <c r="AY5317">
        <v>0</v>
      </c>
      <c r="BC5317" t="str">
        <f t="shared" si="738"/>
        <v>9791137602915</v>
      </c>
      <c r="BE5317" t="str">
        <f t="shared" si="739"/>
        <v>판타지 웹소설 &gt; 퓨전 판타지</v>
      </c>
    </row>
    <row r="5318" spans="1:57" x14ac:dyDescent="0.3">
      <c r="A5318">
        <v>2313020594</v>
      </c>
      <c r="B5318">
        <v>2313020609</v>
      </c>
      <c r="C5318" t="str">
        <f>T("아카데미 속 궁술천재 16화")</f>
        <v>아카데미 속 궁술천재 16화</v>
      </c>
      <c r="D5318" t="str">
        <f>T("16")</f>
        <v>16</v>
      </c>
      <c r="E5318" t="str">
        <f t="shared" si="736"/>
        <v>깡펀치</v>
      </c>
      <c r="H5318" t="str">
        <f t="shared" si="735"/>
        <v>스토리위즈</v>
      </c>
      <c r="I5318" t="str">
        <f t="shared" si="737"/>
        <v>아카데미 속 궁술천재</v>
      </c>
      <c r="J5318">
        <v>0</v>
      </c>
      <c r="K5318">
        <v>0</v>
      </c>
      <c r="L5318">
        <v>0</v>
      </c>
      <c r="M5318">
        <v>105</v>
      </c>
      <c r="N5318">
        <v>0</v>
      </c>
      <c r="O5318">
        <v>0</v>
      </c>
      <c r="P5318">
        <v>47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152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/>
      <c r="AQ5318">
        <v>0</v>
      </c>
      <c r="AR5318">
        <v>0</v>
      </c>
      <c r="AT5318">
        <v>0</v>
      </c>
      <c r="AU5318">
        <v>0</v>
      </c>
      <c r="AW5318">
        <v>0</v>
      </c>
      <c r="AX5318">
        <v>0</v>
      </c>
      <c r="AY5318">
        <v>0</v>
      </c>
      <c r="BC5318" t="str">
        <f t="shared" si="738"/>
        <v>9791137602915</v>
      </c>
      <c r="BE5318" t="str">
        <f t="shared" si="739"/>
        <v>판타지 웹소설 &gt; 퓨전 판타지</v>
      </c>
    </row>
    <row r="5319" spans="1:57" x14ac:dyDescent="0.3">
      <c r="A5319">
        <v>2313020594</v>
      </c>
      <c r="B5319">
        <v>2313020610</v>
      </c>
      <c r="C5319" t="str">
        <f>T("아카데미 속 궁술천재 17화")</f>
        <v>아카데미 속 궁술천재 17화</v>
      </c>
      <c r="D5319" t="str">
        <f>T("17")</f>
        <v>17</v>
      </c>
      <c r="E5319" t="str">
        <f t="shared" si="736"/>
        <v>깡펀치</v>
      </c>
      <c r="H5319" t="str">
        <f t="shared" si="735"/>
        <v>스토리위즈</v>
      </c>
      <c r="I5319" t="str">
        <f t="shared" si="737"/>
        <v>아카데미 속 궁술천재</v>
      </c>
      <c r="J5319">
        <v>0</v>
      </c>
      <c r="K5319">
        <v>0</v>
      </c>
      <c r="L5319">
        <v>0</v>
      </c>
      <c r="M5319">
        <v>103</v>
      </c>
      <c r="N5319">
        <v>0</v>
      </c>
      <c r="O5319">
        <v>0</v>
      </c>
      <c r="P5319">
        <v>47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150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/>
      <c r="AQ5319">
        <v>0</v>
      </c>
      <c r="AR5319">
        <v>0</v>
      </c>
      <c r="AT5319">
        <v>0</v>
      </c>
      <c r="AU5319">
        <v>0</v>
      </c>
      <c r="AW5319">
        <v>0</v>
      </c>
      <c r="AX5319">
        <v>0</v>
      </c>
      <c r="AY5319">
        <v>0</v>
      </c>
      <c r="BC5319" t="str">
        <f t="shared" si="738"/>
        <v>9791137602915</v>
      </c>
      <c r="BE5319" t="str">
        <f t="shared" si="739"/>
        <v>판타지 웹소설 &gt; 퓨전 판타지</v>
      </c>
    </row>
    <row r="5320" spans="1:57" x14ac:dyDescent="0.3">
      <c r="A5320">
        <v>2313020594</v>
      </c>
      <c r="B5320">
        <v>2313020611</v>
      </c>
      <c r="C5320" t="str">
        <f>T("아카데미 속 궁술천재 18화")</f>
        <v>아카데미 속 궁술천재 18화</v>
      </c>
      <c r="D5320" t="str">
        <f>T("18")</f>
        <v>18</v>
      </c>
      <c r="E5320" t="str">
        <f t="shared" si="736"/>
        <v>깡펀치</v>
      </c>
      <c r="H5320" t="str">
        <f t="shared" si="735"/>
        <v>스토리위즈</v>
      </c>
      <c r="I5320" t="str">
        <f t="shared" si="737"/>
        <v>아카데미 속 궁술천재</v>
      </c>
      <c r="J5320">
        <v>0</v>
      </c>
      <c r="K5320">
        <v>0</v>
      </c>
      <c r="L5320">
        <v>0</v>
      </c>
      <c r="M5320">
        <v>101</v>
      </c>
      <c r="N5320">
        <v>0</v>
      </c>
      <c r="O5320">
        <v>0</v>
      </c>
      <c r="P5320">
        <v>47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148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/>
      <c r="AQ5320">
        <v>0</v>
      </c>
      <c r="AR5320">
        <v>0</v>
      </c>
      <c r="AT5320">
        <v>0</v>
      </c>
      <c r="AU5320">
        <v>0</v>
      </c>
      <c r="AW5320">
        <v>0</v>
      </c>
      <c r="AX5320">
        <v>0</v>
      </c>
      <c r="AY5320">
        <v>0</v>
      </c>
      <c r="BC5320" t="str">
        <f t="shared" si="738"/>
        <v>9791137602915</v>
      </c>
      <c r="BE5320" t="str">
        <f t="shared" si="739"/>
        <v>판타지 웹소설 &gt; 퓨전 판타지</v>
      </c>
    </row>
    <row r="5321" spans="1:57" x14ac:dyDescent="0.3">
      <c r="A5321">
        <v>2313020594</v>
      </c>
      <c r="B5321">
        <v>2313020612</v>
      </c>
      <c r="C5321" t="str">
        <f>T("아카데미 속 궁술천재 19화")</f>
        <v>아카데미 속 궁술천재 19화</v>
      </c>
      <c r="D5321" t="str">
        <f>T("19")</f>
        <v>19</v>
      </c>
      <c r="E5321" t="str">
        <f t="shared" si="736"/>
        <v>깡펀치</v>
      </c>
      <c r="H5321" t="str">
        <f t="shared" si="735"/>
        <v>스토리위즈</v>
      </c>
      <c r="I5321" t="str">
        <f t="shared" si="737"/>
        <v>아카데미 속 궁술천재</v>
      </c>
      <c r="J5321">
        <v>0</v>
      </c>
      <c r="K5321">
        <v>0</v>
      </c>
      <c r="L5321">
        <v>0</v>
      </c>
      <c r="M5321">
        <v>100</v>
      </c>
      <c r="N5321">
        <v>0</v>
      </c>
      <c r="O5321">
        <v>0</v>
      </c>
      <c r="P5321">
        <v>47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147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/>
      <c r="AQ5321">
        <v>0</v>
      </c>
      <c r="AR5321">
        <v>0</v>
      </c>
      <c r="AT5321">
        <v>0</v>
      </c>
      <c r="AU5321">
        <v>0</v>
      </c>
      <c r="AW5321">
        <v>0</v>
      </c>
      <c r="AX5321">
        <v>0</v>
      </c>
      <c r="AY5321">
        <v>0</v>
      </c>
      <c r="BC5321" t="str">
        <f t="shared" si="738"/>
        <v>9791137602915</v>
      </c>
      <c r="BE5321" t="str">
        <f t="shared" si="739"/>
        <v>판타지 웹소설 &gt; 퓨전 판타지</v>
      </c>
    </row>
    <row r="5322" spans="1:57" x14ac:dyDescent="0.3">
      <c r="A5322">
        <v>2313020594</v>
      </c>
      <c r="B5322">
        <v>2313020613</v>
      </c>
      <c r="C5322" t="str">
        <f>T("아카데미 속 궁술천재 20화")</f>
        <v>아카데미 속 궁술천재 20화</v>
      </c>
      <c r="D5322" t="str">
        <f>T("20")</f>
        <v>20</v>
      </c>
      <c r="E5322" t="str">
        <f t="shared" si="736"/>
        <v>깡펀치</v>
      </c>
      <c r="H5322" t="str">
        <f t="shared" si="735"/>
        <v>스토리위즈</v>
      </c>
      <c r="I5322" t="str">
        <f t="shared" si="737"/>
        <v>아카데미 속 궁술천재</v>
      </c>
      <c r="J5322">
        <v>0</v>
      </c>
      <c r="K5322">
        <v>0</v>
      </c>
      <c r="L5322">
        <v>0</v>
      </c>
      <c r="M5322">
        <v>101</v>
      </c>
      <c r="N5322">
        <v>0</v>
      </c>
      <c r="O5322">
        <v>0</v>
      </c>
      <c r="P5322">
        <v>47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148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/>
      <c r="AQ5322">
        <v>0</v>
      </c>
      <c r="AR5322">
        <v>0</v>
      </c>
      <c r="AT5322">
        <v>0</v>
      </c>
      <c r="AU5322">
        <v>0</v>
      </c>
      <c r="AW5322">
        <v>0</v>
      </c>
      <c r="AX5322">
        <v>0</v>
      </c>
      <c r="AY5322">
        <v>0</v>
      </c>
      <c r="BC5322" t="str">
        <f t="shared" si="738"/>
        <v>9791137602915</v>
      </c>
      <c r="BE5322" t="str">
        <f t="shared" si="739"/>
        <v>판타지 웹소설 &gt; 퓨전 판타지</v>
      </c>
    </row>
    <row r="5323" spans="1:57" x14ac:dyDescent="0.3">
      <c r="A5323">
        <v>2313020594</v>
      </c>
      <c r="B5323">
        <v>2313020614</v>
      </c>
      <c r="C5323" t="str">
        <f>T("아카데미 속 궁술천재 21화")</f>
        <v>아카데미 속 궁술천재 21화</v>
      </c>
      <c r="D5323" t="str">
        <f>T("21")</f>
        <v>21</v>
      </c>
      <c r="E5323" t="str">
        <f t="shared" si="736"/>
        <v>깡펀치</v>
      </c>
      <c r="H5323" t="str">
        <f t="shared" si="735"/>
        <v>스토리위즈</v>
      </c>
      <c r="I5323" t="str">
        <f t="shared" si="737"/>
        <v>아카데미 속 궁술천재</v>
      </c>
      <c r="J5323">
        <v>0</v>
      </c>
      <c r="K5323">
        <v>0</v>
      </c>
      <c r="L5323">
        <v>0</v>
      </c>
      <c r="M5323">
        <v>94</v>
      </c>
      <c r="N5323">
        <v>0</v>
      </c>
      <c r="O5323">
        <v>0</v>
      </c>
      <c r="P5323">
        <v>47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141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/>
      <c r="AQ5323">
        <v>0</v>
      </c>
      <c r="AR5323">
        <v>0</v>
      </c>
      <c r="AT5323">
        <v>0</v>
      </c>
      <c r="AU5323">
        <v>0</v>
      </c>
      <c r="AW5323">
        <v>0</v>
      </c>
      <c r="AX5323">
        <v>0</v>
      </c>
      <c r="AY5323">
        <v>0</v>
      </c>
      <c r="BC5323" t="str">
        <f t="shared" si="738"/>
        <v>9791137602915</v>
      </c>
      <c r="BE5323" t="str">
        <f t="shared" si="739"/>
        <v>판타지 웹소설 &gt; 퓨전 판타지</v>
      </c>
    </row>
    <row r="5324" spans="1:57" x14ac:dyDescent="0.3">
      <c r="A5324">
        <v>2313020594</v>
      </c>
      <c r="B5324">
        <v>2313020615</v>
      </c>
      <c r="C5324" t="str">
        <f>T("아카데미 속 궁술천재 22화")</f>
        <v>아카데미 속 궁술천재 22화</v>
      </c>
      <c r="D5324" t="str">
        <f>T("22")</f>
        <v>22</v>
      </c>
      <c r="E5324" t="str">
        <f t="shared" si="736"/>
        <v>깡펀치</v>
      </c>
      <c r="H5324" t="str">
        <f t="shared" si="735"/>
        <v>스토리위즈</v>
      </c>
      <c r="I5324" t="str">
        <f t="shared" si="737"/>
        <v>아카데미 속 궁술천재</v>
      </c>
      <c r="J5324">
        <v>0</v>
      </c>
      <c r="K5324">
        <v>0</v>
      </c>
      <c r="L5324">
        <v>0</v>
      </c>
      <c r="M5324">
        <v>90</v>
      </c>
      <c r="N5324">
        <v>0</v>
      </c>
      <c r="O5324">
        <v>0</v>
      </c>
      <c r="P5324">
        <v>49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139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/>
      <c r="AQ5324">
        <v>0</v>
      </c>
      <c r="AR5324">
        <v>0</v>
      </c>
      <c r="AT5324">
        <v>0</v>
      </c>
      <c r="AU5324">
        <v>0</v>
      </c>
      <c r="AW5324">
        <v>0</v>
      </c>
      <c r="AX5324">
        <v>0</v>
      </c>
      <c r="AY5324">
        <v>0</v>
      </c>
      <c r="BC5324" t="str">
        <f t="shared" si="738"/>
        <v>9791137602915</v>
      </c>
      <c r="BE5324" t="str">
        <f t="shared" si="739"/>
        <v>판타지 웹소설 &gt; 퓨전 판타지</v>
      </c>
    </row>
    <row r="5325" spans="1:57" x14ac:dyDescent="0.3">
      <c r="A5325">
        <v>2313020594</v>
      </c>
      <c r="B5325">
        <v>2313020616</v>
      </c>
      <c r="C5325" t="str">
        <f>T("아카데미 속 궁술천재 23화")</f>
        <v>아카데미 속 궁술천재 23화</v>
      </c>
      <c r="D5325" t="str">
        <f>T("23")</f>
        <v>23</v>
      </c>
      <c r="E5325" t="str">
        <f t="shared" si="736"/>
        <v>깡펀치</v>
      </c>
      <c r="H5325" t="str">
        <f t="shared" si="735"/>
        <v>스토리위즈</v>
      </c>
      <c r="I5325" t="str">
        <f t="shared" si="737"/>
        <v>아카데미 속 궁술천재</v>
      </c>
      <c r="J5325">
        <v>0</v>
      </c>
      <c r="K5325">
        <v>0</v>
      </c>
      <c r="L5325">
        <v>0</v>
      </c>
      <c r="M5325">
        <v>84</v>
      </c>
      <c r="N5325">
        <v>0</v>
      </c>
      <c r="O5325">
        <v>0</v>
      </c>
      <c r="P5325">
        <v>49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133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/>
      <c r="AQ5325">
        <v>0</v>
      </c>
      <c r="AR5325">
        <v>0</v>
      </c>
      <c r="AT5325">
        <v>0</v>
      </c>
      <c r="AU5325">
        <v>0</v>
      </c>
      <c r="AW5325">
        <v>0</v>
      </c>
      <c r="AX5325">
        <v>0</v>
      </c>
      <c r="AY5325">
        <v>0</v>
      </c>
      <c r="BC5325" t="str">
        <f t="shared" si="738"/>
        <v>9791137602915</v>
      </c>
      <c r="BE5325" t="str">
        <f t="shared" si="739"/>
        <v>판타지 웹소설 &gt; 퓨전 판타지</v>
      </c>
    </row>
    <row r="5326" spans="1:57" x14ac:dyDescent="0.3">
      <c r="A5326">
        <v>2313020594</v>
      </c>
      <c r="B5326">
        <v>2313020617</v>
      </c>
      <c r="C5326" t="str">
        <f>T("아카데미 속 궁술천재 24화")</f>
        <v>아카데미 속 궁술천재 24화</v>
      </c>
      <c r="D5326" t="str">
        <f>T("24")</f>
        <v>24</v>
      </c>
      <c r="E5326" t="str">
        <f t="shared" si="736"/>
        <v>깡펀치</v>
      </c>
      <c r="H5326" t="str">
        <f t="shared" si="735"/>
        <v>스토리위즈</v>
      </c>
      <c r="I5326" t="str">
        <f t="shared" si="737"/>
        <v>아카데미 속 궁술천재</v>
      </c>
      <c r="J5326">
        <v>0</v>
      </c>
      <c r="K5326">
        <v>0</v>
      </c>
      <c r="L5326">
        <v>0</v>
      </c>
      <c r="M5326">
        <v>77</v>
      </c>
      <c r="N5326">
        <v>0</v>
      </c>
      <c r="O5326">
        <v>0</v>
      </c>
      <c r="P5326">
        <v>48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125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/>
      <c r="AQ5326">
        <v>0</v>
      </c>
      <c r="AR5326">
        <v>0</v>
      </c>
      <c r="AT5326">
        <v>0</v>
      </c>
      <c r="AU5326">
        <v>0</v>
      </c>
      <c r="AW5326">
        <v>0</v>
      </c>
      <c r="AX5326">
        <v>0</v>
      </c>
      <c r="AY5326">
        <v>0</v>
      </c>
      <c r="BC5326" t="str">
        <f t="shared" si="738"/>
        <v>9791137602915</v>
      </c>
      <c r="BE5326" t="str">
        <f t="shared" si="739"/>
        <v>판타지 웹소설 &gt; 퓨전 판타지</v>
      </c>
    </row>
    <row r="5327" spans="1:57" x14ac:dyDescent="0.3">
      <c r="A5327">
        <v>2313020594</v>
      </c>
      <c r="B5327">
        <v>2313020618</v>
      </c>
      <c r="C5327" t="str">
        <f>T("아카데미 속 궁술천재 25화")</f>
        <v>아카데미 속 궁술천재 25화</v>
      </c>
      <c r="D5327" t="str">
        <f>T("25")</f>
        <v>25</v>
      </c>
      <c r="E5327" t="str">
        <f t="shared" si="736"/>
        <v>깡펀치</v>
      </c>
      <c r="H5327" t="str">
        <f t="shared" si="735"/>
        <v>스토리위즈</v>
      </c>
      <c r="I5327" t="str">
        <f t="shared" si="737"/>
        <v>아카데미 속 궁술천재</v>
      </c>
      <c r="J5327">
        <v>0</v>
      </c>
      <c r="K5327">
        <v>0</v>
      </c>
      <c r="L5327">
        <v>0</v>
      </c>
      <c r="M5327">
        <v>77</v>
      </c>
      <c r="N5327">
        <v>0</v>
      </c>
      <c r="O5327">
        <v>0</v>
      </c>
      <c r="P5327">
        <v>49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126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/>
      <c r="AQ5327">
        <v>0</v>
      </c>
      <c r="AR5327">
        <v>0</v>
      </c>
      <c r="AT5327">
        <v>0</v>
      </c>
      <c r="AU5327">
        <v>0</v>
      </c>
      <c r="AW5327">
        <v>0</v>
      </c>
      <c r="AX5327">
        <v>0</v>
      </c>
      <c r="AY5327">
        <v>0</v>
      </c>
      <c r="BC5327" t="str">
        <f t="shared" si="738"/>
        <v>9791137602915</v>
      </c>
      <c r="BE5327" t="str">
        <f t="shared" si="739"/>
        <v>판타지 웹소설 &gt; 퓨전 판타지</v>
      </c>
    </row>
    <row r="5328" spans="1:57" x14ac:dyDescent="0.3">
      <c r="A5328">
        <v>2313020594</v>
      </c>
      <c r="B5328">
        <v>2313020619</v>
      </c>
      <c r="C5328" t="str">
        <f>T("아카데미 속 궁술천재 26화")</f>
        <v>아카데미 속 궁술천재 26화</v>
      </c>
      <c r="D5328" t="str">
        <f>T("26")</f>
        <v>26</v>
      </c>
      <c r="E5328" t="str">
        <f t="shared" si="736"/>
        <v>깡펀치</v>
      </c>
      <c r="H5328" t="str">
        <f t="shared" si="735"/>
        <v>스토리위즈</v>
      </c>
      <c r="I5328" t="str">
        <f t="shared" si="737"/>
        <v>아카데미 속 궁술천재</v>
      </c>
      <c r="J5328">
        <v>100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119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119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/>
      <c r="AQ5328">
        <v>0</v>
      </c>
      <c r="AR5328">
        <v>0</v>
      </c>
      <c r="AT5328">
        <v>0</v>
      </c>
      <c r="AU5328">
        <v>0</v>
      </c>
      <c r="AW5328">
        <v>0</v>
      </c>
      <c r="AX5328">
        <v>0</v>
      </c>
      <c r="AY5328">
        <v>0</v>
      </c>
      <c r="BC5328" t="str">
        <f t="shared" si="738"/>
        <v>9791137602915</v>
      </c>
      <c r="BE5328" t="str">
        <f t="shared" si="739"/>
        <v>판타지 웹소설 &gt; 퓨전 판타지</v>
      </c>
    </row>
    <row r="5329" spans="1:57" x14ac:dyDescent="0.3">
      <c r="A5329">
        <v>2313020594</v>
      </c>
      <c r="B5329">
        <v>2313020621</v>
      </c>
      <c r="C5329" t="str">
        <f>T("아카데미 속 궁술천재 28화")</f>
        <v>아카데미 속 궁술천재 28화</v>
      </c>
      <c r="D5329" t="str">
        <f>T("28")</f>
        <v>28</v>
      </c>
      <c r="E5329" t="str">
        <f t="shared" si="736"/>
        <v>깡펀치</v>
      </c>
      <c r="H5329" t="str">
        <f t="shared" si="735"/>
        <v>스토리위즈</v>
      </c>
      <c r="I5329" t="str">
        <f t="shared" si="737"/>
        <v>아카데미 속 궁술천재</v>
      </c>
      <c r="J5329">
        <v>100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113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113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/>
      <c r="AQ5329">
        <v>0</v>
      </c>
      <c r="AR5329">
        <v>0</v>
      </c>
      <c r="AT5329">
        <v>0</v>
      </c>
      <c r="AU5329">
        <v>0</v>
      </c>
      <c r="AW5329">
        <v>0</v>
      </c>
      <c r="AX5329">
        <v>0</v>
      </c>
      <c r="AY5329">
        <v>0</v>
      </c>
      <c r="BC5329" t="str">
        <f t="shared" si="738"/>
        <v>9791137602915</v>
      </c>
      <c r="BE5329" t="str">
        <f t="shared" si="739"/>
        <v>판타지 웹소설 &gt; 퓨전 판타지</v>
      </c>
    </row>
    <row r="5330" spans="1:57" x14ac:dyDescent="0.3">
      <c r="A5330">
        <v>2313020594</v>
      </c>
      <c r="B5330">
        <v>2313020622</v>
      </c>
      <c r="C5330" t="str">
        <f>T("아카데미 속 궁술천재 29화")</f>
        <v>아카데미 속 궁술천재 29화</v>
      </c>
      <c r="D5330" t="str">
        <f>T("29")</f>
        <v>29</v>
      </c>
      <c r="E5330" t="str">
        <f t="shared" si="736"/>
        <v>깡펀치</v>
      </c>
      <c r="H5330" t="str">
        <f t="shared" si="735"/>
        <v>스토리위즈</v>
      </c>
      <c r="I5330" t="str">
        <f t="shared" si="737"/>
        <v>아카데미 속 궁술천재</v>
      </c>
      <c r="J5330">
        <v>100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110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110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/>
      <c r="AQ5330">
        <v>0</v>
      </c>
      <c r="AR5330">
        <v>0</v>
      </c>
      <c r="AT5330">
        <v>0</v>
      </c>
      <c r="AU5330">
        <v>0</v>
      </c>
      <c r="AW5330">
        <v>0</v>
      </c>
      <c r="AX5330">
        <v>0</v>
      </c>
      <c r="AY5330">
        <v>0</v>
      </c>
      <c r="BC5330" t="str">
        <f t="shared" si="738"/>
        <v>9791137602915</v>
      </c>
      <c r="BE5330" t="str">
        <f t="shared" si="739"/>
        <v>판타지 웹소설 &gt; 퓨전 판타지</v>
      </c>
    </row>
    <row r="5331" spans="1:57" x14ac:dyDescent="0.3">
      <c r="A5331">
        <v>2313020594</v>
      </c>
      <c r="B5331">
        <v>2313020623</v>
      </c>
      <c r="C5331" t="str">
        <f>T("아카데미 속 궁술천재 30화")</f>
        <v>아카데미 속 궁술천재 30화</v>
      </c>
      <c r="D5331" t="str">
        <f>T("30")</f>
        <v>30</v>
      </c>
      <c r="E5331" t="str">
        <f t="shared" si="736"/>
        <v>깡펀치</v>
      </c>
      <c r="H5331" t="str">
        <f t="shared" si="735"/>
        <v>스토리위즈</v>
      </c>
      <c r="I5331" t="str">
        <f t="shared" si="737"/>
        <v>아카데미 속 궁술천재</v>
      </c>
      <c r="J5331">
        <v>100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111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111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/>
      <c r="AQ5331">
        <v>0</v>
      </c>
      <c r="AR5331">
        <v>0</v>
      </c>
      <c r="AT5331">
        <v>0</v>
      </c>
      <c r="AU5331">
        <v>0</v>
      </c>
      <c r="AW5331">
        <v>0</v>
      </c>
      <c r="AX5331">
        <v>0</v>
      </c>
      <c r="AY5331">
        <v>0</v>
      </c>
      <c r="BC5331" t="str">
        <f t="shared" si="738"/>
        <v>9791137602915</v>
      </c>
      <c r="BE5331" t="str">
        <f t="shared" si="739"/>
        <v>판타지 웹소설 &gt; 퓨전 판타지</v>
      </c>
    </row>
    <row r="5332" spans="1:57" x14ac:dyDescent="0.3">
      <c r="A5332">
        <v>2313020594</v>
      </c>
      <c r="B5332">
        <v>2313020635</v>
      </c>
      <c r="C5332" t="str">
        <f>T("아카데미 속 궁술천재 42화")</f>
        <v>아카데미 속 궁술천재 42화</v>
      </c>
      <c r="D5332" t="str">
        <f>T("42")</f>
        <v>42</v>
      </c>
      <c r="E5332" t="str">
        <f t="shared" si="736"/>
        <v>깡펀치</v>
      </c>
      <c r="H5332" t="str">
        <f t="shared" si="735"/>
        <v>스토리위즈</v>
      </c>
      <c r="I5332" t="str">
        <f t="shared" si="737"/>
        <v>아카데미 속 궁술천재</v>
      </c>
      <c r="J5332">
        <v>100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103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103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/>
      <c r="AQ5332">
        <v>0</v>
      </c>
      <c r="AR5332">
        <v>0</v>
      </c>
      <c r="AT5332">
        <v>0</v>
      </c>
      <c r="AU5332">
        <v>0</v>
      </c>
      <c r="AW5332">
        <v>0</v>
      </c>
      <c r="AX5332">
        <v>0</v>
      </c>
      <c r="AY5332">
        <v>0</v>
      </c>
      <c r="BC5332" t="str">
        <f t="shared" si="738"/>
        <v>9791137602915</v>
      </c>
      <c r="BE5332" t="str">
        <f t="shared" si="739"/>
        <v>판타지 웹소설 &gt; 퓨전 판타지</v>
      </c>
    </row>
    <row r="5333" spans="1:57" x14ac:dyDescent="0.3">
      <c r="A5333">
        <v>2313020594</v>
      </c>
      <c r="B5333">
        <v>2313020636</v>
      </c>
      <c r="C5333" t="str">
        <f>T("아카데미 속 궁술천재 43화")</f>
        <v>아카데미 속 궁술천재 43화</v>
      </c>
      <c r="D5333" t="str">
        <f>T("43")</f>
        <v>43</v>
      </c>
      <c r="E5333" t="str">
        <f t="shared" si="736"/>
        <v>깡펀치</v>
      </c>
      <c r="H5333" t="str">
        <f t="shared" si="735"/>
        <v>스토리위즈</v>
      </c>
      <c r="I5333" t="str">
        <f t="shared" si="737"/>
        <v>아카데미 속 궁술천재</v>
      </c>
      <c r="J5333">
        <v>100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102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102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/>
      <c r="AQ5333">
        <v>0</v>
      </c>
      <c r="AR5333">
        <v>0</v>
      </c>
      <c r="AT5333">
        <v>0</v>
      </c>
      <c r="AU5333">
        <v>0</v>
      </c>
      <c r="AW5333">
        <v>0</v>
      </c>
      <c r="AX5333">
        <v>0</v>
      </c>
      <c r="AY5333">
        <v>0</v>
      </c>
      <c r="BC5333" t="str">
        <f t="shared" si="738"/>
        <v>9791137602915</v>
      </c>
      <c r="BE5333" t="str">
        <f t="shared" si="739"/>
        <v>판타지 웹소설 &gt; 퓨전 판타지</v>
      </c>
    </row>
    <row r="5334" spans="1:57" x14ac:dyDescent="0.3">
      <c r="A5334">
        <v>2313020594</v>
      </c>
      <c r="B5334">
        <v>2313020637</v>
      </c>
      <c r="C5334" t="str">
        <f>T("아카데미 속 궁술천재 44화")</f>
        <v>아카데미 속 궁술천재 44화</v>
      </c>
      <c r="D5334" t="str">
        <f>T("44")</f>
        <v>44</v>
      </c>
      <c r="E5334" t="str">
        <f t="shared" si="736"/>
        <v>깡펀치</v>
      </c>
      <c r="H5334" t="str">
        <f t="shared" si="735"/>
        <v>스토리위즈</v>
      </c>
      <c r="I5334" t="str">
        <f t="shared" si="737"/>
        <v>아카데미 속 궁술천재</v>
      </c>
      <c r="J5334">
        <v>100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100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100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/>
      <c r="AQ5334">
        <v>0</v>
      </c>
      <c r="AR5334">
        <v>0</v>
      </c>
      <c r="AT5334">
        <v>0</v>
      </c>
      <c r="AU5334">
        <v>0</v>
      </c>
      <c r="AW5334">
        <v>0</v>
      </c>
      <c r="AX5334">
        <v>0</v>
      </c>
      <c r="AY5334">
        <v>0</v>
      </c>
      <c r="BC5334" t="str">
        <f t="shared" si="738"/>
        <v>9791137602915</v>
      </c>
      <c r="BE5334" t="str">
        <f t="shared" si="739"/>
        <v>판타지 웹소설 &gt; 퓨전 판타지</v>
      </c>
    </row>
    <row r="5335" spans="1:57" x14ac:dyDescent="0.3">
      <c r="A5335">
        <v>2313020594</v>
      </c>
      <c r="B5335">
        <v>2313020638</v>
      </c>
      <c r="C5335" t="str">
        <f>T("아카데미 속 궁술천재 45화")</f>
        <v>아카데미 속 궁술천재 45화</v>
      </c>
      <c r="D5335" t="str">
        <f>T("45")</f>
        <v>45</v>
      </c>
      <c r="E5335" t="str">
        <f t="shared" si="736"/>
        <v>깡펀치</v>
      </c>
      <c r="H5335" t="str">
        <f t="shared" si="735"/>
        <v>스토리위즈</v>
      </c>
      <c r="I5335" t="str">
        <f t="shared" si="737"/>
        <v>아카데미 속 궁술천재</v>
      </c>
      <c r="J5335">
        <v>100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100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100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/>
      <c r="AQ5335">
        <v>0</v>
      </c>
      <c r="AR5335">
        <v>0</v>
      </c>
      <c r="AT5335">
        <v>0</v>
      </c>
      <c r="AU5335">
        <v>0</v>
      </c>
      <c r="AW5335">
        <v>0</v>
      </c>
      <c r="AX5335">
        <v>0</v>
      </c>
      <c r="AY5335">
        <v>0</v>
      </c>
      <c r="BC5335" t="str">
        <f t="shared" si="738"/>
        <v>9791137602915</v>
      </c>
      <c r="BE5335" t="str">
        <f t="shared" si="739"/>
        <v>판타지 웹소설 &gt; 퓨전 판타지</v>
      </c>
    </row>
    <row r="5336" spans="1:57" x14ac:dyDescent="0.3">
      <c r="A5336">
        <v>2313020594</v>
      </c>
      <c r="B5336">
        <v>2313020639</v>
      </c>
      <c r="C5336" t="str">
        <f>T("아카데미 속 궁술천재 46화")</f>
        <v>아카데미 속 궁술천재 46화</v>
      </c>
      <c r="D5336" t="str">
        <f>T("46")</f>
        <v>46</v>
      </c>
      <c r="E5336" t="str">
        <f t="shared" si="736"/>
        <v>깡펀치</v>
      </c>
      <c r="H5336" t="str">
        <f t="shared" si="735"/>
        <v>스토리위즈</v>
      </c>
      <c r="I5336" t="str">
        <f t="shared" si="737"/>
        <v>아카데미 속 궁술천재</v>
      </c>
      <c r="J5336">
        <v>100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99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99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/>
      <c r="AQ5336">
        <v>0</v>
      </c>
      <c r="AR5336">
        <v>0</v>
      </c>
      <c r="AT5336">
        <v>0</v>
      </c>
      <c r="AU5336">
        <v>0</v>
      </c>
      <c r="AW5336">
        <v>0</v>
      </c>
      <c r="AX5336">
        <v>0</v>
      </c>
      <c r="AY5336">
        <v>0</v>
      </c>
      <c r="BC5336" t="str">
        <f t="shared" si="738"/>
        <v>9791137602915</v>
      </c>
      <c r="BE5336" t="str">
        <f t="shared" si="739"/>
        <v>판타지 웹소설 &gt; 퓨전 판타지</v>
      </c>
    </row>
    <row r="5337" spans="1:57" x14ac:dyDescent="0.3">
      <c r="A5337">
        <v>2313020594</v>
      </c>
      <c r="B5337">
        <v>2313020640</v>
      </c>
      <c r="C5337" t="str">
        <f>T("아카데미 속 궁술천재 47화")</f>
        <v>아카데미 속 궁술천재 47화</v>
      </c>
      <c r="D5337" t="str">
        <f>T("47")</f>
        <v>47</v>
      </c>
      <c r="E5337" t="str">
        <f t="shared" si="736"/>
        <v>깡펀치</v>
      </c>
      <c r="H5337" t="str">
        <f t="shared" si="735"/>
        <v>스토리위즈</v>
      </c>
      <c r="I5337" t="str">
        <f t="shared" si="737"/>
        <v>아카데미 속 궁술천재</v>
      </c>
      <c r="J5337">
        <v>100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97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97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/>
      <c r="AQ5337">
        <v>0</v>
      </c>
      <c r="AR5337">
        <v>0</v>
      </c>
      <c r="AT5337">
        <v>0</v>
      </c>
      <c r="AU5337">
        <v>0</v>
      </c>
      <c r="AW5337">
        <v>0</v>
      </c>
      <c r="AX5337">
        <v>0</v>
      </c>
      <c r="AY5337">
        <v>0</v>
      </c>
      <c r="BC5337" t="str">
        <f t="shared" si="738"/>
        <v>9791137602915</v>
      </c>
      <c r="BE5337" t="str">
        <f t="shared" si="739"/>
        <v>판타지 웹소설 &gt; 퓨전 판타지</v>
      </c>
    </row>
    <row r="5338" spans="1:57" x14ac:dyDescent="0.3">
      <c r="A5338">
        <v>2313020594</v>
      </c>
      <c r="B5338">
        <v>2313020641</v>
      </c>
      <c r="C5338" t="str">
        <f>T("아카데미 속 궁술천재 48화")</f>
        <v>아카데미 속 궁술천재 48화</v>
      </c>
      <c r="D5338" t="str">
        <f>T("48")</f>
        <v>48</v>
      </c>
      <c r="E5338" t="str">
        <f t="shared" si="736"/>
        <v>깡펀치</v>
      </c>
      <c r="H5338" t="str">
        <f t="shared" si="735"/>
        <v>스토리위즈</v>
      </c>
      <c r="I5338" t="str">
        <f t="shared" si="737"/>
        <v>아카데미 속 궁술천재</v>
      </c>
      <c r="J5338">
        <v>100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101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101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/>
      <c r="AQ5338">
        <v>0</v>
      </c>
      <c r="AR5338">
        <v>0</v>
      </c>
      <c r="AT5338">
        <v>0</v>
      </c>
      <c r="AU5338">
        <v>0</v>
      </c>
      <c r="AW5338">
        <v>0</v>
      </c>
      <c r="AX5338">
        <v>0</v>
      </c>
      <c r="AY5338">
        <v>0</v>
      </c>
      <c r="BC5338" t="str">
        <f t="shared" si="738"/>
        <v>9791137602915</v>
      </c>
      <c r="BE5338" t="str">
        <f t="shared" si="739"/>
        <v>판타지 웹소설 &gt; 퓨전 판타지</v>
      </c>
    </row>
    <row r="5339" spans="1:57" x14ac:dyDescent="0.3">
      <c r="A5339">
        <v>2313020594</v>
      </c>
      <c r="B5339">
        <v>2313020642</v>
      </c>
      <c r="C5339" t="str">
        <f>T("아카데미 속 궁술천재 49화")</f>
        <v>아카데미 속 궁술천재 49화</v>
      </c>
      <c r="D5339" t="str">
        <f>T("49")</f>
        <v>49</v>
      </c>
      <c r="E5339" t="str">
        <f t="shared" si="736"/>
        <v>깡펀치</v>
      </c>
      <c r="H5339" t="str">
        <f t="shared" si="735"/>
        <v>스토리위즈</v>
      </c>
      <c r="I5339" t="str">
        <f t="shared" si="737"/>
        <v>아카데미 속 궁술천재</v>
      </c>
      <c r="J5339">
        <v>100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100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100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/>
      <c r="AQ5339">
        <v>0</v>
      </c>
      <c r="AR5339">
        <v>0</v>
      </c>
      <c r="AT5339">
        <v>0</v>
      </c>
      <c r="AU5339">
        <v>0</v>
      </c>
      <c r="AW5339">
        <v>0</v>
      </c>
      <c r="AX5339">
        <v>0</v>
      </c>
      <c r="AY5339">
        <v>0</v>
      </c>
      <c r="BC5339" t="str">
        <f t="shared" si="738"/>
        <v>9791137602915</v>
      </c>
      <c r="BE5339" t="str">
        <f t="shared" si="739"/>
        <v>판타지 웹소설 &gt; 퓨전 판타지</v>
      </c>
    </row>
    <row r="5340" spans="1:57" x14ac:dyDescent="0.3">
      <c r="A5340">
        <v>2313020594</v>
      </c>
      <c r="B5340">
        <v>2313020643</v>
      </c>
      <c r="C5340" t="str">
        <f>T("아카데미 속 궁술천재 50화")</f>
        <v>아카데미 속 궁술천재 50화</v>
      </c>
      <c r="D5340" t="str">
        <f>T("50")</f>
        <v>50</v>
      </c>
      <c r="E5340" t="str">
        <f t="shared" si="736"/>
        <v>깡펀치</v>
      </c>
      <c r="H5340" t="str">
        <f t="shared" si="735"/>
        <v>스토리위즈</v>
      </c>
      <c r="I5340" t="str">
        <f t="shared" si="737"/>
        <v>아카데미 속 궁술천재</v>
      </c>
      <c r="J5340">
        <v>100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105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105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/>
      <c r="AQ5340">
        <v>0</v>
      </c>
      <c r="AR5340">
        <v>0</v>
      </c>
      <c r="AT5340">
        <v>0</v>
      </c>
      <c r="AU5340">
        <v>0</v>
      </c>
      <c r="AW5340">
        <v>0</v>
      </c>
      <c r="AX5340">
        <v>0</v>
      </c>
      <c r="AY5340">
        <v>0</v>
      </c>
      <c r="BC5340" t="str">
        <f t="shared" si="738"/>
        <v>9791137602915</v>
      </c>
      <c r="BE5340" t="str">
        <f t="shared" si="739"/>
        <v>판타지 웹소설 &gt; 퓨전 판타지</v>
      </c>
    </row>
    <row r="5341" spans="1:57" x14ac:dyDescent="0.3">
      <c r="A5341">
        <v>2313020794</v>
      </c>
      <c r="B5341">
        <v>2313020794</v>
      </c>
      <c r="C5341" t="str">
        <f>T("혐오 만세 1화")</f>
        <v>혐오 만세 1화</v>
      </c>
      <c r="D5341" t="str">
        <f>T("1")</f>
        <v>1</v>
      </c>
      <c r="E5341" t="str">
        <f>T("아르곤18")</f>
        <v>아르곤18</v>
      </c>
      <c r="H5341" t="str">
        <f>T("앰퍼샌드B")</f>
        <v>앰퍼샌드B</v>
      </c>
      <c r="I5341" t="str">
        <f>T("혐오 만세")</f>
        <v>혐오 만세</v>
      </c>
      <c r="J5341">
        <v>0</v>
      </c>
      <c r="K5341">
        <v>0</v>
      </c>
      <c r="L5341">
        <v>0</v>
      </c>
      <c r="M5341">
        <v>3633</v>
      </c>
      <c r="N5341">
        <v>0</v>
      </c>
      <c r="O5341">
        <v>0</v>
      </c>
      <c r="P5341">
        <v>707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18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4340</v>
      </c>
      <c r="AI5341">
        <v>0</v>
      </c>
      <c r="AJ5341">
        <v>19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/>
      <c r="AQ5341">
        <v>0</v>
      </c>
      <c r="AR5341">
        <v>0</v>
      </c>
      <c r="AT5341">
        <v>0</v>
      </c>
      <c r="AU5341">
        <v>0</v>
      </c>
      <c r="AW5341">
        <v>0</v>
      </c>
      <c r="AX5341">
        <v>0</v>
      </c>
      <c r="AY5341">
        <v>0</v>
      </c>
      <c r="BC5341" t="str">
        <f>T("9791137608047")</f>
        <v>9791137608047</v>
      </c>
      <c r="BE5341" t="str">
        <f>T("BL 웹소설 &gt; 현대물")</f>
        <v>BL 웹소설 &gt; 현대물</v>
      </c>
    </row>
    <row r="5342" spans="1:57" x14ac:dyDescent="0.3">
      <c r="A5342">
        <v>2313020794</v>
      </c>
      <c r="B5342">
        <v>2313020795</v>
      </c>
      <c r="C5342" t="str">
        <f>T("혐오 만세 2화")</f>
        <v>혐오 만세 2화</v>
      </c>
      <c r="D5342" t="str">
        <f>T("2")</f>
        <v>2</v>
      </c>
      <c r="E5342" t="str">
        <f>T("아르곤18")</f>
        <v>아르곤18</v>
      </c>
      <c r="H5342" t="str">
        <f>T("앰퍼샌드B")</f>
        <v>앰퍼샌드B</v>
      </c>
      <c r="I5342" t="str">
        <f>T("혐오 만세")</f>
        <v>혐오 만세</v>
      </c>
      <c r="J5342">
        <v>0</v>
      </c>
      <c r="K5342">
        <v>0</v>
      </c>
      <c r="L5342">
        <v>0</v>
      </c>
      <c r="M5342">
        <v>2939</v>
      </c>
      <c r="N5342">
        <v>0</v>
      </c>
      <c r="O5342">
        <v>0</v>
      </c>
      <c r="P5342">
        <v>205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18</v>
      </c>
      <c r="Y5342">
        <v>0</v>
      </c>
      <c r="Z5342">
        <v>1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3144</v>
      </c>
      <c r="AI5342">
        <v>0</v>
      </c>
      <c r="AJ5342">
        <v>19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/>
      <c r="AQ5342">
        <v>0</v>
      </c>
      <c r="AR5342">
        <v>0</v>
      </c>
      <c r="AT5342">
        <v>0</v>
      </c>
      <c r="AU5342">
        <v>0</v>
      </c>
      <c r="AW5342">
        <v>0</v>
      </c>
      <c r="AX5342">
        <v>0</v>
      </c>
      <c r="AY5342">
        <v>0</v>
      </c>
      <c r="BC5342" t="str">
        <f>T("9791137608047")</f>
        <v>9791137608047</v>
      </c>
      <c r="BE5342" t="str">
        <f>T("BL 웹소설 &gt; 현대물")</f>
        <v>BL 웹소설 &gt; 현대물</v>
      </c>
    </row>
    <row r="5343" spans="1:57" x14ac:dyDescent="0.3">
      <c r="A5343">
        <v>2313020794</v>
      </c>
      <c r="B5343">
        <v>2313020796</v>
      </c>
      <c r="C5343" t="str">
        <f>T("혐오 만세 3화")</f>
        <v>혐오 만세 3화</v>
      </c>
      <c r="D5343" t="str">
        <f>T("3")</f>
        <v>3</v>
      </c>
      <c r="E5343" t="str">
        <f>T("아르곤18")</f>
        <v>아르곤18</v>
      </c>
      <c r="H5343" t="str">
        <f>T("앰퍼샌드B")</f>
        <v>앰퍼샌드B</v>
      </c>
      <c r="I5343" t="str">
        <f>T("혐오 만세")</f>
        <v>혐오 만세</v>
      </c>
      <c r="J5343">
        <v>0</v>
      </c>
      <c r="K5343">
        <v>0</v>
      </c>
      <c r="L5343">
        <v>0</v>
      </c>
      <c r="M5343">
        <v>2785</v>
      </c>
      <c r="N5343">
        <v>0</v>
      </c>
      <c r="O5343">
        <v>0</v>
      </c>
      <c r="P5343">
        <v>184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18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2969</v>
      </c>
      <c r="AI5343">
        <v>0</v>
      </c>
      <c r="AJ5343">
        <v>19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/>
      <c r="AQ5343">
        <v>0</v>
      </c>
      <c r="AR5343">
        <v>0</v>
      </c>
      <c r="AT5343">
        <v>0</v>
      </c>
      <c r="AU5343">
        <v>0</v>
      </c>
      <c r="AW5343">
        <v>0</v>
      </c>
      <c r="AX5343">
        <v>0</v>
      </c>
      <c r="AY5343">
        <v>0</v>
      </c>
      <c r="BC5343" t="str">
        <f>T("9791137608047")</f>
        <v>9791137608047</v>
      </c>
      <c r="BE5343" t="str">
        <f>T("BL 웹소설 &gt; 현대물")</f>
        <v>BL 웹소설 &gt; 현대물</v>
      </c>
    </row>
    <row r="5344" spans="1:57" x14ac:dyDescent="0.3">
      <c r="A5344">
        <v>2313020834</v>
      </c>
      <c r="B5344">
        <v>2313020834</v>
      </c>
      <c r="C5344" t="str">
        <f>T("[e북]내 안에 흑염룡이 산다! 1권")</f>
        <v>[e북]내 안에 흑염룡이 산다! 1권</v>
      </c>
      <c r="D5344" t="str">
        <f>T("1")</f>
        <v>1</v>
      </c>
      <c r="E5344" t="str">
        <f>T("리세마라")</f>
        <v>리세마라</v>
      </c>
      <c r="H5344" t="str">
        <f t="shared" ref="H5344:H5382" si="740">T("스토리위즈")</f>
        <v>스토리위즈</v>
      </c>
      <c r="I5344" t="str">
        <f>T("[e북]내 안에 흑염룡이 산다!")</f>
        <v>[e북]내 안에 흑염룡이 산다!</v>
      </c>
      <c r="J5344">
        <v>0</v>
      </c>
      <c r="K5344">
        <v>0</v>
      </c>
      <c r="L5344">
        <v>0</v>
      </c>
      <c r="M5344">
        <v>25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25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/>
      <c r="AQ5344">
        <v>0</v>
      </c>
      <c r="AR5344">
        <v>0</v>
      </c>
      <c r="AT5344">
        <v>0</v>
      </c>
      <c r="AU5344">
        <v>0</v>
      </c>
      <c r="AW5344">
        <v>0</v>
      </c>
      <c r="AX5344">
        <v>0</v>
      </c>
      <c r="AY5344">
        <v>0</v>
      </c>
      <c r="BC5344" t="str">
        <f>T("9791137607958")</f>
        <v>9791137607958</v>
      </c>
      <c r="BE5344" t="str">
        <f>T("판타지 e북 &gt; 퓨전 판타지")</f>
        <v>판타지 e북 &gt; 퓨전 판타지</v>
      </c>
    </row>
    <row r="5345" spans="1:57" x14ac:dyDescent="0.3">
      <c r="A5345">
        <v>2313020884</v>
      </c>
      <c r="B5345">
        <v>2313020884</v>
      </c>
      <c r="C5345" t="str">
        <f>T("회귀한 헌터가 너무 강함 1화")</f>
        <v>회귀한 헌터가 너무 강함 1화</v>
      </c>
      <c r="D5345" t="str">
        <f>T("1")</f>
        <v>1</v>
      </c>
      <c r="E5345" t="str">
        <f t="shared" ref="E5345:E5374" si="741">T("왕십리글쟁이")</f>
        <v>왕십리글쟁이</v>
      </c>
      <c r="H5345" t="str">
        <f t="shared" si="740"/>
        <v>스토리위즈</v>
      </c>
      <c r="I5345" t="str">
        <f t="shared" ref="I5345:I5369" si="742">T("회귀한 헌터가 너무 강함")</f>
        <v>회귀한 헌터가 너무 강함</v>
      </c>
      <c r="J5345">
        <v>0</v>
      </c>
      <c r="K5345">
        <v>0</v>
      </c>
      <c r="L5345">
        <v>0</v>
      </c>
      <c r="M5345">
        <v>54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54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/>
      <c r="AQ5345">
        <v>0</v>
      </c>
      <c r="AR5345">
        <v>0</v>
      </c>
      <c r="AT5345">
        <v>0</v>
      </c>
      <c r="AU5345">
        <v>0</v>
      </c>
      <c r="AW5345">
        <v>0</v>
      </c>
      <c r="AX5345">
        <v>0</v>
      </c>
      <c r="AY5345">
        <v>0</v>
      </c>
      <c r="BC5345" t="str">
        <f t="shared" ref="BC5345:BC5369" si="743">T("9791197332272")</f>
        <v>9791197332272</v>
      </c>
      <c r="BE5345" t="str">
        <f t="shared" ref="BE5345:BE5369" si="744">T("판타지 웹소설 &gt; 퓨전 판타지")</f>
        <v>판타지 웹소설 &gt; 퓨전 판타지</v>
      </c>
    </row>
    <row r="5346" spans="1:57" x14ac:dyDescent="0.3">
      <c r="A5346">
        <v>2313020884</v>
      </c>
      <c r="B5346">
        <v>2313020885</v>
      </c>
      <c r="C5346" t="str">
        <f>T("회귀한 헌터가 너무 강함 2화")</f>
        <v>회귀한 헌터가 너무 강함 2화</v>
      </c>
      <c r="D5346" t="str">
        <f>T("2")</f>
        <v>2</v>
      </c>
      <c r="E5346" t="str">
        <f t="shared" si="741"/>
        <v>왕십리글쟁이</v>
      </c>
      <c r="H5346" t="str">
        <f t="shared" si="740"/>
        <v>스토리위즈</v>
      </c>
      <c r="I5346" t="str">
        <f t="shared" si="742"/>
        <v>회귀한 헌터가 너무 강함</v>
      </c>
      <c r="J5346">
        <v>0</v>
      </c>
      <c r="K5346">
        <v>0</v>
      </c>
      <c r="L5346">
        <v>0</v>
      </c>
      <c r="M5346">
        <v>49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49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/>
      <c r="AQ5346">
        <v>0</v>
      </c>
      <c r="AR5346">
        <v>0</v>
      </c>
      <c r="AT5346">
        <v>0</v>
      </c>
      <c r="AU5346">
        <v>0</v>
      </c>
      <c r="AW5346">
        <v>0</v>
      </c>
      <c r="AX5346">
        <v>0</v>
      </c>
      <c r="AY5346">
        <v>0</v>
      </c>
      <c r="BC5346" t="str">
        <f t="shared" si="743"/>
        <v>9791197332272</v>
      </c>
      <c r="BE5346" t="str">
        <f t="shared" si="744"/>
        <v>판타지 웹소설 &gt; 퓨전 판타지</v>
      </c>
    </row>
    <row r="5347" spans="1:57" x14ac:dyDescent="0.3">
      <c r="A5347">
        <v>2313020884</v>
      </c>
      <c r="B5347">
        <v>2313020886</v>
      </c>
      <c r="C5347" t="str">
        <f>T("회귀한 헌터가 너무 강함 3화")</f>
        <v>회귀한 헌터가 너무 강함 3화</v>
      </c>
      <c r="D5347" t="str">
        <f>T("3")</f>
        <v>3</v>
      </c>
      <c r="E5347" t="str">
        <f t="shared" si="741"/>
        <v>왕십리글쟁이</v>
      </c>
      <c r="H5347" t="str">
        <f t="shared" si="740"/>
        <v>스토리위즈</v>
      </c>
      <c r="I5347" t="str">
        <f t="shared" si="742"/>
        <v>회귀한 헌터가 너무 강함</v>
      </c>
      <c r="J5347">
        <v>0</v>
      </c>
      <c r="K5347">
        <v>0</v>
      </c>
      <c r="L5347">
        <v>0</v>
      </c>
      <c r="M5347">
        <v>45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45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/>
      <c r="AQ5347">
        <v>0</v>
      </c>
      <c r="AR5347">
        <v>0</v>
      </c>
      <c r="AT5347">
        <v>0</v>
      </c>
      <c r="AU5347">
        <v>0</v>
      </c>
      <c r="AW5347">
        <v>0</v>
      </c>
      <c r="AX5347">
        <v>0</v>
      </c>
      <c r="AY5347">
        <v>0</v>
      </c>
      <c r="BC5347" t="str">
        <f t="shared" si="743"/>
        <v>9791197332272</v>
      </c>
      <c r="BE5347" t="str">
        <f t="shared" si="744"/>
        <v>판타지 웹소설 &gt; 퓨전 판타지</v>
      </c>
    </row>
    <row r="5348" spans="1:57" x14ac:dyDescent="0.3">
      <c r="A5348">
        <v>2313020884</v>
      </c>
      <c r="B5348">
        <v>2313020887</v>
      </c>
      <c r="C5348" t="str">
        <f>T("회귀한 헌터가 너무 강함 4화")</f>
        <v>회귀한 헌터가 너무 강함 4화</v>
      </c>
      <c r="D5348" t="str">
        <f>T("4")</f>
        <v>4</v>
      </c>
      <c r="E5348" t="str">
        <f t="shared" si="741"/>
        <v>왕십리글쟁이</v>
      </c>
      <c r="H5348" t="str">
        <f t="shared" si="740"/>
        <v>스토리위즈</v>
      </c>
      <c r="I5348" t="str">
        <f t="shared" si="742"/>
        <v>회귀한 헌터가 너무 강함</v>
      </c>
      <c r="J5348">
        <v>0</v>
      </c>
      <c r="K5348">
        <v>0</v>
      </c>
      <c r="L5348">
        <v>0</v>
      </c>
      <c r="M5348">
        <v>43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43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/>
      <c r="AQ5348">
        <v>0</v>
      </c>
      <c r="AR5348">
        <v>0</v>
      </c>
      <c r="AT5348">
        <v>0</v>
      </c>
      <c r="AU5348">
        <v>0</v>
      </c>
      <c r="AW5348">
        <v>0</v>
      </c>
      <c r="AX5348">
        <v>0</v>
      </c>
      <c r="AY5348">
        <v>0</v>
      </c>
      <c r="BC5348" t="str">
        <f t="shared" si="743"/>
        <v>9791197332272</v>
      </c>
      <c r="BE5348" t="str">
        <f t="shared" si="744"/>
        <v>판타지 웹소설 &gt; 퓨전 판타지</v>
      </c>
    </row>
    <row r="5349" spans="1:57" x14ac:dyDescent="0.3">
      <c r="A5349">
        <v>2313020884</v>
      </c>
      <c r="B5349">
        <v>2313020888</v>
      </c>
      <c r="C5349" t="str">
        <f>T("회귀한 헌터가 너무 강함 5화")</f>
        <v>회귀한 헌터가 너무 강함 5화</v>
      </c>
      <c r="D5349" t="str">
        <f>T("5")</f>
        <v>5</v>
      </c>
      <c r="E5349" t="str">
        <f t="shared" si="741"/>
        <v>왕십리글쟁이</v>
      </c>
      <c r="H5349" t="str">
        <f t="shared" si="740"/>
        <v>스토리위즈</v>
      </c>
      <c r="I5349" t="str">
        <f t="shared" si="742"/>
        <v>회귀한 헌터가 너무 강함</v>
      </c>
      <c r="J5349">
        <v>0</v>
      </c>
      <c r="K5349">
        <v>0</v>
      </c>
      <c r="L5349">
        <v>0</v>
      </c>
      <c r="M5349">
        <v>39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39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/>
      <c r="AQ5349">
        <v>0</v>
      </c>
      <c r="AR5349">
        <v>0</v>
      </c>
      <c r="AT5349">
        <v>0</v>
      </c>
      <c r="AU5349">
        <v>0</v>
      </c>
      <c r="AW5349">
        <v>0</v>
      </c>
      <c r="AX5349">
        <v>0</v>
      </c>
      <c r="AY5349">
        <v>0</v>
      </c>
      <c r="BC5349" t="str">
        <f t="shared" si="743"/>
        <v>9791197332272</v>
      </c>
      <c r="BE5349" t="str">
        <f t="shared" si="744"/>
        <v>판타지 웹소설 &gt; 퓨전 판타지</v>
      </c>
    </row>
    <row r="5350" spans="1:57" x14ac:dyDescent="0.3">
      <c r="A5350">
        <v>2313020884</v>
      </c>
      <c r="B5350">
        <v>2313020889</v>
      </c>
      <c r="C5350" t="str">
        <f>T("회귀한 헌터가 너무 강함 6화")</f>
        <v>회귀한 헌터가 너무 강함 6화</v>
      </c>
      <c r="D5350" t="str">
        <f>T("6")</f>
        <v>6</v>
      </c>
      <c r="E5350" t="str">
        <f t="shared" si="741"/>
        <v>왕십리글쟁이</v>
      </c>
      <c r="H5350" t="str">
        <f t="shared" si="740"/>
        <v>스토리위즈</v>
      </c>
      <c r="I5350" t="str">
        <f t="shared" si="742"/>
        <v>회귀한 헌터가 너무 강함</v>
      </c>
      <c r="J5350">
        <v>0</v>
      </c>
      <c r="K5350">
        <v>0</v>
      </c>
      <c r="L5350">
        <v>0</v>
      </c>
      <c r="M5350">
        <v>37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37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/>
      <c r="AQ5350">
        <v>0</v>
      </c>
      <c r="AR5350">
        <v>0</v>
      </c>
      <c r="AT5350">
        <v>0</v>
      </c>
      <c r="AU5350">
        <v>0</v>
      </c>
      <c r="AW5350">
        <v>0</v>
      </c>
      <c r="AX5350">
        <v>0</v>
      </c>
      <c r="AY5350">
        <v>0</v>
      </c>
      <c r="BC5350" t="str">
        <f t="shared" si="743"/>
        <v>9791197332272</v>
      </c>
      <c r="BE5350" t="str">
        <f t="shared" si="744"/>
        <v>판타지 웹소설 &gt; 퓨전 판타지</v>
      </c>
    </row>
    <row r="5351" spans="1:57" x14ac:dyDescent="0.3">
      <c r="A5351">
        <v>2313020884</v>
      </c>
      <c r="B5351">
        <v>2313020890</v>
      </c>
      <c r="C5351" t="str">
        <f>T("회귀한 헌터가 너무 강함 7화")</f>
        <v>회귀한 헌터가 너무 강함 7화</v>
      </c>
      <c r="D5351" t="str">
        <f>T("7")</f>
        <v>7</v>
      </c>
      <c r="E5351" t="str">
        <f t="shared" si="741"/>
        <v>왕십리글쟁이</v>
      </c>
      <c r="H5351" t="str">
        <f t="shared" si="740"/>
        <v>스토리위즈</v>
      </c>
      <c r="I5351" t="str">
        <f t="shared" si="742"/>
        <v>회귀한 헌터가 너무 강함</v>
      </c>
      <c r="J5351">
        <v>0</v>
      </c>
      <c r="K5351">
        <v>0</v>
      </c>
      <c r="L5351">
        <v>0</v>
      </c>
      <c r="M5351">
        <v>37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37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/>
      <c r="AQ5351">
        <v>0</v>
      </c>
      <c r="AR5351">
        <v>0</v>
      </c>
      <c r="AT5351">
        <v>0</v>
      </c>
      <c r="AU5351">
        <v>0</v>
      </c>
      <c r="AW5351">
        <v>0</v>
      </c>
      <c r="AX5351">
        <v>0</v>
      </c>
      <c r="AY5351">
        <v>0</v>
      </c>
      <c r="BC5351" t="str">
        <f t="shared" si="743"/>
        <v>9791197332272</v>
      </c>
      <c r="BE5351" t="str">
        <f t="shared" si="744"/>
        <v>판타지 웹소설 &gt; 퓨전 판타지</v>
      </c>
    </row>
    <row r="5352" spans="1:57" x14ac:dyDescent="0.3">
      <c r="A5352">
        <v>2313020884</v>
      </c>
      <c r="B5352">
        <v>2313020891</v>
      </c>
      <c r="C5352" t="str">
        <f>T("회귀한 헌터가 너무 강함 8화")</f>
        <v>회귀한 헌터가 너무 강함 8화</v>
      </c>
      <c r="D5352" t="str">
        <f>T("8")</f>
        <v>8</v>
      </c>
      <c r="E5352" t="str">
        <f t="shared" si="741"/>
        <v>왕십리글쟁이</v>
      </c>
      <c r="H5352" t="str">
        <f t="shared" si="740"/>
        <v>스토리위즈</v>
      </c>
      <c r="I5352" t="str">
        <f t="shared" si="742"/>
        <v>회귀한 헌터가 너무 강함</v>
      </c>
      <c r="J5352">
        <v>0</v>
      </c>
      <c r="K5352">
        <v>0</v>
      </c>
      <c r="L5352">
        <v>0</v>
      </c>
      <c r="M5352">
        <v>34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34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/>
      <c r="AQ5352">
        <v>0</v>
      </c>
      <c r="AR5352">
        <v>0</v>
      </c>
      <c r="AT5352">
        <v>0</v>
      </c>
      <c r="AU5352">
        <v>0</v>
      </c>
      <c r="AW5352">
        <v>0</v>
      </c>
      <c r="AX5352">
        <v>0</v>
      </c>
      <c r="AY5352">
        <v>0</v>
      </c>
      <c r="BC5352" t="str">
        <f t="shared" si="743"/>
        <v>9791197332272</v>
      </c>
      <c r="BE5352" t="str">
        <f t="shared" si="744"/>
        <v>판타지 웹소설 &gt; 퓨전 판타지</v>
      </c>
    </row>
    <row r="5353" spans="1:57" x14ac:dyDescent="0.3">
      <c r="A5353">
        <v>2313020884</v>
      </c>
      <c r="B5353">
        <v>2313020892</v>
      </c>
      <c r="C5353" t="str">
        <f>T("회귀한 헌터가 너무 강함 9화")</f>
        <v>회귀한 헌터가 너무 강함 9화</v>
      </c>
      <c r="D5353" t="str">
        <f>T("9")</f>
        <v>9</v>
      </c>
      <c r="E5353" t="str">
        <f t="shared" si="741"/>
        <v>왕십리글쟁이</v>
      </c>
      <c r="H5353" t="str">
        <f t="shared" si="740"/>
        <v>스토리위즈</v>
      </c>
      <c r="I5353" t="str">
        <f t="shared" si="742"/>
        <v>회귀한 헌터가 너무 강함</v>
      </c>
      <c r="J5353">
        <v>0</v>
      </c>
      <c r="K5353">
        <v>0</v>
      </c>
      <c r="L5353">
        <v>0</v>
      </c>
      <c r="M5353">
        <v>33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33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/>
      <c r="AQ5353">
        <v>0</v>
      </c>
      <c r="AR5353">
        <v>0</v>
      </c>
      <c r="AT5353">
        <v>0</v>
      </c>
      <c r="AU5353">
        <v>0</v>
      </c>
      <c r="AW5353">
        <v>0</v>
      </c>
      <c r="AX5353">
        <v>0</v>
      </c>
      <c r="AY5353">
        <v>0</v>
      </c>
      <c r="BC5353" t="str">
        <f t="shared" si="743"/>
        <v>9791197332272</v>
      </c>
      <c r="BE5353" t="str">
        <f t="shared" si="744"/>
        <v>판타지 웹소설 &gt; 퓨전 판타지</v>
      </c>
    </row>
    <row r="5354" spans="1:57" x14ac:dyDescent="0.3">
      <c r="A5354">
        <v>2313020884</v>
      </c>
      <c r="B5354">
        <v>2313020893</v>
      </c>
      <c r="C5354" t="str">
        <f>T("회귀한 헌터가 너무 강함 10화")</f>
        <v>회귀한 헌터가 너무 강함 10화</v>
      </c>
      <c r="D5354" t="str">
        <f>T("10")</f>
        <v>10</v>
      </c>
      <c r="E5354" t="str">
        <f t="shared" si="741"/>
        <v>왕십리글쟁이</v>
      </c>
      <c r="H5354" t="str">
        <f t="shared" si="740"/>
        <v>스토리위즈</v>
      </c>
      <c r="I5354" t="str">
        <f t="shared" si="742"/>
        <v>회귀한 헌터가 너무 강함</v>
      </c>
      <c r="J5354">
        <v>0</v>
      </c>
      <c r="K5354">
        <v>0</v>
      </c>
      <c r="L5354">
        <v>0</v>
      </c>
      <c r="M5354">
        <v>33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33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/>
      <c r="AQ5354">
        <v>0</v>
      </c>
      <c r="AR5354">
        <v>0</v>
      </c>
      <c r="AT5354">
        <v>0</v>
      </c>
      <c r="AU5354">
        <v>0</v>
      </c>
      <c r="AW5354">
        <v>0</v>
      </c>
      <c r="AX5354">
        <v>0</v>
      </c>
      <c r="AY5354">
        <v>0</v>
      </c>
      <c r="BC5354" t="str">
        <f t="shared" si="743"/>
        <v>9791197332272</v>
      </c>
      <c r="BE5354" t="str">
        <f t="shared" si="744"/>
        <v>판타지 웹소설 &gt; 퓨전 판타지</v>
      </c>
    </row>
    <row r="5355" spans="1:57" x14ac:dyDescent="0.3">
      <c r="A5355">
        <v>2313020884</v>
      </c>
      <c r="B5355">
        <v>2313020894</v>
      </c>
      <c r="C5355" t="str">
        <f>T("회귀한 헌터가 너무 강함 11화")</f>
        <v>회귀한 헌터가 너무 강함 11화</v>
      </c>
      <c r="D5355" t="str">
        <f>T("11")</f>
        <v>11</v>
      </c>
      <c r="E5355" t="str">
        <f t="shared" si="741"/>
        <v>왕십리글쟁이</v>
      </c>
      <c r="H5355" t="str">
        <f t="shared" si="740"/>
        <v>스토리위즈</v>
      </c>
      <c r="I5355" t="str">
        <f t="shared" si="742"/>
        <v>회귀한 헌터가 너무 강함</v>
      </c>
      <c r="J5355">
        <v>0</v>
      </c>
      <c r="K5355">
        <v>0</v>
      </c>
      <c r="L5355">
        <v>0</v>
      </c>
      <c r="M5355">
        <v>33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33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/>
      <c r="AQ5355">
        <v>0</v>
      </c>
      <c r="AR5355">
        <v>0</v>
      </c>
      <c r="AT5355">
        <v>0</v>
      </c>
      <c r="AU5355">
        <v>0</v>
      </c>
      <c r="AW5355">
        <v>0</v>
      </c>
      <c r="AX5355">
        <v>0</v>
      </c>
      <c r="AY5355">
        <v>0</v>
      </c>
      <c r="BC5355" t="str">
        <f t="shared" si="743"/>
        <v>9791197332272</v>
      </c>
      <c r="BE5355" t="str">
        <f t="shared" si="744"/>
        <v>판타지 웹소설 &gt; 퓨전 판타지</v>
      </c>
    </row>
    <row r="5356" spans="1:57" x14ac:dyDescent="0.3">
      <c r="A5356">
        <v>2313020884</v>
      </c>
      <c r="B5356">
        <v>2313020895</v>
      </c>
      <c r="C5356" t="str">
        <f>T("회귀한 헌터가 너무 강함 12화")</f>
        <v>회귀한 헌터가 너무 강함 12화</v>
      </c>
      <c r="D5356" t="str">
        <f>T("12")</f>
        <v>12</v>
      </c>
      <c r="E5356" t="str">
        <f t="shared" si="741"/>
        <v>왕십리글쟁이</v>
      </c>
      <c r="H5356" t="str">
        <f t="shared" si="740"/>
        <v>스토리위즈</v>
      </c>
      <c r="I5356" t="str">
        <f t="shared" si="742"/>
        <v>회귀한 헌터가 너무 강함</v>
      </c>
      <c r="J5356">
        <v>0</v>
      </c>
      <c r="K5356">
        <v>0</v>
      </c>
      <c r="L5356">
        <v>0</v>
      </c>
      <c r="M5356">
        <v>32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32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/>
      <c r="AQ5356">
        <v>0</v>
      </c>
      <c r="AR5356">
        <v>0</v>
      </c>
      <c r="AT5356">
        <v>0</v>
      </c>
      <c r="AU5356">
        <v>0</v>
      </c>
      <c r="AW5356">
        <v>0</v>
      </c>
      <c r="AX5356">
        <v>0</v>
      </c>
      <c r="AY5356">
        <v>0</v>
      </c>
      <c r="BC5356" t="str">
        <f t="shared" si="743"/>
        <v>9791197332272</v>
      </c>
      <c r="BE5356" t="str">
        <f t="shared" si="744"/>
        <v>판타지 웹소설 &gt; 퓨전 판타지</v>
      </c>
    </row>
    <row r="5357" spans="1:57" x14ac:dyDescent="0.3">
      <c r="A5357">
        <v>2313020884</v>
      </c>
      <c r="B5357">
        <v>2313020896</v>
      </c>
      <c r="C5357" t="str">
        <f>T("회귀한 헌터가 너무 강함 13화")</f>
        <v>회귀한 헌터가 너무 강함 13화</v>
      </c>
      <c r="D5357" t="str">
        <f>T("13")</f>
        <v>13</v>
      </c>
      <c r="E5357" t="str">
        <f t="shared" si="741"/>
        <v>왕십리글쟁이</v>
      </c>
      <c r="H5357" t="str">
        <f t="shared" si="740"/>
        <v>스토리위즈</v>
      </c>
      <c r="I5357" t="str">
        <f t="shared" si="742"/>
        <v>회귀한 헌터가 너무 강함</v>
      </c>
      <c r="J5357">
        <v>0</v>
      </c>
      <c r="K5357">
        <v>0</v>
      </c>
      <c r="L5357">
        <v>0</v>
      </c>
      <c r="M5357">
        <v>30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30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/>
      <c r="AQ5357">
        <v>0</v>
      </c>
      <c r="AR5357">
        <v>0</v>
      </c>
      <c r="AT5357">
        <v>0</v>
      </c>
      <c r="AU5357">
        <v>0</v>
      </c>
      <c r="AW5357">
        <v>0</v>
      </c>
      <c r="AX5357">
        <v>0</v>
      </c>
      <c r="AY5357">
        <v>0</v>
      </c>
      <c r="BC5357" t="str">
        <f t="shared" si="743"/>
        <v>9791197332272</v>
      </c>
      <c r="BE5357" t="str">
        <f t="shared" si="744"/>
        <v>판타지 웹소설 &gt; 퓨전 판타지</v>
      </c>
    </row>
    <row r="5358" spans="1:57" x14ac:dyDescent="0.3">
      <c r="A5358">
        <v>2313020884</v>
      </c>
      <c r="B5358">
        <v>2313020897</v>
      </c>
      <c r="C5358" t="str">
        <f>T("회귀한 헌터가 너무 강함 14화")</f>
        <v>회귀한 헌터가 너무 강함 14화</v>
      </c>
      <c r="D5358" t="str">
        <f>T("14")</f>
        <v>14</v>
      </c>
      <c r="E5358" t="str">
        <f t="shared" si="741"/>
        <v>왕십리글쟁이</v>
      </c>
      <c r="H5358" t="str">
        <f t="shared" si="740"/>
        <v>스토리위즈</v>
      </c>
      <c r="I5358" t="str">
        <f t="shared" si="742"/>
        <v>회귀한 헌터가 너무 강함</v>
      </c>
      <c r="J5358">
        <v>0</v>
      </c>
      <c r="K5358">
        <v>0</v>
      </c>
      <c r="L5358">
        <v>0</v>
      </c>
      <c r="M5358">
        <v>29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29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/>
      <c r="AQ5358">
        <v>0</v>
      </c>
      <c r="AR5358">
        <v>0</v>
      </c>
      <c r="AT5358">
        <v>0</v>
      </c>
      <c r="AU5358">
        <v>0</v>
      </c>
      <c r="AW5358">
        <v>0</v>
      </c>
      <c r="AX5358">
        <v>0</v>
      </c>
      <c r="AY5358">
        <v>0</v>
      </c>
      <c r="BC5358" t="str">
        <f t="shared" si="743"/>
        <v>9791197332272</v>
      </c>
      <c r="BE5358" t="str">
        <f t="shared" si="744"/>
        <v>판타지 웹소설 &gt; 퓨전 판타지</v>
      </c>
    </row>
    <row r="5359" spans="1:57" x14ac:dyDescent="0.3">
      <c r="A5359">
        <v>2313020884</v>
      </c>
      <c r="B5359">
        <v>2313020898</v>
      </c>
      <c r="C5359" t="str">
        <f>T("회귀한 헌터가 너무 강함 15화")</f>
        <v>회귀한 헌터가 너무 강함 15화</v>
      </c>
      <c r="D5359" t="str">
        <f>T("15")</f>
        <v>15</v>
      </c>
      <c r="E5359" t="str">
        <f t="shared" si="741"/>
        <v>왕십리글쟁이</v>
      </c>
      <c r="H5359" t="str">
        <f t="shared" si="740"/>
        <v>스토리위즈</v>
      </c>
      <c r="I5359" t="str">
        <f t="shared" si="742"/>
        <v>회귀한 헌터가 너무 강함</v>
      </c>
      <c r="J5359">
        <v>0</v>
      </c>
      <c r="K5359">
        <v>0</v>
      </c>
      <c r="L5359">
        <v>0</v>
      </c>
      <c r="M5359">
        <v>29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29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/>
      <c r="AQ5359">
        <v>0</v>
      </c>
      <c r="AR5359">
        <v>0</v>
      </c>
      <c r="AT5359">
        <v>0</v>
      </c>
      <c r="AU5359">
        <v>0</v>
      </c>
      <c r="AW5359">
        <v>0</v>
      </c>
      <c r="AX5359">
        <v>0</v>
      </c>
      <c r="AY5359">
        <v>0</v>
      </c>
      <c r="BC5359" t="str">
        <f t="shared" si="743"/>
        <v>9791197332272</v>
      </c>
      <c r="BE5359" t="str">
        <f t="shared" si="744"/>
        <v>판타지 웹소설 &gt; 퓨전 판타지</v>
      </c>
    </row>
    <row r="5360" spans="1:57" x14ac:dyDescent="0.3">
      <c r="A5360">
        <v>2313020884</v>
      </c>
      <c r="B5360">
        <v>2313020899</v>
      </c>
      <c r="C5360" t="str">
        <f>T("회귀한 헌터가 너무 강함 16화")</f>
        <v>회귀한 헌터가 너무 강함 16화</v>
      </c>
      <c r="D5360" t="str">
        <f>T("16")</f>
        <v>16</v>
      </c>
      <c r="E5360" t="str">
        <f t="shared" si="741"/>
        <v>왕십리글쟁이</v>
      </c>
      <c r="H5360" t="str">
        <f t="shared" si="740"/>
        <v>스토리위즈</v>
      </c>
      <c r="I5360" t="str">
        <f t="shared" si="742"/>
        <v>회귀한 헌터가 너무 강함</v>
      </c>
      <c r="J5360">
        <v>0</v>
      </c>
      <c r="K5360">
        <v>0</v>
      </c>
      <c r="L5360">
        <v>0</v>
      </c>
      <c r="M5360">
        <v>28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28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/>
      <c r="AQ5360">
        <v>0</v>
      </c>
      <c r="AR5360">
        <v>0</v>
      </c>
      <c r="AT5360">
        <v>0</v>
      </c>
      <c r="AU5360">
        <v>0</v>
      </c>
      <c r="AW5360">
        <v>0</v>
      </c>
      <c r="AX5360">
        <v>0</v>
      </c>
      <c r="AY5360">
        <v>0</v>
      </c>
      <c r="BC5360" t="str">
        <f t="shared" si="743"/>
        <v>9791197332272</v>
      </c>
      <c r="BE5360" t="str">
        <f t="shared" si="744"/>
        <v>판타지 웹소설 &gt; 퓨전 판타지</v>
      </c>
    </row>
    <row r="5361" spans="1:57" x14ac:dyDescent="0.3">
      <c r="A5361">
        <v>2313020884</v>
      </c>
      <c r="B5361">
        <v>2313020900</v>
      </c>
      <c r="C5361" t="str">
        <f>T("회귀한 헌터가 너무 강함 17화")</f>
        <v>회귀한 헌터가 너무 강함 17화</v>
      </c>
      <c r="D5361" t="str">
        <f>T("17")</f>
        <v>17</v>
      </c>
      <c r="E5361" t="str">
        <f t="shared" si="741"/>
        <v>왕십리글쟁이</v>
      </c>
      <c r="H5361" t="str">
        <f t="shared" si="740"/>
        <v>스토리위즈</v>
      </c>
      <c r="I5361" t="str">
        <f t="shared" si="742"/>
        <v>회귀한 헌터가 너무 강함</v>
      </c>
      <c r="J5361">
        <v>0</v>
      </c>
      <c r="K5361">
        <v>0</v>
      </c>
      <c r="L5361">
        <v>0</v>
      </c>
      <c r="M5361">
        <v>28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28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/>
      <c r="AQ5361">
        <v>0</v>
      </c>
      <c r="AR5361">
        <v>0</v>
      </c>
      <c r="AT5361">
        <v>0</v>
      </c>
      <c r="AU5361">
        <v>0</v>
      </c>
      <c r="AW5361">
        <v>0</v>
      </c>
      <c r="AX5361">
        <v>0</v>
      </c>
      <c r="AY5361">
        <v>0</v>
      </c>
      <c r="BC5361" t="str">
        <f t="shared" si="743"/>
        <v>9791197332272</v>
      </c>
      <c r="BE5361" t="str">
        <f t="shared" si="744"/>
        <v>판타지 웹소설 &gt; 퓨전 판타지</v>
      </c>
    </row>
    <row r="5362" spans="1:57" x14ac:dyDescent="0.3">
      <c r="A5362">
        <v>2313020884</v>
      </c>
      <c r="B5362">
        <v>2313020901</v>
      </c>
      <c r="C5362" t="str">
        <f>T("회귀한 헌터가 너무 강함 18화")</f>
        <v>회귀한 헌터가 너무 강함 18화</v>
      </c>
      <c r="D5362" t="str">
        <f>T("18")</f>
        <v>18</v>
      </c>
      <c r="E5362" t="str">
        <f t="shared" si="741"/>
        <v>왕십리글쟁이</v>
      </c>
      <c r="H5362" t="str">
        <f t="shared" si="740"/>
        <v>스토리위즈</v>
      </c>
      <c r="I5362" t="str">
        <f t="shared" si="742"/>
        <v>회귀한 헌터가 너무 강함</v>
      </c>
      <c r="J5362">
        <v>0</v>
      </c>
      <c r="K5362">
        <v>0</v>
      </c>
      <c r="L5362">
        <v>0</v>
      </c>
      <c r="M5362">
        <v>28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28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/>
      <c r="AQ5362">
        <v>0</v>
      </c>
      <c r="AR5362">
        <v>0</v>
      </c>
      <c r="AT5362">
        <v>0</v>
      </c>
      <c r="AU5362">
        <v>0</v>
      </c>
      <c r="AW5362">
        <v>0</v>
      </c>
      <c r="AX5362">
        <v>0</v>
      </c>
      <c r="AY5362">
        <v>0</v>
      </c>
      <c r="BC5362" t="str">
        <f t="shared" si="743"/>
        <v>9791197332272</v>
      </c>
      <c r="BE5362" t="str">
        <f t="shared" si="744"/>
        <v>판타지 웹소설 &gt; 퓨전 판타지</v>
      </c>
    </row>
    <row r="5363" spans="1:57" x14ac:dyDescent="0.3">
      <c r="A5363">
        <v>2313020884</v>
      </c>
      <c r="B5363">
        <v>2313020902</v>
      </c>
      <c r="C5363" t="str">
        <f>T("회귀한 헌터가 너무 강함 19화")</f>
        <v>회귀한 헌터가 너무 강함 19화</v>
      </c>
      <c r="D5363" t="str">
        <f>T("19")</f>
        <v>19</v>
      </c>
      <c r="E5363" t="str">
        <f t="shared" si="741"/>
        <v>왕십리글쟁이</v>
      </c>
      <c r="H5363" t="str">
        <f t="shared" si="740"/>
        <v>스토리위즈</v>
      </c>
      <c r="I5363" t="str">
        <f t="shared" si="742"/>
        <v>회귀한 헌터가 너무 강함</v>
      </c>
      <c r="J5363">
        <v>0</v>
      </c>
      <c r="K5363">
        <v>0</v>
      </c>
      <c r="L5363">
        <v>0</v>
      </c>
      <c r="M5363">
        <v>28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28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/>
      <c r="AQ5363">
        <v>0</v>
      </c>
      <c r="AR5363">
        <v>0</v>
      </c>
      <c r="AT5363">
        <v>0</v>
      </c>
      <c r="AU5363">
        <v>0</v>
      </c>
      <c r="AW5363">
        <v>0</v>
      </c>
      <c r="AX5363">
        <v>0</v>
      </c>
      <c r="AY5363">
        <v>0</v>
      </c>
      <c r="BC5363" t="str">
        <f t="shared" si="743"/>
        <v>9791197332272</v>
      </c>
      <c r="BE5363" t="str">
        <f t="shared" si="744"/>
        <v>판타지 웹소설 &gt; 퓨전 판타지</v>
      </c>
    </row>
    <row r="5364" spans="1:57" x14ac:dyDescent="0.3">
      <c r="A5364">
        <v>2313020884</v>
      </c>
      <c r="B5364">
        <v>2313020903</v>
      </c>
      <c r="C5364" t="str">
        <f>T("회귀한 헌터가 너무 강함 20화")</f>
        <v>회귀한 헌터가 너무 강함 20화</v>
      </c>
      <c r="D5364" t="str">
        <f>T("20")</f>
        <v>20</v>
      </c>
      <c r="E5364" t="str">
        <f t="shared" si="741"/>
        <v>왕십리글쟁이</v>
      </c>
      <c r="H5364" t="str">
        <f t="shared" si="740"/>
        <v>스토리위즈</v>
      </c>
      <c r="I5364" t="str">
        <f t="shared" si="742"/>
        <v>회귀한 헌터가 너무 강함</v>
      </c>
      <c r="J5364">
        <v>0</v>
      </c>
      <c r="K5364">
        <v>0</v>
      </c>
      <c r="L5364">
        <v>0</v>
      </c>
      <c r="M5364">
        <v>28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28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/>
      <c r="AQ5364">
        <v>0</v>
      </c>
      <c r="AR5364">
        <v>0</v>
      </c>
      <c r="AT5364">
        <v>0</v>
      </c>
      <c r="AU5364">
        <v>0</v>
      </c>
      <c r="AW5364">
        <v>0</v>
      </c>
      <c r="AX5364">
        <v>0</v>
      </c>
      <c r="AY5364">
        <v>0</v>
      </c>
      <c r="BC5364" t="str">
        <f t="shared" si="743"/>
        <v>9791197332272</v>
      </c>
      <c r="BE5364" t="str">
        <f t="shared" si="744"/>
        <v>판타지 웹소설 &gt; 퓨전 판타지</v>
      </c>
    </row>
    <row r="5365" spans="1:57" x14ac:dyDescent="0.3">
      <c r="A5365">
        <v>2313020884</v>
      </c>
      <c r="B5365">
        <v>2313020904</v>
      </c>
      <c r="C5365" t="str">
        <f>T("회귀한 헌터가 너무 강함 21화")</f>
        <v>회귀한 헌터가 너무 강함 21화</v>
      </c>
      <c r="D5365" t="str">
        <f>T("21")</f>
        <v>21</v>
      </c>
      <c r="E5365" t="str">
        <f t="shared" si="741"/>
        <v>왕십리글쟁이</v>
      </c>
      <c r="H5365" t="str">
        <f t="shared" si="740"/>
        <v>스토리위즈</v>
      </c>
      <c r="I5365" t="str">
        <f t="shared" si="742"/>
        <v>회귀한 헌터가 너무 강함</v>
      </c>
      <c r="J5365">
        <v>0</v>
      </c>
      <c r="K5365">
        <v>0</v>
      </c>
      <c r="L5365">
        <v>0</v>
      </c>
      <c r="M5365">
        <v>27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27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/>
      <c r="AQ5365">
        <v>0</v>
      </c>
      <c r="AR5365">
        <v>0</v>
      </c>
      <c r="AT5365">
        <v>0</v>
      </c>
      <c r="AU5365">
        <v>0</v>
      </c>
      <c r="AW5365">
        <v>0</v>
      </c>
      <c r="AX5365">
        <v>0</v>
      </c>
      <c r="AY5365">
        <v>0</v>
      </c>
      <c r="BC5365" t="str">
        <f t="shared" si="743"/>
        <v>9791197332272</v>
      </c>
      <c r="BE5365" t="str">
        <f t="shared" si="744"/>
        <v>판타지 웹소설 &gt; 퓨전 판타지</v>
      </c>
    </row>
    <row r="5366" spans="1:57" x14ac:dyDescent="0.3">
      <c r="A5366">
        <v>2313020884</v>
      </c>
      <c r="B5366">
        <v>2313020905</v>
      </c>
      <c r="C5366" t="str">
        <f>T("회귀한 헌터가 너무 강함 22화")</f>
        <v>회귀한 헌터가 너무 강함 22화</v>
      </c>
      <c r="D5366" t="str">
        <f>T("22")</f>
        <v>22</v>
      </c>
      <c r="E5366" t="str">
        <f t="shared" si="741"/>
        <v>왕십리글쟁이</v>
      </c>
      <c r="H5366" t="str">
        <f t="shared" si="740"/>
        <v>스토리위즈</v>
      </c>
      <c r="I5366" t="str">
        <f t="shared" si="742"/>
        <v>회귀한 헌터가 너무 강함</v>
      </c>
      <c r="J5366">
        <v>0</v>
      </c>
      <c r="K5366">
        <v>0</v>
      </c>
      <c r="L5366">
        <v>0</v>
      </c>
      <c r="M5366">
        <v>27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27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/>
      <c r="AQ5366">
        <v>0</v>
      </c>
      <c r="AR5366">
        <v>0</v>
      </c>
      <c r="AT5366">
        <v>0</v>
      </c>
      <c r="AU5366">
        <v>0</v>
      </c>
      <c r="AW5366">
        <v>0</v>
      </c>
      <c r="AX5366">
        <v>0</v>
      </c>
      <c r="AY5366">
        <v>0</v>
      </c>
      <c r="BC5366" t="str">
        <f t="shared" si="743"/>
        <v>9791197332272</v>
      </c>
      <c r="BE5366" t="str">
        <f t="shared" si="744"/>
        <v>판타지 웹소설 &gt; 퓨전 판타지</v>
      </c>
    </row>
    <row r="5367" spans="1:57" x14ac:dyDescent="0.3">
      <c r="A5367">
        <v>2313020884</v>
      </c>
      <c r="B5367">
        <v>2313020906</v>
      </c>
      <c r="C5367" t="str">
        <f>T("회귀한 헌터가 너무 강함 23화")</f>
        <v>회귀한 헌터가 너무 강함 23화</v>
      </c>
      <c r="D5367" t="str">
        <f>T("23")</f>
        <v>23</v>
      </c>
      <c r="E5367" t="str">
        <f t="shared" si="741"/>
        <v>왕십리글쟁이</v>
      </c>
      <c r="H5367" t="str">
        <f t="shared" si="740"/>
        <v>스토리위즈</v>
      </c>
      <c r="I5367" t="str">
        <f t="shared" si="742"/>
        <v>회귀한 헌터가 너무 강함</v>
      </c>
      <c r="J5367">
        <v>0</v>
      </c>
      <c r="K5367">
        <v>0</v>
      </c>
      <c r="L5367">
        <v>0</v>
      </c>
      <c r="M5367">
        <v>26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26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/>
      <c r="AQ5367">
        <v>0</v>
      </c>
      <c r="AR5367">
        <v>0</v>
      </c>
      <c r="AT5367">
        <v>0</v>
      </c>
      <c r="AU5367">
        <v>0</v>
      </c>
      <c r="AW5367">
        <v>0</v>
      </c>
      <c r="AX5367">
        <v>0</v>
      </c>
      <c r="AY5367">
        <v>0</v>
      </c>
      <c r="BC5367" t="str">
        <f t="shared" si="743"/>
        <v>9791197332272</v>
      </c>
      <c r="BE5367" t="str">
        <f t="shared" si="744"/>
        <v>판타지 웹소설 &gt; 퓨전 판타지</v>
      </c>
    </row>
    <row r="5368" spans="1:57" x14ac:dyDescent="0.3">
      <c r="A5368">
        <v>2313020884</v>
      </c>
      <c r="B5368">
        <v>2313020907</v>
      </c>
      <c r="C5368" t="str">
        <f>T("회귀한 헌터가 너무 강함 24화")</f>
        <v>회귀한 헌터가 너무 강함 24화</v>
      </c>
      <c r="D5368" t="str">
        <f>T("24")</f>
        <v>24</v>
      </c>
      <c r="E5368" t="str">
        <f t="shared" si="741"/>
        <v>왕십리글쟁이</v>
      </c>
      <c r="H5368" t="str">
        <f t="shared" si="740"/>
        <v>스토리위즈</v>
      </c>
      <c r="I5368" t="str">
        <f t="shared" si="742"/>
        <v>회귀한 헌터가 너무 강함</v>
      </c>
      <c r="J5368">
        <v>0</v>
      </c>
      <c r="K5368">
        <v>0</v>
      </c>
      <c r="L5368">
        <v>0</v>
      </c>
      <c r="M5368">
        <v>26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26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/>
      <c r="AQ5368">
        <v>0</v>
      </c>
      <c r="AR5368">
        <v>0</v>
      </c>
      <c r="AT5368">
        <v>0</v>
      </c>
      <c r="AU5368">
        <v>0</v>
      </c>
      <c r="AW5368">
        <v>0</v>
      </c>
      <c r="AX5368">
        <v>0</v>
      </c>
      <c r="AY5368">
        <v>0</v>
      </c>
      <c r="BC5368" t="str">
        <f t="shared" si="743"/>
        <v>9791197332272</v>
      </c>
      <c r="BE5368" t="str">
        <f t="shared" si="744"/>
        <v>판타지 웹소설 &gt; 퓨전 판타지</v>
      </c>
    </row>
    <row r="5369" spans="1:57" x14ac:dyDescent="0.3">
      <c r="A5369">
        <v>2313020884</v>
      </c>
      <c r="B5369">
        <v>2313020908</v>
      </c>
      <c r="C5369" t="str">
        <f>T("회귀한 헌터가 너무 강함 25화")</f>
        <v>회귀한 헌터가 너무 강함 25화</v>
      </c>
      <c r="D5369" t="str">
        <f>T("25")</f>
        <v>25</v>
      </c>
      <c r="E5369" t="str">
        <f t="shared" si="741"/>
        <v>왕십리글쟁이</v>
      </c>
      <c r="H5369" t="str">
        <f t="shared" si="740"/>
        <v>스토리위즈</v>
      </c>
      <c r="I5369" t="str">
        <f t="shared" si="742"/>
        <v>회귀한 헌터가 너무 강함</v>
      </c>
      <c r="J5369">
        <v>0</v>
      </c>
      <c r="K5369">
        <v>0</v>
      </c>
      <c r="L5369">
        <v>0</v>
      </c>
      <c r="M5369">
        <v>25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25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/>
      <c r="AQ5369">
        <v>0</v>
      </c>
      <c r="AR5369">
        <v>0</v>
      </c>
      <c r="AT5369">
        <v>0</v>
      </c>
      <c r="AU5369">
        <v>0</v>
      </c>
      <c r="AW5369">
        <v>0</v>
      </c>
      <c r="AX5369">
        <v>0</v>
      </c>
      <c r="AY5369">
        <v>0</v>
      </c>
      <c r="BC5369" t="str">
        <f t="shared" si="743"/>
        <v>9791197332272</v>
      </c>
      <c r="BE5369" t="str">
        <f t="shared" si="744"/>
        <v>판타지 웹소설 &gt; 퓨전 판타지</v>
      </c>
    </row>
    <row r="5370" spans="1:57" x14ac:dyDescent="0.3">
      <c r="A5370">
        <v>2313021131</v>
      </c>
      <c r="B5370">
        <v>2313021131</v>
      </c>
      <c r="C5370" t="str">
        <f>T("[e북]신입사원이 이렇게 일을 잘했다고? 1권")</f>
        <v>[e북]신입사원이 이렇게 일을 잘했다고? 1권</v>
      </c>
      <c r="D5370" t="str">
        <f>T("1")</f>
        <v>1</v>
      </c>
      <c r="E5370" t="str">
        <f t="shared" si="741"/>
        <v>왕십리글쟁이</v>
      </c>
      <c r="H5370" t="str">
        <f t="shared" si="740"/>
        <v>스토리위즈</v>
      </c>
      <c r="I5370" t="str">
        <f>T("[e북]신입사원이 이렇게 일을 잘했다고?")</f>
        <v>[e북]신입사원이 이렇게 일을 잘했다고?</v>
      </c>
      <c r="J5370">
        <v>0</v>
      </c>
      <c r="K5370">
        <v>0</v>
      </c>
      <c r="L5370">
        <v>0</v>
      </c>
      <c r="M5370">
        <v>276</v>
      </c>
      <c r="N5370">
        <v>0</v>
      </c>
      <c r="O5370">
        <v>0</v>
      </c>
      <c r="P5370">
        <v>420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696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/>
      <c r="AQ5370">
        <v>0</v>
      </c>
      <c r="AR5370">
        <v>0</v>
      </c>
      <c r="AT5370">
        <v>0</v>
      </c>
      <c r="AU5370">
        <v>0</v>
      </c>
      <c r="AW5370">
        <v>0</v>
      </c>
      <c r="AX5370">
        <v>0</v>
      </c>
      <c r="AY5370">
        <v>0</v>
      </c>
      <c r="BC5370" t="str">
        <f>T("9791198080004")</f>
        <v>9791198080004</v>
      </c>
      <c r="BE5370" t="str">
        <f>T("판타지 e북 &gt; 현대 판타지")</f>
        <v>판타지 e북 &gt; 현대 판타지</v>
      </c>
    </row>
    <row r="5371" spans="1:57" x14ac:dyDescent="0.3">
      <c r="A5371">
        <v>2313021131</v>
      </c>
      <c r="B5371">
        <v>2313021135</v>
      </c>
      <c r="C5371" t="str">
        <f>T("[e북]신입사원이 이렇게 일을 잘했다고? 5권")</f>
        <v>[e북]신입사원이 이렇게 일을 잘했다고? 5권</v>
      </c>
      <c r="D5371" t="str">
        <f>T("5")</f>
        <v>5</v>
      </c>
      <c r="E5371" t="str">
        <f t="shared" si="741"/>
        <v>왕십리글쟁이</v>
      </c>
      <c r="H5371" t="str">
        <f t="shared" si="740"/>
        <v>스토리위즈</v>
      </c>
      <c r="I5371" t="str">
        <f>T("[e북]신입사원이 이렇게 일을 잘했다고?")</f>
        <v>[e북]신입사원이 이렇게 일을 잘했다고?</v>
      </c>
      <c r="J5371">
        <v>3200</v>
      </c>
      <c r="K5371">
        <v>0</v>
      </c>
      <c r="L5371">
        <v>0</v>
      </c>
      <c r="M5371">
        <v>0</v>
      </c>
      <c r="N5371">
        <v>165060</v>
      </c>
      <c r="O5371">
        <v>193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165060</v>
      </c>
      <c r="AH5371">
        <v>193</v>
      </c>
      <c r="AI5371">
        <v>0</v>
      </c>
      <c r="AJ5371">
        <v>0</v>
      </c>
      <c r="AK5371">
        <v>139607</v>
      </c>
      <c r="AL5371">
        <v>0</v>
      </c>
      <c r="AM5371">
        <v>30543.599999999999</v>
      </c>
      <c r="AN5371">
        <v>-4071.72</v>
      </c>
      <c r="AO5371">
        <v>0</v>
      </c>
      <c r="AP5371">
        <v>874.8</v>
      </c>
      <c r="AQ5371">
        <v>-262.44</v>
      </c>
      <c r="AR5371">
        <v>0</v>
      </c>
      <c r="AS5371">
        <v>29668.799999999999</v>
      </c>
      <c r="AT5371">
        <v>-3809.28</v>
      </c>
      <c r="AU5371">
        <v>0</v>
      </c>
      <c r="AW5371">
        <v>0</v>
      </c>
      <c r="AX5371">
        <v>0</v>
      </c>
      <c r="AY5371">
        <v>99647.33</v>
      </c>
      <c r="BC5371" t="str">
        <f>T("9791198080042")</f>
        <v>9791198080042</v>
      </c>
      <c r="BE5371" t="str">
        <f>T("판타지 e북 &gt; 현대 판타지")</f>
        <v>판타지 e북 &gt; 현대 판타지</v>
      </c>
    </row>
    <row r="5372" spans="1:57" x14ac:dyDescent="0.3">
      <c r="A5372">
        <v>2313021131</v>
      </c>
      <c r="B5372">
        <v>2313021136</v>
      </c>
      <c r="C5372" t="str">
        <f>T("[e북]신입사원이 이렇게 일을 잘했다고? 6권")</f>
        <v>[e북]신입사원이 이렇게 일을 잘했다고? 6권</v>
      </c>
      <c r="D5372" t="str">
        <f>T("6")</f>
        <v>6</v>
      </c>
      <c r="E5372" t="str">
        <f t="shared" si="741"/>
        <v>왕십리글쟁이</v>
      </c>
      <c r="H5372" t="str">
        <f t="shared" si="740"/>
        <v>스토리위즈</v>
      </c>
      <c r="I5372" t="str">
        <f>T("[e북]신입사원이 이렇게 일을 잘했다고?")</f>
        <v>[e북]신입사원이 이렇게 일을 잘했다고?</v>
      </c>
      <c r="J5372">
        <v>3200</v>
      </c>
      <c r="K5372">
        <v>0</v>
      </c>
      <c r="L5372">
        <v>0</v>
      </c>
      <c r="M5372">
        <v>0</v>
      </c>
      <c r="N5372">
        <v>154260</v>
      </c>
      <c r="O5372">
        <v>181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154260</v>
      </c>
      <c r="AH5372">
        <v>181</v>
      </c>
      <c r="AI5372">
        <v>0</v>
      </c>
      <c r="AJ5372">
        <v>0</v>
      </c>
      <c r="AK5372">
        <v>130694</v>
      </c>
      <c r="AL5372">
        <v>0</v>
      </c>
      <c r="AM5372">
        <v>28279.200000000001</v>
      </c>
      <c r="AN5372">
        <v>-3434.88</v>
      </c>
      <c r="AO5372">
        <v>0</v>
      </c>
      <c r="AP5372">
        <v>874.8</v>
      </c>
      <c r="AQ5372">
        <v>-262.44</v>
      </c>
      <c r="AR5372">
        <v>0</v>
      </c>
      <c r="AS5372">
        <v>27404.400000000001</v>
      </c>
      <c r="AT5372">
        <v>-3172.44</v>
      </c>
      <c r="AU5372">
        <v>0</v>
      </c>
      <c r="AW5372">
        <v>0</v>
      </c>
      <c r="AX5372">
        <v>0</v>
      </c>
      <c r="AY5372">
        <v>93323</v>
      </c>
      <c r="BC5372" t="str">
        <f>T("9791198080059")</f>
        <v>9791198080059</v>
      </c>
      <c r="BE5372" t="str">
        <f>T("판타지 e북 &gt; 현대 판타지")</f>
        <v>판타지 e북 &gt; 현대 판타지</v>
      </c>
    </row>
    <row r="5373" spans="1:57" x14ac:dyDescent="0.3">
      <c r="A5373">
        <v>2313021131</v>
      </c>
      <c r="B5373">
        <v>2313021137</v>
      </c>
      <c r="C5373" t="str">
        <f>T("[e북]신입사원이 이렇게 일을 잘했다고? 7권")</f>
        <v>[e북]신입사원이 이렇게 일을 잘했다고? 7권</v>
      </c>
      <c r="D5373" t="str">
        <f>T("7")</f>
        <v>7</v>
      </c>
      <c r="E5373" t="str">
        <f t="shared" si="741"/>
        <v>왕십리글쟁이</v>
      </c>
      <c r="H5373" t="str">
        <f t="shared" si="740"/>
        <v>스토리위즈</v>
      </c>
      <c r="I5373" t="str">
        <f>T("[e북]신입사원이 이렇게 일을 잘했다고?")</f>
        <v>[e북]신입사원이 이렇게 일을 잘했다고?</v>
      </c>
      <c r="J5373">
        <v>3200</v>
      </c>
      <c r="K5373">
        <v>0</v>
      </c>
      <c r="L5373">
        <v>0</v>
      </c>
      <c r="M5373">
        <v>0</v>
      </c>
      <c r="N5373">
        <v>149760</v>
      </c>
      <c r="O5373">
        <v>176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149760</v>
      </c>
      <c r="AH5373">
        <v>176</v>
      </c>
      <c r="AI5373">
        <v>0</v>
      </c>
      <c r="AJ5373">
        <v>0</v>
      </c>
      <c r="AK5373">
        <v>128572</v>
      </c>
      <c r="AL5373">
        <v>0</v>
      </c>
      <c r="AM5373">
        <v>25425.599999999999</v>
      </c>
      <c r="AN5373">
        <v>-3149.52</v>
      </c>
      <c r="AO5373">
        <v>0</v>
      </c>
      <c r="AP5373">
        <v>874.8</v>
      </c>
      <c r="AQ5373">
        <v>-262.44</v>
      </c>
      <c r="AR5373">
        <v>0</v>
      </c>
      <c r="AS5373">
        <v>24550.799999999999</v>
      </c>
      <c r="AT5373">
        <v>-2887.08</v>
      </c>
      <c r="AU5373">
        <v>0</v>
      </c>
      <c r="AW5373">
        <v>0</v>
      </c>
      <c r="AX5373">
        <v>0</v>
      </c>
      <c r="AY5373">
        <v>90508.85</v>
      </c>
      <c r="BC5373" t="str">
        <f>T("9791198080066")</f>
        <v>9791198080066</v>
      </c>
      <c r="BE5373" t="str">
        <f>T("판타지 e북 &gt; 현대 판타지")</f>
        <v>판타지 e북 &gt; 현대 판타지</v>
      </c>
    </row>
    <row r="5374" spans="1:57" x14ac:dyDescent="0.3">
      <c r="A5374">
        <v>2313021131</v>
      </c>
      <c r="B5374">
        <v>2313021138</v>
      </c>
      <c r="C5374" t="str">
        <f>T("[e북]신입사원이 이렇게 일을 잘했다고? 8권 (완결)")</f>
        <v>[e북]신입사원이 이렇게 일을 잘했다고? 8권 (완결)</v>
      </c>
      <c r="D5374" t="str">
        <f>T("8")</f>
        <v>8</v>
      </c>
      <c r="E5374" t="str">
        <f t="shared" si="741"/>
        <v>왕십리글쟁이</v>
      </c>
      <c r="H5374" t="str">
        <f t="shared" si="740"/>
        <v>스토리위즈</v>
      </c>
      <c r="I5374" t="str">
        <f>T("[e북]신입사원이 이렇게 일을 잘했다고?")</f>
        <v>[e북]신입사원이 이렇게 일을 잘했다고?</v>
      </c>
      <c r="J5374">
        <v>3200</v>
      </c>
      <c r="K5374">
        <v>0</v>
      </c>
      <c r="L5374">
        <v>0</v>
      </c>
      <c r="M5374">
        <v>0</v>
      </c>
      <c r="N5374">
        <v>147060</v>
      </c>
      <c r="O5374">
        <v>173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147060</v>
      </c>
      <c r="AH5374">
        <v>173</v>
      </c>
      <c r="AI5374">
        <v>0</v>
      </c>
      <c r="AJ5374">
        <v>0</v>
      </c>
      <c r="AK5374">
        <v>127472</v>
      </c>
      <c r="AL5374">
        <v>0</v>
      </c>
      <c r="AM5374">
        <v>23505.599999999999</v>
      </c>
      <c r="AN5374">
        <v>-2957.52</v>
      </c>
      <c r="AO5374">
        <v>0</v>
      </c>
      <c r="AP5374">
        <v>874.8</v>
      </c>
      <c r="AQ5374">
        <v>-262.44</v>
      </c>
      <c r="AR5374">
        <v>0</v>
      </c>
      <c r="AS5374">
        <v>22630.799999999999</v>
      </c>
      <c r="AT5374">
        <v>-2695.08</v>
      </c>
      <c r="AU5374">
        <v>0</v>
      </c>
      <c r="AW5374">
        <v>0</v>
      </c>
      <c r="AX5374">
        <v>0</v>
      </c>
      <c r="AY5374">
        <v>88812.05</v>
      </c>
      <c r="BC5374" t="str">
        <f>T("9791198080073")</f>
        <v>9791198080073</v>
      </c>
      <c r="BE5374" t="str">
        <f>T("판타지 e북 &gt; 현대 판타지")</f>
        <v>판타지 e북 &gt; 현대 판타지</v>
      </c>
    </row>
    <row r="5375" spans="1:57" x14ac:dyDescent="0.3">
      <c r="A5375">
        <v>2313021489</v>
      </c>
      <c r="B5375">
        <v>2313021489</v>
      </c>
      <c r="C5375" t="str">
        <f>T("[e북]아카데미 속 궁술천재 1권")</f>
        <v>[e북]아카데미 속 궁술천재 1권</v>
      </c>
      <c r="D5375" t="str">
        <f>T("1")</f>
        <v>1</v>
      </c>
      <c r="E5375" t="str">
        <f t="shared" ref="E5375:E5382" si="745">T("깡펀치")</f>
        <v>깡펀치</v>
      </c>
      <c r="H5375" t="str">
        <f t="shared" si="740"/>
        <v>스토리위즈</v>
      </c>
      <c r="I5375" t="str">
        <f t="shared" ref="I5375:I5382" si="746">T("[e북]아카데미 속 궁술천재")</f>
        <v>[e북]아카데미 속 궁술천재</v>
      </c>
      <c r="J5375">
        <v>0</v>
      </c>
      <c r="K5375">
        <v>0</v>
      </c>
      <c r="L5375">
        <v>0</v>
      </c>
      <c r="M5375">
        <v>122</v>
      </c>
      <c r="N5375">
        <v>0</v>
      </c>
      <c r="O5375">
        <v>0</v>
      </c>
      <c r="P5375">
        <v>126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248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/>
      <c r="AQ5375">
        <v>0</v>
      </c>
      <c r="AR5375">
        <v>0</v>
      </c>
      <c r="AT5375">
        <v>0</v>
      </c>
      <c r="AU5375">
        <v>0</v>
      </c>
      <c r="AW5375">
        <v>0</v>
      </c>
      <c r="AX5375">
        <v>0</v>
      </c>
      <c r="AY5375">
        <v>0</v>
      </c>
      <c r="BE5375" t="str">
        <f t="shared" ref="BE5375:BE5382" si="747">T("판타지 e북 &gt; 퓨전 판타지")</f>
        <v>판타지 e북 &gt; 퓨전 판타지</v>
      </c>
    </row>
    <row r="5376" spans="1:57" x14ac:dyDescent="0.3">
      <c r="A5376">
        <v>2313021489</v>
      </c>
      <c r="B5376">
        <v>2313021490</v>
      </c>
      <c r="C5376" t="str">
        <f>T("[e북]아카데미 속 궁술천재 2권")</f>
        <v>[e북]아카데미 속 궁술천재 2권</v>
      </c>
      <c r="D5376" t="str">
        <f>T("2")</f>
        <v>2</v>
      </c>
      <c r="E5376" t="str">
        <f t="shared" si="745"/>
        <v>깡펀치</v>
      </c>
      <c r="H5376" t="str">
        <f t="shared" si="740"/>
        <v>스토리위즈</v>
      </c>
      <c r="I5376" t="str">
        <f t="shared" si="746"/>
        <v>[e북]아카데미 속 궁술천재</v>
      </c>
      <c r="J5376">
        <v>3200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85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85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/>
      <c r="AQ5376">
        <v>0</v>
      </c>
      <c r="AR5376">
        <v>0</v>
      </c>
      <c r="AT5376">
        <v>0</v>
      </c>
      <c r="AU5376">
        <v>0</v>
      </c>
      <c r="AW5376">
        <v>0</v>
      </c>
      <c r="AX5376">
        <v>0</v>
      </c>
      <c r="AY5376">
        <v>0</v>
      </c>
      <c r="BE5376" t="str">
        <f t="shared" si="747"/>
        <v>판타지 e북 &gt; 퓨전 판타지</v>
      </c>
    </row>
    <row r="5377" spans="1:57" x14ac:dyDescent="0.3">
      <c r="A5377">
        <v>2313021489</v>
      </c>
      <c r="B5377">
        <v>2313021491</v>
      </c>
      <c r="C5377" t="str">
        <f>T("[e북]아카데미 속 궁술천재 3권")</f>
        <v>[e북]아카데미 속 궁술천재 3권</v>
      </c>
      <c r="D5377" t="str">
        <f>T("3")</f>
        <v>3</v>
      </c>
      <c r="E5377" t="str">
        <f t="shared" si="745"/>
        <v>깡펀치</v>
      </c>
      <c r="H5377" t="str">
        <f t="shared" si="740"/>
        <v>스토리위즈</v>
      </c>
      <c r="I5377" t="str">
        <f t="shared" si="746"/>
        <v>[e북]아카데미 속 궁술천재</v>
      </c>
      <c r="J5377">
        <v>3200</v>
      </c>
      <c r="K5377">
        <v>0</v>
      </c>
      <c r="L5377">
        <v>0</v>
      </c>
      <c r="M5377">
        <v>0</v>
      </c>
      <c r="N5377">
        <v>8100</v>
      </c>
      <c r="O5377">
        <v>9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8100</v>
      </c>
      <c r="AH5377">
        <v>9</v>
      </c>
      <c r="AI5377">
        <v>0</v>
      </c>
      <c r="AJ5377">
        <v>0</v>
      </c>
      <c r="AK5377">
        <v>8100</v>
      </c>
      <c r="AL5377">
        <v>0</v>
      </c>
      <c r="AM5377">
        <v>0</v>
      </c>
      <c r="AN5377">
        <v>0</v>
      </c>
      <c r="AO5377">
        <v>0</v>
      </c>
      <c r="AP5377"/>
      <c r="AQ5377">
        <v>0</v>
      </c>
      <c r="AR5377">
        <v>0</v>
      </c>
      <c r="AT5377">
        <v>0</v>
      </c>
      <c r="AU5377">
        <v>0</v>
      </c>
      <c r="AW5377">
        <v>0</v>
      </c>
      <c r="AX5377">
        <v>0</v>
      </c>
      <c r="AY5377">
        <v>5670</v>
      </c>
      <c r="BE5377" t="str">
        <f t="shared" si="747"/>
        <v>판타지 e북 &gt; 퓨전 판타지</v>
      </c>
    </row>
    <row r="5378" spans="1:57" x14ac:dyDescent="0.3">
      <c r="A5378">
        <v>2313021489</v>
      </c>
      <c r="B5378">
        <v>2313021492</v>
      </c>
      <c r="C5378" t="str">
        <f>T("[e북]아카데미 속 궁술천재 4권")</f>
        <v>[e북]아카데미 속 궁술천재 4권</v>
      </c>
      <c r="D5378" t="str">
        <f>T("4")</f>
        <v>4</v>
      </c>
      <c r="E5378" t="str">
        <f t="shared" si="745"/>
        <v>깡펀치</v>
      </c>
      <c r="H5378" t="str">
        <f t="shared" si="740"/>
        <v>스토리위즈</v>
      </c>
      <c r="I5378" t="str">
        <f t="shared" si="746"/>
        <v>[e북]아카데미 속 궁술천재</v>
      </c>
      <c r="J5378">
        <v>3200</v>
      </c>
      <c r="K5378">
        <v>0</v>
      </c>
      <c r="L5378">
        <v>0</v>
      </c>
      <c r="M5378">
        <v>0</v>
      </c>
      <c r="N5378">
        <v>7200</v>
      </c>
      <c r="O5378">
        <v>8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7200</v>
      </c>
      <c r="AH5378">
        <v>8</v>
      </c>
      <c r="AI5378">
        <v>0</v>
      </c>
      <c r="AJ5378">
        <v>0</v>
      </c>
      <c r="AK5378">
        <v>7200</v>
      </c>
      <c r="AL5378">
        <v>0</v>
      </c>
      <c r="AM5378">
        <v>0</v>
      </c>
      <c r="AN5378">
        <v>0</v>
      </c>
      <c r="AO5378">
        <v>0</v>
      </c>
      <c r="AP5378"/>
      <c r="AQ5378">
        <v>0</v>
      </c>
      <c r="AR5378">
        <v>0</v>
      </c>
      <c r="AT5378">
        <v>0</v>
      </c>
      <c r="AU5378">
        <v>0</v>
      </c>
      <c r="AW5378">
        <v>0</v>
      </c>
      <c r="AX5378">
        <v>0</v>
      </c>
      <c r="AY5378">
        <v>5040</v>
      </c>
      <c r="BE5378" t="str">
        <f t="shared" si="747"/>
        <v>판타지 e북 &gt; 퓨전 판타지</v>
      </c>
    </row>
    <row r="5379" spans="1:57" x14ac:dyDescent="0.3">
      <c r="A5379">
        <v>2313021489</v>
      </c>
      <c r="B5379">
        <v>2313021493</v>
      </c>
      <c r="C5379" t="str">
        <f>T("[e북]아카데미 속 궁술천재 5권")</f>
        <v>[e북]아카데미 속 궁술천재 5권</v>
      </c>
      <c r="D5379" t="str">
        <f>T("5")</f>
        <v>5</v>
      </c>
      <c r="E5379" t="str">
        <f t="shared" si="745"/>
        <v>깡펀치</v>
      </c>
      <c r="H5379" t="str">
        <f t="shared" si="740"/>
        <v>스토리위즈</v>
      </c>
      <c r="I5379" t="str">
        <f t="shared" si="746"/>
        <v>[e북]아카데미 속 궁술천재</v>
      </c>
      <c r="J5379">
        <v>3200</v>
      </c>
      <c r="K5379">
        <v>0</v>
      </c>
      <c r="L5379">
        <v>0</v>
      </c>
      <c r="M5379">
        <v>0</v>
      </c>
      <c r="N5379">
        <v>6300</v>
      </c>
      <c r="O5379">
        <v>7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6300</v>
      </c>
      <c r="AH5379">
        <v>7</v>
      </c>
      <c r="AI5379">
        <v>0</v>
      </c>
      <c r="AJ5379">
        <v>0</v>
      </c>
      <c r="AK5379">
        <v>6300</v>
      </c>
      <c r="AL5379">
        <v>0</v>
      </c>
      <c r="AM5379">
        <v>0</v>
      </c>
      <c r="AN5379">
        <v>0</v>
      </c>
      <c r="AO5379">
        <v>0</v>
      </c>
      <c r="AP5379"/>
      <c r="AQ5379">
        <v>0</v>
      </c>
      <c r="AR5379">
        <v>0</v>
      </c>
      <c r="AT5379">
        <v>0</v>
      </c>
      <c r="AU5379">
        <v>0</v>
      </c>
      <c r="AW5379">
        <v>0</v>
      </c>
      <c r="AX5379">
        <v>0</v>
      </c>
      <c r="AY5379">
        <v>4410</v>
      </c>
      <c r="BE5379" t="str">
        <f t="shared" si="747"/>
        <v>판타지 e북 &gt; 퓨전 판타지</v>
      </c>
    </row>
    <row r="5380" spans="1:57" x14ac:dyDescent="0.3">
      <c r="A5380">
        <v>2313021489</v>
      </c>
      <c r="B5380">
        <v>2313021494</v>
      </c>
      <c r="C5380" t="str">
        <f>T("[e북]아카데미 속 궁술천재 6권")</f>
        <v>[e북]아카데미 속 궁술천재 6권</v>
      </c>
      <c r="D5380" t="str">
        <f>T("6")</f>
        <v>6</v>
      </c>
      <c r="E5380" t="str">
        <f t="shared" si="745"/>
        <v>깡펀치</v>
      </c>
      <c r="H5380" t="str">
        <f t="shared" si="740"/>
        <v>스토리위즈</v>
      </c>
      <c r="I5380" t="str">
        <f t="shared" si="746"/>
        <v>[e북]아카데미 속 궁술천재</v>
      </c>
      <c r="J5380">
        <v>3200</v>
      </c>
      <c r="K5380">
        <v>0</v>
      </c>
      <c r="L5380">
        <v>0</v>
      </c>
      <c r="M5380">
        <v>0</v>
      </c>
      <c r="N5380">
        <v>6300</v>
      </c>
      <c r="O5380">
        <v>7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6300</v>
      </c>
      <c r="AH5380">
        <v>7</v>
      </c>
      <c r="AI5380">
        <v>0</v>
      </c>
      <c r="AJ5380">
        <v>0</v>
      </c>
      <c r="AK5380">
        <v>6300</v>
      </c>
      <c r="AL5380">
        <v>0</v>
      </c>
      <c r="AM5380">
        <v>0</v>
      </c>
      <c r="AN5380">
        <v>0</v>
      </c>
      <c r="AO5380">
        <v>0</v>
      </c>
      <c r="AP5380"/>
      <c r="AQ5380">
        <v>0</v>
      </c>
      <c r="AR5380">
        <v>0</v>
      </c>
      <c r="AT5380">
        <v>0</v>
      </c>
      <c r="AU5380">
        <v>0</v>
      </c>
      <c r="AW5380">
        <v>0</v>
      </c>
      <c r="AX5380">
        <v>0</v>
      </c>
      <c r="AY5380">
        <v>4410</v>
      </c>
      <c r="BE5380" t="str">
        <f t="shared" si="747"/>
        <v>판타지 e북 &gt; 퓨전 판타지</v>
      </c>
    </row>
    <row r="5381" spans="1:57" x14ac:dyDescent="0.3">
      <c r="A5381">
        <v>2313021489</v>
      </c>
      <c r="B5381">
        <v>2313021495</v>
      </c>
      <c r="C5381" t="str">
        <f>T("[e북]아카데미 속 궁술천재 7권")</f>
        <v>[e북]아카데미 속 궁술천재 7권</v>
      </c>
      <c r="D5381" t="str">
        <f>T("7")</f>
        <v>7</v>
      </c>
      <c r="E5381" t="str">
        <f t="shared" si="745"/>
        <v>깡펀치</v>
      </c>
      <c r="H5381" t="str">
        <f t="shared" si="740"/>
        <v>스토리위즈</v>
      </c>
      <c r="I5381" t="str">
        <f t="shared" si="746"/>
        <v>[e북]아카데미 속 궁술천재</v>
      </c>
      <c r="J5381">
        <v>3200</v>
      </c>
      <c r="K5381">
        <v>0</v>
      </c>
      <c r="L5381">
        <v>0</v>
      </c>
      <c r="M5381">
        <v>0</v>
      </c>
      <c r="N5381">
        <v>6300</v>
      </c>
      <c r="O5381">
        <v>7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6300</v>
      </c>
      <c r="AH5381">
        <v>7</v>
      </c>
      <c r="AI5381">
        <v>0</v>
      </c>
      <c r="AJ5381">
        <v>0</v>
      </c>
      <c r="AK5381">
        <v>6300</v>
      </c>
      <c r="AL5381">
        <v>0</v>
      </c>
      <c r="AM5381">
        <v>0</v>
      </c>
      <c r="AN5381">
        <v>0</v>
      </c>
      <c r="AO5381">
        <v>0</v>
      </c>
      <c r="AP5381"/>
      <c r="AQ5381">
        <v>0</v>
      </c>
      <c r="AR5381">
        <v>0</v>
      </c>
      <c r="AT5381">
        <v>0</v>
      </c>
      <c r="AU5381">
        <v>0</v>
      </c>
      <c r="AW5381">
        <v>0</v>
      </c>
      <c r="AX5381">
        <v>0</v>
      </c>
      <c r="AY5381">
        <v>4410</v>
      </c>
      <c r="BE5381" t="str">
        <f t="shared" si="747"/>
        <v>판타지 e북 &gt; 퓨전 판타지</v>
      </c>
    </row>
    <row r="5382" spans="1:57" x14ac:dyDescent="0.3">
      <c r="A5382">
        <v>2313021489</v>
      </c>
      <c r="B5382">
        <v>2313021496</v>
      </c>
      <c r="C5382" t="str">
        <f>T("[e북]아카데미 속 궁술천재 8권 (완결)")</f>
        <v>[e북]아카데미 속 궁술천재 8권 (완결)</v>
      </c>
      <c r="D5382" t="str">
        <f>T("8")</f>
        <v>8</v>
      </c>
      <c r="E5382" t="str">
        <f t="shared" si="745"/>
        <v>깡펀치</v>
      </c>
      <c r="H5382" t="str">
        <f t="shared" si="740"/>
        <v>스토리위즈</v>
      </c>
      <c r="I5382" t="str">
        <f t="shared" si="746"/>
        <v>[e북]아카데미 속 궁술천재</v>
      </c>
      <c r="J5382">
        <v>3200</v>
      </c>
      <c r="K5382">
        <v>0</v>
      </c>
      <c r="L5382">
        <v>0</v>
      </c>
      <c r="M5382">
        <v>0</v>
      </c>
      <c r="N5382">
        <v>6300</v>
      </c>
      <c r="O5382">
        <v>7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6300</v>
      </c>
      <c r="AH5382">
        <v>7</v>
      </c>
      <c r="AI5382">
        <v>0</v>
      </c>
      <c r="AJ5382">
        <v>0</v>
      </c>
      <c r="AK5382">
        <v>6300</v>
      </c>
      <c r="AL5382">
        <v>0</v>
      </c>
      <c r="AM5382">
        <v>0</v>
      </c>
      <c r="AN5382">
        <v>0</v>
      </c>
      <c r="AO5382">
        <v>0</v>
      </c>
      <c r="AP5382"/>
      <c r="AQ5382">
        <v>0</v>
      </c>
      <c r="AR5382">
        <v>0</v>
      </c>
      <c r="AT5382">
        <v>0</v>
      </c>
      <c r="AU5382">
        <v>0</v>
      </c>
      <c r="AW5382">
        <v>0</v>
      </c>
      <c r="AX5382">
        <v>0</v>
      </c>
      <c r="AY5382">
        <v>4410</v>
      </c>
      <c r="BE5382" t="str">
        <f t="shared" si="747"/>
        <v>판타지 e북 &gt; 퓨전 판타지</v>
      </c>
    </row>
    <row r="5383" spans="1:57" x14ac:dyDescent="0.3">
      <c r="W5383"/>
      <c r="AP5383"/>
      <c r="AW5383" s="20" t="s">
        <v>280</v>
      </c>
      <c r="AX5383" s="20"/>
      <c r="AY5383" s="3">
        <f>SUM(AY2:AY5382)</f>
        <v>14397648.130000133</v>
      </c>
    </row>
    <row r="5384" spans="1:57" x14ac:dyDescent="0.3">
      <c r="W5384"/>
      <c r="AP5384"/>
      <c r="AW5384" s="21" t="s">
        <v>365</v>
      </c>
      <c r="AX5384" s="21"/>
      <c r="AY5384" s="18">
        <f>'솜목화&lt;친절하기는 얼어죽을&gt; MG차감내역'!C123</f>
        <v>84748.320000000211</v>
      </c>
    </row>
    <row r="5385" spans="1:57" x14ac:dyDescent="0.3">
      <c r="W5385"/>
      <c r="AP5385"/>
      <c r="AW5385" s="21" t="s">
        <v>281</v>
      </c>
      <c r="AX5385" s="21"/>
      <c r="AY5385" s="18">
        <v>3285960</v>
      </c>
    </row>
    <row r="5386" spans="1:57" x14ac:dyDescent="0.3">
      <c r="W5386"/>
      <c r="AP5386"/>
      <c r="AW5386" s="21" t="s">
        <v>386</v>
      </c>
      <c r="AX5386" s="21"/>
      <c r="AY5386" s="18">
        <v>2670</v>
      </c>
    </row>
    <row r="5387" spans="1:57" x14ac:dyDescent="0.3">
      <c r="W5387"/>
      <c r="AP5387"/>
      <c r="AW5387" s="20" t="s">
        <v>366</v>
      </c>
      <c r="AX5387" s="20"/>
      <c r="AY5387" s="19">
        <f>AY5383-AY5384-AY5385+AY5386</f>
        <v>11029609.810000133</v>
      </c>
    </row>
    <row r="5388" spans="1:57" x14ac:dyDescent="0.3">
      <c r="W5388"/>
      <c r="AP5388"/>
    </row>
    <row r="5389" spans="1:57" x14ac:dyDescent="0.3">
      <c r="W5389"/>
      <c r="AP5389"/>
    </row>
    <row r="5390" spans="1:57" x14ac:dyDescent="0.3">
      <c r="W5390"/>
      <c r="AP5390"/>
    </row>
    <row r="5391" spans="1:57" x14ac:dyDescent="0.3">
      <c r="W5391"/>
      <c r="AP5391"/>
    </row>
    <row r="5392" spans="1:57" x14ac:dyDescent="0.3">
      <c r="W5392"/>
      <c r="AP5392"/>
    </row>
    <row r="5393" spans="23:42" x14ac:dyDescent="0.3">
      <c r="W5393"/>
      <c r="AP5393"/>
    </row>
    <row r="5394" spans="23:42" x14ac:dyDescent="0.3">
      <c r="W5394"/>
      <c r="AP5394"/>
    </row>
    <row r="5395" spans="23:42" x14ac:dyDescent="0.3">
      <c r="W5395"/>
      <c r="AP5395"/>
    </row>
    <row r="5396" spans="23:42" x14ac:dyDescent="0.3">
      <c r="W5396"/>
      <c r="AP5396"/>
    </row>
    <row r="5397" spans="23:42" x14ac:dyDescent="0.3">
      <c r="W5397"/>
      <c r="AP5397"/>
    </row>
    <row r="5398" spans="23:42" x14ac:dyDescent="0.3">
      <c r="W5398"/>
      <c r="AP5398"/>
    </row>
    <row r="5399" spans="23:42" x14ac:dyDescent="0.3">
      <c r="W5399"/>
      <c r="AP5399"/>
    </row>
    <row r="5400" spans="23:42" x14ac:dyDescent="0.3">
      <c r="W5400"/>
      <c r="AP5400"/>
    </row>
    <row r="5401" spans="23:42" x14ac:dyDescent="0.3">
      <c r="W5401"/>
      <c r="AP5401"/>
    </row>
    <row r="5402" spans="23:42" x14ac:dyDescent="0.3">
      <c r="W5402"/>
      <c r="AP5402"/>
    </row>
    <row r="5403" spans="23:42" x14ac:dyDescent="0.3">
      <c r="W5403"/>
      <c r="AP5403"/>
    </row>
    <row r="5404" spans="23:42" x14ac:dyDescent="0.3">
      <c r="W5404"/>
      <c r="AP5404"/>
    </row>
    <row r="5405" spans="23:42" x14ac:dyDescent="0.3">
      <c r="W5405"/>
      <c r="AP5405"/>
    </row>
    <row r="5406" spans="23:42" x14ac:dyDescent="0.3">
      <c r="W5406"/>
      <c r="AP5406"/>
    </row>
    <row r="5407" spans="23:42" x14ac:dyDescent="0.3">
      <c r="W5407"/>
      <c r="AP5407"/>
    </row>
    <row r="5408" spans="23:42" x14ac:dyDescent="0.3">
      <c r="W5408"/>
      <c r="AP5408"/>
    </row>
    <row r="5409" spans="23:42" x14ac:dyDescent="0.3">
      <c r="W5409"/>
      <c r="AP5409"/>
    </row>
    <row r="5410" spans="23:42" x14ac:dyDescent="0.3">
      <c r="W5410"/>
      <c r="AP5410"/>
    </row>
    <row r="5411" spans="23:42" x14ac:dyDescent="0.3">
      <c r="W5411"/>
      <c r="AP5411"/>
    </row>
    <row r="5412" spans="23:42" x14ac:dyDescent="0.3">
      <c r="W5412"/>
      <c r="AP5412"/>
    </row>
    <row r="5413" spans="23:42" x14ac:dyDescent="0.3">
      <c r="W5413"/>
      <c r="AP5413"/>
    </row>
    <row r="5414" spans="23:42" x14ac:dyDescent="0.3">
      <c r="W5414"/>
      <c r="AP5414"/>
    </row>
    <row r="5415" spans="23:42" x14ac:dyDescent="0.3">
      <c r="W5415"/>
      <c r="AP5415"/>
    </row>
    <row r="5416" spans="23:42" x14ac:dyDescent="0.3">
      <c r="W5416"/>
      <c r="AP5416"/>
    </row>
    <row r="5417" spans="23:42" x14ac:dyDescent="0.3">
      <c r="W5417"/>
      <c r="AP5417"/>
    </row>
    <row r="5418" spans="23:42" x14ac:dyDescent="0.3">
      <c r="W5418"/>
      <c r="AP5418"/>
    </row>
    <row r="5419" spans="23:42" x14ac:dyDescent="0.3">
      <c r="W5419"/>
      <c r="AP5419"/>
    </row>
    <row r="5420" spans="23:42" x14ac:dyDescent="0.3">
      <c r="W5420"/>
      <c r="AP5420"/>
    </row>
    <row r="5421" spans="23:42" x14ac:dyDescent="0.3">
      <c r="W5421"/>
      <c r="AP5421"/>
    </row>
    <row r="5422" spans="23:42" x14ac:dyDescent="0.3">
      <c r="W5422"/>
      <c r="AP5422"/>
    </row>
    <row r="5423" spans="23:42" x14ac:dyDescent="0.3">
      <c r="W5423"/>
      <c r="AP5423"/>
    </row>
    <row r="5424" spans="23:42" x14ac:dyDescent="0.3">
      <c r="W5424"/>
      <c r="AP5424"/>
    </row>
    <row r="5425" spans="23:42" x14ac:dyDescent="0.3">
      <c r="W5425"/>
      <c r="AP5425"/>
    </row>
    <row r="5426" spans="23:42" x14ac:dyDescent="0.3">
      <c r="W5426"/>
      <c r="AP5426"/>
    </row>
    <row r="5427" spans="23:42" x14ac:dyDescent="0.3">
      <c r="W5427"/>
      <c r="AP5427"/>
    </row>
    <row r="5428" spans="23:42" x14ac:dyDescent="0.3">
      <c r="W5428"/>
      <c r="AP5428"/>
    </row>
    <row r="5429" spans="23:42" x14ac:dyDescent="0.3">
      <c r="W5429"/>
      <c r="AP5429"/>
    </row>
    <row r="5430" spans="23:42" x14ac:dyDescent="0.3">
      <c r="W5430"/>
      <c r="AP5430"/>
    </row>
    <row r="5431" spans="23:42" x14ac:dyDescent="0.3">
      <c r="W5431"/>
      <c r="AP5431"/>
    </row>
    <row r="5432" spans="23:42" x14ac:dyDescent="0.3">
      <c r="W5432"/>
      <c r="AP5432"/>
    </row>
    <row r="5433" spans="23:42" x14ac:dyDescent="0.3">
      <c r="W5433"/>
      <c r="AP5433"/>
    </row>
    <row r="5434" spans="23:42" x14ac:dyDescent="0.3">
      <c r="W5434"/>
      <c r="AP5434"/>
    </row>
    <row r="5435" spans="23:42" x14ac:dyDescent="0.3">
      <c r="W5435"/>
      <c r="AP5435"/>
    </row>
    <row r="5436" spans="23:42" x14ac:dyDescent="0.3">
      <c r="W5436"/>
      <c r="AP5436"/>
    </row>
    <row r="5437" spans="23:42" x14ac:dyDescent="0.3">
      <c r="W5437"/>
      <c r="AP5437"/>
    </row>
    <row r="5438" spans="23:42" x14ac:dyDescent="0.3">
      <c r="W5438"/>
      <c r="AP5438"/>
    </row>
    <row r="5439" spans="23:42" x14ac:dyDescent="0.3">
      <c r="W5439"/>
      <c r="AP5439"/>
    </row>
    <row r="5440" spans="23:42" x14ac:dyDescent="0.3">
      <c r="W5440"/>
      <c r="AP5440"/>
    </row>
    <row r="5441" spans="23:42" x14ac:dyDescent="0.3">
      <c r="W5441"/>
      <c r="AP5441"/>
    </row>
    <row r="5442" spans="23:42" x14ac:dyDescent="0.3">
      <c r="W5442"/>
      <c r="AP5442"/>
    </row>
    <row r="5443" spans="23:42" x14ac:dyDescent="0.3">
      <c r="W5443"/>
      <c r="AP5443"/>
    </row>
    <row r="5444" spans="23:42" x14ac:dyDescent="0.3">
      <c r="W5444"/>
      <c r="AP5444"/>
    </row>
    <row r="5445" spans="23:42" x14ac:dyDescent="0.3">
      <c r="W5445"/>
      <c r="AP5445"/>
    </row>
    <row r="5446" spans="23:42" x14ac:dyDescent="0.3">
      <c r="W5446"/>
      <c r="AP5446"/>
    </row>
    <row r="5447" spans="23:42" x14ac:dyDescent="0.3">
      <c r="W5447"/>
      <c r="AP5447"/>
    </row>
    <row r="5448" spans="23:42" x14ac:dyDescent="0.3">
      <c r="W5448"/>
      <c r="AP5448"/>
    </row>
    <row r="5449" spans="23:42" x14ac:dyDescent="0.3">
      <c r="W5449"/>
      <c r="AP5449"/>
    </row>
    <row r="5450" spans="23:42" x14ac:dyDescent="0.3">
      <c r="W5450"/>
      <c r="AP5450"/>
    </row>
    <row r="5451" spans="23:42" x14ac:dyDescent="0.3">
      <c r="W5451"/>
      <c r="AP5451"/>
    </row>
    <row r="5452" spans="23:42" x14ac:dyDescent="0.3">
      <c r="W5452"/>
      <c r="AP5452"/>
    </row>
    <row r="5453" spans="23:42" x14ac:dyDescent="0.3">
      <c r="W5453"/>
      <c r="AP5453"/>
    </row>
    <row r="5454" spans="23:42" x14ac:dyDescent="0.3">
      <c r="W5454"/>
      <c r="AP5454"/>
    </row>
    <row r="5455" spans="23:42" x14ac:dyDescent="0.3">
      <c r="W5455"/>
      <c r="AP5455"/>
    </row>
    <row r="5456" spans="23:42" x14ac:dyDescent="0.3">
      <c r="W5456"/>
      <c r="AP5456"/>
    </row>
    <row r="5457" spans="23:42" x14ac:dyDescent="0.3">
      <c r="W5457"/>
      <c r="AP5457"/>
    </row>
    <row r="5458" spans="23:42" x14ac:dyDescent="0.3">
      <c r="W5458"/>
      <c r="AP5458"/>
    </row>
    <row r="5459" spans="23:42" x14ac:dyDescent="0.3">
      <c r="W5459"/>
      <c r="AP5459"/>
    </row>
    <row r="5460" spans="23:42" x14ac:dyDescent="0.3">
      <c r="W5460"/>
      <c r="AP5460"/>
    </row>
    <row r="5461" spans="23:42" x14ac:dyDescent="0.3">
      <c r="W5461"/>
      <c r="AP5461"/>
    </row>
    <row r="5462" spans="23:42" x14ac:dyDescent="0.3">
      <c r="W5462"/>
      <c r="AP5462"/>
    </row>
    <row r="5463" spans="23:42" x14ac:dyDescent="0.3">
      <c r="W5463"/>
      <c r="AP5463"/>
    </row>
    <row r="5464" spans="23:42" x14ac:dyDescent="0.3">
      <c r="W5464"/>
      <c r="AP5464"/>
    </row>
    <row r="5465" spans="23:42" x14ac:dyDescent="0.3">
      <c r="W5465"/>
      <c r="AP5465"/>
    </row>
    <row r="5466" spans="23:42" x14ac:dyDescent="0.3">
      <c r="W5466"/>
      <c r="AP5466"/>
    </row>
    <row r="5467" spans="23:42" x14ac:dyDescent="0.3">
      <c r="W5467"/>
      <c r="AP5467"/>
    </row>
    <row r="5468" spans="23:42" x14ac:dyDescent="0.3">
      <c r="W5468"/>
      <c r="AP5468"/>
    </row>
    <row r="5469" spans="23:42" x14ac:dyDescent="0.3">
      <c r="W5469"/>
      <c r="AP5469"/>
    </row>
    <row r="5470" spans="23:42" x14ac:dyDescent="0.3">
      <c r="W5470"/>
      <c r="AP5470"/>
    </row>
    <row r="5471" spans="23:42" x14ac:dyDescent="0.3">
      <c r="W5471"/>
      <c r="AP5471"/>
    </row>
    <row r="5472" spans="23:42" x14ac:dyDescent="0.3">
      <c r="W5472"/>
      <c r="AP5472"/>
    </row>
    <row r="5473" spans="23:42" x14ac:dyDescent="0.3">
      <c r="W5473"/>
      <c r="AP5473"/>
    </row>
    <row r="5474" spans="23:42" x14ac:dyDescent="0.3">
      <c r="W5474"/>
      <c r="AP5474"/>
    </row>
    <row r="5475" spans="23:42" x14ac:dyDescent="0.3">
      <c r="W5475"/>
      <c r="AP5475"/>
    </row>
    <row r="5476" spans="23:42" x14ac:dyDescent="0.3">
      <c r="W5476"/>
      <c r="AP5476"/>
    </row>
    <row r="5477" spans="23:42" x14ac:dyDescent="0.3">
      <c r="W5477"/>
      <c r="AP5477"/>
    </row>
    <row r="5478" spans="23:42" x14ac:dyDescent="0.3">
      <c r="W5478"/>
      <c r="AP5478"/>
    </row>
    <row r="5479" spans="23:42" x14ac:dyDescent="0.3">
      <c r="W5479"/>
      <c r="AP5479"/>
    </row>
    <row r="5480" spans="23:42" x14ac:dyDescent="0.3">
      <c r="W5480"/>
      <c r="AP5480"/>
    </row>
    <row r="5481" spans="23:42" x14ac:dyDescent="0.3">
      <c r="W5481"/>
      <c r="AP5481"/>
    </row>
    <row r="5482" spans="23:42" x14ac:dyDescent="0.3">
      <c r="W5482"/>
      <c r="AP5482"/>
    </row>
    <row r="5483" spans="23:42" x14ac:dyDescent="0.3">
      <c r="W5483"/>
      <c r="AP5483"/>
    </row>
    <row r="5484" spans="23:42" x14ac:dyDescent="0.3">
      <c r="W5484"/>
      <c r="AP5484"/>
    </row>
    <row r="5485" spans="23:42" x14ac:dyDescent="0.3">
      <c r="W5485"/>
      <c r="AP5485"/>
    </row>
    <row r="5486" spans="23:42" x14ac:dyDescent="0.3">
      <c r="W5486"/>
      <c r="AP5486"/>
    </row>
    <row r="5487" spans="23:42" x14ac:dyDescent="0.3">
      <c r="W5487"/>
      <c r="AP5487"/>
    </row>
    <row r="5488" spans="23:42" x14ac:dyDescent="0.3">
      <c r="W5488"/>
      <c r="AP5488"/>
    </row>
    <row r="5489" spans="23:42" x14ac:dyDescent="0.3">
      <c r="W5489"/>
      <c r="AP5489"/>
    </row>
    <row r="5490" spans="23:42" x14ac:dyDescent="0.3">
      <c r="W5490"/>
      <c r="AP5490"/>
    </row>
    <row r="5491" spans="23:42" x14ac:dyDescent="0.3">
      <c r="W5491"/>
      <c r="AP5491"/>
    </row>
    <row r="5492" spans="23:42" x14ac:dyDescent="0.3">
      <c r="W5492"/>
      <c r="AP5492"/>
    </row>
    <row r="5493" spans="23:42" x14ac:dyDescent="0.3">
      <c r="W5493"/>
      <c r="AP5493"/>
    </row>
    <row r="5494" spans="23:42" x14ac:dyDescent="0.3">
      <c r="W5494"/>
      <c r="AP5494"/>
    </row>
    <row r="5495" spans="23:42" x14ac:dyDescent="0.3">
      <c r="W5495"/>
      <c r="AP5495"/>
    </row>
    <row r="5496" spans="23:42" x14ac:dyDescent="0.3">
      <c r="W5496"/>
      <c r="AP5496"/>
    </row>
    <row r="5497" spans="23:42" x14ac:dyDescent="0.3">
      <c r="W5497"/>
      <c r="AP5497"/>
    </row>
    <row r="5498" spans="23:42" x14ac:dyDescent="0.3">
      <c r="W5498"/>
      <c r="AP5498"/>
    </row>
    <row r="5499" spans="23:42" x14ac:dyDescent="0.3">
      <c r="W5499"/>
      <c r="AP5499"/>
    </row>
    <row r="5500" spans="23:42" x14ac:dyDescent="0.3">
      <c r="W5500"/>
      <c r="AP5500"/>
    </row>
    <row r="5501" spans="23:42" x14ac:dyDescent="0.3">
      <c r="W5501"/>
      <c r="AP5501"/>
    </row>
    <row r="5502" spans="23:42" x14ac:dyDescent="0.3">
      <c r="W5502"/>
      <c r="AP5502"/>
    </row>
    <row r="5503" spans="23:42" x14ac:dyDescent="0.3">
      <c r="W5503"/>
      <c r="AP5503"/>
    </row>
    <row r="5504" spans="23:42" x14ac:dyDescent="0.3">
      <c r="W5504"/>
      <c r="AP5504"/>
    </row>
    <row r="5505" spans="23:42" x14ac:dyDescent="0.3">
      <c r="W5505"/>
      <c r="AP5505"/>
    </row>
    <row r="5506" spans="23:42" x14ac:dyDescent="0.3">
      <c r="W5506"/>
      <c r="AP5506"/>
    </row>
    <row r="5507" spans="23:42" x14ac:dyDescent="0.3">
      <c r="W5507"/>
      <c r="AP5507"/>
    </row>
    <row r="5508" spans="23:42" x14ac:dyDescent="0.3">
      <c r="W5508"/>
      <c r="AP5508"/>
    </row>
    <row r="5509" spans="23:42" x14ac:dyDescent="0.3">
      <c r="W5509"/>
      <c r="AP5509"/>
    </row>
    <row r="5510" spans="23:42" x14ac:dyDescent="0.3">
      <c r="W5510"/>
      <c r="AP5510"/>
    </row>
    <row r="5511" spans="23:42" x14ac:dyDescent="0.3">
      <c r="W5511"/>
      <c r="AP5511"/>
    </row>
    <row r="5512" spans="23:42" x14ac:dyDescent="0.3">
      <c r="W5512"/>
      <c r="AP5512"/>
    </row>
    <row r="5513" spans="23:42" x14ac:dyDescent="0.3">
      <c r="W5513"/>
      <c r="AP5513"/>
    </row>
    <row r="5514" spans="23:42" x14ac:dyDescent="0.3">
      <c r="W5514"/>
      <c r="AP5514"/>
    </row>
    <row r="5515" spans="23:42" x14ac:dyDescent="0.3">
      <c r="W5515"/>
      <c r="AP5515"/>
    </row>
    <row r="5516" spans="23:42" x14ac:dyDescent="0.3">
      <c r="W5516"/>
      <c r="AP5516"/>
    </row>
    <row r="5517" spans="23:42" x14ac:dyDescent="0.3">
      <c r="W5517"/>
      <c r="AP5517"/>
    </row>
    <row r="5518" spans="23:42" x14ac:dyDescent="0.3">
      <c r="W5518"/>
      <c r="AP5518"/>
    </row>
    <row r="5519" spans="23:42" x14ac:dyDescent="0.3">
      <c r="W5519"/>
      <c r="AP5519"/>
    </row>
    <row r="5520" spans="23:42" x14ac:dyDescent="0.3">
      <c r="W5520"/>
      <c r="AP5520"/>
    </row>
    <row r="5521" spans="23:42" x14ac:dyDescent="0.3">
      <c r="W5521"/>
      <c r="AP5521"/>
    </row>
    <row r="5522" spans="23:42" x14ac:dyDescent="0.3">
      <c r="W5522"/>
      <c r="AP5522"/>
    </row>
    <row r="5523" spans="23:42" x14ac:dyDescent="0.3">
      <c r="W5523"/>
      <c r="AP5523"/>
    </row>
    <row r="5524" spans="23:42" x14ac:dyDescent="0.3">
      <c r="W5524"/>
      <c r="AP5524"/>
    </row>
    <row r="5525" spans="23:42" x14ac:dyDescent="0.3">
      <c r="W5525"/>
      <c r="AP5525"/>
    </row>
    <row r="5526" spans="23:42" x14ac:dyDescent="0.3">
      <c r="W5526"/>
      <c r="AP5526"/>
    </row>
    <row r="5527" spans="23:42" x14ac:dyDescent="0.3">
      <c r="W5527"/>
      <c r="AP5527"/>
    </row>
    <row r="5528" spans="23:42" x14ac:dyDescent="0.3">
      <c r="W5528"/>
      <c r="AP5528"/>
    </row>
    <row r="5529" spans="23:42" x14ac:dyDescent="0.3">
      <c r="W5529"/>
      <c r="AP5529"/>
    </row>
    <row r="5530" spans="23:42" x14ac:dyDescent="0.3">
      <c r="W5530"/>
      <c r="AP5530"/>
    </row>
    <row r="5531" spans="23:42" x14ac:dyDescent="0.3">
      <c r="W5531"/>
      <c r="AP5531"/>
    </row>
    <row r="5532" spans="23:42" x14ac:dyDescent="0.3">
      <c r="W5532"/>
      <c r="AP5532"/>
    </row>
    <row r="5533" spans="23:42" x14ac:dyDescent="0.3">
      <c r="W5533"/>
      <c r="AP5533"/>
    </row>
    <row r="5534" spans="23:42" x14ac:dyDescent="0.3">
      <c r="W5534"/>
      <c r="AP5534"/>
    </row>
    <row r="5535" spans="23:42" x14ac:dyDescent="0.3">
      <c r="W5535"/>
      <c r="AP5535"/>
    </row>
    <row r="5536" spans="23:42" x14ac:dyDescent="0.3">
      <c r="W5536"/>
      <c r="AP5536"/>
    </row>
    <row r="5537" spans="23:42" x14ac:dyDescent="0.3">
      <c r="W5537"/>
      <c r="AP5537"/>
    </row>
    <row r="5538" spans="23:42" x14ac:dyDescent="0.3">
      <c r="W5538"/>
      <c r="AP5538"/>
    </row>
    <row r="5539" spans="23:42" x14ac:dyDescent="0.3">
      <c r="W5539"/>
      <c r="AP5539"/>
    </row>
    <row r="5540" spans="23:42" x14ac:dyDescent="0.3">
      <c r="W5540"/>
      <c r="AP5540"/>
    </row>
    <row r="5541" spans="23:42" x14ac:dyDescent="0.3">
      <c r="W5541"/>
      <c r="AP5541"/>
    </row>
    <row r="5542" spans="23:42" x14ac:dyDescent="0.3">
      <c r="W5542"/>
      <c r="AP5542"/>
    </row>
    <row r="5543" spans="23:42" x14ac:dyDescent="0.3">
      <c r="W5543"/>
      <c r="AP5543"/>
    </row>
    <row r="5544" spans="23:42" x14ac:dyDescent="0.3">
      <c r="W5544"/>
      <c r="AP5544"/>
    </row>
    <row r="5545" spans="23:42" x14ac:dyDescent="0.3">
      <c r="W5545"/>
      <c r="AP5545"/>
    </row>
    <row r="5546" spans="23:42" x14ac:dyDescent="0.3">
      <c r="W5546"/>
      <c r="AP5546"/>
    </row>
    <row r="5547" spans="23:42" x14ac:dyDescent="0.3">
      <c r="W5547"/>
      <c r="AP5547"/>
    </row>
    <row r="5548" spans="23:42" x14ac:dyDescent="0.3">
      <c r="W5548"/>
      <c r="AP5548"/>
    </row>
    <row r="5549" spans="23:42" x14ac:dyDescent="0.3">
      <c r="W5549"/>
      <c r="AP5549"/>
    </row>
    <row r="5550" spans="23:42" x14ac:dyDescent="0.3">
      <c r="W5550"/>
      <c r="AP5550"/>
    </row>
    <row r="5551" spans="23:42" x14ac:dyDescent="0.3">
      <c r="W5551"/>
      <c r="AP5551"/>
    </row>
    <row r="5552" spans="23:42" x14ac:dyDescent="0.3">
      <c r="W5552"/>
      <c r="AP5552"/>
    </row>
    <row r="5553" spans="23:42" x14ac:dyDescent="0.3">
      <c r="W5553"/>
      <c r="AP5553"/>
    </row>
    <row r="5554" spans="23:42" x14ac:dyDescent="0.3">
      <c r="W5554"/>
      <c r="AP5554"/>
    </row>
    <row r="5555" spans="23:42" x14ac:dyDescent="0.3">
      <c r="W5555"/>
      <c r="AP5555"/>
    </row>
    <row r="5556" spans="23:42" x14ac:dyDescent="0.3">
      <c r="W5556"/>
      <c r="AP5556"/>
    </row>
    <row r="5557" spans="23:42" x14ac:dyDescent="0.3">
      <c r="W5557"/>
      <c r="AP5557"/>
    </row>
    <row r="5558" spans="23:42" x14ac:dyDescent="0.3">
      <c r="W5558"/>
      <c r="AP5558"/>
    </row>
    <row r="5559" spans="23:42" x14ac:dyDescent="0.3">
      <c r="W5559"/>
      <c r="AP5559"/>
    </row>
    <row r="5560" spans="23:42" x14ac:dyDescent="0.3">
      <c r="W5560"/>
      <c r="AP5560"/>
    </row>
    <row r="5561" spans="23:42" x14ac:dyDescent="0.3">
      <c r="W5561"/>
      <c r="AP5561"/>
    </row>
    <row r="5562" spans="23:42" x14ac:dyDescent="0.3">
      <c r="W5562"/>
      <c r="AP5562"/>
    </row>
    <row r="5563" spans="23:42" x14ac:dyDescent="0.3">
      <c r="W5563"/>
      <c r="AP5563"/>
    </row>
    <row r="5564" spans="23:42" x14ac:dyDescent="0.3">
      <c r="W5564"/>
      <c r="AP5564"/>
    </row>
    <row r="5565" spans="23:42" x14ac:dyDescent="0.3">
      <c r="W5565"/>
      <c r="AP5565"/>
    </row>
    <row r="5566" spans="23:42" x14ac:dyDescent="0.3">
      <c r="W5566"/>
      <c r="AP5566"/>
    </row>
    <row r="5567" spans="23:42" x14ac:dyDescent="0.3">
      <c r="W5567"/>
      <c r="AP5567"/>
    </row>
    <row r="5568" spans="23:42" x14ac:dyDescent="0.3">
      <c r="W5568"/>
      <c r="AP5568"/>
    </row>
    <row r="5569" spans="23:42" x14ac:dyDescent="0.3">
      <c r="W5569"/>
      <c r="AP5569"/>
    </row>
    <row r="5570" spans="23:42" x14ac:dyDescent="0.3">
      <c r="W5570"/>
      <c r="AP5570"/>
    </row>
    <row r="5571" spans="23:42" x14ac:dyDescent="0.3">
      <c r="W5571"/>
      <c r="AP5571"/>
    </row>
    <row r="5572" spans="23:42" x14ac:dyDescent="0.3">
      <c r="W5572"/>
      <c r="AP5572"/>
    </row>
    <row r="5573" spans="23:42" x14ac:dyDescent="0.3">
      <c r="W5573"/>
      <c r="AP5573"/>
    </row>
    <row r="5574" spans="23:42" x14ac:dyDescent="0.3">
      <c r="W5574"/>
      <c r="AP5574"/>
    </row>
    <row r="5575" spans="23:42" x14ac:dyDescent="0.3">
      <c r="W5575"/>
      <c r="AP5575"/>
    </row>
    <row r="5576" spans="23:42" x14ac:dyDescent="0.3">
      <c r="W5576"/>
      <c r="AP5576"/>
    </row>
    <row r="5577" spans="23:42" x14ac:dyDescent="0.3">
      <c r="W5577"/>
      <c r="AP5577"/>
    </row>
    <row r="5578" spans="23:42" x14ac:dyDescent="0.3">
      <c r="W5578"/>
      <c r="AP5578"/>
    </row>
    <row r="5579" spans="23:42" x14ac:dyDescent="0.3">
      <c r="W5579"/>
      <c r="AP5579"/>
    </row>
    <row r="5580" spans="23:42" x14ac:dyDescent="0.3">
      <c r="W5580"/>
      <c r="AP5580"/>
    </row>
    <row r="5581" spans="23:42" x14ac:dyDescent="0.3">
      <c r="W5581"/>
      <c r="AP5581"/>
    </row>
    <row r="5582" spans="23:42" x14ac:dyDescent="0.3">
      <c r="W5582"/>
      <c r="AP5582"/>
    </row>
    <row r="5583" spans="23:42" x14ac:dyDescent="0.3">
      <c r="W5583"/>
      <c r="AP5583"/>
    </row>
    <row r="5584" spans="23:42" x14ac:dyDescent="0.3">
      <c r="W5584"/>
      <c r="AP5584"/>
    </row>
    <row r="5585" spans="23:42" x14ac:dyDescent="0.3">
      <c r="W5585"/>
      <c r="AP5585"/>
    </row>
    <row r="5586" spans="23:42" x14ac:dyDescent="0.3">
      <c r="W5586"/>
      <c r="AP5586"/>
    </row>
    <row r="5587" spans="23:42" x14ac:dyDescent="0.3">
      <c r="W5587"/>
      <c r="AP5587"/>
    </row>
    <row r="5588" spans="23:42" x14ac:dyDescent="0.3">
      <c r="W5588"/>
      <c r="AP5588"/>
    </row>
    <row r="5589" spans="23:42" x14ac:dyDescent="0.3">
      <c r="W5589"/>
      <c r="AP5589"/>
    </row>
    <row r="5590" spans="23:42" x14ac:dyDescent="0.3">
      <c r="W5590"/>
      <c r="AP5590"/>
    </row>
    <row r="5591" spans="23:42" x14ac:dyDescent="0.3">
      <c r="W5591"/>
      <c r="AP5591"/>
    </row>
    <row r="5592" spans="23:42" x14ac:dyDescent="0.3">
      <c r="W5592"/>
      <c r="AP5592"/>
    </row>
    <row r="5593" spans="23:42" x14ac:dyDescent="0.3">
      <c r="W5593"/>
      <c r="AP5593"/>
    </row>
    <row r="5594" spans="23:42" x14ac:dyDescent="0.3">
      <c r="W5594"/>
      <c r="AP5594"/>
    </row>
    <row r="5595" spans="23:42" x14ac:dyDescent="0.3">
      <c r="W5595"/>
      <c r="AP5595"/>
    </row>
    <row r="5596" spans="23:42" x14ac:dyDescent="0.3">
      <c r="W5596"/>
      <c r="AP5596"/>
    </row>
    <row r="5597" spans="23:42" x14ac:dyDescent="0.3">
      <c r="W5597"/>
      <c r="AP5597"/>
    </row>
    <row r="5598" spans="23:42" x14ac:dyDescent="0.3">
      <c r="W5598"/>
      <c r="AP5598"/>
    </row>
    <row r="5599" spans="23:42" x14ac:dyDescent="0.3">
      <c r="W5599"/>
      <c r="AP5599"/>
    </row>
    <row r="5600" spans="23:42" x14ac:dyDescent="0.3">
      <c r="W5600"/>
      <c r="AP5600"/>
    </row>
    <row r="5601" spans="23:42" x14ac:dyDescent="0.3">
      <c r="W5601"/>
      <c r="AP5601"/>
    </row>
    <row r="5602" spans="23:42" x14ac:dyDescent="0.3">
      <c r="W5602"/>
      <c r="AP5602"/>
    </row>
    <row r="5603" spans="23:42" x14ac:dyDescent="0.3">
      <c r="W5603"/>
      <c r="AP5603"/>
    </row>
    <row r="5604" spans="23:42" x14ac:dyDescent="0.3">
      <c r="W5604"/>
      <c r="AP5604"/>
    </row>
    <row r="5605" spans="23:42" x14ac:dyDescent="0.3">
      <c r="W5605"/>
      <c r="AP5605"/>
    </row>
    <row r="5606" spans="23:42" x14ac:dyDescent="0.3">
      <c r="W5606"/>
      <c r="AP5606"/>
    </row>
    <row r="5607" spans="23:42" x14ac:dyDescent="0.3">
      <c r="W5607"/>
      <c r="AP5607"/>
    </row>
    <row r="5608" spans="23:42" x14ac:dyDescent="0.3">
      <c r="W5608"/>
      <c r="AP5608"/>
    </row>
    <row r="5609" spans="23:42" x14ac:dyDescent="0.3">
      <c r="W5609"/>
      <c r="AP5609"/>
    </row>
    <row r="5610" spans="23:42" x14ac:dyDescent="0.3">
      <c r="W5610"/>
      <c r="AP5610"/>
    </row>
    <row r="5611" spans="23:42" x14ac:dyDescent="0.3">
      <c r="W5611"/>
      <c r="AP5611"/>
    </row>
    <row r="5612" spans="23:42" x14ac:dyDescent="0.3">
      <c r="W5612"/>
      <c r="AP5612"/>
    </row>
    <row r="5613" spans="23:42" x14ac:dyDescent="0.3">
      <c r="W5613"/>
      <c r="AP5613"/>
    </row>
    <row r="5614" spans="23:42" x14ac:dyDescent="0.3">
      <c r="W5614"/>
      <c r="AP5614"/>
    </row>
    <row r="5615" spans="23:42" x14ac:dyDescent="0.3">
      <c r="W5615"/>
      <c r="AP5615"/>
    </row>
    <row r="5616" spans="23:42" x14ac:dyDescent="0.3">
      <c r="W5616"/>
      <c r="AP5616"/>
    </row>
    <row r="5617" spans="23:42" x14ac:dyDescent="0.3">
      <c r="W5617"/>
      <c r="AP5617"/>
    </row>
    <row r="5618" spans="23:42" x14ac:dyDescent="0.3">
      <c r="W5618"/>
      <c r="AP5618"/>
    </row>
    <row r="5619" spans="23:42" x14ac:dyDescent="0.3">
      <c r="W5619"/>
      <c r="AP5619"/>
    </row>
    <row r="5620" spans="23:42" x14ac:dyDescent="0.3">
      <c r="W5620"/>
      <c r="AP5620"/>
    </row>
    <row r="5621" spans="23:42" x14ac:dyDescent="0.3">
      <c r="W5621"/>
      <c r="AP5621"/>
    </row>
    <row r="5622" spans="23:42" x14ac:dyDescent="0.3">
      <c r="W5622"/>
      <c r="AP5622"/>
    </row>
    <row r="5623" spans="23:42" x14ac:dyDescent="0.3">
      <c r="W5623"/>
      <c r="AP5623"/>
    </row>
    <row r="5624" spans="23:42" x14ac:dyDescent="0.3">
      <c r="W5624"/>
      <c r="AP5624"/>
    </row>
    <row r="5625" spans="23:42" x14ac:dyDescent="0.3">
      <c r="W5625"/>
      <c r="AP5625"/>
    </row>
    <row r="5626" spans="23:42" x14ac:dyDescent="0.3">
      <c r="W5626"/>
      <c r="AP5626"/>
    </row>
    <row r="5627" spans="23:42" x14ac:dyDescent="0.3">
      <c r="W5627"/>
      <c r="AP5627"/>
    </row>
    <row r="5628" spans="23:42" x14ac:dyDescent="0.3">
      <c r="W5628"/>
      <c r="AP5628"/>
    </row>
    <row r="5629" spans="23:42" x14ac:dyDescent="0.3">
      <c r="W5629"/>
      <c r="AP5629"/>
    </row>
    <row r="5630" spans="23:42" x14ac:dyDescent="0.3">
      <c r="W5630"/>
      <c r="AP5630"/>
    </row>
    <row r="5631" spans="23:42" x14ac:dyDescent="0.3">
      <c r="W5631"/>
      <c r="AP5631"/>
    </row>
    <row r="5632" spans="23:42" x14ac:dyDescent="0.3">
      <c r="W5632"/>
      <c r="AP5632"/>
    </row>
    <row r="5633" spans="23:42" x14ac:dyDescent="0.3">
      <c r="W5633"/>
      <c r="AP5633"/>
    </row>
    <row r="5634" spans="23:42" x14ac:dyDescent="0.3">
      <c r="W5634"/>
      <c r="AP5634"/>
    </row>
    <row r="5635" spans="23:42" x14ac:dyDescent="0.3">
      <c r="W5635"/>
      <c r="AP5635"/>
    </row>
    <row r="5636" spans="23:42" x14ac:dyDescent="0.3">
      <c r="W5636"/>
      <c r="AP5636"/>
    </row>
    <row r="5637" spans="23:42" x14ac:dyDescent="0.3">
      <c r="W5637"/>
      <c r="AP5637"/>
    </row>
    <row r="5638" spans="23:42" x14ac:dyDescent="0.3">
      <c r="W5638"/>
      <c r="AP5638"/>
    </row>
    <row r="5639" spans="23:42" x14ac:dyDescent="0.3">
      <c r="W5639"/>
      <c r="AP5639"/>
    </row>
    <row r="5640" spans="23:42" x14ac:dyDescent="0.3">
      <c r="W5640"/>
      <c r="AP5640"/>
    </row>
    <row r="5641" spans="23:42" x14ac:dyDescent="0.3">
      <c r="W5641"/>
      <c r="AP5641"/>
    </row>
    <row r="5642" spans="23:42" x14ac:dyDescent="0.3">
      <c r="W5642"/>
      <c r="AP5642"/>
    </row>
    <row r="5643" spans="23:42" x14ac:dyDescent="0.3">
      <c r="W5643"/>
      <c r="AP5643"/>
    </row>
    <row r="5644" spans="23:42" x14ac:dyDescent="0.3">
      <c r="W5644"/>
      <c r="AP5644"/>
    </row>
    <row r="5645" spans="23:42" x14ac:dyDescent="0.3">
      <c r="W5645"/>
      <c r="AP5645"/>
    </row>
    <row r="5646" spans="23:42" x14ac:dyDescent="0.3">
      <c r="W5646"/>
      <c r="AP5646"/>
    </row>
    <row r="5647" spans="23:42" x14ac:dyDescent="0.3">
      <c r="W5647"/>
      <c r="AP5647"/>
    </row>
    <row r="5648" spans="23:42" x14ac:dyDescent="0.3">
      <c r="W5648"/>
      <c r="AP5648"/>
    </row>
    <row r="5649" spans="23:42" x14ac:dyDescent="0.3">
      <c r="W5649"/>
      <c r="AP5649"/>
    </row>
    <row r="5650" spans="23:42" x14ac:dyDescent="0.3">
      <c r="W5650"/>
      <c r="AP5650"/>
    </row>
    <row r="5651" spans="23:42" x14ac:dyDescent="0.3">
      <c r="W5651"/>
      <c r="AP5651"/>
    </row>
    <row r="5652" spans="23:42" x14ac:dyDescent="0.3">
      <c r="W5652"/>
      <c r="AP5652"/>
    </row>
    <row r="5653" spans="23:42" x14ac:dyDescent="0.3">
      <c r="W5653"/>
      <c r="AP5653"/>
    </row>
    <row r="5654" spans="23:42" x14ac:dyDescent="0.3">
      <c r="W5654"/>
      <c r="AP5654"/>
    </row>
    <row r="5655" spans="23:42" x14ac:dyDescent="0.3">
      <c r="W5655"/>
      <c r="AP5655"/>
    </row>
    <row r="5656" spans="23:42" x14ac:dyDescent="0.3">
      <c r="W5656"/>
      <c r="AP5656"/>
    </row>
    <row r="5657" spans="23:42" x14ac:dyDescent="0.3">
      <c r="W5657"/>
      <c r="AP5657"/>
    </row>
    <row r="5658" spans="23:42" x14ac:dyDescent="0.3">
      <c r="W5658"/>
      <c r="AP5658"/>
    </row>
    <row r="5659" spans="23:42" x14ac:dyDescent="0.3">
      <c r="W5659"/>
      <c r="AP5659"/>
    </row>
    <row r="5660" spans="23:42" x14ac:dyDescent="0.3">
      <c r="W5660"/>
      <c r="AP5660"/>
    </row>
    <row r="5661" spans="23:42" x14ac:dyDescent="0.3">
      <c r="W5661"/>
      <c r="AP5661"/>
    </row>
    <row r="5662" spans="23:42" x14ac:dyDescent="0.3">
      <c r="W5662"/>
      <c r="AP5662"/>
    </row>
    <row r="5663" spans="23:42" x14ac:dyDescent="0.3">
      <c r="W5663"/>
      <c r="AP5663"/>
    </row>
    <row r="5664" spans="23:42" x14ac:dyDescent="0.3">
      <c r="W5664"/>
      <c r="AP5664"/>
    </row>
    <row r="5665" spans="23:42" x14ac:dyDescent="0.3">
      <c r="W5665"/>
      <c r="AP5665"/>
    </row>
    <row r="5666" spans="23:42" x14ac:dyDescent="0.3">
      <c r="W5666"/>
      <c r="AP5666"/>
    </row>
    <row r="5667" spans="23:42" x14ac:dyDescent="0.3">
      <c r="W5667"/>
      <c r="AP5667"/>
    </row>
    <row r="5668" spans="23:42" x14ac:dyDescent="0.3">
      <c r="W5668"/>
      <c r="AP5668"/>
    </row>
    <row r="5669" spans="23:42" x14ac:dyDescent="0.3">
      <c r="W5669"/>
      <c r="AP5669"/>
    </row>
    <row r="5670" spans="23:42" x14ac:dyDescent="0.3">
      <c r="W5670"/>
      <c r="AP5670"/>
    </row>
    <row r="5671" spans="23:42" x14ac:dyDescent="0.3">
      <c r="W5671"/>
      <c r="AP5671"/>
    </row>
    <row r="5672" spans="23:42" x14ac:dyDescent="0.3">
      <c r="W5672"/>
      <c r="AP5672"/>
    </row>
    <row r="5673" spans="23:42" x14ac:dyDescent="0.3">
      <c r="W5673"/>
      <c r="AP5673"/>
    </row>
    <row r="5674" spans="23:42" x14ac:dyDescent="0.3">
      <c r="W5674"/>
      <c r="AP5674"/>
    </row>
    <row r="5675" spans="23:42" x14ac:dyDescent="0.3">
      <c r="W5675"/>
      <c r="AP5675"/>
    </row>
    <row r="5676" spans="23:42" x14ac:dyDescent="0.3">
      <c r="W5676"/>
      <c r="AP5676"/>
    </row>
    <row r="5677" spans="23:42" x14ac:dyDescent="0.3">
      <c r="W5677"/>
      <c r="AP5677"/>
    </row>
    <row r="5678" spans="23:42" x14ac:dyDescent="0.3">
      <c r="W5678"/>
      <c r="AP5678"/>
    </row>
    <row r="5679" spans="23:42" x14ac:dyDescent="0.3">
      <c r="W5679"/>
      <c r="AP5679"/>
    </row>
    <row r="5680" spans="23:42" x14ac:dyDescent="0.3">
      <c r="W5680"/>
      <c r="AP5680"/>
    </row>
    <row r="5681" spans="23:42" x14ac:dyDescent="0.3">
      <c r="W5681"/>
      <c r="AP5681"/>
    </row>
    <row r="5682" spans="23:42" x14ac:dyDescent="0.3">
      <c r="W5682"/>
      <c r="AP5682"/>
    </row>
    <row r="5683" spans="23:42" x14ac:dyDescent="0.3">
      <c r="W5683"/>
      <c r="AP5683"/>
    </row>
    <row r="5684" spans="23:42" x14ac:dyDescent="0.3">
      <c r="W5684"/>
      <c r="AP5684"/>
    </row>
    <row r="5685" spans="23:42" x14ac:dyDescent="0.3">
      <c r="W5685"/>
      <c r="AP5685"/>
    </row>
    <row r="5686" spans="23:42" x14ac:dyDescent="0.3">
      <c r="W5686"/>
      <c r="AP5686"/>
    </row>
    <row r="5687" spans="23:42" x14ac:dyDescent="0.3">
      <c r="W5687"/>
      <c r="AP5687"/>
    </row>
    <row r="5688" spans="23:42" x14ac:dyDescent="0.3">
      <c r="W5688"/>
      <c r="AP5688"/>
    </row>
    <row r="5689" spans="23:42" x14ac:dyDescent="0.3">
      <c r="W5689"/>
      <c r="AP5689"/>
    </row>
    <row r="5690" spans="23:42" x14ac:dyDescent="0.3">
      <c r="W5690"/>
      <c r="AP5690"/>
    </row>
    <row r="5691" spans="23:42" x14ac:dyDescent="0.3">
      <c r="W5691"/>
      <c r="AP5691"/>
    </row>
    <row r="5692" spans="23:42" x14ac:dyDescent="0.3">
      <c r="W5692"/>
      <c r="AP5692"/>
    </row>
    <row r="5693" spans="23:42" x14ac:dyDescent="0.3">
      <c r="W5693"/>
      <c r="AP5693"/>
    </row>
    <row r="5694" spans="23:42" x14ac:dyDescent="0.3">
      <c r="W5694"/>
      <c r="AP5694"/>
    </row>
    <row r="5695" spans="23:42" x14ac:dyDescent="0.3">
      <c r="W5695"/>
      <c r="AP5695"/>
    </row>
    <row r="5696" spans="23:42" x14ac:dyDescent="0.3">
      <c r="W5696"/>
      <c r="AP5696"/>
    </row>
    <row r="5697" spans="23:42" x14ac:dyDescent="0.3">
      <c r="W5697"/>
      <c r="AP5697"/>
    </row>
    <row r="5698" spans="23:42" x14ac:dyDescent="0.3">
      <c r="W5698"/>
      <c r="AP5698"/>
    </row>
    <row r="5699" spans="23:42" x14ac:dyDescent="0.3">
      <c r="W5699"/>
      <c r="AP5699"/>
    </row>
    <row r="5700" spans="23:42" x14ac:dyDescent="0.3">
      <c r="W5700"/>
      <c r="AP5700"/>
    </row>
    <row r="5701" spans="23:42" x14ac:dyDescent="0.3">
      <c r="W5701"/>
      <c r="AP5701"/>
    </row>
    <row r="5702" spans="23:42" x14ac:dyDescent="0.3">
      <c r="W5702"/>
      <c r="AP5702"/>
    </row>
    <row r="5703" spans="23:42" x14ac:dyDescent="0.3">
      <c r="W5703"/>
      <c r="AP5703"/>
    </row>
    <row r="5704" spans="23:42" x14ac:dyDescent="0.3">
      <c r="W5704"/>
      <c r="AP5704"/>
    </row>
    <row r="5705" spans="23:42" x14ac:dyDescent="0.3">
      <c r="W5705"/>
      <c r="AP5705"/>
    </row>
    <row r="5706" spans="23:42" x14ac:dyDescent="0.3">
      <c r="W5706"/>
      <c r="AP5706"/>
    </row>
    <row r="5707" spans="23:42" x14ac:dyDescent="0.3">
      <c r="W5707"/>
      <c r="AP5707"/>
    </row>
    <row r="5708" spans="23:42" x14ac:dyDescent="0.3">
      <c r="W5708"/>
      <c r="AP5708"/>
    </row>
    <row r="5709" spans="23:42" x14ac:dyDescent="0.3">
      <c r="W5709"/>
      <c r="AP5709"/>
    </row>
    <row r="5710" spans="23:42" x14ac:dyDescent="0.3">
      <c r="W5710"/>
      <c r="AP5710"/>
    </row>
    <row r="5711" spans="23:42" x14ac:dyDescent="0.3">
      <c r="W5711"/>
      <c r="AP5711"/>
    </row>
    <row r="5712" spans="23:42" x14ac:dyDescent="0.3">
      <c r="W5712"/>
      <c r="AP5712"/>
    </row>
    <row r="5713" spans="23:42" x14ac:dyDescent="0.3">
      <c r="W5713"/>
      <c r="AP5713"/>
    </row>
    <row r="5714" spans="23:42" x14ac:dyDescent="0.3">
      <c r="W5714"/>
      <c r="AP5714"/>
    </row>
    <row r="5715" spans="23:42" x14ac:dyDescent="0.3">
      <c r="W5715"/>
      <c r="AP5715"/>
    </row>
    <row r="5716" spans="23:42" x14ac:dyDescent="0.3">
      <c r="W5716"/>
      <c r="AP5716"/>
    </row>
    <row r="5717" spans="23:42" x14ac:dyDescent="0.3">
      <c r="W5717"/>
      <c r="AP5717"/>
    </row>
    <row r="5718" spans="23:42" x14ac:dyDescent="0.3">
      <c r="W5718"/>
      <c r="AP5718"/>
    </row>
    <row r="5719" spans="23:42" x14ac:dyDescent="0.3">
      <c r="W5719"/>
      <c r="AP5719"/>
    </row>
    <row r="5720" spans="23:42" x14ac:dyDescent="0.3">
      <c r="W5720"/>
      <c r="AP5720"/>
    </row>
    <row r="5721" spans="23:42" x14ac:dyDescent="0.3">
      <c r="W5721"/>
      <c r="AP5721"/>
    </row>
    <row r="5722" spans="23:42" x14ac:dyDescent="0.3">
      <c r="W5722"/>
      <c r="AP5722"/>
    </row>
    <row r="5723" spans="23:42" x14ac:dyDescent="0.3">
      <c r="W5723"/>
      <c r="AP5723"/>
    </row>
    <row r="5724" spans="23:42" x14ac:dyDescent="0.3">
      <c r="W5724"/>
      <c r="AP5724"/>
    </row>
    <row r="5725" spans="23:42" x14ac:dyDescent="0.3">
      <c r="W5725"/>
      <c r="AP5725"/>
    </row>
    <row r="5726" spans="23:42" x14ac:dyDescent="0.3">
      <c r="W5726"/>
      <c r="AP5726"/>
    </row>
    <row r="5727" spans="23:42" x14ac:dyDescent="0.3">
      <c r="W5727"/>
      <c r="AP5727"/>
    </row>
    <row r="5728" spans="23:42" x14ac:dyDescent="0.3">
      <c r="W5728"/>
      <c r="AP5728"/>
    </row>
    <row r="5729" spans="23:42" x14ac:dyDescent="0.3">
      <c r="W5729"/>
      <c r="AP5729"/>
    </row>
    <row r="5730" spans="23:42" x14ac:dyDescent="0.3">
      <c r="W5730"/>
      <c r="AP5730"/>
    </row>
    <row r="5731" spans="23:42" x14ac:dyDescent="0.3">
      <c r="W5731"/>
      <c r="AP5731"/>
    </row>
    <row r="5732" spans="23:42" x14ac:dyDescent="0.3">
      <c r="AN5732" s="20" t="s">
        <v>280</v>
      </c>
      <c r="AO5732" s="20"/>
      <c r="AP5732" s="16">
        <f>SUM(AP2:AP5731)</f>
        <v>433125.68999999971</v>
      </c>
    </row>
    <row r="5733" spans="23:42" x14ac:dyDescent="0.3">
      <c r="AN5733" s="21" t="s">
        <v>278</v>
      </c>
      <c r="AO5733" s="21"/>
      <c r="AP5733" s="4">
        <f>'솜목화&lt;친절하기는 얼어죽을&gt; MG차감내역'!C122</f>
        <v>120705.59999999966</v>
      </c>
    </row>
    <row r="5734" spans="23:42" x14ac:dyDescent="0.3">
      <c r="AN5734" s="21" t="s">
        <v>281</v>
      </c>
      <c r="AO5734" s="21"/>
      <c r="AP5734" s="4">
        <f>'아르곤18&lt;혐오만세&gt; MG차감내역'!C93</f>
        <v>6714039.9599999981</v>
      </c>
    </row>
    <row r="5735" spans="23:42" x14ac:dyDescent="0.3">
      <c r="AN5735" s="20" t="s">
        <v>279</v>
      </c>
      <c r="AO5735" s="20"/>
      <c r="AP5735" s="17">
        <f>AP5732-AP5733-AP5734</f>
        <v>-6401619.8699999982</v>
      </c>
    </row>
  </sheetData>
  <mergeCells count="9">
    <mergeCell ref="AW5383:AX5383"/>
    <mergeCell ref="AW5386:AX5386"/>
    <mergeCell ref="AN5733:AO5733"/>
    <mergeCell ref="AN5735:AO5735"/>
    <mergeCell ref="AN5732:AO5732"/>
    <mergeCell ref="AN5734:AO5734"/>
    <mergeCell ref="AW5384:AX5384"/>
    <mergeCell ref="AW5385:AX5385"/>
    <mergeCell ref="AW5387:AX5387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4"/>
  <sheetViews>
    <sheetView topLeftCell="A101" workbookViewId="0">
      <selection activeCell="C125" sqref="C125"/>
    </sheetView>
  </sheetViews>
  <sheetFormatPr defaultRowHeight="16.5" x14ac:dyDescent="0.3"/>
  <cols>
    <col min="2" max="2" width="18.875" bestFit="1" customWidth="1"/>
    <col min="3" max="3" width="17.625" bestFit="1" customWidth="1"/>
    <col min="4" max="4" width="11.75" bestFit="1" customWidth="1"/>
    <col min="18" max="18" width="17.875" bestFit="1" customWidth="1"/>
    <col min="19" max="19" width="11.625" bestFit="1" customWidth="1"/>
    <col min="21" max="21" width="14.125" bestFit="1" customWidth="1"/>
    <col min="22" max="22" width="24.375" bestFit="1" customWidth="1"/>
    <col min="23" max="23" width="16.125" bestFit="1" customWidth="1"/>
    <col min="27" max="27" width="15.75" bestFit="1" customWidth="1"/>
    <col min="28" max="28" width="11.125" bestFit="1" customWidth="1"/>
    <col min="42" max="42" width="9.375" bestFit="1" customWidth="1"/>
  </cols>
  <sheetData>
    <row r="1" spans="1:58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355</v>
      </c>
      <c r="AO1" t="s">
        <v>45</v>
      </c>
      <c r="AP1" t="s">
        <v>356</v>
      </c>
      <c r="AQ1" t="s">
        <v>357</v>
      </c>
      <c r="AR1" t="s">
        <v>358</v>
      </c>
      <c r="AS1" t="s">
        <v>359</v>
      </c>
      <c r="AT1" t="s">
        <v>360</v>
      </c>
      <c r="AU1" t="s">
        <v>361</v>
      </c>
      <c r="AV1" t="s">
        <v>362</v>
      </c>
      <c r="AW1" t="s">
        <v>363</v>
      </c>
      <c r="AX1" t="s">
        <v>364</v>
      </c>
      <c r="AY1" s="2" t="s">
        <v>20</v>
      </c>
      <c r="AZ1" t="s">
        <v>21</v>
      </c>
      <c r="BA1" t="s">
        <v>22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</row>
    <row r="2" spans="1:58" x14ac:dyDescent="0.3">
      <c r="A2">
        <v>2313018628</v>
      </c>
      <c r="B2">
        <v>2313018628</v>
      </c>
      <c r="C2" t="s">
        <v>56</v>
      </c>
      <c r="D2" t="s">
        <v>55</v>
      </c>
      <c r="E2" t="s">
        <v>57</v>
      </c>
      <c r="H2" t="s">
        <v>58</v>
      </c>
      <c r="I2" t="s">
        <v>59</v>
      </c>
      <c r="J2">
        <v>2700</v>
      </c>
      <c r="K2">
        <v>40500</v>
      </c>
      <c r="L2">
        <v>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40500</v>
      </c>
      <c r="AH2">
        <v>15</v>
      </c>
      <c r="AI2">
        <v>0</v>
      </c>
      <c r="AJ2">
        <v>0</v>
      </c>
      <c r="AK2">
        <v>29210</v>
      </c>
      <c r="AL2">
        <v>0</v>
      </c>
      <c r="AM2">
        <v>13548</v>
      </c>
      <c r="AN2">
        <v>-2437.1999999999998</v>
      </c>
      <c r="AO2">
        <v>0</v>
      </c>
      <c r="AQ2">
        <v>0</v>
      </c>
      <c r="AR2">
        <v>0</v>
      </c>
      <c r="AS2">
        <v>13548</v>
      </c>
      <c r="AT2">
        <v>-2437.1999999999998</v>
      </c>
      <c r="AU2">
        <v>0</v>
      </c>
      <c r="AW2">
        <v>0</v>
      </c>
      <c r="AX2">
        <v>0</v>
      </c>
      <c r="AY2">
        <v>24192.48</v>
      </c>
      <c r="BC2" t="s">
        <v>60</v>
      </c>
      <c r="BE2" t="s">
        <v>54</v>
      </c>
    </row>
    <row r="3" spans="1:58" x14ac:dyDescent="0.3">
      <c r="A3">
        <v>2313018628</v>
      </c>
      <c r="B3">
        <v>2313018629</v>
      </c>
      <c r="C3" t="s">
        <v>63</v>
      </c>
      <c r="D3" t="s">
        <v>62</v>
      </c>
      <c r="E3" t="s">
        <v>57</v>
      </c>
      <c r="H3" t="s">
        <v>58</v>
      </c>
      <c r="I3" t="s">
        <v>59</v>
      </c>
      <c r="J3">
        <v>2700</v>
      </c>
      <c r="K3">
        <v>24300</v>
      </c>
      <c r="L3">
        <v>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24300</v>
      </c>
      <c r="AH3">
        <v>9</v>
      </c>
      <c r="AI3">
        <v>0</v>
      </c>
      <c r="AJ3">
        <v>0</v>
      </c>
      <c r="AK3">
        <v>13770</v>
      </c>
      <c r="AL3">
        <v>0</v>
      </c>
      <c r="AM3">
        <v>12636</v>
      </c>
      <c r="AN3">
        <v>-3142.8</v>
      </c>
      <c r="AO3">
        <v>0</v>
      </c>
      <c r="AQ3">
        <v>0</v>
      </c>
      <c r="AR3">
        <v>0</v>
      </c>
      <c r="AS3">
        <v>12636</v>
      </c>
      <c r="AT3">
        <v>-3142.8</v>
      </c>
      <c r="AU3">
        <v>0</v>
      </c>
      <c r="AW3">
        <v>0</v>
      </c>
      <c r="AX3">
        <v>0</v>
      </c>
      <c r="AY3">
        <v>13957.92</v>
      </c>
      <c r="BC3" t="s">
        <v>64</v>
      </c>
      <c r="BE3" t="s">
        <v>54</v>
      </c>
    </row>
    <row r="4" spans="1:58" x14ac:dyDescent="0.3">
      <c r="A4">
        <v>2313018628</v>
      </c>
      <c r="B4">
        <v>2313018630</v>
      </c>
      <c r="C4" t="s">
        <v>68</v>
      </c>
      <c r="D4" t="s">
        <v>61</v>
      </c>
      <c r="E4" t="s">
        <v>57</v>
      </c>
      <c r="H4" t="s">
        <v>58</v>
      </c>
      <c r="I4" t="s">
        <v>59</v>
      </c>
      <c r="J4">
        <v>2700</v>
      </c>
      <c r="K4">
        <v>21600</v>
      </c>
      <c r="L4">
        <v>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21600</v>
      </c>
      <c r="AH4">
        <v>8</v>
      </c>
      <c r="AI4">
        <v>0</v>
      </c>
      <c r="AJ4">
        <v>0</v>
      </c>
      <c r="AK4">
        <v>11070</v>
      </c>
      <c r="AL4">
        <v>0</v>
      </c>
      <c r="AM4">
        <v>12636</v>
      </c>
      <c r="AN4">
        <v>-3142.8</v>
      </c>
      <c r="AO4">
        <v>0</v>
      </c>
      <c r="AQ4">
        <v>0</v>
      </c>
      <c r="AR4">
        <v>0</v>
      </c>
      <c r="AS4">
        <v>12636</v>
      </c>
      <c r="AT4">
        <v>-3142.8</v>
      </c>
      <c r="AU4">
        <v>0</v>
      </c>
      <c r="AW4">
        <v>0</v>
      </c>
      <c r="AX4">
        <v>0</v>
      </c>
      <c r="AY4">
        <v>12337.92</v>
      </c>
      <c r="BC4" t="s">
        <v>69</v>
      </c>
      <c r="BE4" t="s">
        <v>54</v>
      </c>
    </row>
    <row r="5" spans="1:58" x14ac:dyDescent="0.3">
      <c r="A5">
        <v>2313018628</v>
      </c>
      <c r="B5">
        <v>2313018631</v>
      </c>
      <c r="C5" t="s">
        <v>65</v>
      </c>
      <c r="D5" t="s">
        <v>66</v>
      </c>
      <c r="E5" t="s">
        <v>57</v>
      </c>
      <c r="H5" t="s">
        <v>58</v>
      </c>
      <c r="I5" t="s">
        <v>59</v>
      </c>
      <c r="J5">
        <v>2700</v>
      </c>
      <c r="K5">
        <v>16200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16200</v>
      </c>
      <c r="AH5">
        <v>6</v>
      </c>
      <c r="AI5">
        <v>0</v>
      </c>
      <c r="AJ5">
        <v>0</v>
      </c>
      <c r="AK5">
        <v>10200</v>
      </c>
      <c r="AL5">
        <v>0</v>
      </c>
      <c r="AM5">
        <v>7200</v>
      </c>
      <c r="AN5">
        <v>-1368</v>
      </c>
      <c r="AO5">
        <v>0</v>
      </c>
      <c r="AQ5">
        <v>0</v>
      </c>
      <c r="AR5">
        <v>0</v>
      </c>
      <c r="AS5">
        <v>7200</v>
      </c>
      <c r="AT5">
        <v>-1368</v>
      </c>
      <c r="AU5">
        <v>0</v>
      </c>
      <c r="AW5">
        <v>0</v>
      </c>
      <c r="AX5">
        <v>0</v>
      </c>
      <c r="AY5">
        <v>9619.2000000000007</v>
      </c>
      <c r="BC5" t="s">
        <v>67</v>
      </c>
      <c r="BE5" t="s">
        <v>54</v>
      </c>
    </row>
    <row r="6" spans="1:58" x14ac:dyDescent="0.3">
      <c r="A6">
        <v>2313017163</v>
      </c>
      <c r="B6">
        <v>2313017245</v>
      </c>
      <c r="C6" t="s">
        <v>269</v>
      </c>
      <c r="D6" t="s">
        <v>146</v>
      </c>
      <c r="E6" t="s">
        <v>57</v>
      </c>
      <c r="H6" t="s">
        <v>58</v>
      </c>
      <c r="I6" t="s">
        <v>172</v>
      </c>
      <c r="J6">
        <v>100</v>
      </c>
      <c r="K6">
        <v>700</v>
      </c>
      <c r="L6">
        <v>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700</v>
      </c>
      <c r="AH6">
        <v>7</v>
      </c>
      <c r="AI6">
        <v>0</v>
      </c>
      <c r="AJ6">
        <v>0</v>
      </c>
      <c r="AK6">
        <v>600</v>
      </c>
      <c r="AL6">
        <v>0</v>
      </c>
      <c r="AM6">
        <v>120</v>
      </c>
      <c r="AN6">
        <v>-12</v>
      </c>
      <c r="AO6">
        <v>0</v>
      </c>
      <c r="AQ6">
        <v>0</v>
      </c>
      <c r="AR6">
        <v>0</v>
      </c>
      <c r="AS6">
        <v>120</v>
      </c>
      <c r="AT6">
        <v>-12</v>
      </c>
      <c r="AU6">
        <v>0</v>
      </c>
      <c r="AW6">
        <v>0</v>
      </c>
      <c r="AX6">
        <v>0</v>
      </c>
      <c r="AY6">
        <v>424.8</v>
      </c>
      <c r="BA6" t="s">
        <v>70</v>
      </c>
      <c r="BC6" t="s">
        <v>173</v>
      </c>
      <c r="BE6" t="s">
        <v>174</v>
      </c>
    </row>
    <row r="7" spans="1:58" x14ac:dyDescent="0.3">
      <c r="A7">
        <v>2313017163</v>
      </c>
      <c r="B7">
        <v>2313018079</v>
      </c>
      <c r="C7" t="s">
        <v>203</v>
      </c>
      <c r="D7" t="s">
        <v>161</v>
      </c>
      <c r="E7" t="s">
        <v>57</v>
      </c>
      <c r="H7" t="s">
        <v>58</v>
      </c>
      <c r="I7" t="s">
        <v>172</v>
      </c>
      <c r="J7">
        <v>100</v>
      </c>
      <c r="K7">
        <v>700</v>
      </c>
      <c r="L7">
        <v>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700</v>
      </c>
      <c r="AH7">
        <v>7</v>
      </c>
      <c r="AI7">
        <v>0</v>
      </c>
      <c r="AJ7">
        <v>0</v>
      </c>
      <c r="AK7">
        <v>600</v>
      </c>
      <c r="AL7">
        <v>0</v>
      </c>
      <c r="AM7">
        <v>120</v>
      </c>
      <c r="AN7">
        <v>-12</v>
      </c>
      <c r="AO7">
        <v>0</v>
      </c>
      <c r="AQ7">
        <v>0</v>
      </c>
      <c r="AR7">
        <v>0</v>
      </c>
      <c r="AS7">
        <v>120</v>
      </c>
      <c r="AT7">
        <v>-12</v>
      </c>
      <c r="AU7">
        <v>0</v>
      </c>
      <c r="AW7">
        <v>0</v>
      </c>
      <c r="AX7">
        <v>0</v>
      </c>
      <c r="AY7">
        <v>424.8</v>
      </c>
      <c r="BA7" t="s">
        <v>70</v>
      </c>
      <c r="BC7" t="s">
        <v>173</v>
      </c>
      <c r="BE7" t="s">
        <v>174</v>
      </c>
    </row>
    <row r="8" spans="1:58" x14ac:dyDescent="0.3">
      <c r="A8">
        <v>2313017163</v>
      </c>
      <c r="B8">
        <v>2313018589</v>
      </c>
      <c r="C8" t="s">
        <v>181</v>
      </c>
      <c r="D8" t="s">
        <v>163</v>
      </c>
      <c r="E8" t="s">
        <v>57</v>
      </c>
      <c r="H8" t="s">
        <v>58</v>
      </c>
      <c r="I8" t="s">
        <v>172</v>
      </c>
      <c r="J8">
        <v>100</v>
      </c>
      <c r="K8">
        <v>700</v>
      </c>
      <c r="L8">
        <v>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700</v>
      </c>
      <c r="AH8">
        <v>7</v>
      </c>
      <c r="AI8">
        <v>0</v>
      </c>
      <c r="AJ8">
        <v>0</v>
      </c>
      <c r="AK8">
        <v>600</v>
      </c>
      <c r="AL8">
        <v>0</v>
      </c>
      <c r="AM8">
        <v>120</v>
      </c>
      <c r="AN8">
        <v>-12</v>
      </c>
      <c r="AO8">
        <v>0</v>
      </c>
      <c r="AQ8">
        <v>0</v>
      </c>
      <c r="AR8">
        <v>0</v>
      </c>
      <c r="AS8">
        <v>120</v>
      </c>
      <c r="AT8">
        <v>-12</v>
      </c>
      <c r="AU8">
        <v>0</v>
      </c>
      <c r="AW8">
        <v>0</v>
      </c>
      <c r="AX8">
        <v>0</v>
      </c>
      <c r="AY8">
        <v>424.8</v>
      </c>
      <c r="BA8" t="s">
        <v>70</v>
      </c>
      <c r="BC8" t="s">
        <v>173</v>
      </c>
      <c r="BE8" t="s">
        <v>174</v>
      </c>
    </row>
    <row r="9" spans="1:58" x14ac:dyDescent="0.3">
      <c r="A9">
        <v>2313017163</v>
      </c>
      <c r="B9">
        <v>2313018590</v>
      </c>
      <c r="C9" t="s">
        <v>186</v>
      </c>
      <c r="D9" t="s">
        <v>164</v>
      </c>
      <c r="E9" t="s">
        <v>57</v>
      </c>
      <c r="H9" t="s">
        <v>58</v>
      </c>
      <c r="I9" t="s">
        <v>172</v>
      </c>
      <c r="J9">
        <v>100</v>
      </c>
      <c r="K9">
        <v>700</v>
      </c>
      <c r="L9">
        <v>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700</v>
      </c>
      <c r="AH9">
        <v>7</v>
      </c>
      <c r="AI9">
        <v>0</v>
      </c>
      <c r="AJ9">
        <v>0</v>
      </c>
      <c r="AK9">
        <v>600</v>
      </c>
      <c r="AL9">
        <v>0</v>
      </c>
      <c r="AM9">
        <v>120</v>
      </c>
      <c r="AN9">
        <v>-12</v>
      </c>
      <c r="AO9">
        <v>0</v>
      </c>
      <c r="AQ9">
        <v>0</v>
      </c>
      <c r="AR9">
        <v>0</v>
      </c>
      <c r="AS9">
        <v>120</v>
      </c>
      <c r="AT9">
        <v>-12</v>
      </c>
      <c r="AU9">
        <v>0</v>
      </c>
      <c r="AW9">
        <v>0</v>
      </c>
      <c r="AX9">
        <v>0</v>
      </c>
      <c r="AY9">
        <v>424.8</v>
      </c>
      <c r="BA9" t="s">
        <v>70</v>
      </c>
      <c r="BC9" t="s">
        <v>173</v>
      </c>
      <c r="BE9" t="s">
        <v>174</v>
      </c>
    </row>
    <row r="10" spans="1:58" x14ac:dyDescent="0.3">
      <c r="A10">
        <v>2313017163</v>
      </c>
      <c r="B10">
        <v>2313018591</v>
      </c>
      <c r="C10" t="s">
        <v>190</v>
      </c>
      <c r="D10" t="s">
        <v>165</v>
      </c>
      <c r="E10" t="s">
        <v>57</v>
      </c>
      <c r="H10" t="s">
        <v>58</v>
      </c>
      <c r="I10" t="s">
        <v>172</v>
      </c>
      <c r="J10">
        <v>100</v>
      </c>
      <c r="K10">
        <v>700</v>
      </c>
      <c r="L10">
        <v>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700</v>
      </c>
      <c r="AH10">
        <v>7</v>
      </c>
      <c r="AI10">
        <v>0</v>
      </c>
      <c r="AJ10">
        <v>0</v>
      </c>
      <c r="AK10">
        <v>600</v>
      </c>
      <c r="AL10">
        <v>0</v>
      </c>
      <c r="AM10">
        <v>120</v>
      </c>
      <c r="AN10">
        <v>-12</v>
      </c>
      <c r="AO10">
        <v>0</v>
      </c>
      <c r="AQ10">
        <v>0</v>
      </c>
      <c r="AR10">
        <v>0</v>
      </c>
      <c r="AS10">
        <v>120</v>
      </c>
      <c r="AT10">
        <v>-12</v>
      </c>
      <c r="AU10">
        <v>0</v>
      </c>
      <c r="AW10">
        <v>0</v>
      </c>
      <c r="AX10">
        <v>0</v>
      </c>
      <c r="AY10">
        <v>424.8</v>
      </c>
      <c r="BA10" t="s">
        <v>70</v>
      </c>
      <c r="BC10" t="s">
        <v>173</v>
      </c>
      <c r="BE10" t="s">
        <v>174</v>
      </c>
    </row>
    <row r="11" spans="1:58" x14ac:dyDescent="0.3">
      <c r="A11">
        <v>2313017163</v>
      </c>
      <c r="B11">
        <v>2313018592</v>
      </c>
      <c r="C11" t="s">
        <v>187</v>
      </c>
      <c r="D11" t="s">
        <v>166</v>
      </c>
      <c r="E11" t="s">
        <v>57</v>
      </c>
      <c r="H11" t="s">
        <v>58</v>
      </c>
      <c r="I11" t="s">
        <v>172</v>
      </c>
      <c r="J11">
        <v>100</v>
      </c>
      <c r="K11">
        <v>700</v>
      </c>
      <c r="L11">
        <v>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700</v>
      </c>
      <c r="AH11">
        <v>7</v>
      </c>
      <c r="AI11">
        <v>0</v>
      </c>
      <c r="AJ11">
        <v>0</v>
      </c>
      <c r="AK11">
        <v>600</v>
      </c>
      <c r="AL11">
        <v>0</v>
      </c>
      <c r="AM11">
        <v>120</v>
      </c>
      <c r="AN11">
        <v>-12</v>
      </c>
      <c r="AO11">
        <v>0</v>
      </c>
      <c r="AQ11">
        <v>0</v>
      </c>
      <c r="AR11">
        <v>0</v>
      </c>
      <c r="AS11">
        <v>120</v>
      </c>
      <c r="AT11">
        <v>-12</v>
      </c>
      <c r="AU11">
        <v>0</v>
      </c>
      <c r="AW11">
        <v>0</v>
      </c>
      <c r="AX11">
        <v>0</v>
      </c>
      <c r="AY11">
        <v>424.8</v>
      </c>
      <c r="BA11" t="s">
        <v>70</v>
      </c>
      <c r="BC11" t="s">
        <v>173</v>
      </c>
      <c r="BE11" t="s">
        <v>174</v>
      </c>
    </row>
    <row r="12" spans="1:58" x14ac:dyDescent="0.3">
      <c r="A12">
        <v>2313017163</v>
      </c>
      <c r="B12">
        <v>2313018593</v>
      </c>
      <c r="C12" t="s">
        <v>182</v>
      </c>
      <c r="D12" t="s">
        <v>167</v>
      </c>
      <c r="E12" t="s">
        <v>57</v>
      </c>
      <c r="H12" t="s">
        <v>58</v>
      </c>
      <c r="I12" t="s">
        <v>172</v>
      </c>
      <c r="J12">
        <v>100</v>
      </c>
      <c r="K12">
        <v>700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700</v>
      </c>
      <c r="AH12">
        <v>7</v>
      </c>
      <c r="AI12">
        <v>0</v>
      </c>
      <c r="AJ12">
        <v>0</v>
      </c>
      <c r="AK12">
        <v>600</v>
      </c>
      <c r="AL12">
        <v>0</v>
      </c>
      <c r="AM12">
        <v>120</v>
      </c>
      <c r="AN12">
        <v>-12</v>
      </c>
      <c r="AO12">
        <v>0</v>
      </c>
      <c r="AQ12">
        <v>0</v>
      </c>
      <c r="AR12">
        <v>0</v>
      </c>
      <c r="AS12">
        <v>120</v>
      </c>
      <c r="AT12">
        <v>-12</v>
      </c>
      <c r="AU12">
        <v>0</v>
      </c>
      <c r="AW12">
        <v>0</v>
      </c>
      <c r="AX12">
        <v>0</v>
      </c>
      <c r="AY12">
        <v>424.8</v>
      </c>
      <c r="BA12" t="s">
        <v>70</v>
      </c>
      <c r="BC12" t="s">
        <v>173</v>
      </c>
      <c r="BE12" t="s">
        <v>174</v>
      </c>
    </row>
    <row r="13" spans="1:58" x14ac:dyDescent="0.3">
      <c r="A13">
        <v>2313017163</v>
      </c>
      <c r="B13">
        <v>2313018594</v>
      </c>
      <c r="C13" t="s">
        <v>183</v>
      </c>
      <c r="D13" t="s">
        <v>168</v>
      </c>
      <c r="E13" t="s">
        <v>57</v>
      </c>
      <c r="H13" t="s">
        <v>58</v>
      </c>
      <c r="I13" t="s">
        <v>172</v>
      </c>
      <c r="J13">
        <v>100</v>
      </c>
      <c r="K13">
        <v>700</v>
      </c>
      <c r="L13">
        <v>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700</v>
      </c>
      <c r="AH13">
        <v>7</v>
      </c>
      <c r="AI13">
        <v>0</v>
      </c>
      <c r="AJ13">
        <v>0</v>
      </c>
      <c r="AK13">
        <v>600</v>
      </c>
      <c r="AL13">
        <v>0</v>
      </c>
      <c r="AM13">
        <v>120</v>
      </c>
      <c r="AN13">
        <v>-12</v>
      </c>
      <c r="AO13">
        <v>0</v>
      </c>
      <c r="AQ13">
        <v>0</v>
      </c>
      <c r="AR13">
        <v>0</v>
      </c>
      <c r="AS13">
        <v>120</v>
      </c>
      <c r="AT13">
        <v>-12</v>
      </c>
      <c r="AU13">
        <v>0</v>
      </c>
      <c r="AW13">
        <v>0</v>
      </c>
      <c r="AX13">
        <v>0</v>
      </c>
      <c r="AY13">
        <v>424.8</v>
      </c>
      <c r="BA13" t="s">
        <v>70</v>
      </c>
      <c r="BC13" t="s">
        <v>173</v>
      </c>
      <c r="BE13" t="s">
        <v>174</v>
      </c>
    </row>
    <row r="14" spans="1:58" x14ac:dyDescent="0.3">
      <c r="A14">
        <v>2313017163</v>
      </c>
      <c r="B14">
        <v>2313018595</v>
      </c>
      <c r="C14" t="s">
        <v>178</v>
      </c>
      <c r="D14" t="s">
        <v>169</v>
      </c>
      <c r="E14" t="s">
        <v>57</v>
      </c>
      <c r="H14" t="s">
        <v>58</v>
      </c>
      <c r="I14" t="s">
        <v>172</v>
      </c>
      <c r="J14">
        <v>100</v>
      </c>
      <c r="K14">
        <v>700</v>
      </c>
      <c r="L14">
        <v>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700</v>
      </c>
      <c r="AH14">
        <v>7</v>
      </c>
      <c r="AI14">
        <v>0</v>
      </c>
      <c r="AJ14">
        <v>0</v>
      </c>
      <c r="AK14">
        <v>600</v>
      </c>
      <c r="AL14">
        <v>0</v>
      </c>
      <c r="AM14">
        <v>120</v>
      </c>
      <c r="AN14">
        <v>-12</v>
      </c>
      <c r="AO14">
        <v>0</v>
      </c>
      <c r="AQ14">
        <v>0</v>
      </c>
      <c r="AR14">
        <v>0</v>
      </c>
      <c r="AS14">
        <v>120</v>
      </c>
      <c r="AT14">
        <v>-12</v>
      </c>
      <c r="AU14">
        <v>0</v>
      </c>
      <c r="AW14">
        <v>0</v>
      </c>
      <c r="AX14">
        <v>0</v>
      </c>
      <c r="AY14">
        <v>424.8</v>
      </c>
      <c r="BA14" t="s">
        <v>70</v>
      </c>
      <c r="BC14" t="s">
        <v>173</v>
      </c>
      <c r="BE14" t="s">
        <v>174</v>
      </c>
    </row>
    <row r="15" spans="1:58" x14ac:dyDescent="0.3">
      <c r="A15">
        <v>2313017163</v>
      </c>
      <c r="B15">
        <v>2313018596</v>
      </c>
      <c r="C15" t="s">
        <v>179</v>
      </c>
      <c r="D15" t="s">
        <v>170</v>
      </c>
      <c r="E15" t="s">
        <v>57</v>
      </c>
      <c r="H15" t="s">
        <v>58</v>
      </c>
      <c r="I15" t="s">
        <v>172</v>
      </c>
      <c r="J15">
        <v>100</v>
      </c>
      <c r="K15">
        <v>700</v>
      </c>
      <c r="L15">
        <v>7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700</v>
      </c>
      <c r="AH15">
        <v>8</v>
      </c>
      <c r="AI15">
        <v>0</v>
      </c>
      <c r="AJ15">
        <v>0</v>
      </c>
      <c r="AK15">
        <v>600</v>
      </c>
      <c r="AL15">
        <v>0</v>
      </c>
      <c r="AM15">
        <v>120</v>
      </c>
      <c r="AN15">
        <v>-12</v>
      </c>
      <c r="AO15">
        <v>0</v>
      </c>
      <c r="AQ15">
        <v>0</v>
      </c>
      <c r="AR15">
        <v>0</v>
      </c>
      <c r="AS15">
        <v>120</v>
      </c>
      <c r="AT15">
        <v>-12</v>
      </c>
      <c r="AU15">
        <v>0</v>
      </c>
      <c r="AW15">
        <v>0</v>
      </c>
      <c r="AX15">
        <v>0</v>
      </c>
      <c r="AY15">
        <v>424.8</v>
      </c>
      <c r="BA15" t="s">
        <v>70</v>
      </c>
      <c r="BC15" t="s">
        <v>173</v>
      </c>
      <c r="BE15" t="s">
        <v>174</v>
      </c>
    </row>
    <row r="16" spans="1:58" x14ac:dyDescent="0.3">
      <c r="A16">
        <v>2313017163</v>
      </c>
      <c r="B16">
        <v>2313017244</v>
      </c>
      <c r="C16" t="s">
        <v>272</v>
      </c>
      <c r="D16" t="s">
        <v>150</v>
      </c>
      <c r="E16" t="s">
        <v>57</v>
      </c>
      <c r="H16" t="s">
        <v>58</v>
      </c>
      <c r="I16" t="s">
        <v>172</v>
      </c>
      <c r="J16">
        <v>100</v>
      </c>
      <c r="K16">
        <v>600</v>
      </c>
      <c r="L16">
        <v>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600</v>
      </c>
      <c r="AH16">
        <v>6</v>
      </c>
      <c r="AI16">
        <v>0</v>
      </c>
      <c r="AJ16">
        <v>0</v>
      </c>
      <c r="AK16">
        <v>500</v>
      </c>
      <c r="AL16">
        <v>0</v>
      </c>
      <c r="AM16">
        <v>120</v>
      </c>
      <c r="AN16">
        <v>-12</v>
      </c>
      <c r="AO16">
        <v>0</v>
      </c>
      <c r="AQ16">
        <v>0</v>
      </c>
      <c r="AR16">
        <v>0</v>
      </c>
      <c r="AS16">
        <v>120</v>
      </c>
      <c r="AT16">
        <v>-12</v>
      </c>
      <c r="AU16">
        <v>0</v>
      </c>
      <c r="AW16">
        <v>0</v>
      </c>
      <c r="AX16">
        <v>0</v>
      </c>
      <c r="AY16">
        <v>364.8</v>
      </c>
      <c r="BA16" t="s">
        <v>70</v>
      </c>
      <c r="BC16" t="s">
        <v>173</v>
      </c>
      <c r="BE16" t="s">
        <v>174</v>
      </c>
    </row>
    <row r="17" spans="1:57" x14ac:dyDescent="0.3">
      <c r="A17">
        <v>2313017163</v>
      </c>
      <c r="B17">
        <v>2313017246</v>
      </c>
      <c r="C17" t="s">
        <v>270</v>
      </c>
      <c r="D17" t="s">
        <v>141</v>
      </c>
      <c r="E17" t="s">
        <v>57</v>
      </c>
      <c r="H17" t="s">
        <v>58</v>
      </c>
      <c r="I17" t="s">
        <v>172</v>
      </c>
      <c r="J17">
        <v>100</v>
      </c>
      <c r="K17">
        <v>600</v>
      </c>
      <c r="L17">
        <v>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600</v>
      </c>
      <c r="AH17">
        <v>6</v>
      </c>
      <c r="AI17">
        <v>0</v>
      </c>
      <c r="AJ17">
        <v>0</v>
      </c>
      <c r="AK17">
        <v>500</v>
      </c>
      <c r="AL17">
        <v>0</v>
      </c>
      <c r="AM17">
        <v>120</v>
      </c>
      <c r="AN17">
        <v>-12</v>
      </c>
      <c r="AO17">
        <v>0</v>
      </c>
      <c r="AQ17">
        <v>0</v>
      </c>
      <c r="AR17">
        <v>0</v>
      </c>
      <c r="AS17">
        <v>120</v>
      </c>
      <c r="AT17">
        <v>-12</v>
      </c>
      <c r="AU17">
        <v>0</v>
      </c>
      <c r="AW17">
        <v>0</v>
      </c>
      <c r="AX17">
        <v>0</v>
      </c>
      <c r="AY17">
        <v>364.8</v>
      </c>
      <c r="BA17" t="s">
        <v>70</v>
      </c>
      <c r="BC17" t="s">
        <v>173</v>
      </c>
      <c r="BE17" t="s">
        <v>174</v>
      </c>
    </row>
    <row r="18" spans="1:57" x14ac:dyDescent="0.3">
      <c r="A18">
        <v>2313017163</v>
      </c>
      <c r="B18">
        <v>2313017249</v>
      </c>
      <c r="C18" t="s">
        <v>256</v>
      </c>
      <c r="D18" t="s">
        <v>137</v>
      </c>
      <c r="E18" t="s">
        <v>57</v>
      </c>
      <c r="H18" t="s">
        <v>58</v>
      </c>
      <c r="I18" t="s">
        <v>172</v>
      </c>
      <c r="J18">
        <v>100</v>
      </c>
      <c r="K18">
        <v>600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600</v>
      </c>
      <c r="AH18">
        <v>6</v>
      </c>
      <c r="AI18">
        <v>0</v>
      </c>
      <c r="AJ18">
        <v>0</v>
      </c>
      <c r="AK18">
        <v>500</v>
      </c>
      <c r="AL18">
        <v>0</v>
      </c>
      <c r="AM18">
        <v>120</v>
      </c>
      <c r="AN18">
        <v>-12</v>
      </c>
      <c r="AO18">
        <v>0</v>
      </c>
      <c r="AQ18">
        <v>0</v>
      </c>
      <c r="AR18">
        <v>0</v>
      </c>
      <c r="AS18">
        <v>120</v>
      </c>
      <c r="AT18">
        <v>-12</v>
      </c>
      <c r="AU18">
        <v>0</v>
      </c>
      <c r="AW18">
        <v>0</v>
      </c>
      <c r="AX18">
        <v>0</v>
      </c>
      <c r="AY18">
        <v>364.8</v>
      </c>
      <c r="BA18" t="s">
        <v>70</v>
      </c>
      <c r="BC18" t="s">
        <v>173</v>
      </c>
      <c r="BE18" t="s">
        <v>174</v>
      </c>
    </row>
    <row r="19" spans="1:57" x14ac:dyDescent="0.3">
      <c r="A19">
        <v>2313017163</v>
      </c>
      <c r="B19">
        <v>2313017250</v>
      </c>
      <c r="C19" t="s">
        <v>257</v>
      </c>
      <c r="D19" t="s">
        <v>151</v>
      </c>
      <c r="E19" t="s">
        <v>57</v>
      </c>
      <c r="H19" t="s">
        <v>58</v>
      </c>
      <c r="I19" t="s">
        <v>172</v>
      </c>
      <c r="J19">
        <v>100</v>
      </c>
      <c r="K19">
        <v>600</v>
      </c>
      <c r="L19">
        <v>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600</v>
      </c>
      <c r="AH19">
        <v>6</v>
      </c>
      <c r="AI19">
        <v>0</v>
      </c>
      <c r="AJ19">
        <v>0</v>
      </c>
      <c r="AK19">
        <v>500</v>
      </c>
      <c r="AL19">
        <v>0</v>
      </c>
      <c r="AM19">
        <v>120</v>
      </c>
      <c r="AN19">
        <v>-12</v>
      </c>
      <c r="AO19">
        <v>0</v>
      </c>
      <c r="AQ19">
        <v>0</v>
      </c>
      <c r="AR19">
        <v>0</v>
      </c>
      <c r="AS19">
        <v>120</v>
      </c>
      <c r="AT19">
        <v>-12</v>
      </c>
      <c r="AU19">
        <v>0</v>
      </c>
      <c r="AW19">
        <v>0</v>
      </c>
      <c r="AX19">
        <v>0</v>
      </c>
      <c r="AY19">
        <v>364.8</v>
      </c>
      <c r="BA19" t="s">
        <v>70</v>
      </c>
      <c r="BC19" t="s">
        <v>173</v>
      </c>
      <c r="BE19" t="s">
        <v>174</v>
      </c>
    </row>
    <row r="20" spans="1:57" x14ac:dyDescent="0.3">
      <c r="A20">
        <v>2313017163</v>
      </c>
      <c r="B20">
        <v>2313017251</v>
      </c>
      <c r="C20" t="s">
        <v>241</v>
      </c>
      <c r="D20" t="s">
        <v>154</v>
      </c>
      <c r="E20" t="s">
        <v>57</v>
      </c>
      <c r="H20" t="s">
        <v>58</v>
      </c>
      <c r="I20" t="s">
        <v>172</v>
      </c>
      <c r="J20">
        <v>100</v>
      </c>
      <c r="K20">
        <v>600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600</v>
      </c>
      <c r="AH20">
        <v>6</v>
      </c>
      <c r="AI20">
        <v>0</v>
      </c>
      <c r="AJ20">
        <v>0</v>
      </c>
      <c r="AK20">
        <v>500</v>
      </c>
      <c r="AL20">
        <v>0</v>
      </c>
      <c r="AM20">
        <v>120</v>
      </c>
      <c r="AN20">
        <v>-12</v>
      </c>
      <c r="AO20">
        <v>0</v>
      </c>
      <c r="AQ20">
        <v>0</v>
      </c>
      <c r="AR20">
        <v>0</v>
      </c>
      <c r="AS20">
        <v>120</v>
      </c>
      <c r="AT20">
        <v>-12</v>
      </c>
      <c r="AU20">
        <v>0</v>
      </c>
      <c r="AW20">
        <v>0</v>
      </c>
      <c r="AX20">
        <v>0</v>
      </c>
      <c r="AY20">
        <v>364.8</v>
      </c>
      <c r="BA20" t="s">
        <v>70</v>
      </c>
      <c r="BC20" t="s">
        <v>173</v>
      </c>
      <c r="BE20" t="s">
        <v>174</v>
      </c>
    </row>
    <row r="21" spans="1:57" x14ac:dyDescent="0.3">
      <c r="A21">
        <v>2313017163</v>
      </c>
      <c r="B21">
        <v>2313018074</v>
      </c>
      <c r="C21" t="s">
        <v>258</v>
      </c>
      <c r="D21" t="s">
        <v>156</v>
      </c>
      <c r="E21" t="s">
        <v>57</v>
      </c>
      <c r="H21" t="s">
        <v>58</v>
      </c>
      <c r="I21" t="s">
        <v>172</v>
      </c>
      <c r="J21">
        <v>100</v>
      </c>
      <c r="K21">
        <v>600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600</v>
      </c>
      <c r="AH21">
        <v>6</v>
      </c>
      <c r="AI21">
        <v>0</v>
      </c>
      <c r="AJ21">
        <v>0</v>
      </c>
      <c r="AK21">
        <v>500</v>
      </c>
      <c r="AL21">
        <v>0</v>
      </c>
      <c r="AM21">
        <v>120</v>
      </c>
      <c r="AN21">
        <v>-12</v>
      </c>
      <c r="AO21">
        <v>0</v>
      </c>
      <c r="AQ21">
        <v>0</v>
      </c>
      <c r="AR21">
        <v>0</v>
      </c>
      <c r="AS21">
        <v>120</v>
      </c>
      <c r="AT21">
        <v>-12</v>
      </c>
      <c r="AU21">
        <v>0</v>
      </c>
      <c r="AW21">
        <v>0</v>
      </c>
      <c r="AX21">
        <v>0</v>
      </c>
      <c r="AY21">
        <v>364.8</v>
      </c>
      <c r="BA21" t="s">
        <v>70</v>
      </c>
      <c r="BC21" t="s">
        <v>173</v>
      </c>
      <c r="BE21" t="s">
        <v>174</v>
      </c>
    </row>
    <row r="22" spans="1:57" x14ac:dyDescent="0.3">
      <c r="A22">
        <v>2313017163</v>
      </c>
      <c r="B22">
        <v>2313018075</v>
      </c>
      <c r="C22" t="s">
        <v>259</v>
      </c>
      <c r="D22" t="s">
        <v>157</v>
      </c>
      <c r="E22" t="s">
        <v>57</v>
      </c>
      <c r="H22" t="s">
        <v>58</v>
      </c>
      <c r="I22" t="s">
        <v>172</v>
      </c>
      <c r="J22">
        <v>100</v>
      </c>
      <c r="K22">
        <v>600</v>
      </c>
      <c r="L22">
        <v>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600</v>
      </c>
      <c r="AH22">
        <v>6</v>
      </c>
      <c r="AI22">
        <v>0</v>
      </c>
      <c r="AJ22">
        <v>0</v>
      </c>
      <c r="AK22">
        <v>500</v>
      </c>
      <c r="AL22">
        <v>0</v>
      </c>
      <c r="AM22">
        <v>120</v>
      </c>
      <c r="AN22">
        <v>-12</v>
      </c>
      <c r="AO22">
        <v>0</v>
      </c>
      <c r="AQ22">
        <v>0</v>
      </c>
      <c r="AR22">
        <v>0</v>
      </c>
      <c r="AS22">
        <v>120</v>
      </c>
      <c r="AT22">
        <v>-12</v>
      </c>
      <c r="AU22">
        <v>0</v>
      </c>
      <c r="AW22">
        <v>0</v>
      </c>
      <c r="AX22">
        <v>0</v>
      </c>
      <c r="AY22">
        <v>364.8</v>
      </c>
      <c r="BA22" t="s">
        <v>70</v>
      </c>
      <c r="BC22" t="s">
        <v>173</v>
      </c>
      <c r="BE22" t="s">
        <v>174</v>
      </c>
    </row>
    <row r="23" spans="1:57" x14ac:dyDescent="0.3">
      <c r="A23">
        <v>2313017163</v>
      </c>
      <c r="B23">
        <v>2313018076</v>
      </c>
      <c r="C23" t="s">
        <v>260</v>
      </c>
      <c r="D23" t="s">
        <v>158</v>
      </c>
      <c r="E23" t="s">
        <v>57</v>
      </c>
      <c r="H23" t="s">
        <v>58</v>
      </c>
      <c r="I23" t="s">
        <v>172</v>
      </c>
      <c r="J23">
        <v>100</v>
      </c>
      <c r="K23">
        <v>600</v>
      </c>
      <c r="L23">
        <v>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600</v>
      </c>
      <c r="AH23">
        <v>6</v>
      </c>
      <c r="AI23">
        <v>0</v>
      </c>
      <c r="AJ23">
        <v>0</v>
      </c>
      <c r="AK23">
        <v>500</v>
      </c>
      <c r="AL23">
        <v>0</v>
      </c>
      <c r="AM23">
        <v>120</v>
      </c>
      <c r="AN23">
        <v>-12</v>
      </c>
      <c r="AO23">
        <v>0</v>
      </c>
      <c r="AQ23">
        <v>0</v>
      </c>
      <c r="AR23">
        <v>0</v>
      </c>
      <c r="AS23">
        <v>120</v>
      </c>
      <c r="AT23">
        <v>-12</v>
      </c>
      <c r="AU23">
        <v>0</v>
      </c>
      <c r="AW23">
        <v>0</v>
      </c>
      <c r="AX23">
        <v>0</v>
      </c>
      <c r="AY23">
        <v>364.8</v>
      </c>
      <c r="BA23" t="s">
        <v>70</v>
      </c>
      <c r="BC23" t="s">
        <v>173</v>
      </c>
      <c r="BE23" t="s">
        <v>174</v>
      </c>
    </row>
    <row r="24" spans="1:57" x14ac:dyDescent="0.3">
      <c r="A24">
        <v>2313017163</v>
      </c>
      <c r="B24">
        <v>2313018077</v>
      </c>
      <c r="C24" t="s">
        <v>261</v>
      </c>
      <c r="D24" t="s">
        <v>159</v>
      </c>
      <c r="E24" t="s">
        <v>57</v>
      </c>
      <c r="H24" t="s">
        <v>58</v>
      </c>
      <c r="I24" t="s">
        <v>172</v>
      </c>
      <c r="J24">
        <v>100</v>
      </c>
      <c r="K24">
        <v>600</v>
      </c>
      <c r="L24">
        <v>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600</v>
      </c>
      <c r="AH24">
        <v>6</v>
      </c>
      <c r="AI24">
        <v>0</v>
      </c>
      <c r="AJ24">
        <v>0</v>
      </c>
      <c r="AK24">
        <v>500</v>
      </c>
      <c r="AL24">
        <v>0</v>
      </c>
      <c r="AM24">
        <v>120</v>
      </c>
      <c r="AN24">
        <v>-12</v>
      </c>
      <c r="AO24">
        <v>0</v>
      </c>
      <c r="AQ24">
        <v>0</v>
      </c>
      <c r="AR24">
        <v>0</v>
      </c>
      <c r="AS24">
        <v>120</v>
      </c>
      <c r="AT24">
        <v>-12</v>
      </c>
      <c r="AU24">
        <v>0</v>
      </c>
      <c r="AW24">
        <v>0</v>
      </c>
      <c r="AX24">
        <v>0</v>
      </c>
      <c r="AY24">
        <v>364.8</v>
      </c>
      <c r="BA24" t="s">
        <v>70</v>
      </c>
      <c r="BC24" t="s">
        <v>173</v>
      </c>
      <c r="BE24" t="s">
        <v>174</v>
      </c>
    </row>
    <row r="25" spans="1:57" x14ac:dyDescent="0.3">
      <c r="A25">
        <v>2313017163</v>
      </c>
      <c r="B25">
        <v>2313018078</v>
      </c>
      <c r="C25" t="s">
        <v>262</v>
      </c>
      <c r="D25" t="s">
        <v>160</v>
      </c>
      <c r="E25" t="s">
        <v>57</v>
      </c>
      <c r="H25" t="s">
        <v>58</v>
      </c>
      <c r="I25" t="s">
        <v>172</v>
      </c>
      <c r="J25">
        <v>100</v>
      </c>
      <c r="K25">
        <v>600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600</v>
      </c>
      <c r="AH25">
        <v>6</v>
      </c>
      <c r="AI25">
        <v>0</v>
      </c>
      <c r="AJ25">
        <v>0</v>
      </c>
      <c r="AK25">
        <v>500</v>
      </c>
      <c r="AL25">
        <v>0</v>
      </c>
      <c r="AM25">
        <v>120</v>
      </c>
      <c r="AN25">
        <v>-12</v>
      </c>
      <c r="AO25">
        <v>0</v>
      </c>
      <c r="AQ25">
        <v>0</v>
      </c>
      <c r="AR25">
        <v>0</v>
      </c>
      <c r="AS25">
        <v>120</v>
      </c>
      <c r="AT25">
        <v>-12</v>
      </c>
      <c r="AU25">
        <v>0</v>
      </c>
      <c r="AW25">
        <v>0</v>
      </c>
      <c r="AX25">
        <v>0</v>
      </c>
      <c r="AY25">
        <v>364.8</v>
      </c>
      <c r="BA25" t="s">
        <v>70</v>
      </c>
      <c r="BC25" t="s">
        <v>173</v>
      </c>
      <c r="BE25" t="s">
        <v>174</v>
      </c>
    </row>
    <row r="26" spans="1:57" x14ac:dyDescent="0.3">
      <c r="A26">
        <v>2313017163</v>
      </c>
      <c r="B26">
        <v>2313018080</v>
      </c>
      <c r="C26" t="s">
        <v>208</v>
      </c>
      <c r="D26" t="s">
        <v>162</v>
      </c>
      <c r="E26" t="s">
        <v>57</v>
      </c>
      <c r="H26" t="s">
        <v>58</v>
      </c>
      <c r="I26" t="s">
        <v>172</v>
      </c>
      <c r="J26">
        <v>100</v>
      </c>
      <c r="K26">
        <v>600</v>
      </c>
      <c r="L26">
        <v>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600</v>
      </c>
      <c r="AH26">
        <v>6</v>
      </c>
      <c r="AI26">
        <v>0</v>
      </c>
      <c r="AJ26">
        <v>0</v>
      </c>
      <c r="AK26">
        <v>500</v>
      </c>
      <c r="AL26">
        <v>0</v>
      </c>
      <c r="AM26">
        <v>120</v>
      </c>
      <c r="AN26">
        <v>-12</v>
      </c>
      <c r="AO26">
        <v>0</v>
      </c>
      <c r="AQ26">
        <v>0</v>
      </c>
      <c r="AR26">
        <v>0</v>
      </c>
      <c r="AS26">
        <v>120</v>
      </c>
      <c r="AT26">
        <v>-12</v>
      </c>
      <c r="AU26">
        <v>0</v>
      </c>
      <c r="AW26">
        <v>0</v>
      </c>
      <c r="AX26">
        <v>0</v>
      </c>
      <c r="AY26">
        <v>364.8</v>
      </c>
      <c r="BA26" t="s">
        <v>70</v>
      </c>
      <c r="BC26" t="s">
        <v>173</v>
      </c>
      <c r="BE26" t="s">
        <v>174</v>
      </c>
    </row>
    <row r="27" spans="1:57" x14ac:dyDescent="0.3">
      <c r="A27">
        <v>2313017163</v>
      </c>
      <c r="B27">
        <v>2313017168</v>
      </c>
      <c r="C27" t="s">
        <v>175</v>
      </c>
      <c r="D27" t="s">
        <v>75</v>
      </c>
      <c r="E27" t="s">
        <v>57</v>
      </c>
      <c r="H27" t="s">
        <v>58</v>
      </c>
      <c r="I27" t="s">
        <v>172</v>
      </c>
      <c r="J27">
        <v>100</v>
      </c>
      <c r="K27">
        <v>500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500</v>
      </c>
      <c r="AH27">
        <v>5</v>
      </c>
      <c r="AI27">
        <v>0</v>
      </c>
      <c r="AJ27">
        <v>0</v>
      </c>
      <c r="AK27">
        <v>400</v>
      </c>
      <c r="AL27">
        <v>0</v>
      </c>
      <c r="AM27">
        <v>120</v>
      </c>
      <c r="AN27">
        <v>-12</v>
      </c>
      <c r="AO27">
        <v>0</v>
      </c>
      <c r="AQ27">
        <v>0</v>
      </c>
      <c r="AR27">
        <v>0</v>
      </c>
      <c r="AS27">
        <v>120</v>
      </c>
      <c r="AT27">
        <v>-12</v>
      </c>
      <c r="AU27">
        <v>0</v>
      </c>
      <c r="AW27">
        <v>0</v>
      </c>
      <c r="AX27">
        <v>0</v>
      </c>
      <c r="AY27">
        <v>304.8</v>
      </c>
      <c r="BA27" t="s">
        <v>70</v>
      </c>
      <c r="BC27" t="s">
        <v>173</v>
      </c>
      <c r="BE27" t="s">
        <v>174</v>
      </c>
    </row>
    <row r="28" spans="1:57" x14ac:dyDescent="0.3">
      <c r="A28">
        <v>2313017163</v>
      </c>
      <c r="B28">
        <v>2313017234</v>
      </c>
      <c r="C28" t="s">
        <v>263</v>
      </c>
      <c r="D28" t="s">
        <v>134</v>
      </c>
      <c r="E28" t="s">
        <v>57</v>
      </c>
      <c r="H28" t="s">
        <v>58</v>
      </c>
      <c r="I28" t="s">
        <v>172</v>
      </c>
      <c r="J28">
        <v>100</v>
      </c>
      <c r="K28">
        <v>500</v>
      </c>
      <c r="L28">
        <v>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500</v>
      </c>
      <c r="AH28">
        <v>5</v>
      </c>
      <c r="AI28">
        <v>0</v>
      </c>
      <c r="AJ28">
        <v>0</v>
      </c>
      <c r="AK28">
        <v>400</v>
      </c>
      <c r="AL28">
        <v>0</v>
      </c>
      <c r="AM28">
        <v>120</v>
      </c>
      <c r="AN28">
        <v>-12</v>
      </c>
      <c r="AO28">
        <v>0</v>
      </c>
      <c r="AQ28">
        <v>0</v>
      </c>
      <c r="AR28">
        <v>0</v>
      </c>
      <c r="AS28">
        <v>120</v>
      </c>
      <c r="AT28">
        <v>-12</v>
      </c>
      <c r="AU28">
        <v>0</v>
      </c>
      <c r="AW28">
        <v>0</v>
      </c>
      <c r="AX28">
        <v>0</v>
      </c>
      <c r="AY28">
        <v>304.8</v>
      </c>
      <c r="BA28" t="s">
        <v>70</v>
      </c>
      <c r="BC28" t="s">
        <v>173</v>
      </c>
      <c r="BE28" t="s">
        <v>174</v>
      </c>
    </row>
    <row r="29" spans="1:57" x14ac:dyDescent="0.3">
      <c r="A29">
        <v>2313017163</v>
      </c>
      <c r="B29">
        <v>2313017235</v>
      </c>
      <c r="C29" t="s">
        <v>239</v>
      </c>
      <c r="D29" t="s">
        <v>135</v>
      </c>
      <c r="E29" t="s">
        <v>57</v>
      </c>
      <c r="H29" t="s">
        <v>58</v>
      </c>
      <c r="I29" t="s">
        <v>172</v>
      </c>
      <c r="J29">
        <v>100</v>
      </c>
      <c r="K29">
        <v>500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500</v>
      </c>
      <c r="AH29">
        <v>5</v>
      </c>
      <c r="AI29">
        <v>0</v>
      </c>
      <c r="AJ29">
        <v>0</v>
      </c>
      <c r="AK29">
        <v>400</v>
      </c>
      <c r="AL29">
        <v>0</v>
      </c>
      <c r="AM29">
        <v>120</v>
      </c>
      <c r="AN29">
        <v>-12</v>
      </c>
      <c r="AO29">
        <v>0</v>
      </c>
      <c r="AQ29">
        <v>0</v>
      </c>
      <c r="AR29">
        <v>0</v>
      </c>
      <c r="AS29">
        <v>120</v>
      </c>
      <c r="AT29">
        <v>-12</v>
      </c>
      <c r="AU29">
        <v>0</v>
      </c>
      <c r="AW29">
        <v>0</v>
      </c>
      <c r="AX29">
        <v>0</v>
      </c>
      <c r="AY29">
        <v>304.8</v>
      </c>
      <c r="BA29" t="s">
        <v>70</v>
      </c>
      <c r="BC29" t="s">
        <v>173</v>
      </c>
      <c r="BE29" t="s">
        <v>174</v>
      </c>
    </row>
    <row r="30" spans="1:57" x14ac:dyDescent="0.3">
      <c r="A30">
        <v>2313017163</v>
      </c>
      <c r="B30">
        <v>2313017236</v>
      </c>
      <c r="C30" t="s">
        <v>254</v>
      </c>
      <c r="D30" t="s">
        <v>138</v>
      </c>
      <c r="E30" t="s">
        <v>57</v>
      </c>
      <c r="H30" t="s">
        <v>58</v>
      </c>
      <c r="I30" t="s">
        <v>172</v>
      </c>
      <c r="J30">
        <v>100</v>
      </c>
      <c r="K30">
        <v>500</v>
      </c>
      <c r="L30">
        <v>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500</v>
      </c>
      <c r="AH30">
        <v>5</v>
      </c>
      <c r="AI30">
        <v>0</v>
      </c>
      <c r="AJ30">
        <v>0</v>
      </c>
      <c r="AK30">
        <v>400</v>
      </c>
      <c r="AL30">
        <v>0</v>
      </c>
      <c r="AM30">
        <v>120</v>
      </c>
      <c r="AN30">
        <v>-12</v>
      </c>
      <c r="AO30">
        <v>0</v>
      </c>
      <c r="AQ30">
        <v>0</v>
      </c>
      <c r="AR30">
        <v>0</v>
      </c>
      <c r="AS30">
        <v>120</v>
      </c>
      <c r="AT30">
        <v>-12</v>
      </c>
      <c r="AU30">
        <v>0</v>
      </c>
      <c r="AW30">
        <v>0</v>
      </c>
      <c r="AX30">
        <v>0</v>
      </c>
      <c r="AY30">
        <v>304.8</v>
      </c>
      <c r="BA30" t="s">
        <v>70</v>
      </c>
      <c r="BC30" t="s">
        <v>173</v>
      </c>
      <c r="BE30" t="s">
        <v>174</v>
      </c>
    </row>
    <row r="31" spans="1:57" x14ac:dyDescent="0.3">
      <c r="A31">
        <v>2313017163</v>
      </c>
      <c r="B31">
        <v>2313017237</v>
      </c>
      <c r="C31" t="s">
        <v>264</v>
      </c>
      <c r="D31" t="s">
        <v>144</v>
      </c>
      <c r="E31" t="s">
        <v>57</v>
      </c>
      <c r="H31" t="s">
        <v>58</v>
      </c>
      <c r="I31" t="s">
        <v>172</v>
      </c>
      <c r="J31">
        <v>100</v>
      </c>
      <c r="K31">
        <v>500</v>
      </c>
      <c r="L31">
        <v>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500</v>
      </c>
      <c r="AH31">
        <v>5</v>
      </c>
      <c r="AI31">
        <v>0</v>
      </c>
      <c r="AJ31">
        <v>0</v>
      </c>
      <c r="AK31">
        <v>400</v>
      </c>
      <c r="AL31">
        <v>0</v>
      </c>
      <c r="AM31">
        <v>120</v>
      </c>
      <c r="AN31">
        <v>-12</v>
      </c>
      <c r="AO31">
        <v>0</v>
      </c>
      <c r="AQ31">
        <v>0</v>
      </c>
      <c r="AR31">
        <v>0</v>
      </c>
      <c r="AS31">
        <v>120</v>
      </c>
      <c r="AT31">
        <v>-12</v>
      </c>
      <c r="AU31">
        <v>0</v>
      </c>
      <c r="AW31">
        <v>0</v>
      </c>
      <c r="AX31">
        <v>0</v>
      </c>
      <c r="AY31">
        <v>304.8</v>
      </c>
      <c r="BA31" t="s">
        <v>70</v>
      </c>
      <c r="BC31" t="s">
        <v>173</v>
      </c>
      <c r="BE31" t="s">
        <v>174</v>
      </c>
    </row>
    <row r="32" spans="1:57" x14ac:dyDescent="0.3">
      <c r="A32">
        <v>2313017163</v>
      </c>
      <c r="B32">
        <v>2313017240</v>
      </c>
      <c r="C32" t="s">
        <v>266</v>
      </c>
      <c r="D32" t="s">
        <v>155</v>
      </c>
      <c r="E32" t="s">
        <v>57</v>
      </c>
      <c r="H32" t="s">
        <v>58</v>
      </c>
      <c r="I32" t="s">
        <v>172</v>
      </c>
      <c r="J32">
        <v>100</v>
      </c>
      <c r="K32">
        <v>500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500</v>
      </c>
      <c r="AH32">
        <v>5</v>
      </c>
      <c r="AI32">
        <v>0</v>
      </c>
      <c r="AJ32">
        <v>0</v>
      </c>
      <c r="AK32">
        <v>400</v>
      </c>
      <c r="AL32">
        <v>0</v>
      </c>
      <c r="AM32">
        <v>120</v>
      </c>
      <c r="AN32">
        <v>-12</v>
      </c>
      <c r="AO32">
        <v>0</v>
      </c>
      <c r="AQ32">
        <v>0</v>
      </c>
      <c r="AR32">
        <v>0</v>
      </c>
      <c r="AS32">
        <v>120</v>
      </c>
      <c r="AT32">
        <v>-12</v>
      </c>
      <c r="AU32">
        <v>0</v>
      </c>
      <c r="AW32">
        <v>0</v>
      </c>
      <c r="AX32">
        <v>0</v>
      </c>
      <c r="AY32">
        <v>304.8</v>
      </c>
      <c r="BA32" t="s">
        <v>70</v>
      </c>
      <c r="BC32" t="s">
        <v>173</v>
      </c>
      <c r="BE32" t="s">
        <v>174</v>
      </c>
    </row>
    <row r="33" spans="1:57" x14ac:dyDescent="0.3">
      <c r="A33">
        <v>2313017163</v>
      </c>
      <c r="B33">
        <v>2313017241</v>
      </c>
      <c r="C33" t="s">
        <v>267</v>
      </c>
      <c r="D33" t="s">
        <v>152</v>
      </c>
      <c r="E33" t="s">
        <v>57</v>
      </c>
      <c r="H33" t="s">
        <v>58</v>
      </c>
      <c r="I33" t="s">
        <v>172</v>
      </c>
      <c r="J33">
        <v>100</v>
      </c>
      <c r="K33">
        <v>500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500</v>
      </c>
      <c r="AH33">
        <v>5</v>
      </c>
      <c r="AI33">
        <v>0</v>
      </c>
      <c r="AJ33">
        <v>0</v>
      </c>
      <c r="AK33">
        <v>400</v>
      </c>
      <c r="AL33">
        <v>0</v>
      </c>
      <c r="AM33">
        <v>120</v>
      </c>
      <c r="AN33">
        <v>-12</v>
      </c>
      <c r="AO33">
        <v>0</v>
      </c>
      <c r="AQ33">
        <v>0</v>
      </c>
      <c r="AR33">
        <v>0</v>
      </c>
      <c r="AS33">
        <v>120</v>
      </c>
      <c r="AT33">
        <v>-12</v>
      </c>
      <c r="AU33">
        <v>0</v>
      </c>
      <c r="AW33">
        <v>0</v>
      </c>
      <c r="AX33">
        <v>0</v>
      </c>
      <c r="AY33">
        <v>304.8</v>
      </c>
      <c r="BA33" t="s">
        <v>70</v>
      </c>
      <c r="BC33" t="s">
        <v>173</v>
      </c>
      <c r="BE33" t="s">
        <v>174</v>
      </c>
    </row>
    <row r="34" spans="1:57" x14ac:dyDescent="0.3">
      <c r="A34">
        <v>2313017163</v>
      </c>
      <c r="B34">
        <v>2313017242</v>
      </c>
      <c r="C34" t="s">
        <v>268</v>
      </c>
      <c r="D34" t="s">
        <v>149</v>
      </c>
      <c r="E34" t="s">
        <v>57</v>
      </c>
      <c r="H34" t="s">
        <v>58</v>
      </c>
      <c r="I34" t="s">
        <v>172</v>
      </c>
      <c r="J34">
        <v>100</v>
      </c>
      <c r="K34">
        <v>500</v>
      </c>
      <c r="L34">
        <v>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500</v>
      </c>
      <c r="AH34">
        <v>5</v>
      </c>
      <c r="AI34">
        <v>0</v>
      </c>
      <c r="AJ34">
        <v>0</v>
      </c>
      <c r="AK34">
        <v>400</v>
      </c>
      <c r="AL34">
        <v>0</v>
      </c>
      <c r="AM34">
        <v>120</v>
      </c>
      <c r="AN34">
        <v>-12</v>
      </c>
      <c r="AO34">
        <v>0</v>
      </c>
      <c r="AQ34">
        <v>0</v>
      </c>
      <c r="AR34">
        <v>0</v>
      </c>
      <c r="AS34">
        <v>120</v>
      </c>
      <c r="AT34">
        <v>-12</v>
      </c>
      <c r="AU34">
        <v>0</v>
      </c>
      <c r="AW34">
        <v>0</v>
      </c>
      <c r="AX34">
        <v>0</v>
      </c>
      <c r="AY34">
        <v>304.8</v>
      </c>
      <c r="BA34" t="s">
        <v>70</v>
      </c>
      <c r="BC34" t="s">
        <v>173</v>
      </c>
      <c r="BE34" t="s">
        <v>174</v>
      </c>
    </row>
    <row r="35" spans="1:57" x14ac:dyDescent="0.3">
      <c r="A35">
        <v>2313017163</v>
      </c>
      <c r="B35">
        <v>2313017247</v>
      </c>
      <c r="C35" t="s">
        <v>273</v>
      </c>
      <c r="D35" t="s">
        <v>147</v>
      </c>
      <c r="E35" t="s">
        <v>57</v>
      </c>
      <c r="H35" t="s">
        <v>58</v>
      </c>
      <c r="I35" t="s">
        <v>172</v>
      </c>
      <c r="J35">
        <v>100</v>
      </c>
      <c r="K35">
        <v>500</v>
      </c>
      <c r="L35">
        <v>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500</v>
      </c>
      <c r="AH35">
        <v>5</v>
      </c>
      <c r="AI35">
        <v>0</v>
      </c>
      <c r="AJ35">
        <v>0</v>
      </c>
      <c r="AK35">
        <v>400</v>
      </c>
      <c r="AL35">
        <v>0</v>
      </c>
      <c r="AM35">
        <v>120</v>
      </c>
      <c r="AN35">
        <v>-12</v>
      </c>
      <c r="AO35">
        <v>0</v>
      </c>
      <c r="AQ35">
        <v>0</v>
      </c>
      <c r="AR35">
        <v>0</v>
      </c>
      <c r="AS35">
        <v>120</v>
      </c>
      <c r="AT35">
        <v>-12</v>
      </c>
      <c r="AU35">
        <v>0</v>
      </c>
      <c r="AW35">
        <v>0</v>
      </c>
      <c r="AX35">
        <v>0</v>
      </c>
      <c r="AY35">
        <v>304.8</v>
      </c>
      <c r="BA35" t="s">
        <v>70</v>
      </c>
      <c r="BC35" t="s">
        <v>173</v>
      </c>
      <c r="BE35" t="s">
        <v>174</v>
      </c>
    </row>
    <row r="36" spans="1:57" x14ac:dyDescent="0.3">
      <c r="A36">
        <v>2313017163</v>
      </c>
      <c r="B36">
        <v>2313017248</v>
      </c>
      <c r="C36" t="s">
        <v>255</v>
      </c>
      <c r="D36" t="s">
        <v>142</v>
      </c>
      <c r="E36" t="s">
        <v>57</v>
      </c>
      <c r="H36" t="s">
        <v>58</v>
      </c>
      <c r="I36" t="s">
        <v>172</v>
      </c>
      <c r="J36">
        <v>100</v>
      </c>
      <c r="K36">
        <v>500</v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500</v>
      </c>
      <c r="AH36">
        <v>5</v>
      </c>
      <c r="AI36">
        <v>0</v>
      </c>
      <c r="AJ36">
        <v>0</v>
      </c>
      <c r="AK36">
        <v>400</v>
      </c>
      <c r="AL36">
        <v>0</v>
      </c>
      <c r="AM36">
        <v>120</v>
      </c>
      <c r="AN36">
        <v>-12</v>
      </c>
      <c r="AO36">
        <v>0</v>
      </c>
      <c r="AQ36">
        <v>0</v>
      </c>
      <c r="AR36">
        <v>0</v>
      </c>
      <c r="AS36">
        <v>120</v>
      </c>
      <c r="AT36">
        <v>-12</v>
      </c>
      <c r="AU36">
        <v>0</v>
      </c>
      <c r="AW36">
        <v>0</v>
      </c>
      <c r="AX36">
        <v>0</v>
      </c>
      <c r="AY36">
        <v>304.8</v>
      </c>
      <c r="BA36" t="s">
        <v>70</v>
      </c>
      <c r="BC36" t="s">
        <v>173</v>
      </c>
      <c r="BE36" t="s">
        <v>174</v>
      </c>
    </row>
    <row r="37" spans="1:57" x14ac:dyDescent="0.3">
      <c r="A37">
        <v>2313017163</v>
      </c>
      <c r="B37">
        <v>2313017167</v>
      </c>
      <c r="C37" t="s">
        <v>171</v>
      </c>
      <c r="D37" t="s">
        <v>72</v>
      </c>
      <c r="E37" t="s">
        <v>57</v>
      </c>
      <c r="H37" t="s">
        <v>58</v>
      </c>
      <c r="I37" t="s">
        <v>172</v>
      </c>
      <c r="J37">
        <v>100</v>
      </c>
      <c r="K37">
        <v>400</v>
      </c>
      <c r="L37">
        <v>4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400</v>
      </c>
      <c r="AH37">
        <v>7</v>
      </c>
      <c r="AI37">
        <v>0</v>
      </c>
      <c r="AJ37">
        <v>0</v>
      </c>
      <c r="AK37">
        <v>300</v>
      </c>
      <c r="AL37">
        <v>0</v>
      </c>
      <c r="AM37">
        <v>120</v>
      </c>
      <c r="AN37">
        <v>-12</v>
      </c>
      <c r="AO37">
        <v>0</v>
      </c>
      <c r="AQ37">
        <v>0</v>
      </c>
      <c r="AR37">
        <v>0</v>
      </c>
      <c r="AS37">
        <v>120</v>
      </c>
      <c r="AT37">
        <v>-12</v>
      </c>
      <c r="AU37">
        <v>0</v>
      </c>
      <c r="AW37">
        <v>0</v>
      </c>
      <c r="AX37">
        <v>0</v>
      </c>
      <c r="AY37">
        <v>244.8</v>
      </c>
      <c r="BA37" t="s">
        <v>70</v>
      </c>
      <c r="BC37" t="s">
        <v>173</v>
      </c>
      <c r="BE37" t="s">
        <v>174</v>
      </c>
    </row>
    <row r="38" spans="1:57" x14ac:dyDescent="0.3">
      <c r="A38">
        <v>2313017163</v>
      </c>
      <c r="B38">
        <v>2313017185</v>
      </c>
      <c r="C38" t="s">
        <v>199</v>
      </c>
      <c r="D38" t="s">
        <v>84</v>
      </c>
      <c r="E38" t="s">
        <v>57</v>
      </c>
      <c r="H38" t="s">
        <v>58</v>
      </c>
      <c r="I38" t="s">
        <v>172</v>
      </c>
      <c r="J38">
        <v>100</v>
      </c>
      <c r="K38">
        <v>400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400</v>
      </c>
      <c r="AH38">
        <v>4</v>
      </c>
      <c r="AI38">
        <v>0</v>
      </c>
      <c r="AJ38">
        <v>0</v>
      </c>
      <c r="AK38">
        <v>400</v>
      </c>
      <c r="AL38">
        <v>0</v>
      </c>
      <c r="AM38">
        <v>0</v>
      </c>
      <c r="AN38">
        <v>0</v>
      </c>
      <c r="AO38">
        <v>0</v>
      </c>
      <c r="AQ38">
        <v>0</v>
      </c>
      <c r="AR38">
        <v>0</v>
      </c>
      <c r="AT38">
        <v>0</v>
      </c>
      <c r="AU38">
        <v>0</v>
      </c>
      <c r="AW38">
        <v>0</v>
      </c>
      <c r="AX38">
        <v>0</v>
      </c>
      <c r="AY38">
        <v>240</v>
      </c>
      <c r="BA38" t="s">
        <v>70</v>
      </c>
      <c r="BC38" t="s">
        <v>173</v>
      </c>
      <c r="BE38" t="s">
        <v>174</v>
      </c>
    </row>
    <row r="39" spans="1:57" x14ac:dyDescent="0.3">
      <c r="A39">
        <v>2313017163</v>
      </c>
      <c r="B39">
        <v>2313017186</v>
      </c>
      <c r="C39" t="s">
        <v>200</v>
      </c>
      <c r="D39" t="s">
        <v>85</v>
      </c>
      <c r="E39" t="s">
        <v>57</v>
      </c>
      <c r="H39" t="s">
        <v>58</v>
      </c>
      <c r="I39" t="s">
        <v>172</v>
      </c>
      <c r="J39">
        <v>100</v>
      </c>
      <c r="K39">
        <v>400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400</v>
      </c>
      <c r="AH39">
        <v>4</v>
      </c>
      <c r="AI39">
        <v>0</v>
      </c>
      <c r="AJ39">
        <v>0</v>
      </c>
      <c r="AK39">
        <v>400</v>
      </c>
      <c r="AL39">
        <v>0</v>
      </c>
      <c r="AM39">
        <v>0</v>
      </c>
      <c r="AN39">
        <v>0</v>
      </c>
      <c r="AO39">
        <v>0</v>
      </c>
      <c r="AQ39">
        <v>0</v>
      </c>
      <c r="AR39">
        <v>0</v>
      </c>
      <c r="AT39">
        <v>0</v>
      </c>
      <c r="AU39">
        <v>0</v>
      </c>
      <c r="AW39">
        <v>0</v>
      </c>
      <c r="AX39">
        <v>0</v>
      </c>
      <c r="AY39">
        <v>240</v>
      </c>
      <c r="BA39" t="s">
        <v>70</v>
      </c>
      <c r="BC39" t="s">
        <v>173</v>
      </c>
      <c r="BE39" t="s">
        <v>174</v>
      </c>
    </row>
    <row r="40" spans="1:57" x14ac:dyDescent="0.3">
      <c r="A40">
        <v>2313017163</v>
      </c>
      <c r="B40">
        <v>2313017187</v>
      </c>
      <c r="C40" t="s">
        <v>201</v>
      </c>
      <c r="D40" t="s">
        <v>86</v>
      </c>
      <c r="E40" t="s">
        <v>57</v>
      </c>
      <c r="H40" t="s">
        <v>58</v>
      </c>
      <c r="I40" t="s">
        <v>172</v>
      </c>
      <c r="J40">
        <v>100</v>
      </c>
      <c r="K40">
        <v>400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400</v>
      </c>
      <c r="AH40">
        <v>4</v>
      </c>
      <c r="AI40">
        <v>0</v>
      </c>
      <c r="AJ40">
        <v>0</v>
      </c>
      <c r="AK40">
        <v>400</v>
      </c>
      <c r="AL40">
        <v>0</v>
      </c>
      <c r="AM40">
        <v>0</v>
      </c>
      <c r="AN40">
        <v>0</v>
      </c>
      <c r="AO40">
        <v>0</v>
      </c>
      <c r="AQ40">
        <v>0</v>
      </c>
      <c r="AR40">
        <v>0</v>
      </c>
      <c r="AT40">
        <v>0</v>
      </c>
      <c r="AU40">
        <v>0</v>
      </c>
      <c r="AW40">
        <v>0</v>
      </c>
      <c r="AX40">
        <v>0</v>
      </c>
      <c r="AY40">
        <v>240</v>
      </c>
      <c r="BA40" t="s">
        <v>70</v>
      </c>
      <c r="BC40" t="s">
        <v>173</v>
      </c>
      <c r="BE40" t="s">
        <v>174</v>
      </c>
    </row>
    <row r="41" spans="1:57" x14ac:dyDescent="0.3">
      <c r="A41">
        <v>2313017163</v>
      </c>
      <c r="B41">
        <v>2313017188</v>
      </c>
      <c r="C41" t="s">
        <v>202</v>
      </c>
      <c r="D41" t="s">
        <v>140</v>
      </c>
      <c r="E41" t="s">
        <v>57</v>
      </c>
      <c r="H41" t="s">
        <v>58</v>
      </c>
      <c r="I41" t="s">
        <v>172</v>
      </c>
      <c r="J41">
        <v>100</v>
      </c>
      <c r="K41">
        <v>400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400</v>
      </c>
      <c r="AH41">
        <v>4</v>
      </c>
      <c r="AI41">
        <v>0</v>
      </c>
      <c r="AJ41">
        <v>0</v>
      </c>
      <c r="AK41">
        <v>400</v>
      </c>
      <c r="AL41">
        <v>0</v>
      </c>
      <c r="AM41">
        <v>0</v>
      </c>
      <c r="AN41">
        <v>0</v>
      </c>
      <c r="AO41">
        <v>0</v>
      </c>
      <c r="AQ41">
        <v>0</v>
      </c>
      <c r="AR41">
        <v>0</v>
      </c>
      <c r="AT41">
        <v>0</v>
      </c>
      <c r="AU41">
        <v>0</v>
      </c>
      <c r="AW41">
        <v>0</v>
      </c>
      <c r="AX41">
        <v>0</v>
      </c>
      <c r="AY41">
        <v>240</v>
      </c>
      <c r="BA41" t="s">
        <v>70</v>
      </c>
      <c r="BC41" t="s">
        <v>173</v>
      </c>
      <c r="BE41" t="s">
        <v>174</v>
      </c>
    </row>
    <row r="42" spans="1:57" x14ac:dyDescent="0.3">
      <c r="A42">
        <v>2313017163</v>
      </c>
      <c r="B42">
        <v>2313017194</v>
      </c>
      <c r="C42" t="s">
        <v>242</v>
      </c>
      <c r="D42" t="s">
        <v>93</v>
      </c>
      <c r="E42" t="s">
        <v>57</v>
      </c>
      <c r="H42" t="s">
        <v>58</v>
      </c>
      <c r="I42" t="s">
        <v>172</v>
      </c>
      <c r="J42">
        <v>100</v>
      </c>
      <c r="K42">
        <v>400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400</v>
      </c>
      <c r="AH42">
        <v>4</v>
      </c>
      <c r="AI42">
        <v>0</v>
      </c>
      <c r="AJ42">
        <v>0</v>
      </c>
      <c r="AK42">
        <v>400</v>
      </c>
      <c r="AL42">
        <v>0</v>
      </c>
      <c r="AM42">
        <v>0</v>
      </c>
      <c r="AN42">
        <v>0</v>
      </c>
      <c r="AO42">
        <v>0</v>
      </c>
      <c r="AQ42">
        <v>0</v>
      </c>
      <c r="AR42">
        <v>0</v>
      </c>
      <c r="AT42">
        <v>0</v>
      </c>
      <c r="AU42">
        <v>0</v>
      </c>
      <c r="AW42">
        <v>0</v>
      </c>
      <c r="AX42">
        <v>0</v>
      </c>
      <c r="AY42">
        <v>240</v>
      </c>
      <c r="BA42" t="s">
        <v>70</v>
      </c>
      <c r="BC42" t="s">
        <v>173</v>
      </c>
      <c r="BE42" t="s">
        <v>174</v>
      </c>
    </row>
    <row r="43" spans="1:57" x14ac:dyDescent="0.3">
      <c r="A43">
        <v>2313017163</v>
      </c>
      <c r="B43">
        <v>2313017222</v>
      </c>
      <c r="C43" t="s">
        <v>235</v>
      </c>
      <c r="D43" t="s">
        <v>124</v>
      </c>
      <c r="E43" t="s">
        <v>57</v>
      </c>
      <c r="H43" t="s">
        <v>58</v>
      </c>
      <c r="I43" t="s">
        <v>172</v>
      </c>
      <c r="J43">
        <v>100</v>
      </c>
      <c r="K43">
        <v>400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400</v>
      </c>
      <c r="AH43">
        <v>4</v>
      </c>
      <c r="AI43">
        <v>0</v>
      </c>
      <c r="AJ43">
        <v>0</v>
      </c>
      <c r="AK43">
        <v>300</v>
      </c>
      <c r="AL43">
        <v>0</v>
      </c>
      <c r="AM43">
        <v>120</v>
      </c>
      <c r="AN43">
        <v>-12</v>
      </c>
      <c r="AO43">
        <v>0</v>
      </c>
      <c r="AQ43">
        <v>0</v>
      </c>
      <c r="AR43">
        <v>0</v>
      </c>
      <c r="AS43">
        <v>120</v>
      </c>
      <c r="AT43">
        <v>-12</v>
      </c>
      <c r="AU43">
        <v>0</v>
      </c>
      <c r="AW43">
        <v>0</v>
      </c>
      <c r="AX43">
        <v>0</v>
      </c>
      <c r="AY43">
        <v>244.8</v>
      </c>
      <c r="BA43" t="s">
        <v>70</v>
      </c>
      <c r="BC43" t="s">
        <v>173</v>
      </c>
      <c r="BE43" t="s">
        <v>174</v>
      </c>
    </row>
    <row r="44" spans="1:57" x14ac:dyDescent="0.3">
      <c r="A44">
        <v>2313017163</v>
      </c>
      <c r="B44">
        <v>2313017223</v>
      </c>
      <c r="C44" t="s">
        <v>236</v>
      </c>
      <c r="D44" t="s">
        <v>125</v>
      </c>
      <c r="E44" t="s">
        <v>57</v>
      </c>
      <c r="H44" t="s">
        <v>58</v>
      </c>
      <c r="I44" t="s">
        <v>172</v>
      </c>
      <c r="J44">
        <v>100</v>
      </c>
      <c r="K44">
        <v>400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400</v>
      </c>
      <c r="AH44">
        <v>4</v>
      </c>
      <c r="AI44">
        <v>0</v>
      </c>
      <c r="AJ44">
        <v>0</v>
      </c>
      <c r="AK44">
        <v>300</v>
      </c>
      <c r="AL44">
        <v>0</v>
      </c>
      <c r="AM44">
        <v>120</v>
      </c>
      <c r="AN44">
        <v>-12</v>
      </c>
      <c r="AO44">
        <v>0</v>
      </c>
      <c r="AQ44">
        <v>0</v>
      </c>
      <c r="AR44">
        <v>0</v>
      </c>
      <c r="AS44">
        <v>120</v>
      </c>
      <c r="AT44">
        <v>-12</v>
      </c>
      <c r="AU44">
        <v>0</v>
      </c>
      <c r="AW44">
        <v>0</v>
      </c>
      <c r="AX44">
        <v>0</v>
      </c>
      <c r="AY44">
        <v>244.8</v>
      </c>
      <c r="BA44" t="s">
        <v>70</v>
      </c>
      <c r="BC44" t="s">
        <v>173</v>
      </c>
      <c r="BE44" t="s">
        <v>174</v>
      </c>
    </row>
    <row r="45" spans="1:57" x14ac:dyDescent="0.3">
      <c r="A45">
        <v>2313017163</v>
      </c>
      <c r="B45">
        <v>2313017226</v>
      </c>
      <c r="C45" t="s">
        <v>248</v>
      </c>
      <c r="D45" t="s">
        <v>133</v>
      </c>
      <c r="E45" t="s">
        <v>57</v>
      </c>
      <c r="H45" t="s">
        <v>58</v>
      </c>
      <c r="I45" t="s">
        <v>172</v>
      </c>
      <c r="J45">
        <v>100</v>
      </c>
      <c r="K45">
        <v>400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400</v>
      </c>
      <c r="AH45">
        <v>4</v>
      </c>
      <c r="AI45">
        <v>0</v>
      </c>
      <c r="AJ45">
        <v>0</v>
      </c>
      <c r="AK45">
        <v>300</v>
      </c>
      <c r="AL45">
        <v>0</v>
      </c>
      <c r="AM45">
        <v>120</v>
      </c>
      <c r="AN45">
        <v>-12</v>
      </c>
      <c r="AO45">
        <v>0</v>
      </c>
      <c r="AQ45">
        <v>0</v>
      </c>
      <c r="AR45">
        <v>0</v>
      </c>
      <c r="AS45">
        <v>120</v>
      </c>
      <c r="AT45">
        <v>-12</v>
      </c>
      <c r="AU45">
        <v>0</v>
      </c>
      <c r="AW45">
        <v>0</v>
      </c>
      <c r="AX45">
        <v>0</v>
      </c>
      <c r="AY45">
        <v>244.8</v>
      </c>
      <c r="BA45" t="s">
        <v>70</v>
      </c>
      <c r="BC45" t="s">
        <v>173</v>
      </c>
      <c r="BE45" t="s">
        <v>174</v>
      </c>
    </row>
    <row r="46" spans="1:57" x14ac:dyDescent="0.3">
      <c r="A46">
        <v>2313017163</v>
      </c>
      <c r="B46">
        <v>2313017227</v>
      </c>
      <c r="C46" t="s">
        <v>249</v>
      </c>
      <c r="D46" t="s">
        <v>129</v>
      </c>
      <c r="E46" t="s">
        <v>57</v>
      </c>
      <c r="H46" t="s">
        <v>58</v>
      </c>
      <c r="I46" t="s">
        <v>172</v>
      </c>
      <c r="J46">
        <v>100</v>
      </c>
      <c r="K46">
        <v>400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400</v>
      </c>
      <c r="AH46">
        <v>4</v>
      </c>
      <c r="AI46">
        <v>0</v>
      </c>
      <c r="AJ46">
        <v>0</v>
      </c>
      <c r="AK46">
        <v>300</v>
      </c>
      <c r="AL46">
        <v>0</v>
      </c>
      <c r="AM46">
        <v>120</v>
      </c>
      <c r="AN46">
        <v>-12</v>
      </c>
      <c r="AO46">
        <v>0</v>
      </c>
      <c r="AQ46">
        <v>0</v>
      </c>
      <c r="AR46">
        <v>0</v>
      </c>
      <c r="AS46">
        <v>120</v>
      </c>
      <c r="AT46">
        <v>-12</v>
      </c>
      <c r="AU46">
        <v>0</v>
      </c>
      <c r="AW46">
        <v>0</v>
      </c>
      <c r="AX46">
        <v>0</v>
      </c>
      <c r="AY46">
        <v>244.8</v>
      </c>
      <c r="BA46" t="s">
        <v>70</v>
      </c>
      <c r="BC46" t="s">
        <v>173</v>
      </c>
      <c r="BE46" t="s">
        <v>174</v>
      </c>
    </row>
    <row r="47" spans="1:57" x14ac:dyDescent="0.3">
      <c r="A47">
        <v>2313017163</v>
      </c>
      <c r="B47">
        <v>2313017228</v>
      </c>
      <c r="C47" t="s">
        <v>237</v>
      </c>
      <c r="D47" t="s">
        <v>126</v>
      </c>
      <c r="E47" t="s">
        <v>57</v>
      </c>
      <c r="H47" t="s">
        <v>58</v>
      </c>
      <c r="I47" t="s">
        <v>172</v>
      </c>
      <c r="J47">
        <v>100</v>
      </c>
      <c r="K47">
        <v>400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400</v>
      </c>
      <c r="AH47">
        <v>4</v>
      </c>
      <c r="AI47">
        <v>0</v>
      </c>
      <c r="AJ47">
        <v>0</v>
      </c>
      <c r="AK47">
        <v>300</v>
      </c>
      <c r="AL47">
        <v>0</v>
      </c>
      <c r="AM47">
        <v>120</v>
      </c>
      <c r="AN47">
        <v>-12</v>
      </c>
      <c r="AO47">
        <v>0</v>
      </c>
      <c r="AQ47">
        <v>0</v>
      </c>
      <c r="AR47">
        <v>0</v>
      </c>
      <c r="AS47">
        <v>120</v>
      </c>
      <c r="AT47">
        <v>-12</v>
      </c>
      <c r="AU47">
        <v>0</v>
      </c>
      <c r="AW47">
        <v>0</v>
      </c>
      <c r="AX47">
        <v>0</v>
      </c>
      <c r="AY47">
        <v>244.8</v>
      </c>
      <c r="BA47" t="s">
        <v>70</v>
      </c>
      <c r="BC47" t="s">
        <v>173</v>
      </c>
      <c r="BE47" t="s">
        <v>174</v>
      </c>
    </row>
    <row r="48" spans="1:57" x14ac:dyDescent="0.3">
      <c r="A48">
        <v>2313017163</v>
      </c>
      <c r="B48">
        <v>2313017229</v>
      </c>
      <c r="C48" t="s">
        <v>250</v>
      </c>
      <c r="D48" t="s">
        <v>130</v>
      </c>
      <c r="E48" t="s">
        <v>57</v>
      </c>
      <c r="H48" t="s">
        <v>58</v>
      </c>
      <c r="I48" t="s">
        <v>172</v>
      </c>
      <c r="J48">
        <v>100</v>
      </c>
      <c r="K48">
        <v>400</v>
      </c>
      <c r="L48">
        <v>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400</v>
      </c>
      <c r="AH48">
        <v>4</v>
      </c>
      <c r="AI48">
        <v>0</v>
      </c>
      <c r="AJ48">
        <v>0</v>
      </c>
      <c r="AK48">
        <v>300</v>
      </c>
      <c r="AL48">
        <v>0</v>
      </c>
      <c r="AM48">
        <v>120</v>
      </c>
      <c r="AN48">
        <v>-12</v>
      </c>
      <c r="AO48">
        <v>0</v>
      </c>
      <c r="AQ48">
        <v>0</v>
      </c>
      <c r="AR48">
        <v>0</v>
      </c>
      <c r="AS48">
        <v>120</v>
      </c>
      <c r="AT48">
        <v>-12</v>
      </c>
      <c r="AU48">
        <v>0</v>
      </c>
      <c r="AW48">
        <v>0</v>
      </c>
      <c r="AX48">
        <v>0</v>
      </c>
      <c r="AY48">
        <v>244.8</v>
      </c>
      <c r="BA48" t="s">
        <v>70</v>
      </c>
      <c r="BC48" t="s">
        <v>173</v>
      </c>
      <c r="BE48" t="s">
        <v>174</v>
      </c>
    </row>
    <row r="49" spans="1:57" x14ac:dyDescent="0.3">
      <c r="A49">
        <v>2313017163</v>
      </c>
      <c r="B49">
        <v>2313017230</v>
      </c>
      <c r="C49" t="s">
        <v>238</v>
      </c>
      <c r="D49" t="s">
        <v>127</v>
      </c>
      <c r="E49" t="s">
        <v>57</v>
      </c>
      <c r="H49" t="s">
        <v>58</v>
      </c>
      <c r="I49" t="s">
        <v>172</v>
      </c>
      <c r="J49">
        <v>100</v>
      </c>
      <c r="K49">
        <v>400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400</v>
      </c>
      <c r="AH49">
        <v>4</v>
      </c>
      <c r="AI49">
        <v>0</v>
      </c>
      <c r="AJ49">
        <v>0</v>
      </c>
      <c r="AK49">
        <v>300</v>
      </c>
      <c r="AL49">
        <v>0</v>
      </c>
      <c r="AM49">
        <v>120</v>
      </c>
      <c r="AN49">
        <v>-12</v>
      </c>
      <c r="AO49">
        <v>0</v>
      </c>
      <c r="AQ49">
        <v>0</v>
      </c>
      <c r="AR49">
        <v>0</v>
      </c>
      <c r="AS49">
        <v>120</v>
      </c>
      <c r="AT49">
        <v>-12</v>
      </c>
      <c r="AU49">
        <v>0</v>
      </c>
      <c r="AW49">
        <v>0</v>
      </c>
      <c r="AX49">
        <v>0</v>
      </c>
      <c r="AY49">
        <v>244.8</v>
      </c>
      <c r="BA49" t="s">
        <v>70</v>
      </c>
      <c r="BC49" t="s">
        <v>173</v>
      </c>
      <c r="BE49" t="s">
        <v>174</v>
      </c>
    </row>
    <row r="50" spans="1:57" x14ac:dyDescent="0.3">
      <c r="A50">
        <v>2313017163</v>
      </c>
      <c r="B50">
        <v>2313017231</v>
      </c>
      <c r="C50" t="s">
        <v>251</v>
      </c>
      <c r="D50" t="s">
        <v>136</v>
      </c>
      <c r="E50" t="s">
        <v>57</v>
      </c>
      <c r="H50" t="s">
        <v>58</v>
      </c>
      <c r="I50" t="s">
        <v>172</v>
      </c>
      <c r="J50">
        <v>100</v>
      </c>
      <c r="K50">
        <v>400</v>
      </c>
      <c r="L50">
        <v>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400</v>
      </c>
      <c r="AH50">
        <v>4</v>
      </c>
      <c r="AI50">
        <v>0</v>
      </c>
      <c r="AJ50">
        <v>0</v>
      </c>
      <c r="AK50">
        <v>300</v>
      </c>
      <c r="AL50">
        <v>0</v>
      </c>
      <c r="AM50">
        <v>120</v>
      </c>
      <c r="AN50">
        <v>-12</v>
      </c>
      <c r="AO50">
        <v>0</v>
      </c>
      <c r="AQ50">
        <v>0</v>
      </c>
      <c r="AR50">
        <v>0</v>
      </c>
      <c r="AS50">
        <v>120</v>
      </c>
      <c r="AT50">
        <v>-12</v>
      </c>
      <c r="AU50">
        <v>0</v>
      </c>
      <c r="AW50">
        <v>0</v>
      </c>
      <c r="AX50">
        <v>0</v>
      </c>
      <c r="AY50">
        <v>244.8</v>
      </c>
      <c r="BA50" t="s">
        <v>70</v>
      </c>
      <c r="BC50" t="s">
        <v>173</v>
      </c>
      <c r="BE50" t="s">
        <v>174</v>
      </c>
    </row>
    <row r="51" spans="1:57" x14ac:dyDescent="0.3">
      <c r="A51">
        <v>2313017163</v>
      </c>
      <c r="B51">
        <v>2313017232</v>
      </c>
      <c r="C51" t="s">
        <v>252</v>
      </c>
      <c r="D51" t="s">
        <v>143</v>
      </c>
      <c r="E51" t="s">
        <v>57</v>
      </c>
      <c r="H51" t="s">
        <v>58</v>
      </c>
      <c r="I51" t="s">
        <v>172</v>
      </c>
      <c r="J51">
        <v>100</v>
      </c>
      <c r="K51">
        <v>400</v>
      </c>
      <c r="L51">
        <v>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400</v>
      </c>
      <c r="AH51">
        <v>4</v>
      </c>
      <c r="AI51">
        <v>0</v>
      </c>
      <c r="AJ51">
        <v>0</v>
      </c>
      <c r="AK51">
        <v>300</v>
      </c>
      <c r="AL51">
        <v>0</v>
      </c>
      <c r="AM51">
        <v>120</v>
      </c>
      <c r="AN51">
        <v>-12</v>
      </c>
      <c r="AO51">
        <v>0</v>
      </c>
      <c r="AQ51">
        <v>0</v>
      </c>
      <c r="AR51">
        <v>0</v>
      </c>
      <c r="AS51">
        <v>120</v>
      </c>
      <c r="AT51">
        <v>-12</v>
      </c>
      <c r="AU51">
        <v>0</v>
      </c>
      <c r="AW51">
        <v>0</v>
      </c>
      <c r="AX51">
        <v>0</v>
      </c>
      <c r="AY51">
        <v>244.8</v>
      </c>
      <c r="BA51" t="s">
        <v>70</v>
      </c>
      <c r="BC51" t="s">
        <v>173</v>
      </c>
      <c r="BE51" t="s">
        <v>174</v>
      </c>
    </row>
    <row r="52" spans="1:57" x14ac:dyDescent="0.3">
      <c r="A52">
        <v>2313017163</v>
      </c>
      <c r="B52">
        <v>2313017233</v>
      </c>
      <c r="C52" t="s">
        <v>253</v>
      </c>
      <c r="D52" t="s">
        <v>148</v>
      </c>
      <c r="E52" t="s">
        <v>57</v>
      </c>
      <c r="H52" t="s">
        <v>58</v>
      </c>
      <c r="I52" t="s">
        <v>172</v>
      </c>
      <c r="J52">
        <v>100</v>
      </c>
      <c r="K52">
        <v>400</v>
      </c>
      <c r="L52">
        <v>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400</v>
      </c>
      <c r="AH52">
        <v>4</v>
      </c>
      <c r="AI52">
        <v>0</v>
      </c>
      <c r="AJ52">
        <v>0</v>
      </c>
      <c r="AK52">
        <v>300</v>
      </c>
      <c r="AL52">
        <v>0</v>
      </c>
      <c r="AM52">
        <v>120</v>
      </c>
      <c r="AN52">
        <v>-12</v>
      </c>
      <c r="AO52">
        <v>0</v>
      </c>
      <c r="AQ52">
        <v>0</v>
      </c>
      <c r="AR52">
        <v>0</v>
      </c>
      <c r="AS52">
        <v>120</v>
      </c>
      <c r="AT52">
        <v>-12</v>
      </c>
      <c r="AU52">
        <v>0</v>
      </c>
      <c r="AW52">
        <v>0</v>
      </c>
      <c r="AX52">
        <v>0</v>
      </c>
      <c r="AY52">
        <v>244.8</v>
      </c>
      <c r="BA52" t="s">
        <v>70</v>
      </c>
      <c r="BC52" t="s">
        <v>173</v>
      </c>
      <c r="BE52" t="s">
        <v>174</v>
      </c>
    </row>
    <row r="53" spans="1:57" x14ac:dyDescent="0.3">
      <c r="A53">
        <v>2313017163</v>
      </c>
      <c r="B53">
        <v>2313017238</v>
      </c>
      <c r="C53" t="s">
        <v>271</v>
      </c>
      <c r="D53" t="s">
        <v>139</v>
      </c>
      <c r="E53" t="s">
        <v>57</v>
      </c>
      <c r="H53" t="s">
        <v>58</v>
      </c>
      <c r="I53" t="s">
        <v>172</v>
      </c>
      <c r="J53">
        <v>100</v>
      </c>
      <c r="K53">
        <v>400</v>
      </c>
      <c r="L53">
        <v>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400</v>
      </c>
      <c r="AH53">
        <v>4</v>
      </c>
      <c r="AI53">
        <v>0</v>
      </c>
      <c r="AJ53">
        <v>0</v>
      </c>
      <c r="AK53">
        <v>300</v>
      </c>
      <c r="AL53">
        <v>0</v>
      </c>
      <c r="AM53">
        <v>120</v>
      </c>
      <c r="AN53">
        <v>-12</v>
      </c>
      <c r="AO53">
        <v>0</v>
      </c>
      <c r="AQ53">
        <v>0</v>
      </c>
      <c r="AR53">
        <v>0</v>
      </c>
      <c r="AS53">
        <v>120</v>
      </c>
      <c r="AT53">
        <v>-12</v>
      </c>
      <c r="AU53">
        <v>0</v>
      </c>
      <c r="AW53">
        <v>0</v>
      </c>
      <c r="AX53">
        <v>0</v>
      </c>
      <c r="AY53">
        <v>244.8</v>
      </c>
      <c r="BA53" t="s">
        <v>70</v>
      </c>
      <c r="BC53" t="s">
        <v>173</v>
      </c>
      <c r="BE53" t="s">
        <v>174</v>
      </c>
    </row>
    <row r="54" spans="1:57" x14ac:dyDescent="0.3">
      <c r="A54">
        <v>2313017163</v>
      </c>
      <c r="B54">
        <v>2313017239</v>
      </c>
      <c r="C54" t="s">
        <v>265</v>
      </c>
      <c r="D54" t="s">
        <v>153</v>
      </c>
      <c r="E54" t="s">
        <v>57</v>
      </c>
      <c r="H54" t="s">
        <v>58</v>
      </c>
      <c r="I54" t="s">
        <v>172</v>
      </c>
      <c r="J54">
        <v>100</v>
      </c>
      <c r="K54">
        <v>400</v>
      </c>
      <c r="L54">
        <v>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400</v>
      </c>
      <c r="AH54">
        <v>4</v>
      </c>
      <c r="AI54">
        <v>0</v>
      </c>
      <c r="AJ54">
        <v>0</v>
      </c>
      <c r="AK54">
        <v>300</v>
      </c>
      <c r="AL54">
        <v>0</v>
      </c>
      <c r="AM54">
        <v>120</v>
      </c>
      <c r="AN54">
        <v>-12</v>
      </c>
      <c r="AO54">
        <v>0</v>
      </c>
      <c r="AQ54">
        <v>0</v>
      </c>
      <c r="AR54">
        <v>0</v>
      </c>
      <c r="AS54">
        <v>120</v>
      </c>
      <c r="AT54">
        <v>-12</v>
      </c>
      <c r="AU54">
        <v>0</v>
      </c>
      <c r="AW54">
        <v>0</v>
      </c>
      <c r="AX54">
        <v>0</v>
      </c>
      <c r="AY54">
        <v>244.8</v>
      </c>
      <c r="BA54" t="s">
        <v>70</v>
      </c>
      <c r="BC54" t="s">
        <v>173</v>
      </c>
      <c r="BE54" t="s">
        <v>174</v>
      </c>
    </row>
    <row r="55" spans="1:57" x14ac:dyDescent="0.3">
      <c r="A55">
        <v>2313017163</v>
      </c>
      <c r="B55">
        <v>2313017243</v>
      </c>
      <c r="C55" t="s">
        <v>240</v>
      </c>
      <c r="D55" t="s">
        <v>145</v>
      </c>
      <c r="E55" t="s">
        <v>57</v>
      </c>
      <c r="H55" t="s">
        <v>58</v>
      </c>
      <c r="I55" t="s">
        <v>172</v>
      </c>
      <c r="J55">
        <v>100</v>
      </c>
      <c r="K55">
        <v>400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400</v>
      </c>
      <c r="AH55">
        <v>4</v>
      </c>
      <c r="AI55">
        <v>0</v>
      </c>
      <c r="AJ55">
        <v>0</v>
      </c>
      <c r="AK55">
        <v>400</v>
      </c>
      <c r="AL55">
        <v>0</v>
      </c>
      <c r="AM55">
        <v>0</v>
      </c>
      <c r="AN55">
        <v>0</v>
      </c>
      <c r="AO55">
        <v>0</v>
      </c>
      <c r="AQ55">
        <v>0</v>
      </c>
      <c r="AR55">
        <v>0</v>
      </c>
      <c r="AT55">
        <v>0</v>
      </c>
      <c r="AU55">
        <v>0</v>
      </c>
      <c r="AW55">
        <v>0</v>
      </c>
      <c r="AX55">
        <v>0</v>
      </c>
      <c r="AY55">
        <v>240</v>
      </c>
      <c r="BA55" t="s">
        <v>70</v>
      </c>
      <c r="BC55" t="s">
        <v>173</v>
      </c>
      <c r="BE55" t="s">
        <v>174</v>
      </c>
    </row>
    <row r="56" spans="1:57" x14ac:dyDescent="0.3">
      <c r="A56">
        <v>2313017163</v>
      </c>
      <c r="B56">
        <v>2313017169</v>
      </c>
      <c r="C56" t="s">
        <v>176</v>
      </c>
      <c r="D56" t="s">
        <v>76</v>
      </c>
      <c r="E56" t="s">
        <v>57</v>
      </c>
      <c r="H56" t="s">
        <v>58</v>
      </c>
      <c r="I56" t="s">
        <v>172</v>
      </c>
      <c r="J56">
        <v>100</v>
      </c>
      <c r="K56">
        <v>300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300</v>
      </c>
      <c r="AH56">
        <v>3</v>
      </c>
      <c r="AI56">
        <v>0</v>
      </c>
      <c r="AJ56">
        <v>0</v>
      </c>
      <c r="AK56">
        <v>200</v>
      </c>
      <c r="AL56">
        <v>0</v>
      </c>
      <c r="AM56">
        <v>120</v>
      </c>
      <c r="AN56">
        <v>-12</v>
      </c>
      <c r="AO56">
        <v>0</v>
      </c>
      <c r="AQ56">
        <v>0</v>
      </c>
      <c r="AR56">
        <v>0</v>
      </c>
      <c r="AS56">
        <v>120</v>
      </c>
      <c r="AT56">
        <v>-12</v>
      </c>
      <c r="AU56">
        <v>0</v>
      </c>
      <c r="AW56">
        <v>0</v>
      </c>
      <c r="AX56">
        <v>0</v>
      </c>
      <c r="AY56">
        <v>184.8</v>
      </c>
      <c r="BA56" t="s">
        <v>70</v>
      </c>
      <c r="BC56" t="s">
        <v>173</v>
      </c>
      <c r="BE56" t="s">
        <v>174</v>
      </c>
    </row>
    <row r="57" spans="1:57" x14ac:dyDescent="0.3">
      <c r="A57">
        <v>2313017163</v>
      </c>
      <c r="B57">
        <v>2313017177</v>
      </c>
      <c r="C57" t="s">
        <v>195</v>
      </c>
      <c r="D57" t="s">
        <v>89</v>
      </c>
      <c r="E57" t="s">
        <v>57</v>
      </c>
      <c r="H57" t="s">
        <v>58</v>
      </c>
      <c r="I57" t="s">
        <v>172</v>
      </c>
      <c r="J57">
        <v>100</v>
      </c>
      <c r="K57">
        <v>300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300</v>
      </c>
      <c r="AH57">
        <v>3</v>
      </c>
      <c r="AI57">
        <v>0</v>
      </c>
      <c r="AJ57">
        <v>0</v>
      </c>
      <c r="AK57">
        <v>300</v>
      </c>
      <c r="AL57">
        <v>0</v>
      </c>
      <c r="AM57">
        <v>0</v>
      </c>
      <c r="AN57">
        <v>0</v>
      </c>
      <c r="AO57">
        <v>0</v>
      </c>
      <c r="AQ57">
        <v>0</v>
      </c>
      <c r="AR57">
        <v>0</v>
      </c>
      <c r="AT57">
        <v>0</v>
      </c>
      <c r="AU57">
        <v>0</v>
      </c>
      <c r="AW57">
        <v>0</v>
      </c>
      <c r="AX57">
        <v>0</v>
      </c>
      <c r="AY57">
        <v>180</v>
      </c>
      <c r="BA57" t="s">
        <v>70</v>
      </c>
      <c r="BC57" t="s">
        <v>173</v>
      </c>
      <c r="BE57" t="s">
        <v>174</v>
      </c>
    </row>
    <row r="58" spans="1:57" x14ac:dyDescent="0.3">
      <c r="A58">
        <v>2313017163</v>
      </c>
      <c r="B58">
        <v>2313017178</v>
      </c>
      <c r="C58" t="s">
        <v>192</v>
      </c>
      <c r="D58" t="s">
        <v>91</v>
      </c>
      <c r="E58" t="s">
        <v>57</v>
      </c>
      <c r="H58" t="s">
        <v>58</v>
      </c>
      <c r="I58" t="s">
        <v>172</v>
      </c>
      <c r="J58">
        <v>100</v>
      </c>
      <c r="K58">
        <v>300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300</v>
      </c>
      <c r="AH58">
        <v>3</v>
      </c>
      <c r="AI58">
        <v>0</v>
      </c>
      <c r="AJ58">
        <v>0</v>
      </c>
      <c r="AK58">
        <v>300</v>
      </c>
      <c r="AL58">
        <v>0</v>
      </c>
      <c r="AM58">
        <v>0</v>
      </c>
      <c r="AN58">
        <v>0</v>
      </c>
      <c r="AO58">
        <v>0</v>
      </c>
      <c r="AQ58">
        <v>0</v>
      </c>
      <c r="AR58">
        <v>0</v>
      </c>
      <c r="AT58">
        <v>0</v>
      </c>
      <c r="AU58">
        <v>0</v>
      </c>
      <c r="AW58">
        <v>0</v>
      </c>
      <c r="AX58">
        <v>0</v>
      </c>
      <c r="AY58">
        <v>180</v>
      </c>
      <c r="BA58" t="s">
        <v>70</v>
      </c>
      <c r="BC58" t="s">
        <v>173</v>
      </c>
      <c r="BE58" t="s">
        <v>174</v>
      </c>
    </row>
    <row r="59" spans="1:57" x14ac:dyDescent="0.3">
      <c r="A59">
        <v>2313017163</v>
      </c>
      <c r="B59">
        <v>2313017179</v>
      </c>
      <c r="C59" t="s">
        <v>196</v>
      </c>
      <c r="D59" t="s">
        <v>90</v>
      </c>
      <c r="E59" t="s">
        <v>57</v>
      </c>
      <c r="H59" t="s">
        <v>58</v>
      </c>
      <c r="I59" t="s">
        <v>172</v>
      </c>
      <c r="J59">
        <v>100</v>
      </c>
      <c r="K59">
        <v>300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300</v>
      </c>
      <c r="AH59">
        <v>3</v>
      </c>
      <c r="AI59">
        <v>0</v>
      </c>
      <c r="AJ59">
        <v>0</v>
      </c>
      <c r="AK59">
        <v>300</v>
      </c>
      <c r="AL59">
        <v>0</v>
      </c>
      <c r="AM59">
        <v>0</v>
      </c>
      <c r="AN59">
        <v>0</v>
      </c>
      <c r="AO59">
        <v>0</v>
      </c>
      <c r="AQ59">
        <v>0</v>
      </c>
      <c r="AR59">
        <v>0</v>
      </c>
      <c r="AT59">
        <v>0</v>
      </c>
      <c r="AU59">
        <v>0</v>
      </c>
      <c r="AW59">
        <v>0</v>
      </c>
      <c r="AX59">
        <v>0</v>
      </c>
      <c r="AY59">
        <v>180</v>
      </c>
      <c r="BA59" t="s">
        <v>70</v>
      </c>
      <c r="BC59" t="s">
        <v>173</v>
      </c>
      <c r="BE59" t="s">
        <v>174</v>
      </c>
    </row>
    <row r="60" spans="1:57" x14ac:dyDescent="0.3">
      <c r="A60">
        <v>2313017163</v>
      </c>
      <c r="B60">
        <v>2313017180</v>
      </c>
      <c r="C60" t="s">
        <v>197</v>
      </c>
      <c r="D60" t="s">
        <v>71</v>
      </c>
      <c r="E60" t="s">
        <v>57</v>
      </c>
      <c r="H60" t="s">
        <v>58</v>
      </c>
      <c r="I60" t="s">
        <v>172</v>
      </c>
      <c r="J60">
        <v>100</v>
      </c>
      <c r="K60">
        <v>300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300</v>
      </c>
      <c r="AH60">
        <v>3</v>
      </c>
      <c r="AI60">
        <v>0</v>
      </c>
      <c r="AJ60">
        <v>0</v>
      </c>
      <c r="AK60">
        <v>300</v>
      </c>
      <c r="AL60">
        <v>0</v>
      </c>
      <c r="AM60">
        <v>0</v>
      </c>
      <c r="AN60">
        <v>0</v>
      </c>
      <c r="AO60">
        <v>0</v>
      </c>
      <c r="AQ60">
        <v>0</v>
      </c>
      <c r="AR60">
        <v>0</v>
      </c>
      <c r="AT60">
        <v>0</v>
      </c>
      <c r="AU60">
        <v>0</v>
      </c>
      <c r="AW60">
        <v>0</v>
      </c>
      <c r="AX60">
        <v>0</v>
      </c>
      <c r="AY60">
        <v>180</v>
      </c>
      <c r="BA60" t="s">
        <v>70</v>
      </c>
      <c r="BC60" t="s">
        <v>173</v>
      </c>
      <c r="BE60" t="s">
        <v>174</v>
      </c>
    </row>
    <row r="61" spans="1:57" x14ac:dyDescent="0.3">
      <c r="A61">
        <v>2313017163</v>
      </c>
      <c r="B61">
        <v>2313017181</v>
      </c>
      <c r="C61" t="s">
        <v>193</v>
      </c>
      <c r="D61" t="s">
        <v>73</v>
      </c>
      <c r="E61" t="s">
        <v>57</v>
      </c>
      <c r="H61" t="s">
        <v>58</v>
      </c>
      <c r="I61" t="s">
        <v>172</v>
      </c>
      <c r="J61">
        <v>100</v>
      </c>
      <c r="K61">
        <v>300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300</v>
      </c>
      <c r="AH61">
        <v>3</v>
      </c>
      <c r="AI61">
        <v>0</v>
      </c>
      <c r="AJ61">
        <v>0</v>
      </c>
      <c r="AK61">
        <v>300</v>
      </c>
      <c r="AL61">
        <v>0</v>
      </c>
      <c r="AM61">
        <v>0</v>
      </c>
      <c r="AN61">
        <v>0</v>
      </c>
      <c r="AO61">
        <v>0</v>
      </c>
      <c r="AQ61">
        <v>0</v>
      </c>
      <c r="AR61">
        <v>0</v>
      </c>
      <c r="AT61">
        <v>0</v>
      </c>
      <c r="AU61">
        <v>0</v>
      </c>
      <c r="AW61">
        <v>0</v>
      </c>
      <c r="AX61">
        <v>0</v>
      </c>
      <c r="AY61">
        <v>180</v>
      </c>
      <c r="BA61" t="s">
        <v>70</v>
      </c>
      <c r="BC61" t="s">
        <v>173</v>
      </c>
      <c r="BE61" t="s">
        <v>174</v>
      </c>
    </row>
    <row r="62" spans="1:57" x14ac:dyDescent="0.3">
      <c r="A62">
        <v>2313017163</v>
      </c>
      <c r="B62">
        <v>2313017182</v>
      </c>
      <c r="C62" t="s">
        <v>198</v>
      </c>
      <c r="D62" t="s">
        <v>79</v>
      </c>
      <c r="E62" t="s">
        <v>57</v>
      </c>
      <c r="H62" t="s">
        <v>58</v>
      </c>
      <c r="I62" t="s">
        <v>172</v>
      </c>
      <c r="J62">
        <v>100</v>
      </c>
      <c r="K62">
        <v>300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300</v>
      </c>
      <c r="AH62">
        <v>3</v>
      </c>
      <c r="AI62">
        <v>0</v>
      </c>
      <c r="AJ62">
        <v>0</v>
      </c>
      <c r="AK62">
        <v>300</v>
      </c>
      <c r="AL62">
        <v>0</v>
      </c>
      <c r="AM62">
        <v>0</v>
      </c>
      <c r="AN62">
        <v>0</v>
      </c>
      <c r="AO62">
        <v>0</v>
      </c>
      <c r="AQ62">
        <v>0</v>
      </c>
      <c r="AR62">
        <v>0</v>
      </c>
      <c r="AT62">
        <v>0</v>
      </c>
      <c r="AU62">
        <v>0</v>
      </c>
      <c r="AW62">
        <v>0</v>
      </c>
      <c r="AX62">
        <v>0</v>
      </c>
      <c r="AY62">
        <v>180</v>
      </c>
      <c r="BA62" t="s">
        <v>70</v>
      </c>
      <c r="BC62" t="s">
        <v>173</v>
      </c>
      <c r="BE62" t="s">
        <v>174</v>
      </c>
    </row>
    <row r="63" spans="1:57" x14ac:dyDescent="0.3">
      <c r="A63">
        <v>2313017163</v>
      </c>
      <c r="B63">
        <v>2313017183</v>
      </c>
      <c r="C63" t="s">
        <v>189</v>
      </c>
      <c r="D63" t="s">
        <v>80</v>
      </c>
      <c r="E63" t="s">
        <v>57</v>
      </c>
      <c r="H63" t="s">
        <v>58</v>
      </c>
      <c r="I63" t="s">
        <v>172</v>
      </c>
      <c r="J63">
        <v>100</v>
      </c>
      <c r="K63">
        <v>300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300</v>
      </c>
      <c r="AH63">
        <v>3</v>
      </c>
      <c r="AI63">
        <v>0</v>
      </c>
      <c r="AJ63">
        <v>0</v>
      </c>
      <c r="AK63">
        <v>300</v>
      </c>
      <c r="AL63">
        <v>0</v>
      </c>
      <c r="AM63">
        <v>0</v>
      </c>
      <c r="AN63">
        <v>0</v>
      </c>
      <c r="AO63">
        <v>0</v>
      </c>
      <c r="AQ63">
        <v>0</v>
      </c>
      <c r="AR63">
        <v>0</v>
      </c>
      <c r="AT63">
        <v>0</v>
      </c>
      <c r="AU63">
        <v>0</v>
      </c>
      <c r="AW63">
        <v>0</v>
      </c>
      <c r="AX63">
        <v>0</v>
      </c>
      <c r="AY63">
        <v>180</v>
      </c>
      <c r="BA63" t="s">
        <v>70</v>
      </c>
      <c r="BC63" t="s">
        <v>173</v>
      </c>
      <c r="BE63" t="s">
        <v>174</v>
      </c>
    </row>
    <row r="64" spans="1:57" x14ac:dyDescent="0.3">
      <c r="A64">
        <v>2313017163</v>
      </c>
      <c r="B64">
        <v>2313017184</v>
      </c>
      <c r="C64" t="s">
        <v>194</v>
      </c>
      <c r="D64" t="s">
        <v>83</v>
      </c>
      <c r="E64" t="s">
        <v>57</v>
      </c>
      <c r="H64" t="s">
        <v>58</v>
      </c>
      <c r="I64" t="s">
        <v>172</v>
      </c>
      <c r="J64">
        <v>100</v>
      </c>
      <c r="K64">
        <v>300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300</v>
      </c>
      <c r="AH64">
        <v>3</v>
      </c>
      <c r="AI64">
        <v>0</v>
      </c>
      <c r="AJ64">
        <v>0</v>
      </c>
      <c r="AK64">
        <v>300</v>
      </c>
      <c r="AL64">
        <v>0</v>
      </c>
      <c r="AM64">
        <v>0</v>
      </c>
      <c r="AN64">
        <v>0</v>
      </c>
      <c r="AO64">
        <v>0</v>
      </c>
      <c r="AQ64">
        <v>0</v>
      </c>
      <c r="AR64">
        <v>0</v>
      </c>
      <c r="AT64">
        <v>0</v>
      </c>
      <c r="AU64">
        <v>0</v>
      </c>
      <c r="AW64">
        <v>0</v>
      </c>
      <c r="AX64">
        <v>0</v>
      </c>
      <c r="AY64">
        <v>180</v>
      </c>
      <c r="BA64" t="s">
        <v>70</v>
      </c>
      <c r="BC64" t="s">
        <v>173</v>
      </c>
      <c r="BE64" t="s">
        <v>174</v>
      </c>
    </row>
    <row r="65" spans="1:57" x14ac:dyDescent="0.3">
      <c r="A65">
        <v>2313017163</v>
      </c>
      <c r="B65">
        <v>2313017189</v>
      </c>
      <c r="C65" t="s">
        <v>210</v>
      </c>
      <c r="D65" t="s">
        <v>94</v>
      </c>
      <c r="E65" t="s">
        <v>57</v>
      </c>
      <c r="H65" t="s">
        <v>58</v>
      </c>
      <c r="I65" t="s">
        <v>172</v>
      </c>
      <c r="J65">
        <v>100</v>
      </c>
      <c r="K65">
        <v>300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300</v>
      </c>
      <c r="AH65">
        <v>3</v>
      </c>
      <c r="AI65">
        <v>0</v>
      </c>
      <c r="AJ65">
        <v>0</v>
      </c>
      <c r="AK65">
        <v>300</v>
      </c>
      <c r="AL65">
        <v>0</v>
      </c>
      <c r="AM65">
        <v>0</v>
      </c>
      <c r="AN65">
        <v>0</v>
      </c>
      <c r="AO65">
        <v>0</v>
      </c>
      <c r="AQ65">
        <v>0</v>
      </c>
      <c r="AR65">
        <v>0</v>
      </c>
      <c r="AT65">
        <v>0</v>
      </c>
      <c r="AU65">
        <v>0</v>
      </c>
      <c r="AW65">
        <v>0</v>
      </c>
      <c r="AX65">
        <v>0</v>
      </c>
      <c r="AY65">
        <v>180</v>
      </c>
      <c r="BA65" t="s">
        <v>70</v>
      </c>
      <c r="BC65" t="s">
        <v>173</v>
      </c>
      <c r="BE65" t="s">
        <v>174</v>
      </c>
    </row>
    <row r="66" spans="1:57" x14ac:dyDescent="0.3">
      <c r="A66">
        <v>2313017163</v>
      </c>
      <c r="B66">
        <v>2313017190</v>
      </c>
      <c r="C66" t="s">
        <v>219</v>
      </c>
      <c r="D66" t="s">
        <v>95</v>
      </c>
      <c r="E66" t="s">
        <v>57</v>
      </c>
      <c r="H66" t="s">
        <v>58</v>
      </c>
      <c r="I66" t="s">
        <v>172</v>
      </c>
      <c r="J66">
        <v>100</v>
      </c>
      <c r="K66">
        <v>300</v>
      </c>
      <c r="L66">
        <v>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300</v>
      </c>
      <c r="AH66">
        <v>3</v>
      </c>
      <c r="AI66">
        <v>0</v>
      </c>
      <c r="AJ66">
        <v>0</v>
      </c>
      <c r="AK66">
        <v>300</v>
      </c>
      <c r="AL66">
        <v>0</v>
      </c>
      <c r="AM66">
        <v>0</v>
      </c>
      <c r="AN66">
        <v>0</v>
      </c>
      <c r="AO66">
        <v>0</v>
      </c>
      <c r="AQ66">
        <v>0</v>
      </c>
      <c r="AR66">
        <v>0</v>
      </c>
      <c r="AT66">
        <v>0</v>
      </c>
      <c r="AU66">
        <v>0</v>
      </c>
      <c r="AW66">
        <v>0</v>
      </c>
      <c r="AX66">
        <v>0</v>
      </c>
      <c r="AY66">
        <v>180</v>
      </c>
      <c r="BA66" t="s">
        <v>70</v>
      </c>
      <c r="BC66" t="s">
        <v>173</v>
      </c>
      <c r="BE66" t="s">
        <v>174</v>
      </c>
    </row>
    <row r="67" spans="1:57" x14ac:dyDescent="0.3">
      <c r="A67">
        <v>2313017163</v>
      </c>
      <c r="B67">
        <v>2313017191</v>
      </c>
      <c r="C67" t="s">
        <v>204</v>
      </c>
      <c r="D67" t="s">
        <v>96</v>
      </c>
      <c r="E67" t="s">
        <v>57</v>
      </c>
      <c r="H67" t="s">
        <v>58</v>
      </c>
      <c r="I67" t="s">
        <v>172</v>
      </c>
      <c r="J67">
        <v>100</v>
      </c>
      <c r="K67">
        <v>300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300</v>
      </c>
      <c r="AH67">
        <v>3</v>
      </c>
      <c r="AI67">
        <v>0</v>
      </c>
      <c r="AJ67">
        <v>0</v>
      </c>
      <c r="AK67">
        <v>300</v>
      </c>
      <c r="AL67">
        <v>0</v>
      </c>
      <c r="AM67">
        <v>0</v>
      </c>
      <c r="AN67">
        <v>0</v>
      </c>
      <c r="AO67">
        <v>0</v>
      </c>
      <c r="AQ67">
        <v>0</v>
      </c>
      <c r="AR67">
        <v>0</v>
      </c>
      <c r="AT67">
        <v>0</v>
      </c>
      <c r="AU67">
        <v>0</v>
      </c>
      <c r="AW67">
        <v>0</v>
      </c>
      <c r="AX67">
        <v>0</v>
      </c>
      <c r="AY67">
        <v>180</v>
      </c>
      <c r="BA67" t="s">
        <v>70</v>
      </c>
      <c r="BC67" t="s">
        <v>173</v>
      </c>
      <c r="BE67" t="s">
        <v>174</v>
      </c>
    </row>
    <row r="68" spans="1:57" x14ac:dyDescent="0.3">
      <c r="A68">
        <v>2313017163</v>
      </c>
      <c r="B68">
        <v>2313017192</v>
      </c>
      <c r="C68" t="s">
        <v>211</v>
      </c>
      <c r="D68" t="s">
        <v>92</v>
      </c>
      <c r="E68" t="s">
        <v>57</v>
      </c>
      <c r="H68" t="s">
        <v>58</v>
      </c>
      <c r="I68" t="s">
        <v>172</v>
      </c>
      <c r="J68">
        <v>100</v>
      </c>
      <c r="K68">
        <v>300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300</v>
      </c>
      <c r="AH68">
        <v>3</v>
      </c>
      <c r="AI68">
        <v>0</v>
      </c>
      <c r="AJ68">
        <v>0</v>
      </c>
      <c r="AK68">
        <v>300</v>
      </c>
      <c r="AL68">
        <v>0</v>
      </c>
      <c r="AM68">
        <v>0</v>
      </c>
      <c r="AN68">
        <v>0</v>
      </c>
      <c r="AO68">
        <v>0</v>
      </c>
      <c r="AQ68">
        <v>0</v>
      </c>
      <c r="AR68">
        <v>0</v>
      </c>
      <c r="AT68">
        <v>0</v>
      </c>
      <c r="AU68">
        <v>0</v>
      </c>
      <c r="AW68">
        <v>0</v>
      </c>
      <c r="AX68">
        <v>0</v>
      </c>
      <c r="AY68">
        <v>180</v>
      </c>
      <c r="BA68" t="s">
        <v>70</v>
      </c>
      <c r="BC68" t="s">
        <v>173</v>
      </c>
      <c r="BE68" t="s">
        <v>174</v>
      </c>
    </row>
    <row r="69" spans="1:57" x14ac:dyDescent="0.3">
      <c r="A69">
        <v>2313017163</v>
      </c>
      <c r="B69">
        <v>2313017193</v>
      </c>
      <c r="C69" t="s">
        <v>212</v>
      </c>
      <c r="D69" t="s">
        <v>97</v>
      </c>
      <c r="E69" t="s">
        <v>57</v>
      </c>
      <c r="H69" t="s">
        <v>58</v>
      </c>
      <c r="I69" t="s">
        <v>172</v>
      </c>
      <c r="J69">
        <v>100</v>
      </c>
      <c r="K69">
        <v>300</v>
      </c>
      <c r="L69">
        <v>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300</v>
      </c>
      <c r="AH69">
        <v>3</v>
      </c>
      <c r="AI69">
        <v>0</v>
      </c>
      <c r="AJ69">
        <v>0</v>
      </c>
      <c r="AK69">
        <v>300</v>
      </c>
      <c r="AL69">
        <v>0</v>
      </c>
      <c r="AM69">
        <v>0</v>
      </c>
      <c r="AN69">
        <v>0</v>
      </c>
      <c r="AO69">
        <v>0</v>
      </c>
      <c r="AQ69">
        <v>0</v>
      </c>
      <c r="AR69">
        <v>0</v>
      </c>
      <c r="AT69">
        <v>0</v>
      </c>
      <c r="AU69">
        <v>0</v>
      </c>
      <c r="AW69">
        <v>0</v>
      </c>
      <c r="AX69">
        <v>0</v>
      </c>
      <c r="AY69">
        <v>180</v>
      </c>
      <c r="BA69" t="s">
        <v>70</v>
      </c>
      <c r="BC69" t="s">
        <v>173</v>
      </c>
      <c r="BE69" t="s">
        <v>174</v>
      </c>
    </row>
    <row r="70" spans="1:57" x14ac:dyDescent="0.3">
      <c r="A70">
        <v>2313017163</v>
      </c>
      <c r="B70">
        <v>2313017195</v>
      </c>
      <c r="C70" t="s">
        <v>213</v>
      </c>
      <c r="D70" t="s">
        <v>98</v>
      </c>
      <c r="E70" t="s">
        <v>57</v>
      </c>
      <c r="H70" t="s">
        <v>58</v>
      </c>
      <c r="I70" t="s">
        <v>172</v>
      </c>
      <c r="J70">
        <v>100</v>
      </c>
      <c r="K70">
        <v>300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300</v>
      </c>
      <c r="AH70">
        <v>3</v>
      </c>
      <c r="AI70">
        <v>0</v>
      </c>
      <c r="AJ70">
        <v>0</v>
      </c>
      <c r="AK70">
        <v>300</v>
      </c>
      <c r="AL70">
        <v>0</v>
      </c>
      <c r="AM70">
        <v>0</v>
      </c>
      <c r="AN70">
        <v>0</v>
      </c>
      <c r="AO70">
        <v>0</v>
      </c>
      <c r="AQ70">
        <v>0</v>
      </c>
      <c r="AR70">
        <v>0</v>
      </c>
      <c r="AT70">
        <v>0</v>
      </c>
      <c r="AU70">
        <v>0</v>
      </c>
      <c r="AW70">
        <v>0</v>
      </c>
      <c r="AX70">
        <v>0</v>
      </c>
      <c r="AY70">
        <v>180</v>
      </c>
      <c r="BA70" t="s">
        <v>70</v>
      </c>
      <c r="BC70" t="s">
        <v>173</v>
      </c>
      <c r="BE70" t="s">
        <v>174</v>
      </c>
    </row>
    <row r="71" spans="1:57" x14ac:dyDescent="0.3">
      <c r="A71">
        <v>2313017163</v>
      </c>
      <c r="B71">
        <v>2313017196</v>
      </c>
      <c r="C71" t="s">
        <v>205</v>
      </c>
      <c r="D71" t="s">
        <v>100</v>
      </c>
      <c r="E71" t="s">
        <v>57</v>
      </c>
      <c r="H71" t="s">
        <v>58</v>
      </c>
      <c r="I71" t="s">
        <v>172</v>
      </c>
      <c r="J71">
        <v>100</v>
      </c>
      <c r="K71">
        <v>300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300</v>
      </c>
      <c r="AH71">
        <v>3</v>
      </c>
      <c r="AI71">
        <v>0</v>
      </c>
      <c r="AJ71">
        <v>0</v>
      </c>
      <c r="AK71">
        <v>300</v>
      </c>
      <c r="AL71">
        <v>0</v>
      </c>
      <c r="AM71">
        <v>0</v>
      </c>
      <c r="AN71">
        <v>0</v>
      </c>
      <c r="AO71">
        <v>0</v>
      </c>
      <c r="AQ71">
        <v>0</v>
      </c>
      <c r="AR71">
        <v>0</v>
      </c>
      <c r="AT71">
        <v>0</v>
      </c>
      <c r="AU71">
        <v>0</v>
      </c>
      <c r="AW71">
        <v>0</v>
      </c>
      <c r="AX71">
        <v>0</v>
      </c>
      <c r="AY71">
        <v>180</v>
      </c>
      <c r="BA71" t="s">
        <v>70</v>
      </c>
      <c r="BC71" t="s">
        <v>173</v>
      </c>
      <c r="BE71" t="s">
        <v>174</v>
      </c>
    </row>
    <row r="72" spans="1:57" x14ac:dyDescent="0.3">
      <c r="A72">
        <v>2313017163</v>
      </c>
      <c r="B72">
        <v>2313017197</v>
      </c>
      <c r="C72" t="s">
        <v>214</v>
      </c>
      <c r="D72" t="s">
        <v>99</v>
      </c>
      <c r="E72" t="s">
        <v>57</v>
      </c>
      <c r="H72" t="s">
        <v>58</v>
      </c>
      <c r="I72" t="s">
        <v>172</v>
      </c>
      <c r="J72">
        <v>100</v>
      </c>
      <c r="K72">
        <v>300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300</v>
      </c>
      <c r="AH72">
        <v>3</v>
      </c>
      <c r="AI72">
        <v>0</v>
      </c>
      <c r="AJ72">
        <v>0</v>
      </c>
      <c r="AK72">
        <v>300</v>
      </c>
      <c r="AL72">
        <v>0</v>
      </c>
      <c r="AM72">
        <v>0</v>
      </c>
      <c r="AN72">
        <v>0</v>
      </c>
      <c r="AO72">
        <v>0</v>
      </c>
      <c r="AQ72">
        <v>0</v>
      </c>
      <c r="AR72">
        <v>0</v>
      </c>
      <c r="AT72">
        <v>0</v>
      </c>
      <c r="AU72">
        <v>0</v>
      </c>
      <c r="AW72">
        <v>0</v>
      </c>
      <c r="AX72">
        <v>0</v>
      </c>
      <c r="AY72">
        <v>180</v>
      </c>
      <c r="BA72" t="s">
        <v>70</v>
      </c>
      <c r="BC72" t="s">
        <v>173</v>
      </c>
      <c r="BE72" t="s">
        <v>174</v>
      </c>
    </row>
    <row r="73" spans="1:57" x14ac:dyDescent="0.3">
      <c r="A73">
        <v>2313017163</v>
      </c>
      <c r="B73">
        <v>2313017198</v>
      </c>
      <c r="C73" t="s">
        <v>220</v>
      </c>
      <c r="D73" t="s">
        <v>101</v>
      </c>
      <c r="E73" t="s">
        <v>57</v>
      </c>
      <c r="H73" t="s">
        <v>58</v>
      </c>
      <c r="I73" t="s">
        <v>172</v>
      </c>
      <c r="J73">
        <v>100</v>
      </c>
      <c r="K73">
        <v>300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300</v>
      </c>
      <c r="AH73">
        <v>3</v>
      </c>
      <c r="AI73">
        <v>0</v>
      </c>
      <c r="AJ73">
        <v>0</v>
      </c>
      <c r="AK73">
        <v>200</v>
      </c>
      <c r="AL73">
        <v>0</v>
      </c>
      <c r="AM73">
        <v>120</v>
      </c>
      <c r="AN73">
        <v>-12</v>
      </c>
      <c r="AO73">
        <v>0</v>
      </c>
      <c r="AQ73">
        <v>0</v>
      </c>
      <c r="AR73">
        <v>0</v>
      </c>
      <c r="AS73">
        <v>120</v>
      </c>
      <c r="AT73">
        <v>-12</v>
      </c>
      <c r="AU73">
        <v>0</v>
      </c>
      <c r="AW73">
        <v>0</v>
      </c>
      <c r="AX73">
        <v>0</v>
      </c>
      <c r="AY73">
        <v>184.8</v>
      </c>
      <c r="BA73" t="s">
        <v>70</v>
      </c>
      <c r="BC73" t="s">
        <v>173</v>
      </c>
      <c r="BE73" t="s">
        <v>174</v>
      </c>
    </row>
    <row r="74" spans="1:57" x14ac:dyDescent="0.3">
      <c r="A74">
        <v>2313017163</v>
      </c>
      <c r="B74">
        <v>2313017199</v>
      </c>
      <c r="C74" t="s">
        <v>215</v>
      </c>
      <c r="D74" t="s">
        <v>102</v>
      </c>
      <c r="E74" t="s">
        <v>57</v>
      </c>
      <c r="H74" t="s">
        <v>58</v>
      </c>
      <c r="I74" t="s">
        <v>172</v>
      </c>
      <c r="J74">
        <v>100</v>
      </c>
      <c r="K74">
        <v>300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300</v>
      </c>
      <c r="AH74">
        <v>3</v>
      </c>
      <c r="AI74">
        <v>0</v>
      </c>
      <c r="AJ74">
        <v>0</v>
      </c>
      <c r="AK74">
        <v>200</v>
      </c>
      <c r="AL74">
        <v>0</v>
      </c>
      <c r="AM74">
        <v>120</v>
      </c>
      <c r="AN74">
        <v>-12</v>
      </c>
      <c r="AO74">
        <v>0</v>
      </c>
      <c r="AQ74">
        <v>0</v>
      </c>
      <c r="AR74">
        <v>0</v>
      </c>
      <c r="AS74">
        <v>120</v>
      </c>
      <c r="AT74">
        <v>-12</v>
      </c>
      <c r="AU74">
        <v>0</v>
      </c>
      <c r="AW74">
        <v>0</v>
      </c>
      <c r="AX74">
        <v>0</v>
      </c>
      <c r="AY74">
        <v>184.8</v>
      </c>
      <c r="BA74" t="s">
        <v>70</v>
      </c>
      <c r="BC74" t="s">
        <v>173</v>
      </c>
      <c r="BE74" t="s">
        <v>174</v>
      </c>
    </row>
    <row r="75" spans="1:57" x14ac:dyDescent="0.3">
      <c r="A75">
        <v>2313017163</v>
      </c>
      <c r="B75">
        <v>2313017200</v>
      </c>
      <c r="C75" t="s">
        <v>221</v>
      </c>
      <c r="D75" t="s">
        <v>103</v>
      </c>
      <c r="E75" t="s">
        <v>57</v>
      </c>
      <c r="H75" t="s">
        <v>58</v>
      </c>
      <c r="I75" t="s">
        <v>172</v>
      </c>
      <c r="J75">
        <v>100</v>
      </c>
      <c r="K75">
        <v>300</v>
      </c>
      <c r="L75">
        <v>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300</v>
      </c>
      <c r="AH75">
        <v>3</v>
      </c>
      <c r="AI75">
        <v>0</v>
      </c>
      <c r="AJ75">
        <v>0</v>
      </c>
      <c r="AK75">
        <v>200</v>
      </c>
      <c r="AL75">
        <v>0</v>
      </c>
      <c r="AM75">
        <v>120</v>
      </c>
      <c r="AN75">
        <v>-12</v>
      </c>
      <c r="AO75">
        <v>0</v>
      </c>
      <c r="AQ75">
        <v>0</v>
      </c>
      <c r="AR75">
        <v>0</v>
      </c>
      <c r="AS75">
        <v>120</v>
      </c>
      <c r="AT75">
        <v>-12</v>
      </c>
      <c r="AU75">
        <v>0</v>
      </c>
      <c r="AW75">
        <v>0</v>
      </c>
      <c r="AX75">
        <v>0</v>
      </c>
      <c r="AY75">
        <v>184.8</v>
      </c>
      <c r="BA75" t="s">
        <v>70</v>
      </c>
      <c r="BC75" t="s">
        <v>173</v>
      </c>
      <c r="BE75" t="s">
        <v>174</v>
      </c>
    </row>
    <row r="76" spans="1:57" x14ac:dyDescent="0.3">
      <c r="A76">
        <v>2313017163</v>
      </c>
      <c r="B76">
        <v>2313017201</v>
      </c>
      <c r="C76" t="s">
        <v>206</v>
      </c>
      <c r="D76" t="s">
        <v>110</v>
      </c>
      <c r="E76" t="s">
        <v>57</v>
      </c>
      <c r="H76" t="s">
        <v>58</v>
      </c>
      <c r="I76" t="s">
        <v>172</v>
      </c>
      <c r="J76">
        <v>100</v>
      </c>
      <c r="K76">
        <v>300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300</v>
      </c>
      <c r="AH76">
        <v>3</v>
      </c>
      <c r="AI76">
        <v>0</v>
      </c>
      <c r="AJ76">
        <v>0</v>
      </c>
      <c r="AK76">
        <v>200</v>
      </c>
      <c r="AL76">
        <v>0</v>
      </c>
      <c r="AM76">
        <v>120</v>
      </c>
      <c r="AN76">
        <v>-12</v>
      </c>
      <c r="AO76">
        <v>0</v>
      </c>
      <c r="AQ76">
        <v>0</v>
      </c>
      <c r="AR76">
        <v>0</v>
      </c>
      <c r="AS76">
        <v>120</v>
      </c>
      <c r="AT76">
        <v>-12</v>
      </c>
      <c r="AU76">
        <v>0</v>
      </c>
      <c r="AW76">
        <v>0</v>
      </c>
      <c r="AX76">
        <v>0</v>
      </c>
      <c r="AY76">
        <v>184.8</v>
      </c>
      <c r="BA76" t="s">
        <v>70</v>
      </c>
      <c r="BC76" t="s">
        <v>173</v>
      </c>
      <c r="BE76" t="s">
        <v>174</v>
      </c>
    </row>
    <row r="77" spans="1:57" x14ac:dyDescent="0.3">
      <c r="A77">
        <v>2313017163</v>
      </c>
      <c r="B77">
        <v>2313017202</v>
      </c>
      <c r="C77" t="s">
        <v>207</v>
      </c>
      <c r="D77" t="s">
        <v>116</v>
      </c>
      <c r="E77" t="s">
        <v>57</v>
      </c>
      <c r="H77" t="s">
        <v>58</v>
      </c>
      <c r="I77" t="s">
        <v>172</v>
      </c>
      <c r="J77">
        <v>100</v>
      </c>
      <c r="K77">
        <v>300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300</v>
      </c>
      <c r="AH77">
        <v>3</v>
      </c>
      <c r="AI77">
        <v>0</v>
      </c>
      <c r="AJ77">
        <v>0</v>
      </c>
      <c r="AK77">
        <v>200</v>
      </c>
      <c r="AL77">
        <v>0</v>
      </c>
      <c r="AM77">
        <v>120</v>
      </c>
      <c r="AN77">
        <v>-12</v>
      </c>
      <c r="AO77">
        <v>0</v>
      </c>
      <c r="AQ77">
        <v>0</v>
      </c>
      <c r="AR77">
        <v>0</v>
      </c>
      <c r="AS77">
        <v>120</v>
      </c>
      <c r="AT77">
        <v>-12</v>
      </c>
      <c r="AU77">
        <v>0</v>
      </c>
      <c r="AW77">
        <v>0</v>
      </c>
      <c r="AX77">
        <v>0</v>
      </c>
      <c r="AY77">
        <v>184.8</v>
      </c>
      <c r="BA77" t="s">
        <v>70</v>
      </c>
      <c r="BC77" t="s">
        <v>173</v>
      </c>
      <c r="BE77" t="s">
        <v>174</v>
      </c>
    </row>
    <row r="78" spans="1:57" x14ac:dyDescent="0.3">
      <c r="A78">
        <v>2313017163</v>
      </c>
      <c r="B78">
        <v>2313017203</v>
      </c>
      <c r="C78" t="s">
        <v>222</v>
      </c>
      <c r="D78" t="s">
        <v>117</v>
      </c>
      <c r="E78" t="s">
        <v>57</v>
      </c>
      <c r="H78" t="s">
        <v>58</v>
      </c>
      <c r="I78" t="s">
        <v>172</v>
      </c>
      <c r="J78">
        <v>100</v>
      </c>
      <c r="K78">
        <v>300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300</v>
      </c>
      <c r="AH78">
        <v>3</v>
      </c>
      <c r="AI78">
        <v>0</v>
      </c>
      <c r="AJ78">
        <v>0</v>
      </c>
      <c r="AK78">
        <v>200</v>
      </c>
      <c r="AL78">
        <v>0</v>
      </c>
      <c r="AM78">
        <v>120</v>
      </c>
      <c r="AN78">
        <v>-12</v>
      </c>
      <c r="AO78">
        <v>0</v>
      </c>
      <c r="AQ78">
        <v>0</v>
      </c>
      <c r="AR78">
        <v>0</v>
      </c>
      <c r="AS78">
        <v>120</v>
      </c>
      <c r="AT78">
        <v>-12</v>
      </c>
      <c r="AU78">
        <v>0</v>
      </c>
      <c r="AW78">
        <v>0</v>
      </c>
      <c r="AX78">
        <v>0</v>
      </c>
      <c r="AY78">
        <v>184.8</v>
      </c>
      <c r="BA78" t="s">
        <v>70</v>
      </c>
      <c r="BC78" t="s">
        <v>173</v>
      </c>
      <c r="BE78" t="s">
        <v>174</v>
      </c>
    </row>
    <row r="79" spans="1:57" x14ac:dyDescent="0.3">
      <c r="A79">
        <v>2313017163</v>
      </c>
      <c r="B79">
        <v>2313017204</v>
      </c>
      <c r="C79" t="s">
        <v>216</v>
      </c>
      <c r="D79" t="s">
        <v>118</v>
      </c>
      <c r="E79" t="s">
        <v>57</v>
      </c>
      <c r="H79" t="s">
        <v>58</v>
      </c>
      <c r="I79" t="s">
        <v>172</v>
      </c>
      <c r="J79">
        <v>100</v>
      </c>
      <c r="K79">
        <v>300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300</v>
      </c>
      <c r="AH79">
        <v>3</v>
      </c>
      <c r="AI79">
        <v>0</v>
      </c>
      <c r="AJ79">
        <v>0</v>
      </c>
      <c r="AK79">
        <v>200</v>
      </c>
      <c r="AL79">
        <v>0</v>
      </c>
      <c r="AM79">
        <v>120</v>
      </c>
      <c r="AN79">
        <v>-12</v>
      </c>
      <c r="AO79">
        <v>0</v>
      </c>
      <c r="AQ79">
        <v>0</v>
      </c>
      <c r="AR79">
        <v>0</v>
      </c>
      <c r="AS79">
        <v>120</v>
      </c>
      <c r="AT79">
        <v>-12</v>
      </c>
      <c r="AU79">
        <v>0</v>
      </c>
      <c r="AW79">
        <v>0</v>
      </c>
      <c r="AX79">
        <v>0</v>
      </c>
      <c r="AY79">
        <v>184.8</v>
      </c>
      <c r="BA79" t="s">
        <v>70</v>
      </c>
      <c r="BC79" t="s">
        <v>173</v>
      </c>
      <c r="BE79" t="s">
        <v>174</v>
      </c>
    </row>
    <row r="80" spans="1:57" x14ac:dyDescent="0.3">
      <c r="A80">
        <v>2313017163</v>
      </c>
      <c r="B80">
        <v>2313017205</v>
      </c>
      <c r="C80" t="s">
        <v>217</v>
      </c>
      <c r="D80" t="s">
        <v>104</v>
      </c>
      <c r="E80" t="s">
        <v>57</v>
      </c>
      <c r="H80" t="s">
        <v>58</v>
      </c>
      <c r="I80" t="s">
        <v>172</v>
      </c>
      <c r="J80">
        <v>100</v>
      </c>
      <c r="K80">
        <v>300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300</v>
      </c>
      <c r="AH80">
        <v>3</v>
      </c>
      <c r="AI80">
        <v>0</v>
      </c>
      <c r="AJ80">
        <v>0</v>
      </c>
      <c r="AK80">
        <v>200</v>
      </c>
      <c r="AL80">
        <v>0</v>
      </c>
      <c r="AM80">
        <v>120</v>
      </c>
      <c r="AN80">
        <v>-12</v>
      </c>
      <c r="AO80">
        <v>0</v>
      </c>
      <c r="AQ80">
        <v>0</v>
      </c>
      <c r="AR80">
        <v>0</v>
      </c>
      <c r="AS80">
        <v>120</v>
      </c>
      <c r="AT80">
        <v>-12</v>
      </c>
      <c r="AU80">
        <v>0</v>
      </c>
      <c r="AW80">
        <v>0</v>
      </c>
      <c r="AX80">
        <v>0</v>
      </c>
      <c r="AY80">
        <v>184.8</v>
      </c>
      <c r="BA80" t="s">
        <v>70</v>
      </c>
      <c r="BC80" t="s">
        <v>173</v>
      </c>
      <c r="BE80" t="s">
        <v>174</v>
      </c>
    </row>
    <row r="81" spans="1:57" x14ac:dyDescent="0.3">
      <c r="A81">
        <v>2313017163</v>
      </c>
      <c r="B81">
        <v>2313017206</v>
      </c>
      <c r="C81" t="s">
        <v>218</v>
      </c>
      <c r="D81" t="s">
        <v>111</v>
      </c>
      <c r="E81" t="s">
        <v>57</v>
      </c>
      <c r="H81" t="s">
        <v>58</v>
      </c>
      <c r="I81" t="s">
        <v>172</v>
      </c>
      <c r="J81">
        <v>100</v>
      </c>
      <c r="K81">
        <v>300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300</v>
      </c>
      <c r="AH81">
        <v>3</v>
      </c>
      <c r="AI81">
        <v>0</v>
      </c>
      <c r="AJ81">
        <v>0</v>
      </c>
      <c r="AK81">
        <v>200</v>
      </c>
      <c r="AL81">
        <v>0</v>
      </c>
      <c r="AM81">
        <v>120</v>
      </c>
      <c r="AN81">
        <v>-12</v>
      </c>
      <c r="AO81">
        <v>0</v>
      </c>
      <c r="AQ81">
        <v>0</v>
      </c>
      <c r="AR81">
        <v>0</v>
      </c>
      <c r="AS81">
        <v>120</v>
      </c>
      <c r="AT81">
        <v>-12</v>
      </c>
      <c r="AU81">
        <v>0</v>
      </c>
      <c r="AW81">
        <v>0</v>
      </c>
      <c r="AX81">
        <v>0</v>
      </c>
      <c r="AY81">
        <v>184.8</v>
      </c>
      <c r="BA81" t="s">
        <v>70</v>
      </c>
      <c r="BC81" t="s">
        <v>173</v>
      </c>
      <c r="BE81" t="s">
        <v>174</v>
      </c>
    </row>
    <row r="82" spans="1:57" x14ac:dyDescent="0.3">
      <c r="A82">
        <v>2313017163</v>
      </c>
      <c r="B82">
        <v>2313017207</v>
      </c>
      <c r="C82" t="s">
        <v>223</v>
      </c>
      <c r="D82" t="s">
        <v>106</v>
      </c>
      <c r="E82" t="s">
        <v>57</v>
      </c>
      <c r="H82" t="s">
        <v>58</v>
      </c>
      <c r="I82" t="s">
        <v>172</v>
      </c>
      <c r="J82">
        <v>100</v>
      </c>
      <c r="K82">
        <v>300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300</v>
      </c>
      <c r="AH82">
        <v>3</v>
      </c>
      <c r="AI82">
        <v>0</v>
      </c>
      <c r="AJ82">
        <v>0</v>
      </c>
      <c r="AK82">
        <v>200</v>
      </c>
      <c r="AL82">
        <v>0</v>
      </c>
      <c r="AM82">
        <v>120</v>
      </c>
      <c r="AN82">
        <v>-12</v>
      </c>
      <c r="AO82">
        <v>0</v>
      </c>
      <c r="AQ82">
        <v>0</v>
      </c>
      <c r="AR82">
        <v>0</v>
      </c>
      <c r="AS82">
        <v>120</v>
      </c>
      <c r="AT82">
        <v>-12</v>
      </c>
      <c r="AU82">
        <v>0</v>
      </c>
      <c r="AW82">
        <v>0</v>
      </c>
      <c r="AX82">
        <v>0</v>
      </c>
      <c r="AY82">
        <v>184.8</v>
      </c>
      <c r="BA82" t="s">
        <v>70</v>
      </c>
      <c r="BC82" t="s">
        <v>173</v>
      </c>
      <c r="BE82" t="s">
        <v>174</v>
      </c>
    </row>
    <row r="83" spans="1:57" x14ac:dyDescent="0.3">
      <c r="A83">
        <v>2313017163</v>
      </c>
      <c r="B83">
        <v>2313017208</v>
      </c>
      <c r="C83" t="s">
        <v>224</v>
      </c>
      <c r="D83" t="s">
        <v>119</v>
      </c>
      <c r="E83" t="s">
        <v>57</v>
      </c>
      <c r="H83" t="s">
        <v>58</v>
      </c>
      <c r="I83" t="s">
        <v>172</v>
      </c>
      <c r="J83">
        <v>100</v>
      </c>
      <c r="K83">
        <v>300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300</v>
      </c>
      <c r="AH83">
        <v>3</v>
      </c>
      <c r="AI83">
        <v>0</v>
      </c>
      <c r="AJ83">
        <v>0</v>
      </c>
      <c r="AK83">
        <v>200</v>
      </c>
      <c r="AL83">
        <v>0</v>
      </c>
      <c r="AM83">
        <v>120</v>
      </c>
      <c r="AN83">
        <v>-12</v>
      </c>
      <c r="AO83">
        <v>0</v>
      </c>
      <c r="AQ83">
        <v>0</v>
      </c>
      <c r="AR83">
        <v>0</v>
      </c>
      <c r="AS83">
        <v>120</v>
      </c>
      <c r="AT83">
        <v>-12</v>
      </c>
      <c r="AU83">
        <v>0</v>
      </c>
      <c r="AW83">
        <v>0</v>
      </c>
      <c r="AX83">
        <v>0</v>
      </c>
      <c r="AY83">
        <v>184.8</v>
      </c>
      <c r="BA83" t="s">
        <v>70</v>
      </c>
      <c r="BC83" t="s">
        <v>173</v>
      </c>
      <c r="BE83" t="s">
        <v>174</v>
      </c>
    </row>
    <row r="84" spans="1:57" x14ac:dyDescent="0.3">
      <c r="A84">
        <v>2313017163</v>
      </c>
      <c r="B84">
        <v>2313017209</v>
      </c>
      <c r="C84" t="s">
        <v>225</v>
      </c>
      <c r="D84" t="s">
        <v>120</v>
      </c>
      <c r="E84" t="s">
        <v>57</v>
      </c>
      <c r="H84" t="s">
        <v>58</v>
      </c>
      <c r="I84" t="s">
        <v>172</v>
      </c>
      <c r="J84">
        <v>100</v>
      </c>
      <c r="K84">
        <v>300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300</v>
      </c>
      <c r="AH84">
        <v>3</v>
      </c>
      <c r="AI84">
        <v>0</v>
      </c>
      <c r="AJ84">
        <v>0</v>
      </c>
      <c r="AK84">
        <v>200</v>
      </c>
      <c r="AL84">
        <v>0</v>
      </c>
      <c r="AM84">
        <v>120</v>
      </c>
      <c r="AN84">
        <v>-12</v>
      </c>
      <c r="AO84">
        <v>0</v>
      </c>
      <c r="AQ84">
        <v>0</v>
      </c>
      <c r="AR84">
        <v>0</v>
      </c>
      <c r="AS84">
        <v>120</v>
      </c>
      <c r="AT84">
        <v>-12</v>
      </c>
      <c r="AU84">
        <v>0</v>
      </c>
      <c r="AW84">
        <v>0</v>
      </c>
      <c r="AX84">
        <v>0</v>
      </c>
      <c r="AY84">
        <v>184.8</v>
      </c>
      <c r="BA84" t="s">
        <v>70</v>
      </c>
      <c r="BC84" t="s">
        <v>173</v>
      </c>
      <c r="BE84" t="s">
        <v>174</v>
      </c>
    </row>
    <row r="85" spans="1:57" x14ac:dyDescent="0.3">
      <c r="A85">
        <v>2313017163</v>
      </c>
      <c r="B85">
        <v>2313017210</v>
      </c>
      <c r="C85" t="s">
        <v>226</v>
      </c>
      <c r="D85" t="s">
        <v>121</v>
      </c>
      <c r="E85" t="s">
        <v>57</v>
      </c>
      <c r="H85" t="s">
        <v>58</v>
      </c>
      <c r="I85" t="s">
        <v>172</v>
      </c>
      <c r="J85">
        <v>100</v>
      </c>
      <c r="K85">
        <v>300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300</v>
      </c>
      <c r="AH85">
        <v>3</v>
      </c>
      <c r="AI85">
        <v>0</v>
      </c>
      <c r="AJ85">
        <v>0</v>
      </c>
      <c r="AK85">
        <v>200</v>
      </c>
      <c r="AL85">
        <v>0</v>
      </c>
      <c r="AM85">
        <v>120</v>
      </c>
      <c r="AN85">
        <v>-12</v>
      </c>
      <c r="AO85">
        <v>0</v>
      </c>
      <c r="AQ85">
        <v>0</v>
      </c>
      <c r="AR85">
        <v>0</v>
      </c>
      <c r="AS85">
        <v>120</v>
      </c>
      <c r="AT85">
        <v>-12</v>
      </c>
      <c r="AU85">
        <v>0</v>
      </c>
      <c r="AW85">
        <v>0</v>
      </c>
      <c r="AX85">
        <v>0</v>
      </c>
      <c r="AY85">
        <v>184.8</v>
      </c>
      <c r="BA85" t="s">
        <v>70</v>
      </c>
      <c r="BC85" t="s">
        <v>173</v>
      </c>
      <c r="BE85" t="s">
        <v>174</v>
      </c>
    </row>
    <row r="86" spans="1:57" x14ac:dyDescent="0.3">
      <c r="A86">
        <v>2313017163</v>
      </c>
      <c r="B86">
        <v>2313017211</v>
      </c>
      <c r="C86" t="s">
        <v>227</v>
      </c>
      <c r="D86" t="s">
        <v>122</v>
      </c>
      <c r="E86" t="s">
        <v>57</v>
      </c>
      <c r="H86" t="s">
        <v>58</v>
      </c>
      <c r="I86" t="s">
        <v>172</v>
      </c>
      <c r="J86">
        <v>100</v>
      </c>
      <c r="K86">
        <v>300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300</v>
      </c>
      <c r="AH86">
        <v>3</v>
      </c>
      <c r="AI86">
        <v>0</v>
      </c>
      <c r="AJ86">
        <v>0</v>
      </c>
      <c r="AK86">
        <v>200</v>
      </c>
      <c r="AL86">
        <v>0</v>
      </c>
      <c r="AM86">
        <v>120</v>
      </c>
      <c r="AN86">
        <v>-12</v>
      </c>
      <c r="AO86">
        <v>0</v>
      </c>
      <c r="AQ86">
        <v>0</v>
      </c>
      <c r="AR86">
        <v>0</v>
      </c>
      <c r="AS86">
        <v>120</v>
      </c>
      <c r="AT86">
        <v>-12</v>
      </c>
      <c r="AU86">
        <v>0</v>
      </c>
      <c r="AW86">
        <v>0</v>
      </c>
      <c r="AX86">
        <v>0</v>
      </c>
      <c r="AY86">
        <v>184.8</v>
      </c>
      <c r="BA86" t="s">
        <v>70</v>
      </c>
      <c r="BC86" t="s">
        <v>173</v>
      </c>
      <c r="BE86" t="s">
        <v>174</v>
      </c>
    </row>
    <row r="87" spans="1:57" x14ac:dyDescent="0.3">
      <c r="A87">
        <v>2313017163</v>
      </c>
      <c r="B87">
        <v>2313017212</v>
      </c>
      <c r="C87" t="s">
        <v>228</v>
      </c>
      <c r="D87" t="s">
        <v>105</v>
      </c>
      <c r="E87" t="s">
        <v>57</v>
      </c>
      <c r="H87" t="s">
        <v>58</v>
      </c>
      <c r="I87" t="s">
        <v>172</v>
      </c>
      <c r="J87">
        <v>100</v>
      </c>
      <c r="K87">
        <v>300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300</v>
      </c>
      <c r="AH87">
        <v>3</v>
      </c>
      <c r="AI87">
        <v>0</v>
      </c>
      <c r="AJ87">
        <v>0</v>
      </c>
      <c r="AK87">
        <v>200</v>
      </c>
      <c r="AL87">
        <v>0</v>
      </c>
      <c r="AM87">
        <v>120</v>
      </c>
      <c r="AN87">
        <v>-12</v>
      </c>
      <c r="AO87">
        <v>0</v>
      </c>
      <c r="AQ87">
        <v>0</v>
      </c>
      <c r="AR87">
        <v>0</v>
      </c>
      <c r="AS87">
        <v>120</v>
      </c>
      <c r="AT87">
        <v>-12</v>
      </c>
      <c r="AU87">
        <v>0</v>
      </c>
      <c r="AW87">
        <v>0</v>
      </c>
      <c r="AX87">
        <v>0</v>
      </c>
      <c r="AY87">
        <v>184.8</v>
      </c>
      <c r="BA87" t="s">
        <v>70</v>
      </c>
      <c r="BC87" t="s">
        <v>173</v>
      </c>
      <c r="BE87" t="s">
        <v>174</v>
      </c>
    </row>
    <row r="88" spans="1:57" x14ac:dyDescent="0.3">
      <c r="A88">
        <v>2313017163</v>
      </c>
      <c r="B88">
        <v>2313017213</v>
      </c>
      <c r="C88" t="s">
        <v>229</v>
      </c>
      <c r="D88" t="s">
        <v>107</v>
      </c>
      <c r="E88" t="s">
        <v>57</v>
      </c>
      <c r="H88" t="s">
        <v>58</v>
      </c>
      <c r="I88" t="s">
        <v>172</v>
      </c>
      <c r="J88">
        <v>100</v>
      </c>
      <c r="K88">
        <v>300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300</v>
      </c>
      <c r="AH88">
        <v>3</v>
      </c>
      <c r="AI88">
        <v>0</v>
      </c>
      <c r="AJ88">
        <v>0</v>
      </c>
      <c r="AK88">
        <v>200</v>
      </c>
      <c r="AL88">
        <v>0</v>
      </c>
      <c r="AM88">
        <v>120</v>
      </c>
      <c r="AN88">
        <v>-12</v>
      </c>
      <c r="AO88">
        <v>0</v>
      </c>
      <c r="AQ88">
        <v>0</v>
      </c>
      <c r="AR88">
        <v>0</v>
      </c>
      <c r="AS88">
        <v>120</v>
      </c>
      <c r="AT88">
        <v>-12</v>
      </c>
      <c r="AU88">
        <v>0</v>
      </c>
      <c r="AW88">
        <v>0</v>
      </c>
      <c r="AX88">
        <v>0</v>
      </c>
      <c r="AY88">
        <v>184.8</v>
      </c>
      <c r="BA88" t="s">
        <v>70</v>
      </c>
      <c r="BC88" t="s">
        <v>173</v>
      </c>
      <c r="BE88" t="s">
        <v>174</v>
      </c>
    </row>
    <row r="89" spans="1:57" x14ac:dyDescent="0.3">
      <c r="A89">
        <v>2313017163</v>
      </c>
      <c r="B89">
        <v>2313017215</v>
      </c>
      <c r="C89" t="s">
        <v>231</v>
      </c>
      <c r="D89" t="s">
        <v>108</v>
      </c>
      <c r="E89" t="s">
        <v>57</v>
      </c>
      <c r="H89" t="s">
        <v>58</v>
      </c>
      <c r="I89" t="s">
        <v>172</v>
      </c>
      <c r="J89">
        <v>100</v>
      </c>
      <c r="K89">
        <v>300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300</v>
      </c>
      <c r="AH89">
        <v>3</v>
      </c>
      <c r="AI89">
        <v>0</v>
      </c>
      <c r="AJ89">
        <v>0</v>
      </c>
      <c r="AK89">
        <v>200</v>
      </c>
      <c r="AL89">
        <v>0</v>
      </c>
      <c r="AM89">
        <v>120</v>
      </c>
      <c r="AN89">
        <v>-12</v>
      </c>
      <c r="AO89">
        <v>0</v>
      </c>
      <c r="AQ89">
        <v>0</v>
      </c>
      <c r="AR89">
        <v>0</v>
      </c>
      <c r="AS89">
        <v>120</v>
      </c>
      <c r="AT89">
        <v>-12</v>
      </c>
      <c r="AU89">
        <v>0</v>
      </c>
      <c r="AW89">
        <v>0</v>
      </c>
      <c r="AX89">
        <v>0</v>
      </c>
      <c r="AY89">
        <v>184.8</v>
      </c>
      <c r="BA89" t="s">
        <v>70</v>
      </c>
      <c r="BC89" t="s">
        <v>173</v>
      </c>
      <c r="BE89" t="s">
        <v>174</v>
      </c>
    </row>
    <row r="90" spans="1:57" x14ac:dyDescent="0.3">
      <c r="A90">
        <v>2313017163</v>
      </c>
      <c r="B90">
        <v>2313017216</v>
      </c>
      <c r="C90" t="s">
        <v>243</v>
      </c>
      <c r="D90" t="s">
        <v>113</v>
      </c>
      <c r="E90" t="s">
        <v>57</v>
      </c>
      <c r="H90" t="s">
        <v>58</v>
      </c>
      <c r="I90" t="s">
        <v>172</v>
      </c>
      <c r="J90">
        <v>100</v>
      </c>
      <c r="K90">
        <v>300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300</v>
      </c>
      <c r="AH90">
        <v>3</v>
      </c>
      <c r="AI90">
        <v>0</v>
      </c>
      <c r="AJ90">
        <v>0</v>
      </c>
      <c r="AK90">
        <v>200</v>
      </c>
      <c r="AL90">
        <v>0</v>
      </c>
      <c r="AM90">
        <v>120</v>
      </c>
      <c r="AN90">
        <v>-12</v>
      </c>
      <c r="AO90">
        <v>0</v>
      </c>
      <c r="AQ90">
        <v>0</v>
      </c>
      <c r="AR90">
        <v>0</v>
      </c>
      <c r="AS90">
        <v>120</v>
      </c>
      <c r="AT90">
        <v>-12</v>
      </c>
      <c r="AU90">
        <v>0</v>
      </c>
      <c r="AW90">
        <v>0</v>
      </c>
      <c r="AX90">
        <v>0</v>
      </c>
      <c r="AY90">
        <v>184.8</v>
      </c>
      <c r="BA90" t="s">
        <v>70</v>
      </c>
      <c r="BC90" t="s">
        <v>173</v>
      </c>
      <c r="BE90" t="s">
        <v>174</v>
      </c>
    </row>
    <row r="91" spans="1:57" x14ac:dyDescent="0.3">
      <c r="A91">
        <v>2313017163</v>
      </c>
      <c r="B91">
        <v>2313017217</v>
      </c>
      <c r="C91" t="s">
        <v>244</v>
      </c>
      <c r="D91" t="s">
        <v>109</v>
      </c>
      <c r="E91" t="s">
        <v>57</v>
      </c>
      <c r="H91" t="s">
        <v>58</v>
      </c>
      <c r="I91" t="s">
        <v>172</v>
      </c>
      <c r="J91">
        <v>100</v>
      </c>
      <c r="K91">
        <v>300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300</v>
      </c>
      <c r="AH91">
        <v>3</v>
      </c>
      <c r="AI91">
        <v>0</v>
      </c>
      <c r="AJ91">
        <v>0</v>
      </c>
      <c r="AK91">
        <v>200</v>
      </c>
      <c r="AL91">
        <v>0</v>
      </c>
      <c r="AM91">
        <v>120</v>
      </c>
      <c r="AN91">
        <v>-12</v>
      </c>
      <c r="AO91">
        <v>0</v>
      </c>
      <c r="AQ91">
        <v>0</v>
      </c>
      <c r="AR91">
        <v>0</v>
      </c>
      <c r="AS91">
        <v>120</v>
      </c>
      <c r="AT91">
        <v>-12</v>
      </c>
      <c r="AU91">
        <v>0</v>
      </c>
      <c r="AW91">
        <v>0</v>
      </c>
      <c r="AX91">
        <v>0</v>
      </c>
      <c r="AY91">
        <v>184.8</v>
      </c>
      <c r="BA91" t="s">
        <v>70</v>
      </c>
      <c r="BC91" t="s">
        <v>173</v>
      </c>
      <c r="BE91" t="s">
        <v>174</v>
      </c>
    </row>
    <row r="92" spans="1:57" x14ac:dyDescent="0.3">
      <c r="A92">
        <v>2313017163</v>
      </c>
      <c r="B92">
        <v>2313017218</v>
      </c>
      <c r="C92" t="s">
        <v>232</v>
      </c>
      <c r="D92" t="s">
        <v>114</v>
      </c>
      <c r="E92" t="s">
        <v>57</v>
      </c>
      <c r="H92" t="s">
        <v>58</v>
      </c>
      <c r="I92" t="s">
        <v>172</v>
      </c>
      <c r="J92">
        <v>100</v>
      </c>
      <c r="K92">
        <v>300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300</v>
      </c>
      <c r="AH92">
        <v>3</v>
      </c>
      <c r="AI92">
        <v>0</v>
      </c>
      <c r="AJ92">
        <v>0</v>
      </c>
      <c r="AK92">
        <v>200</v>
      </c>
      <c r="AL92">
        <v>0</v>
      </c>
      <c r="AM92">
        <v>120</v>
      </c>
      <c r="AN92">
        <v>-12</v>
      </c>
      <c r="AO92">
        <v>0</v>
      </c>
      <c r="AQ92">
        <v>0</v>
      </c>
      <c r="AR92">
        <v>0</v>
      </c>
      <c r="AS92">
        <v>120</v>
      </c>
      <c r="AT92">
        <v>-12</v>
      </c>
      <c r="AU92">
        <v>0</v>
      </c>
      <c r="AW92">
        <v>0</v>
      </c>
      <c r="AX92">
        <v>0</v>
      </c>
      <c r="AY92">
        <v>184.8</v>
      </c>
      <c r="BA92" t="s">
        <v>70</v>
      </c>
      <c r="BC92" t="s">
        <v>173</v>
      </c>
      <c r="BE92" t="s">
        <v>174</v>
      </c>
    </row>
    <row r="93" spans="1:57" x14ac:dyDescent="0.3">
      <c r="A93">
        <v>2313017163</v>
      </c>
      <c r="B93">
        <v>2313017219</v>
      </c>
      <c r="C93" t="s">
        <v>233</v>
      </c>
      <c r="D93" t="s">
        <v>115</v>
      </c>
      <c r="E93" t="s">
        <v>57</v>
      </c>
      <c r="H93" t="s">
        <v>58</v>
      </c>
      <c r="I93" t="s">
        <v>172</v>
      </c>
      <c r="J93">
        <v>100</v>
      </c>
      <c r="K93">
        <v>300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300</v>
      </c>
      <c r="AH93">
        <v>3</v>
      </c>
      <c r="AI93">
        <v>0</v>
      </c>
      <c r="AJ93">
        <v>0</v>
      </c>
      <c r="AK93">
        <v>200</v>
      </c>
      <c r="AL93">
        <v>0</v>
      </c>
      <c r="AM93">
        <v>120</v>
      </c>
      <c r="AN93">
        <v>-12</v>
      </c>
      <c r="AO93">
        <v>0</v>
      </c>
      <c r="AQ93">
        <v>0</v>
      </c>
      <c r="AR93">
        <v>0</v>
      </c>
      <c r="AS93">
        <v>120</v>
      </c>
      <c r="AT93">
        <v>-12</v>
      </c>
      <c r="AU93">
        <v>0</v>
      </c>
      <c r="AW93">
        <v>0</v>
      </c>
      <c r="AX93">
        <v>0</v>
      </c>
      <c r="AY93">
        <v>184.8</v>
      </c>
      <c r="BA93" t="s">
        <v>70</v>
      </c>
      <c r="BC93" t="s">
        <v>173</v>
      </c>
      <c r="BE93" t="s">
        <v>174</v>
      </c>
    </row>
    <row r="94" spans="1:57" x14ac:dyDescent="0.3">
      <c r="A94">
        <v>2313017163</v>
      </c>
      <c r="B94">
        <v>2313017220</v>
      </c>
      <c r="C94" t="s">
        <v>245</v>
      </c>
      <c r="D94" t="s">
        <v>128</v>
      </c>
      <c r="E94" t="s">
        <v>57</v>
      </c>
      <c r="H94" t="s">
        <v>58</v>
      </c>
      <c r="I94" t="s">
        <v>172</v>
      </c>
      <c r="J94">
        <v>100</v>
      </c>
      <c r="K94">
        <v>300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300</v>
      </c>
      <c r="AH94">
        <v>3</v>
      </c>
      <c r="AI94">
        <v>0</v>
      </c>
      <c r="AJ94">
        <v>0</v>
      </c>
      <c r="AK94">
        <v>200</v>
      </c>
      <c r="AL94">
        <v>0</v>
      </c>
      <c r="AM94">
        <v>120</v>
      </c>
      <c r="AN94">
        <v>-12</v>
      </c>
      <c r="AO94">
        <v>0</v>
      </c>
      <c r="AQ94">
        <v>0</v>
      </c>
      <c r="AR94">
        <v>0</v>
      </c>
      <c r="AS94">
        <v>120</v>
      </c>
      <c r="AT94">
        <v>-12</v>
      </c>
      <c r="AU94">
        <v>0</v>
      </c>
      <c r="AW94">
        <v>0</v>
      </c>
      <c r="AX94">
        <v>0</v>
      </c>
      <c r="AY94">
        <v>184.8</v>
      </c>
      <c r="BA94" t="s">
        <v>70</v>
      </c>
      <c r="BC94" t="s">
        <v>173</v>
      </c>
      <c r="BE94" t="s">
        <v>174</v>
      </c>
    </row>
    <row r="95" spans="1:57" x14ac:dyDescent="0.3">
      <c r="A95">
        <v>2313017163</v>
      </c>
      <c r="B95">
        <v>2313017221</v>
      </c>
      <c r="C95" t="s">
        <v>234</v>
      </c>
      <c r="D95" t="s">
        <v>123</v>
      </c>
      <c r="E95" t="s">
        <v>57</v>
      </c>
      <c r="H95" t="s">
        <v>58</v>
      </c>
      <c r="I95" t="s">
        <v>172</v>
      </c>
      <c r="J95">
        <v>100</v>
      </c>
      <c r="K95">
        <v>300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300</v>
      </c>
      <c r="AH95">
        <v>3</v>
      </c>
      <c r="AI95">
        <v>0</v>
      </c>
      <c r="AJ95">
        <v>0</v>
      </c>
      <c r="AK95">
        <v>200</v>
      </c>
      <c r="AL95">
        <v>0</v>
      </c>
      <c r="AM95">
        <v>120</v>
      </c>
      <c r="AN95">
        <v>-12</v>
      </c>
      <c r="AO95">
        <v>0</v>
      </c>
      <c r="AQ95">
        <v>0</v>
      </c>
      <c r="AR95">
        <v>0</v>
      </c>
      <c r="AS95">
        <v>120</v>
      </c>
      <c r="AT95">
        <v>-12</v>
      </c>
      <c r="AU95">
        <v>0</v>
      </c>
      <c r="AW95">
        <v>0</v>
      </c>
      <c r="AX95">
        <v>0</v>
      </c>
      <c r="AY95">
        <v>184.8</v>
      </c>
      <c r="BA95" t="s">
        <v>70</v>
      </c>
      <c r="BC95" t="s">
        <v>173</v>
      </c>
      <c r="BE95" t="s">
        <v>174</v>
      </c>
    </row>
    <row r="96" spans="1:57" x14ac:dyDescent="0.3">
      <c r="A96">
        <v>2313017163</v>
      </c>
      <c r="B96">
        <v>2313017224</v>
      </c>
      <c r="C96" t="s">
        <v>246</v>
      </c>
      <c r="D96" t="s">
        <v>131</v>
      </c>
      <c r="E96" t="s">
        <v>57</v>
      </c>
      <c r="H96" t="s">
        <v>58</v>
      </c>
      <c r="I96" t="s">
        <v>172</v>
      </c>
      <c r="J96">
        <v>100</v>
      </c>
      <c r="K96">
        <v>300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300</v>
      </c>
      <c r="AH96">
        <v>3</v>
      </c>
      <c r="AI96">
        <v>0</v>
      </c>
      <c r="AJ96">
        <v>0</v>
      </c>
      <c r="AK96">
        <v>200</v>
      </c>
      <c r="AL96">
        <v>0</v>
      </c>
      <c r="AM96">
        <v>120</v>
      </c>
      <c r="AN96">
        <v>-12</v>
      </c>
      <c r="AO96">
        <v>0</v>
      </c>
      <c r="AQ96">
        <v>0</v>
      </c>
      <c r="AR96">
        <v>0</v>
      </c>
      <c r="AS96">
        <v>120</v>
      </c>
      <c r="AT96">
        <v>-12</v>
      </c>
      <c r="AU96">
        <v>0</v>
      </c>
      <c r="AW96">
        <v>0</v>
      </c>
      <c r="AX96">
        <v>0</v>
      </c>
      <c r="AY96">
        <v>184.8</v>
      </c>
      <c r="BA96" t="s">
        <v>70</v>
      </c>
      <c r="BC96" t="s">
        <v>173</v>
      </c>
      <c r="BE96" t="s">
        <v>174</v>
      </c>
    </row>
    <row r="97" spans="1:57" x14ac:dyDescent="0.3">
      <c r="A97">
        <v>2313017163</v>
      </c>
      <c r="B97">
        <v>2313017225</v>
      </c>
      <c r="C97" t="s">
        <v>247</v>
      </c>
      <c r="D97" t="s">
        <v>132</v>
      </c>
      <c r="E97" t="s">
        <v>57</v>
      </c>
      <c r="H97" t="s">
        <v>58</v>
      </c>
      <c r="I97" t="s">
        <v>172</v>
      </c>
      <c r="J97">
        <v>100</v>
      </c>
      <c r="K97">
        <v>300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300</v>
      </c>
      <c r="AH97">
        <v>3</v>
      </c>
      <c r="AI97">
        <v>0</v>
      </c>
      <c r="AJ97">
        <v>0</v>
      </c>
      <c r="AK97">
        <v>200</v>
      </c>
      <c r="AL97">
        <v>0</v>
      </c>
      <c r="AM97">
        <v>120</v>
      </c>
      <c r="AN97">
        <v>-12</v>
      </c>
      <c r="AO97">
        <v>0</v>
      </c>
      <c r="AQ97">
        <v>0</v>
      </c>
      <c r="AR97">
        <v>0</v>
      </c>
      <c r="AS97">
        <v>120</v>
      </c>
      <c r="AT97">
        <v>-12</v>
      </c>
      <c r="AU97">
        <v>0</v>
      </c>
      <c r="AW97">
        <v>0</v>
      </c>
      <c r="AX97">
        <v>0</v>
      </c>
      <c r="AY97">
        <v>184.8</v>
      </c>
      <c r="BA97" t="s">
        <v>70</v>
      </c>
      <c r="BC97" t="s">
        <v>173</v>
      </c>
      <c r="BE97" t="s">
        <v>174</v>
      </c>
    </row>
    <row r="98" spans="1:57" x14ac:dyDescent="0.3">
      <c r="A98">
        <v>2313017163</v>
      </c>
      <c r="B98">
        <v>2313017170</v>
      </c>
      <c r="C98" t="s">
        <v>180</v>
      </c>
      <c r="D98" t="s">
        <v>74</v>
      </c>
      <c r="E98" t="s">
        <v>57</v>
      </c>
      <c r="H98" t="s">
        <v>58</v>
      </c>
      <c r="I98" t="s">
        <v>172</v>
      </c>
      <c r="J98">
        <v>100</v>
      </c>
      <c r="K98">
        <v>200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</v>
      </c>
      <c r="AH98">
        <v>2</v>
      </c>
      <c r="AI98">
        <v>0</v>
      </c>
      <c r="AJ98">
        <v>0</v>
      </c>
      <c r="AK98">
        <v>200</v>
      </c>
      <c r="AL98">
        <v>0</v>
      </c>
      <c r="AM98">
        <v>0</v>
      </c>
      <c r="AN98">
        <v>0</v>
      </c>
      <c r="AO98">
        <v>0</v>
      </c>
      <c r="AQ98">
        <v>0</v>
      </c>
      <c r="AR98">
        <v>0</v>
      </c>
      <c r="AT98">
        <v>0</v>
      </c>
      <c r="AU98">
        <v>0</v>
      </c>
      <c r="AW98">
        <v>0</v>
      </c>
      <c r="AX98">
        <v>0</v>
      </c>
      <c r="AY98">
        <v>120</v>
      </c>
      <c r="BA98" t="s">
        <v>70</v>
      </c>
      <c r="BC98" t="s">
        <v>173</v>
      </c>
      <c r="BE98" t="s">
        <v>174</v>
      </c>
    </row>
    <row r="99" spans="1:57" x14ac:dyDescent="0.3">
      <c r="A99">
        <v>2313017163</v>
      </c>
      <c r="B99">
        <v>2313017171</v>
      </c>
      <c r="C99" t="s">
        <v>177</v>
      </c>
      <c r="D99" t="s">
        <v>77</v>
      </c>
      <c r="E99" t="s">
        <v>57</v>
      </c>
      <c r="H99" t="s">
        <v>58</v>
      </c>
      <c r="I99" t="s">
        <v>172</v>
      </c>
      <c r="J99">
        <v>100</v>
      </c>
      <c r="K99">
        <v>200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Q99">
        <v>0</v>
      </c>
      <c r="AR99">
        <v>0</v>
      </c>
      <c r="AT99">
        <v>0</v>
      </c>
      <c r="AU99">
        <v>0</v>
      </c>
      <c r="AW99">
        <v>0</v>
      </c>
      <c r="AX99">
        <v>0</v>
      </c>
      <c r="AY99">
        <v>120</v>
      </c>
      <c r="BA99" t="s">
        <v>70</v>
      </c>
      <c r="BC99" t="s">
        <v>173</v>
      </c>
      <c r="BE99" t="s">
        <v>174</v>
      </c>
    </row>
    <row r="100" spans="1:57" x14ac:dyDescent="0.3">
      <c r="A100">
        <v>2313017163</v>
      </c>
      <c r="B100">
        <v>2313017172</v>
      </c>
      <c r="C100" t="s">
        <v>184</v>
      </c>
      <c r="D100" t="s">
        <v>78</v>
      </c>
      <c r="E100" t="s">
        <v>57</v>
      </c>
      <c r="H100" t="s">
        <v>58</v>
      </c>
      <c r="I100" t="s">
        <v>172</v>
      </c>
      <c r="J100">
        <v>100</v>
      </c>
      <c r="K100">
        <v>200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Q100">
        <v>0</v>
      </c>
      <c r="AR100">
        <v>0</v>
      </c>
      <c r="AT100">
        <v>0</v>
      </c>
      <c r="AU100">
        <v>0</v>
      </c>
      <c r="AW100">
        <v>0</v>
      </c>
      <c r="AX100">
        <v>0</v>
      </c>
      <c r="AY100">
        <v>120</v>
      </c>
      <c r="BA100" t="s">
        <v>70</v>
      </c>
      <c r="BC100" t="s">
        <v>173</v>
      </c>
      <c r="BE100" t="s">
        <v>174</v>
      </c>
    </row>
    <row r="101" spans="1:57" x14ac:dyDescent="0.3">
      <c r="A101">
        <v>2313017163</v>
      </c>
      <c r="B101">
        <v>2313017173</v>
      </c>
      <c r="C101" t="s">
        <v>185</v>
      </c>
      <c r="D101" t="s">
        <v>81</v>
      </c>
      <c r="E101" t="s">
        <v>57</v>
      </c>
      <c r="H101" t="s">
        <v>58</v>
      </c>
      <c r="I101" t="s">
        <v>172</v>
      </c>
      <c r="J101">
        <v>100</v>
      </c>
      <c r="K101">
        <v>200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Q101">
        <v>0</v>
      </c>
      <c r="AR101">
        <v>0</v>
      </c>
      <c r="AT101">
        <v>0</v>
      </c>
      <c r="AU101">
        <v>0</v>
      </c>
      <c r="AW101">
        <v>0</v>
      </c>
      <c r="AX101">
        <v>0</v>
      </c>
      <c r="AY101">
        <v>120</v>
      </c>
      <c r="BA101" t="s">
        <v>70</v>
      </c>
      <c r="BC101" t="s">
        <v>173</v>
      </c>
      <c r="BE101" t="s">
        <v>174</v>
      </c>
    </row>
    <row r="102" spans="1:57" x14ac:dyDescent="0.3">
      <c r="A102">
        <v>2313017163</v>
      </c>
      <c r="B102">
        <v>2313017174</v>
      </c>
      <c r="C102" t="s">
        <v>191</v>
      </c>
      <c r="D102" t="s">
        <v>87</v>
      </c>
      <c r="E102" t="s">
        <v>57</v>
      </c>
      <c r="H102" t="s">
        <v>58</v>
      </c>
      <c r="I102" t="s">
        <v>172</v>
      </c>
      <c r="J102">
        <v>100</v>
      </c>
      <c r="K102">
        <v>200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200</v>
      </c>
      <c r="AH102">
        <v>2</v>
      </c>
      <c r="AI102">
        <v>0</v>
      </c>
      <c r="AJ102">
        <v>0</v>
      </c>
      <c r="AK102">
        <v>200</v>
      </c>
      <c r="AL102">
        <v>0</v>
      </c>
      <c r="AM102">
        <v>0</v>
      </c>
      <c r="AN102">
        <v>0</v>
      </c>
      <c r="AO102">
        <v>0</v>
      </c>
      <c r="AQ102">
        <v>0</v>
      </c>
      <c r="AR102">
        <v>0</v>
      </c>
      <c r="AT102">
        <v>0</v>
      </c>
      <c r="AU102">
        <v>0</v>
      </c>
      <c r="AW102">
        <v>0</v>
      </c>
      <c r="AX102">
        <v>0</v>
      </c>
      <c r="AY102">
        <v>120</v>
      </c>
      <c r="BA102" t="s">
        <v>70</v>
      </c>
      <c r="BC102" t="s">
        <v>173</v>
      </c>
      <c r="BE102" t="s">
        <v>174</v>
      </c>
    </row>
    <row r="103" spans="1:57" x14ac:dyDescent="0.3">
      <c r="A103">
        <v>2313017163</v>
      </c>
      <c r="B103">
        <v>2313017175</v>
      </c>
      <c r="C103" t="s">
        <v>188</v>
      </c>
      <c r="D103" t="s">
        <v>88</v>
      </c>
      <c r="E103" t="s">
        <v>57</v>
      </c>
      <c r="H103" t="s">
        <v>58</v>
      </c>
      <c r="I103" t="s">
        <v>172</v>
      </c>
      <c r="J103">
        <v>100</v>
      </c>
      <c r="K103">
        <v>200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200</v>
      </c>
      <c r="AH103">
        <v>2</v>
      </c>
      <c r="AI103">
        <v>0</v>
      </c>
      <c r="AJ103">
        <v>0</v>
      </c>
      <c r="AK103">
        <v>200</v>
      </c>
      <c r="AL103">
        <v>0</v>
      </c>
      <c r="AM103">
        <v>0</v>
      </c>
      <c r="AN103">
        <v>0</v>
      </c>
      <c r="AO103">
        <v>0</v>
      </c>
      <c r="AQ103">
        <v>0</v>
      </c>
      <c r="AR103">
        <v>0</v>
      </c>
      <c r="AT103">
        <v>0</v>
      </c>
      <c r="AU103">
        <v>0</v>
      </c>
      <c r="AW103">
        <v>0</v>
      </c>
      <c r="AX103">
        <v>0</v>
      </c>
      <c r="AY103">
        <v>120</v>
      </c>
      <c r="BA103" t="s">
        <v>70</v>
      </c>
      <c r="BC103" t="s">
        <v>173</v>
      </c>
      <c r="BE103" t="s">
        <v>174</v>
      </c>
    </row>
    <row r="104" spans="1:57" x14ac:dyDescent="0.3">
      <c r="A104">
        <v>2313017163</v>
      </c>
      <c r="B104">
        <v>2313017176</v>
      </c>
      <c r="C104" t="s">
        <v>209</v>
      </c>
      <c r="D104" t="s">
        <v>82</v>
      </c>
      <c r="E104" t="s">
        <v>57</v>
      </c>
      <c r="H104" t="s">
        <v>58</v>
      </c>
      <c r="I104" t="s">
        <v>172</v>
      </c>
      <c r="J104">
        <v>100</v>
      </c>
      <c r="K104">
        <v>200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200</v>
      </c>
      <c r="AH104">
        <v>2</v>
      </c>
      <c r="AI104">
        <v>0</v>
      </c>
      <c r="AJ104">
        <v>0</v>
      </c>
      <c r="AK104">
        <v>200</v>
      </c>
      <c r="AL104">
        <v>0</v>
      </c>
      <c r="AM104">
        <v>0</v>
      </c>
      <c r="AN104">
        <v>0</v>
      </c>
      <c r="AO104">
        <v>0</v>
      </c>
      <c r="AQ104">
        <v>0</v>
      </c>
      <c r="AR104">
        <v>0</v>
      </c>
      <c r="AT104">
        <v>0</v>
      </c>
      <c r="AU104">
        <v>0</v>
      </c>
      <c r="AW104">
        <v>0</v>
      </c>
      <c r="AX104">
        <v>0</v>
      </c>
      <c r="AY104">
        <v>120</v>
      </c>
      <c r="BA104" t="s">
        <v>70</v>
      </c>
      <c r="BC104" t="s">
        <v>173</v>
      </c>
      <c r="BE104" t="s">
        <v>174</v>
      </c>
    </row>
    <row r="105" spans="1:57" x14ac:dyDescent="0.3">
      <c r="A105">
        <v>2313017163</v>
      </c>
      <c r="B105">
        <v>2313017214</v>
      </c>
      <c r="C105" t="s">
        <v>230</v>
      </c>
      <c r="D105" t="s">
        <v>112</v>
      </c>
      <c r="E105" t="s">
        <v>57</v>
      </c>
      <c r="H105" t="s">
        <v>58</v>
      </c>
      <c r="I105" t="s">
        <v>172</v>
      </c>
      <c r="J105">
        <v>100</v>
      </c>
      <c r="K105">
        <v>200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200</v>
      </c>
      <c r="AH105">
        <v>2</v>
      </c>
      <c r="AI105">
        <v>0</v>
      </c>
      <c r="AJ105">
        <v>0</v>
      </c>
      <c r="AK105">
        <v>100</v>
      </c>
      <c r="AL105">
        <v>0</v>
      </c>
      <c r="AM105">
        <v>120</v>
      </c>
      <c r="AN105">
        <v>-12</v>
      </c>
      <c r="AO105">
        <v>0</v>
      </c>
      <c r="AQ105">
        <v>0</v>
      </c>
      <c r="AR105">
        <v>0</v>
      </c>
      <c r="AS105">
        <v>120</v>
      </c>
      <c r="AT105">
        <v>-12</v>
      </c>
      <c r="AU105">
        <v>0</v>
      </c>
      <c r="AW105">
        <v>0</v>
      </c>
      <c r="AX105">
        <v>0</v>
      </c>
      <c r="AY105">
        <v>124.8</v>
      </c>
      <c r="BA105" t="s">
        <v>70</v>
      </c>
      <c r="BC105" t="s">
        <v>173</v>
      </c>
      <c r="BE105" t="s">
        <v>174</v>
      </c>
    </row>
    <row r="106" spans="1:57" x14ac:dyDescent="0.3">
      <c r="A106">
        <v>2313017163</v>
      </c>
      <c r="B106">
        <v>2313017166</v>
      </c>
      <c r="C106" t="s">
        <v>274</v>
      </c>
      <c r="D106" t="s">
        <v>66</v>
      </c>
      <c r="E106" t="s">
        <v>57</v>
      </c>
      <c r="H106" t="s">
        <v>58</v>
      </c>
      <c r="I106" t="s">
        <v>172</v>
      </c>
      <c r="J106">
        <v>100</v>
      </c>
      <c r="K106">
        <v>100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2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Q106">
        <v>0</v>
      </c>
      <c r="AR106">
        <v>0</v>
      </c>
      <c r="AT106">
        <v>0</v>
      </c>
      <c r="AU106">
        <v>0</v>
      </c>
      <c r="AW106">
        <v>0</v>
      </c>
      <c r="AX106">
        <v>0</v>
      </c>
      <c r="AY106">
        <v>60</v>
      </c>
      <c r="BA106" t="s">
        <v>70</v>
      </c>
      <c r="BC106" t="s">
        <v>173</v>
      </c>
      <c r="BE106" t="s">
        <v>174</v>
      </c>
    </row>
    <row r="107" spans="1:57" x14ac:dyDescent="0.3">
      <c r="A107">
        <v>2313017163</v>
      </c>
      <c r="B107">
        <v>2313017163</v>
      </c>
      <c r="C107" t="s">
        <v>275</v>
      </c>
      <c r="D107" t="s">
        <v>55</v>
      </c>
      <c r="E107" t="s">
        <v>57</v>
      </c>
      <c r="H107" t="s">
        <v>58</v>
      </c>
      <c r="I107" t="s">
        <v>172</v>
      </c>
      <c r="J107">
        <v>0</v>
      </c>
      <c r="K107">
        <v>0</v>
      </c>
      <c r="L107">
        <v>0</v>
      </c>
      <c r="M107">
        <v>59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Q107">
        <v>0</v>
      </c>
      <c r="AR107">
        <v>0</v>
      </c>
      <c r="AT107">
        <v>0</v>
      </c>
      <c r="AU107">
        <v>0</v>
      </c>
      <c r="AW107">
        <v>0</v>
      </c>
      <c r="AX107">
        <v>0</v>
      </c>
      <c r="AY107">
        <v>0</v>
      </c>
      <c r="BA107" t="s">
        <v>70</v>
      </c>
      <c r="BC107" t="s">
        <v>173</v>
      </c>
      <c r="BE107" t="s">
        <v>174</v>
      </c>
    </row>
    <row r="108" spans="1:57" x14ac:dyDescent="0.3">
      <c r="A108">
        <v>2313017163</v>
      </c>
      <c r="B108">
        <v>2313017164</v>
      </c>
      <c r="C108" t="s">
        <v>276</v>
      </c>
      <c r="D108" t="s">
        <v>62</v>
      </c>
      <c r="E108" t="s">
        <v>57</v>
      </c>
      <c r="H108" t="s">
        <v>58</v>
      </c>
      <c r="I108" t="s">
        <v>172</v>
      </c>
      <c r="J108">
        <v>0</v>
      </c>
      <c r="K108">
        <v>0</v>
      </c>
      <c r="L108">
        <v>0</v>
      </c>
      <c r="M108">
        <v>37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Q108">
        <v>0</v>
      </c>
      <c r="AR108">
        <v>0</v>
      </c>
      <c r="AT108">
        <v>0</v>
      </c>
      <c r="AU108">
        <v>0</v>
      </c>
      <c r="AW108">
        <v>0</v>
      </c>
      <c r="AX108">
        <v>0</v>
      </c>
      <c r="AY108">
        <v>0</v>
      </c>
      <c r="BA108" t="s">
        <v>70</v>
      </c>
      <c r="BC108" t="s">
        <v>173</v>
      </c>
      <c r="BE108" t="s">
        <v>174</v>
      </c>
    </row>
    <row r="109" spans="1:57" x14ac:dyDescent="0.3">
      <c r="A109">
        <v>2313017163</v>
      </c>
      <c r="B109">
        <v>2313017165</v>
      </c>
      <c r="C109" t="s">
        <v>277</v>
      </c>
      <c r="D109" t="s">
        <v>61</v>
      </c>
      <c r="E109" t="s">
        <v>57</v>
      </c>
      <c r="H109" t="s">
        <v>58</v>
      </c>
      <c r="I109" t="s">
        <v>172</v>
      </c>
      <c r="J109">
        <v>0</v>
      </c>
      <c r="K109">
        <v>0</v>
      </c>
      <c r="L109">
        <v>0</v>
      </c>
      <c r="M109">
        <v>26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Q109">
        <v>0</v>
      </c>
      <c r="AR109">
        <v>0</v>
      </c>
      <c r="AT109">
        <v>0</v>
      </c>
      <c r="AU109">
        <v>0</v>
      </c>
      <c r="AW109">
        <v>0</v>
      </c>
      <c r="AX109">
        <v>0</v>
      </c>
      <c r="AY109">
        <v>0</v>
      </c>
      <c r="BA109" t="s">
        <v>70</v>
      </c>
      <c r="BC109" t="s">
        <v>173</v>
      </c>
      <c r="BE109" t="s">
        <v>174</v>
      </c>
    </row>
    <row r="110" spans="1:57" x14ac:dyDescent="0.3">
      <c r="AP110" s="1">
        <f>SUM(AP2:AP109)</f>
        <v>0</v>
      </c>
      <c r="AY110" s="1">
        <f>SUM(AY2:AY109)</f>
        <v>84748.320000000211</v>
      </c>
    </row>
    <row r="111" spans="1:57" x14ac:dyDescent="0.3">
      <c r="U111">
        <f>SUM(U3:U110)</f>
        <v>0</v>
      </c>
    </row>
    <row r="113" spans="1:4" x14ac:dyDescent="0.3">
      <c r="A113" s="5" t="s">
        <v>48</v>
      </c>
      <c r="B113" s="6"/>
      <c r="C113" s="6"/>
      <c r="D113" s="7"/>
    </row>
    <row r="114" spans="1:4" x14ac:dyDescent="0.3">
      <c r="A114" s="8" t="s">
        <v>50</v>
      </c>
      <c r="B114" s="8" t="s">
        <v>51</v>
      </c>
      <c r="C114" s="8" t="s">
        <v>52</v>
      </c>
      <c r="D114" s="8" t="s">
        <v>53</v>
      </c>
    </row>
    <row r="115" spans="1:4" x14ac:dyDescent="0.3">
      <c r="A115" s="9">
        <v>202202</v>
      </c>
      <c r="B115" s="10">
        <v>10000000</v>
      </c>
      <c r="C115" s="11"/>
      <c r="D115" s="12">
        <f>B115-C115</f>
        <v>10000000</v>
      </c>
    </row>
    <row r="116" spans="1:4" x14ac:dyDescent="0.3">
      <c r="A116" s="9">
        <v>202204</v>
      </c>
      <c r="B116" s="10"/>
      <c r="C116" s="14">
        <v>1064265</v>
      </c>
      <c r="D116" s="12">
        <f t="shared" ref="D116:D121" si="0">D115-C116</f>
        <v>8935735</v>
      </c>
    </row>
    <row r="117" spans="1:4" x14ac:dyDescent="0.3">
      <c r="A117" s="9">
        <v>202205</v>
      </c>
      <c r="B117" s="10"/>
      <c r="C117" s="15">
        <v>422619</v>
      </c>
      <c r="D117" s="12">
        <f t="shared" si="0"/>
        <v>8513116</v>
      </c>
    </row>
    <row r="118" spans="1:4" x14ac:dyDescent="0.3">
      <c r="A118" s="9">
        <v>202206</v>
      </c>
      <c r="B118" s="10"/>
      <c r="C118" s="15">
        <v>296717</v>
      </c>
      <c r="D118" s="12">
        <f t="shared" si="0"/>
        <v>8216399</v>
      </c>
    </row>
    <row r="119" spans="1:4" x14ac:dyDescent="0.3">
      <c r="A119" s="9">
        <v>202207</v>
      </c>
      <c r="B119" s="10"/>
      <c r="C119" s="15">
        <v>1133522</v>
      </c>
      <c r="D119" s="12">
        <f t="shared" si="0"/>
        <v>7082877</v>
      </c>
    </row>
    <row r="120" spans="1:4" x14ac:dyDescent="0.3">
      <c r="A120" s="9">
        <v>202208</v>
      </c>
      <c r="B120" s="10"/>
      <c r="C120" s="15">
        <v>425953.67000000132</v>
      </c>
      <c r="D120" s="12">
        <f t="shared" si="0"/>
        <v>6656923.3299999982</v>
      </c>
    </row>
    <row r="121" spans="1:4" x14ac:dyDescent="0.3">
      <c r="A121" s="9">
        <v>202209</v>
      </c>
      <c r="B121" s="10"/>
      <c r="C121" s="15">
        <v>213170.17000000007</v>
      </c>
      <c r="D121" s="12">
        <f t="shared" si="0"/>
        <v>6443753.1599999983</v>
      </c>
    </row>
    <row r="122" spans="1:4" x14ac:dyDescent="0.3">
      <c r="A122" s="9">
        <v>202210</v>
      </c>
      <c r="B122" s="10"/>
      <c r="C122" s="15">
        <v>120705.59999999966</v>
      </c>
      <c r="D122" s="12">
        <f>D121-C122</f>
        <v>6323047.5599999987</v>
      </c>
    </row>
    <row r="123" spans="1:4" x14ac:dyDescent="0.3">
      <c r="A123" s="9">
        <v>202211</v>
      </c>
      <c r="B123" s="10"/>
      <c r="C123" s="15">
        <f>AY110</f>
        <v>84748.320000000211</v>
      </c>
      <c r="D123" s="12">
        <f>D122-C123</f>
        <v>6238299.2399999984</v>
      </c>
    </row>
    <row r="124" spans="1:4" x14ac:dyDescent="0.3">
      <c r="A124" s="8" t="s">
        <v>49</v>
      </c>
      <c r="B124" s="13">
        <f>SUM(B115:B116)</f>
        <v>10000000</v>
      </c>
      <c r="C124" s="13">
        <f>SUM(C116:C123)</f>
        <v>3761700.7600000012</v>
      </c>
      <c r="D124" s="8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5"/>
  <sheetViews>
    <sheetView topLeftCell="A77" workbookViewId="0">
      <selection activeCell="E94" sqref="E94"/>
    </sheetView>
  </sheetViews>
  <sheetFormatPr defaultRowHeight="16.5" x14ac:dyDescent="0.3"/>
  <cols>
    <col min="2" max="2" width="13.625" bestFit="1" customWidth="1"/>
    <col min="3" max="3" width="14.625" bestFit="1" customWidth="1"/>
    <col min="4" max="4" width="11.875" bestFit="1" customWidth="1"/>
    <col min="42" max="42" width="10.875" bestFit="1" customWidth="1"/>
    <col min="51" max="51" width="10.875" bestFit="1" customWidth="1"/>
  </cols>
  <sheetData>
    <row r="1" spans="1:58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355</v>
      </c>
      <c r="AO1" t="s">
        <v>45</v>
      </c>
      <c r="AP1" t="s">
        <v>356</v>
      </c>
      <c r="AQ1" t="s">
        <v>357</v>
      </c>
      <c r="AR1" t="s">
        <v>358</v>
      </c>
      <c r="AS1" t="s">
        <v>359</v>
      </c>
      <c r="AT1" t="s">
        <v>360</v>
      </c>
      <c r="AU1" t="s">
        <v>361</v>
      </c>
      <c r="AV1" t="s">
        <v>362</v>
      </c>
      <c r="AW1" t="s">
        <v>363</v>
      </c>
      <c r="AX1" t="s">
        <v>364</v>
      </c>
      <c r="AY1" s="2" t="s">
        <v>20</v>
      </c>
      <c r="AZ1" t="s">
        <v>21</v>
      </c>
      <c r="BA1" t="s">
        <v>22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</row>
    <row r="2" spans="1:58" x14ac:dyDescent="0.3">
      <c r="A2">
        <v>2313020794</v>
      </c>
      <c r="B2">
        <v>2313020872</v>
      </c>
      <c r="C2" t="s">
        <v>367</v>
      </c>
      <c r="D2" t="s">
        <v>136</v>
      </c>
      <c r="E2" t="s">
        <v>283</v>
      </c>
      <c r="H2" t="s">
        <v>284</v>
      </c>
      <c r="I2" t="s">
        <v>285</v>
      </c>
      <c r="J2">
        <v>100</v>
      </c>
      <c r="K2">
        <v>207900</v>
      </c>
      <c r="L2">
        <v>2079</v>
      </c>
      <c r="M2">
        <v>0</v>
      </c>
      <c r="N2">
        <v>2400</v>
      </c>
      <c r="O2">
        <v>24</v>
      </c>
      <c r="P2">
        <v>95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-400</v>
      </c>
      <c r="X2">
        <v>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210300</v>
      </c>
      <c r="AH2">
        <v>2198</v>
      </c>
      <c r="AI2">
        <v>-400</v>
      </c>
      <c r="AJ2">
        <v>4</v>
      </c>
      <c r="AK2">
        <v>194623</v>
      </c>
      <c r="AL2">
        <v>-400</v>
      </c>
      <c r="AM2">
        <v>18812.599999999999</v>
      </c>
      <c r="AN2">
        <v>-4547.7</v>
      </c>
      <c r="AO2">
        <v>0</v>
      </c>
      <c r="AP2">
        <v>4920.2</v>
      </c>
      <c r="AQ2">
        <v>-1476.06</v>
      </c>
      <c r="AR2">
        <v>0</v>
      </c>
      <c r="AS2">
        <v>13892.4</v>
      </c>
      <c r="AT2">
        <v>-3071.64</v>
      </c>
      <c r="AU2">
        <v>0</v>
      </c>
      <c r="AW2">
        <v>0</v>
      </c>
      <c r="AX2">
        <v>0</v>
      </c>
      <c r="AY2">
        <v>126858.24000000001</v>
      </c>
      <c r="BC2" t="s">
        <v>286</v>
      </c>
      <c r="BE2" t="s">
        <v>287</v>
      </c>
    </row>
    <row r="3" spans="1:58" x14ac:dyDescent="0.3">
      <c r="A3">
        <v>2313020794</v>
      </c>
      <c r="B3">
        <v>2313020873</v>
      </c>
      <c r="C3" t="s">
        <v>368</v>
      </c>
      <c r="D3" t="s">
        <v>143</v>
      </c>
      <c r="E3" t="s">
        <v>283</v>
      </c>
      <c r="H3" t="s">
        <v>284</v>
      </c>
      <c r="I3" t="s">
        <v>285</v>
      </c>
      <c r="J3">
        <v>100</v>
      </c>
      <c r="K3">
        <v>201100</v>
      </c>
      <c r="L3">
        <v>2011</v>
      </c>
      <c r="M3">
        <v>0</v>
      </c>
      <c r="N3">
        <v>2000</v>
      </c>
      <c r="O3">
        <v>20</v>
      </c>
      <c r="P3">
        <v>71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-400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203100</v>
      </c>
      <c r="AH3">
        <v>2102</v>
      </c>
      <c r="AI3">
        <v>-400</v>
      </c>
      <c r="AJ3">
        <v>4</v>
      </c>
      <c r="AK3">
        <v>187763</v>
      </c>
      <c r="AL3">
        <v>-400</v>
      </c>
      <c r="AM3">
        <v>18404.599999999999</v>
      </c>
      <c r="AN3">
        <v>-4382.1000000000004</v>
      </c>
      <c r="AO3">
        <v>0</v>
      </c>
      <c r="AP3">
        <v>4680.2</v>
      </c>
      <c r="AQ3">
        <v>-1404.06</v>
      </c>
      <c r="AR3">
        <v>0</v>
      </c>
      <c r="AS3">
        <v>13724.4</v>
      </c>
      <c r="AT3">
        <v>-2978.04</v>
      </c>
      <c r="AU3">
        <v>0</v>
      </c>
      <c r="AW3">
        <v>0</v>
      </c>
      <c r="AX3">
        <v>0</v>
      </c>
      <c r="AY3">
        <v>122674.4</v>
      </c>
      <c r="BC3" t="s">
        <v>286</v>
      </c>
      <c r="BE3" t="s">
        <v>287</v>
      </c>
    </row>
    <row r="4" spans="1:58" x14ac:dyDescent="0.3">
      <c r="A4">
        <v>2313020794</v>
      </c>
      <c r="B4">
        <v>2313020874</v>
      </c>
      <c r="C4" t="s">
        <v>369</v>
      </c>
      <c r="D4" t="s">
        <v>148</v>
      </c>
      <c r="E4" t="s">
        <v>283</v>
      </c>
      <c r="H4" t="s">
        <v>284</v>
      </c>
      <c r="I4" t="s">
        <v>285</v>
      </c>
      <c r="J4">
        <v>100</v>
      </c>
      <c r="K4">
        <v>197000</v>
      </c>
      <c r="L4">
        <v>1970</v>
      </c>
      <c r="M4">
        <v>0</v>
      </c>
      <c r="N4">
        <v>2200</v>
      </c>
      <c r="O4">
        <v>22</v>
      </c>
      <c r="P4">
        <v>58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-400</v>
      </c>
      <c r="X4">
        <v>4</v>
      </c>
      <c r="Y4">
        <v>-100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199200</v>
      </c>
      <c r="AH4">
        <v>2050</v>
      </c>
      <c r="AI4">
        <v>-500</v>
      </c>
      <c r="AJ4">
        <v>5</v>
      </c>
      <c r="AK4">
        <v>184207</v>
      </c>
      <c r="AL4">
        <v>-500</v>
      </c>
      <c r="AM4">
        <v>17991.599999999999</v>
      </c>
      <c r="AN4">
        <v>-4100.76</v>
      </c>
      <c r="AO4">
        <v>0</v>
      </c>
      <c r="AP4">
        <v>4800</v>
      </c>
      <c r="AQ4">
        <v>-1440</v>
      </c>
      <c r="AR4">
        <v>0</v>
      </c>
      <c r="AS4">
        <v>13191.6</v>
      </c>
      <c r="AT4">
        <v>-2660.76</v>
      </c>
      <c r="AU4">
        <v>0</v>
      </c>
      <c r="AW4">
        <v>0</v>
      </c>
      <c r="AX4">
        <v>0</v>
      </c>
      <c r="AY4">
        <v>120740.21</v>
      </c>
      <c r="BC4" t="s">
        <v>286</v>
      </c>
      <c r="BE4" t="s">
        <v>287</v>
      </c>
    </row>
    <row r="5" spans="1:58" x14ac:dyDescent="0.3">
      <c r="A5">
        <v>2313020794</v>
      </c>
      <c r="B5">
        <v>2313020875</v>
      </c>
      <c r="C5" t="s">
        <v>370</v>
      </c>
      <c r="D5" t="s">
        <v>134</v>
      </c>
      <c r="E5" t="s">
        <v>283</v>
      </c>
      <c r="H5" t="s">
        <v>284</v>
      </c>
      <c r="I5" t="s">
        <v>285</v>
      </c>
      <c r="J5">
        <v>100</v>
      </c>
      <c r="K5">
        <v>195900</v>
      </c>
      <c r="L5">
        <v>1959</v>
      </c>
      <c r="M5">
        <v>0</v>
      </c>
      <c r="N5">
        <v>2600</v>
      </c>
      <c r="O5">
        <v>26</v>
      </c>
      <c r="P5">
        <v>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-500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198500</v>
      </c>
      <c r="AH5">
        <v>2052</v>
      </c>
      <c r="AI5">
        <v>-500</v>
      </c>
      <c r="AJ5">
        <v>5</v>
      </c>
      <c r="AK5">
        <v>183388</v>
      </c>
      <c r="AL5">
        <v>-500</v>
      </c>
      <c r="AM5">
        <v>18134.400000000001</v>
      </c>
      <c r="AN5">
        <v>-3899.04</v>
      </c>
      <c r="AO5">
        <v>0</v>
      </c>
      <c r="AP5">
        <v>4680</v>
      </c>
      <c r="AQ5">
        <v>-1404</v>
      </c>
      <c r="AR5">
        <v>0</v>
      </c>
      <c r="AS5">
        <v>13454.4</v>
      </c>
      <c r="AT5">
        <v>-2495.04</v>
      </c>
      <c r="AU5">
        <v>0</v>
      </c>
      <c r="AW5">
        <v>0</v>
      </c>
      <c r="AX5">
        <v>0</v>
      </c>
      <c r="AY5">
        <v>120615.44</v>
      </c>
      <c r="BC5" t="s">
        <v>286</v>
      </c>
      <c r="BE5" t="s">
        <v>287</v>
      </c>
    </row>
    <row r="6" spans="1:58" x14ac:dyDescent="0.3">
      <c r="A6">
        <v>2313020794</v>
      </c>
      <c r="B6">
        <v>2313021121</v>
      </c>
      <c r="C6" t="s">
        <v>371</v>
      </c>
      <c r="D6" t="s">
        <v>135</v>
      </c>
      <c r="E6" t="s">
        <v>283</v>
      </c>
      <c r="H6" t="s">
        <v>284</v>
      </c>
      <c r="I6" t="s">
        <v>285</v>
      </c>
      <c r="J6">
        <v>100</v>
      </c>
      <c r="K6">
        <v>175000</v>
      </c>
      <c r="L6">
        <v>1750</v>
      </c>
      <c r="M6">
        <v>0</v>
      </c>
      <c r="N6">
        <v>5600</v>
      </c>
      <c r="O6">
        <v>56</v>
      </c>
      <c r="P6">
        <v>49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-300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180600</v>
      </c>
      <c r="AH6">
        <v>1855</v>
      </c>
      <c r="AI6">
        <v>-300</v>
      </c>
      <c r="AJ6">
        <v>3</v>
      </c>
      <c r="AK6">
        <v>166637</v>
      </c>
      <c r="AL6">
        <v>-300</v>
      </c>
      <c r="AM6">
        <v>16755.599999999999</v>
      </c>
      <c r="AN6">
        <v>-3355.56</v>
      </c>
      <c r="AO6">
        <v>0</v>
      </c>
      <c r="AP6">
        <v>4080</v>
      </c>
      <c r="AQ6">
        <v>-1224</v>
      </c>
      <c r="AR6">
        <v>0</v>
      </c>
      <c r="AS6">
        <v>12675.6</v>
      </c>
      <c r="AT6">
        <v>-2131.56</v>
      </c>
      <c r="AU6">
        <v>0</v>
      </c>
      <c r="AW6">
        <v>0</v>
      </c>
      <c r="AX6">
        <v>0</v>
      </c>
      <c r="AY6">
        <v>110300.45</v>
      </c>
      <c r="BC6" t="s">
        <v>286</v>
      </c>
      <c r="BE6" t="s">
        <v>287</v>
      </c>
    </row>
    <row r="7" spans="1:58" x14ac:dyDescent="0.3">
      <c r="A7">
        <v>2313020794</v>
      </c>
      <c r="B7">
        <v>2313021122</v>
      </c>
      <c r="C7" t="s">
        <v>372</v>
      </c>
      <c r="D7" t="s">
        <v>138</v>
      </c>
      <c r="E7" t="s">
        <v>283</v>
      </c>
      <c r="H7" t="s">
        <v>284</v>
      </c>
      <c r="I7" t="s">
        <v>285</v>
      </c>
      <c r="J7">
        <v>100</v>
      </c>
      <c r="K7">
        <v>172100</v>
      </c>
      <c r="L7">
        <v>1721</v>
      </c>
      <c r="M7">
        <v>0</v>
      </c>
      <c r="N7">
        <v>5100</v>
      </c>
      <c r="O7">
        <v>51</v>
      </c>
      <c r="P7">
        <v>48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-300</v>
      </c>
      <c r="X7">
        <v>3</v>
      </c>
      <c r="Y7">
        <v>-100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177200</v>
      </c>
      <c r="AH7">
        <v>1820</v>
      </c>
      <c r="AI7">
        <v>-400</v>
      </c>
      <c r="AJ7">
        <v>4</v>
      </c>
      <c r="AK7">
        <v>163837</v>
      </c>
      <c r="AL7">
        <v>-400</v>
      </c>
      <c r="AM7">
        <v>16035.6</v>
      </c>
      <c r="AN7">
        <v>-3307.56</v>
      </c>
      <c r="AO7">
        <v>0</v>
      </c>
      <c r="AP7">
        <v>4200</v>
      </c>
      <c r="AQ7">
        <v>-1260</v>
      </c>
      <c r="AR7">
        <v>0</v>
      </c>
      <c r="AS7">
        <v>11835.6</v>
      </c>
      <c r="AT7">
        <v>-2047.56</v>
      </c>
      <c r="AU7">
        <v>0</v>
      </c>
      <c r="AW7">
        <v>0</v>
      </c>
      <c r="AX7">
        <v>0</v>
      </c>
      <c r="AY7">
        <v>108234.05</v>
      </c>
      <c r="BC7" t="s">
        <v>286</v>
      </c>
      <c r="BE7" t="s">
        <v>287</v>
      </c>
    </row>
    <row r="8" spans="1:58" x14ac:dyDescent="0.3">
      <c r="A8">
        <v>2313020794</v>
      </c>
      <c r="B8">
        <v>2313021124</v>
      </c>
      <c r="C8" t="s">
        <v>373</v>
      </c>
      <c r="D8" t="s">
        <v>139</v>
      </c>
      <c r="E8" t="s">
        <v>283</v>
      </c>
      <c r="H8" t="s">
        <v>284</v>
      </c>
      <c r="I8" t="s">
        <v>285</v>
      </c>
      <c r="J8">
        <v>100</v>
      </c>
      <c r="K8">
        <v>171100</v>
      </c>
      <c r="L8">
        <v>1711</v>
      </c>
      <c r="M8">
        <v>0</v>
      </c>
      <c r="N8">
        <v>2900</v>
      </c>
      <c r="O8">
        <v>29</v>
      </c>
      <c r="P8">
        <v>67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-400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174000</v>
      </c>
      <c r="AH8">
        <v>1807</v>
      </c>
      <c r="AI8">
        <v>-400</v>
      </c>
      <c r="AJ8">
        <v>4</v>
      </c>
      <c r="AK8">
        <v>160617</v>
      </c>
      <c r="AL8">
        <v>-400</v>
      </c>
      <c r="AM8">
        <v>16059.6</v>
      </c>
      <c r="AN8">
        <v>-3072.36</v>
      </c>
      <c r="AO8">
        <v>0</v>
      </c>
      <c r="AP8">
        <v>3972</v>
      </c>
      <c r="AQ8">
        <v>-1191.5999999999999</v>
      </c>
      <c r="AR8">
        <v>0</v>
      </c>
      <c r="AS8">
        <v>12087.6</v>
      </c>
      <c r="AT8">
        <v>-1880.76</v>
      </c>
      <c r="AU8">
        <v>0</v>
      </c>
      <c r="AW8">
        <v>0</v>
      </c>
      <c r="AX8">
        <v>0</v>
      </c>
      <c r="AY8">
        <v>107259.97</v>
      </c>
      <c r="BC8" t="s">
        <v>286</v>
      </c>
      <c r="BE8" t="s">
        <v>287</v>
      </c>
    </row>
    <row r="9" spans="1:58" x14ac:dyDescent="0.3">
      <c r="A9">
        <v>2313020794</v>
      </c>
      <c r="B9">
        <v>2313021123</v>
      </c>
      <c r="C9" t="s">
        <v>374</v>
      </c>
      <c r="D9" t="s">
        <v>144</v>
      </c>
      <c r="E9" t="s">
        <v>283</v>
      </c>
      <c r="H9" t="s">
        <v>284</v>
      </c>
      <c r="I9" t="s">
        <v>285</v>
      </c>
      <c r="J9">
        <v>100</v>
      </c>
      <c r="K9">
        <v>167000</v>
      </c>
      <c r="L9">
        <v>1670</v>
      </c>
      <c r="M9">
        <v>0</v>
      </c>
      <c r="N9">
        <v>1100</v>
      </c>
      <c r="O9">
        <v>11</v>
      </c>
      <c r="P9">
        <v>56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-500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168100</v>
      </c>
      <c r="AH9">
        <v>1737</v>
      </c>
      <c r="AI9">
        <v>-500</v>
      </c>
      <c r="AJ9">
        <v>5</v>
      </c>
      <c r="AK9">
        <v>155250</v>
      </c>
      <c r="AL9">
        <v>-500</v>
      </c>
      <c r="AM9">
        <v>15420</v>
      </c>
      <c r="AN9">
        <v>-3102</v>
      </c>
      <c r="AO9">
        <v>0</v>
      </c>
      <c r="AP9">
        <v>4200</v>
      </c>
      <c r="AQ9">
        <v>-1260</v>
      </c>
      <c r="AR9">
        <v>0</v>
      </c>
      <c r="AS9">
        <v>11220</v>
      </c>
      <c r="AT9">
        <v>-1842</v>
      </c>
      <c r="AU9">
        <v>0</v>
      </c>
      <c r="AW9">
        <v>0</v>
      </c>
      <c r="AX9">
        <v>0</v>
      </c>
      <c r="AY9">
        <v>103077.43</v>
      </c>
      <c r="BC9" t="s">
        <v>286</v>
      </c>
      <c r="BE9" t="s">
        <v>287</v>
      </c>
    </row>
    <row r="10" spans="1:58" x14ac:dyDescent="0.3">
      <c r="A10">
        <v>2313020794</v>
      </c>
      <c r="B10">
        <v>2313021139</v>
      </c>
      <c r="C10" t="s">
        <v>375</v>
      </c>
      <c r="D10" t="s">
        <v>153</v>
      </c>
      <c r="E10" t="s">
        <v>283</v>
      </c>
      <c r="H10" t="s">
        <v>284</v>
      </c>
      <c r="I10" t="s">
        <v>285</v>
      </c>
      <c r="J10">
        <v>100</v>
      </c>
      <c r="K10">
        <v>158900</v>
      </c>
      <c r="L10">
        <v>1589</v>
      </c>
      <c r="M10">
        <v>0</v>
      </c>
      <c r="N10">
        <v>2200</v>
      </c>
      <c r="O10">
        <v>22</v>
      </c>
      <c r="P10">
        <v>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-500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161100</v>
      </c>
      <c r="AH10">
        <v>1646</v>
      </c>
      <c r="AI10">
        <v>-500</v>
      </c>
      <c r="AJ10">
        <v>5</v>
      </c>
      <c r="AK10">
        <v>149317</v>
      </c>
      <c r="AL10">
        <v>-500</v>
      </c>
      <c r="AM10">
        <v>14139.6</v>
      </c>
      <c r="AN10">
        <v>-2613.96</v>
      </c>
      <c r="AO10">
        <v>0</v>
      </c>
      <c r="AP10">
        <v>3360</v>
      </c>
      <c r="AQ10">
        <v>-1008</v>
      </c>
      <c r="AR10">
        <v>0</v>
      </c>
      <c r="AS10">
        <v>10779.6</v>
      </c>
      <c r="AT10">
        <v>-1605.96</v>
      </c>
      <c r="AU10">
        <v>0</v>
      </c>
      <c r="AW10">
        <v>0</v>
      </c>
      <c r="AX10">
        <v>0</v>
      </c>
      <c r="AY10">
        <v>100854.77</v>
      </c>
      <c r="BC10" t="s">
        <v>286</v>
      </c>
      <c r="BE10" t="s">
        <v>287</v>
      </c>
    </row>
    <row r="11" spans="1:58" x14ac:dyDescent="0.3">
      <c r="A11">
        <v>2313020794</v>
      </c>
      <c r="B11">
        <v>2313021140</v>
      </c>
      <c r="C11" t="s">
        <v>376</v>
      </c>
      <c r="D11" t="s">
        <v>155</v>
      </c>
      <c r="E11" t="s">
        <v>283</v>
      </c>
      <c r="H11" t="s">
        <v>284</v>
      </c>
      <c r="I11" t="s">
        <v>285</v>
      </c>
      <c r="J11">
        <v>100</v>
      </c>
      <c r="K11">
        <v>156500</v>
      </c>
      <c r="L11">
        <v>1565</v>
      </c>
      <c r="M11">
        <v>0</v>
      </c>
      <c r="N11">
        <v>3000</v>
      </c>
      <c r="O11">
        <v>30</v>
      </c>
      <c r="P11">
        <v>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-400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159500</v>
      </c>
      <c r="AH11">
        <v>1636</v>
      </c>
      <c r="AI11">
        <v>-400</v>
      </c>
      <c r="AJ11">
        <v>4</v>
      </c>
      <c r="AK11">
        <v>147782</v>
      </c>
      <c r="AL11">
        <v>-400</v>
      </c>
      <c r="AM11">
        <v>14061.6</v>
      </c>
      <c r="AN11">
        <v>-2577.36</v>
      </c>
      <c r="AO11">
        <v>0</v>
      </c>
      <c r="AP11">
        <v>3324</v>
      </c>
      <c r="AQ11">
        <v>-997.2</v>
      </c>
      <c r="AR11">
        <v>0</v>
      </c>
      <c r="AS11">
        <v>10737.6</v>
      </c>
      <c r="AT11">
        <v>-1580.16</v>
      </c>
      <c r="AU11">
        <v>0</v>
      </c>
      <c r="AW11">
        <v>0</v>
      </c>
      <c r="AX11">
        <v>0</v>
      </c>
      <c r="AY11">
        <v>101199.33</v>
      </c>
      <c r="BC11" t="s">
        <v>286</v>
      </c>
      <c r="BE11" t="s">
        <v>287</v>
      </c>
    </row>
    <row r="12" spans="1:58" x14ac:dyDescent="0.3">
      <c r="A12">
        <v>2313020794</v>
      </c>
      <c r="B12">
        <v>2313020871</v>
      </c>
      <c r="C12" t="s">
        <v>349</v>
      </c>
      <c r="D12" t="s">
        <v>127</v>
      </c>
      <c r="E12" t="s">
        <v>283</v>
      </c>
      <c r="H12" t="s">
        <v>284</v>
      </c>
      <c r="I12" t="s">
        <v>285</v>
      </c>
      <c r="J12">
        <v>100</v>
      </c>
      <c r="K12">
        <v>148100</v>
      </c>
      <c r="L12">
        <v>1481</v>
      </c>
      <c r="M12">
        <v>0</v>
      </c>
      <c r="N12">
        <v>1700</v>
      </c>
      <c r="O12">
        <v>17</v>
      </c>
      <c r="P12">
        <v>105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-500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149800</v>
      </c>
      <c r="AH12">
        <v>1603</v>
      </c>
      <c r="AI12">
        <v>-500</v>
      </c>
      <c r="AJ12">
        <v>5</v>
      </c>
      <c r="AK12">
        <v>136513</v>
      </c>
      <c r="AL12">
        <v>-500</v>
      </c>
      <c r="AM12">
        <v>15944.6</v>
      </c>
      <c r="AN12">
        <v>-3600.9</v>
      </c>
      <c r="AO12">
        <v>0</v>
      </c>
      <c r="AP12">
        <v>4644.2</v>
      </c>
      <c r="AQ12">
        <v>-1393.26</v>
      </c>
      <c r="AR12">
        <v>0</v>
      </c>
      <c r="AS12">
        <v>11300.4</v>
      </c>
      <c r="AT12">
        <v>-2207.64</v>
      </c>
      <c r="AU12">
        <v>0</v>
      </c>
      <c r="AW12">
        <v>0</v>
      </c>
      <c r="AX12">
        <v>0</v>
      </c>
      <c r="AY12">
        <v>90738.72</v>
      </c>
      <c r="BC12" t="s">
        <v>286</v>
      </c>
      <c r="BE12" t="s">
        <v>287</v>
      </c>
    </row>
    <row r="13" spans="1:58" x14ac:dyDescent="0.3">
      <c r="A13">
        <v>2313020794</v>
      </c>
      <c r="B13">
        <v>2313021143</v>
      </c>
      <c r="C13" t="s">
        <v>377</v>
      </c>
      <c r="D13" t="s">
        <v>152</v>
      </c>
      <c r="E13" t="s">
        <v>283</v>
      </c>
      <c r="H13" t="s">
        <v>284</v>
      </c>
      <c r="I13" t="s">
        <v>285</v>
      </c>
      <c r="J13">
        <v>100</v>
      </c>
      <c r="K13">
        <v>141100</v>
      </c>
      <c r="L13">
        <v>1411</v>
      </c>
      <c r="M13">
        <v>0</v>
      </c>
      <c r="N13">
        <v>3800</v>
      </c>
      <c r="O13">
        <v>38</v>
      </c>
      <c r="P13">
        <v>43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-200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144900</v>
      </c>
      <c r="AH13">
        <v>1492</v>
      </c>
      <c r="AI13">
        <v>-200</v>
      </c>
      <c r="AJ13">
        <v>2</v>
      </c>
      <c r="AK13">
        <v>134852</v>
      </c>
      <c r="AL13">
        <v>-200</v>
      </c>
      <c r="AM13">
        <v>12057.6</v>
      </c>
      <c r="AN13">
        <v>-2177.7600000000002</v>
      </c>
      <c r="AO13">
        <v>0</v>
      </c>
      <c r="AP13">
        <v>2940</v>
      </c>
      <c r="AQ13">
        <v>-882</v>
      </c>
      <c r="AR13">
        <v>0</v>
      </c>
      <c r="AS13">
        <v>9117.6</v>
      </c>
      <c r="AT13">
        <v>-1295.76</v>
      </c>
      <c r="AU13">
        <v>0</v>
      </c>
      <c r="AW13">
        <v>0</v>
      </c>
      <c r="AX13">
        <v>0</v>
      </c>
      <c r="AY13">
        <v>101172.29</v>
      </c>
      <c r="BC13" t="s">
        <v>286</v>
      </c>
      <c r="BE13" t="s">
        <v>287</v>
      </c>
    </row>
    <row r="14" spans="1:58" x14ac:dyDescent="0.3">
      <c r="A14">
        <v>2313020794</v>
      </c>
      <c r="B14">
        <v>2313021144</v>
      </c>
      <c r="C14" t="s">
        <v>378</v>
      </c>
      <c r="D14" t="s">
        <v>149</v>
      </c>
      <c r="E14" t="s">
        <v>283</v>
      </c>
      <c r="H14" t="s">
        <v>284</v>
      </c>
      <c r="I14" t="s">
        <v>285</v>
      </c>
      <c r="J14">
        <v>100</v>
      </c>
      <c r="K14">
        <v>140400</v>
      </c>
      <c r="L14">
        <v>1404</v>
      </c>
      <c r="M14">
        <v>0</v>
      </c>
      <c r="N14">
        <v>10000</v>
      </c>
      <c r="O14">
        <v>100</v>
      </c>
      <c r="P14">
        <v>67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-300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150400</v>
      </c>
      <c r="AH14">
        <v>1571</v>
      </c>
      <c r="AI14">
        <v>-300</v>
      </c>
      <c r="AJ14">
        <v>3</v>
      </c>
      <c r="AK14">
        <v>139982</v>
      </c>
      <c r="AL14">
        <v>-300</v>
      </c>
      <c r="AM14">
        <v>12501.6</v>
      </c>
      <c r="AN14">
        <v>-2282.16</v>
      </c>
      <c r="AO14">
        <v>0</v>
      </c>
      <c r="AP14">
        <v>3240</v>
      </c>
      <c r="AQ14">
        <v>-972</v>
      </c>
      <c r="AR14">
        <v>0</v>
      </c>
      <c r="AS14">
        <v>9261.6</v>
      </c>
      <c r="AT14">
        <v>-1310.1600000000001</v>
      </c>
      <c r="AU14">
        <v>0</v>
      </c>
      <c r="AW14">
        <v>0</v>
      </c>
      <c r="AX14">
        <v>0</v>
      </c>
      <c r="AY14">
        <v>104931.01</v>
      </c>
      <c r="BC14" t="s">
        <v>286</v>
      </c>
      <c r="BE14" t="s">
        <v>287</v>
      </c>
    </row>
    <row r="15" spans="1:58" x14ac:dyDescent="0.3">
      <c r="A15">
        <v>2313020794</v>
      </c>
      <c r="B15">
        <v>2313021487</v>
      </c>
      <c r="C15" t="s">
        <v>379</v>
      </c>
      <c r="D15" t="s">
        <v>145</v>
      </c>
      <c r="E15" t="s">
        <v>283</v>
      </c>
      <c r="H15" t="s">
        <v>284</v>
      </c>
      <c r="I15" t="s">
        <v>285</v>
      </c>
      <c r="J15">
        <v>100</v>
      </c>
      <c r="K15">
        <v>122500</v>
      </c>
      <c r="L15">
        <v>1225</v>
      </c>
      <c r="M15">
        <v>0</v>
      </c>
      <c r="N15">
        <v>0</v>
      </c>
      <c r="O15">
        <v>0</v>
      </c>
      <c r="P15">
        <v>32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-100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122500</v>
      </c>
      <c r="AH15">
        <v>1257</v>
      </c>
      <c r="AI15">
        <v>-100</v>
      </c>
      <c r="AJ15">
        <v>1</v>
      </c>
      <c r="AK15">
        <v>113120</v>
      </c>
      <c r="AL15">
        <v>-100</v>
      </c>
      <c r="AM15">
        <v>11256</v>
      </c>
      <c r="AN15">
        <v>-1989.6</v>
      </c>
      <c r="AO15">
        <v>0</v>
      </c>
      <c r="AP15">
        <v>2760</v>
      </c>
      <c r="AQ15">
        <v>-828</v>
      </c>
      <c r="AR15">
        <v>0</v>
      </c>
      <c r="AS15">
        <v>8496</v>
      </c>
      <c r="AT15">
        <v>-1161.5999999999999</v>
      </c>
      <c r="AU15">
        <v>0</v>
      </c>
      <c r="AW15">
        <v>0</v>
      </c>
      <c r="AX15">
        <v>0</v>
      </c>
      <c r="AY15">
        <v>85600.48</v>
      </c>
      <c r="BC15" t="s">
        <v>286</v>
      </c>
      <c r="BE15" t="s">
        <v>287</v>
      </c>
    </row>
    <row r="16" spans="1:58" x14ac:dyDescent="0.3">
      <c r="A16">
        <v>2313020794</v>
      </c>
      <c r="B16">
        <v>2313021488</v>
      </c>
      <c r="C16" t="s">
        <v>380</v>
      </c>
      <c r="D16" t="s">
        <v>150</v>
      </c>
      <c r="E16" t="s">
        <v>283</v>
      </c>
      <c r="H16" t="s">
        <v>284</v>
      </c>
      <c r="I16" t="s">
        <v>285</v>
      </c>
      <c r="J16">
        <v>100</v>
      </c>
      <c r="K16">
        <v>122000</v>
      </c>
      <c r="L16">
        <v>1220</v>
      </c>
      <c r="M16">
        <v>0</v>
      </c>
      <c r="N16">
        <v>0</v>
      </c>
      <c r="O16">
        <v>0</v>
      </c>
      <c r="P16">
        <v>26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122000</v>
      </c>
      <c r="AH16">
        <v>1246</v>
      </c>
      <c r="AI16">
        <v>0</v>
      </c>
      <c r="AJ16">
        <v>0</v>
      </c>
      <c r="AK16">
        <v>112264</v>
      </c>
      <c r="AL16">
        <v>0</v>
      </c>
      <c r="AM16">
        <v>11683.2</v>
      </c>
      <c r="AN16">
        <v>-2051.52</v>
      </c>
      <c r="AO16">
        <v>0</v>
      </c>
      <c r="AP16">
        <v>2976</v>
      </c>
      <c r="AQ16">
        <v>-892.8</v>
      </c>
      <c r="AR16">
        <v>0</v>
      </c>
      <c r="AS16">
        <v>8707.2000000000007</v>
      </c>
      <c r="AT16">
        <v>-1158.72</v>
      </c>
      <c r="AU16">
        <v>0</v>
      </c>
      <c r="AW16">
        <v>0</v>
      </c>
      <c r="AX16">
        <v>0</v>
      </c>
      <c r="AY16">
        <v>85326.98</v>
      </c>
      <c r="BC16" t="s">
        <v>286</v>
      </c>
      <c r="BE16" t="s">
        <v>287</v>
      </c>
    </row>
    <row r="17" spans="1:57" x14ac:dyDescent="0.3">
      <c r="A17">
        <v>2313020794</v>
      </c>
      <c r="B17">
        <v>2313021497</v>
      </c>
      <c r="C17" t="s">
        <v>381</v>
      </c>
      <c r="D17" t="s">
        <v>146</v>
      </c>
      <c r="E17" t="s">
        <v>283</v>
      </c>
      <c r="H17" t="s">
        <v>284</v>
      </c>
      <c r="I17" t="s">
        <v>285</v>
      </c>
      <c r="J17">
        <v>100</v>
      </c>
      <c r="K17">
        <v>118400</v>
      </c>
      <c r="L17">
        <v>1184</v>
      </c>
      <c r="M17">
        <v>0</v>
      </c>
      <c r="N17">
        <v>0</v>
      </c>
      <c r="O17">
        <v>0</v>
      </c>
      <c r="P17">
        <v>21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118400</v>
      </c>
      <c r="AH17">
        <v>1205</v>
      </c>
      <c r="AI17">
        <v>0</v>
      </c>
      <c r="AJ17">
        <v>0</v>
      </c>
      <c r="AK17">
        <v>109180</v>
      </c>
      <c r="AL17">
        <v>0</v>
      </c>
      <c r="AM17">
        <v>11064</v>
      </c>
      <c r="AN17">
        <v>-1922.4</v>
      </c>
      <c r="AO17">
        <v>0</v>
      </c>
      <c r="AP17">
        <v>3000</v>
      </c>
      <c r="AQ17">
        <v>-900</v>
      </c>
      <c r="AR17">
        <v>0</v>
      </c>
      <c r="AS17">
        <v>8064</v>
      </c>
      <c r="AT17">
        <v>-1022.4</v>
      </c>
      <c r="AU17">
        <v>0</v>
      </c>
      <c r="AW17">
        <v>0</v>
      </c>
      <c r="AX17">
        <v>0</v>
      </c>
      <c r="AY17">
        <v>82825.119999999995</v>
      </c>
      <c r="BC17" t="s">
        <v>286</v>
      </c>
      <c r="BE17" t="s">
        <v>287</v>
      </c>
    </row>
    <row r="18" spans="1:57" x14ac:dyDescent="0.3">
      <c r="A18">
        <v>2313020794</v>
      </c>
      <c r="B18">
        <v>2313021498</v>
      </c>
      <c r="C18" t="s">
        <v>382</v>
      </c>
      <c r="D18" t="s">
        <v>141</v>
      </c>
      <c r="E18" t="s">
        <v>283</v>
      </c>
      <c r="H18" t="s">
        <v>284</v>
      </c>
      <c r="I18" t="s">
        <v>285</v>
      </c>
      <c r="J18">
        <v>100</v>
      </c>
      <c r="K18">
        <v>114800</v>
      </c>
      <c r="L18">
        <v>1148</v>
      </c>
      <c r="M18">
        <v>0</v>
      </c>
      <c r="N18">
        <v>0</v>
      </c>
      <c r="O18">
        <v>0</v>
      </c>
      <c r="P18">
        <v>23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-100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114800</v>
      </c>
      <c r="AH18">
        <v>1171</v>
      </c>
      <c r="AI18">
        <v>-100</v>
      </c>
      <c r="AJ18">
        <v>1</v>
      </c>
      <c r="AK18">
        <v>105600</v>
      </c>
      <c r="AL18">
        <v>-100</v>
      </c>
      <c r="AM18">
        <v>11040</v>
      </c>
      <c r="AN18">
        <v>-1874.4</v>
      </c>
      <c r="AO18">
        <v>0</v>
      </c>
      <c r="AP18">
        <v>2772</v>
      </c>
      <c r="AQ18">
        <v>-831.6</v>
      </c>
      <c r="AR18">
        <v>0</v>
      </c>
      <c r="AS18">
        <v>8268</v>
      </c>
      <c r="AT18">
        <v>-1042.8</v>
      </c>
      <c r="AU18">
        <v>0</v>
      </c>
      <c r="AW18">
        <v>0</v>
      </c>
      <c r="AX18">
        <v>0</v>
      </c>
      <c r="AY18">
        <v>80265.919999999998</v>
      </c>
      <c r="BC18" t="s">
        <v>286</v>
      </c>
      <c r="BE18" t="s">
        <v>287</v>
      </c>
    </row>
    <row r="19" spans="1:57" x14ac:dyDescent="0.3">
      <c r="A19">
        <v>2313020794</v>
      </c>
      <c r="B19">
        <v>2313020870</v>
      </c>
      <c r="C19" t="s">
        <v>345</v>
      </c>
      <c r="D19" t="s">
        <v>130</v>
      </c>
      <c r="E19" t="s">
        <v>283</v>
      </c>
      <c r="H19" t="s">
        <v>284</v>
      </c>
      <c r="I19" t="s">
        <v>285</v>
      </c>
      <c r="J19">
        <v>100</v>
      </c>
      <c r="K19">
        <v>106000</v>
      </c>
      <c r="L19">
        <v>1060</v>
      </c>
      <c r="M19">
        <v>0</v>
      </c>
      <c r="N19">
        <v>1400</v>
      </c>
      <c r="O19">
        <v>14</v>
      </c>
      <c r="P19">
        <v>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-600</v>
      </c>
      <c r="X19">
        <v>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107400</v>
      </c>
      <c r="AH19">
        <v>1141</v>
      </c>
      <c r="AI19">
        <v>-600</v>
      </c>
      <c r="AJ19">
        <v>6</v>
      </c>
      <c r="AK19">
        <v>96673</v>
      </c>
      <c r="AL19">
        <v>-600</v>
      </c>
      <c r="AM19">
        <v>12872.6</v>
      </c>
      <c r="AN19">
        <v>-2652.9</v>
      </c>
      <c r="AO19">
        <v>0</v>
      </c>
      <c r="AP19">
        <v>3120.2</v>
      </c>
      <c r="AQ19">
        <v>-936.06</v>
      </c>
      <c r="AR19">
        <v>0</v>
      </c>
      <c r="AS19">
        <v>9752.4</v>
      </c>
      <c r="AT19">
        <v>-1716.84</v>
      </c>
      <c r="AU19">
        <v>0</v>
      </c>
      <c r="AW19">
        <v>0</v>
      </c>
      <c r="AX19">
        <v>0</v>
      </c>
      <c r="AY19">
        <v>65332.480000000003</v>
      </c>
      <c r="BC19" t="s">
        <v>286</v>
      </c>
      <c r="BE19" t="s">
        <v>287</v>
      </c>
    </row>
    <row r="20" spans="1:57" x14ac:dyDescent="0.3">
      <c r="A20">
        <v>2313020794</v>
      </c>
      <c r="B20">
        <v>2313021500</v>
      </c>
      <c r="C20" t="s">
        <v>383</v>
      </c>
      <c r="D20" t="s">
        <v>147</v>
      </c>
      <c r="E20" t="s">
        <v>283</v>
      </c>
      <c r="H20" t="s">
        <v>284</v>
      </c>
      <c r="I20" t="s">
        <v>285</v>
      </c>
      <c r="J20">
        <v>100</v>
      </c>
      <c r="K20">
        <v>93600</v>
      </c>
      <c r="L20">
        <v>936</v>
      </c>
      <c r="M20">
        <v>0</v>
      </c>
      <c r="N20">
        <v>0</v>
      </c>
      <c r="O20">
        <v>0</v>
      </c>
      <c r="P20">
        <v>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-100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93600</v>
      </c>
      <c r="AH20">
        <v>949</v>
      </c>
      <c r="AI20">
        <v>-100</v>
      </c>
      <c r="AJ20">
        <v>1</v>
      </c>
      <c r="AK20">
        <v>86900</v>
      </c>
      <c r="AL20">
        <v>-100</v>
      </c>
      <c r="AM20">
        <v>8040</v>
      </c>
      <c r="AN20">
        <v>-1260</v>
      </c>
      <c r="AO20">
        <v>0</v>
      </c>
      <c r="AP20">
        <v>1800</v>
      </c>
      <c r="AQ20">
        <v>-540</v>
      </c>
      <c r="AR20">
        <v>0</v>
      </c>
      <c r="AS20">
        <v>6240</v>
      </c>
      <c r="AT20">
        <v>-720</v>
      </c>
      <c r="AU20">
        <v>0</v>
      </c>
      <c r="AW20">
        <v>0</v>
      </c>
      <c r="AX20">
        <v>0</v>
      </c>
      <c r="AY20">
        <v>65506</v>
      </c>
      <c r="BC20" t="s">
        <v>286</v>
      </c>
      <c r="BE20" t="s">
        <v>287</v>
      </c>
    </row>
    <row r="21" spans="1:57" x14ac:dyDescent="0.3">
      <c r="A21">
        <v>2313020794</v>
      </c>
      <c r="B21">
        <v>2313020869</v>
      </c>
      <c r="C21" t="s">
        <v>344</v>
      </c>
      <c r="D21" t="s">
        <v>126</v>
      </c>
      <c r="E21" t="s">
        <v>283</v>
      </c>
      <c r="H21" t="s">
        <v>284</v>
      </c>
      <c r="I21" t="s">
        <v>285</v>
      </c>
      <c r="J21">
        <v>100</v>
      </c>
      <c r="K21">
        <v>90500</v>
      </c>
      <c r="L21">
        <v>905</v>
      </c>
      <c r="M21">
        <v>0</v>
      </c>
      <c r="N21">
        <v>1000</v>
      </c>
      <c r="O21">
        <v>10</v>
      </c>
      <c r="P21">
        <v>50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-200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91500</v>
      </c>
      <c r="AH21">
        <v>965</v>
      </c>
      <c r="AI21">
        <v>-200</v>
      </c>
      <c r="AJ21">
        <v>2</v>
      </c>
      <c r="AK21">
        <v>81859</v>
      </c>
      <c r="AL21">
        <v>-200</v>
      </c>
      <c r="AM21">
        <v>11569.4</v>
      </c>
      <c r="AN21">
        <v>-2347.38</v>
      </c>
      <c r="AO21">
        <v>0</v>
      </c>
      <c r="AP21">
        <v>2904.2</v>
      </c>
      <c r="AQ21">
        <v>-871.26</v>
      </c>
      <c r="AR21">
        <v>0</v>
      </c>
      <c r="AS21">
        <v>8665.2000000000007</v>
      </c>
      <c r="AT21">
        <v>-1476.12</v>
      </c>
      <c r="AU21">
        <v>0</v>
      </c>
      <c r="AW21">
        <v>0</v>
      </c>
      <c r="AX21">
        <v>0</v>
      </c>
      <c r="AY21">
        <v>56053.31</v>
      </c>
      <c r="BC21" t="s">
        <v>286</v>
      </c>
      <c r="BE21" t="s">
        <v>287</v>
      </c>
    </row>
    <row r="22" spans="1:57" x14ac:dyDescent="0.3">
      <c r="A22">
        <v>2313020794</v>
      </c>
      <c r="B22">
        <v>2313020860</v>
      </c>
      <c r="C22" t="s">
        <v>334</v>
      </c>
      <c r="D22" t="s">
        <v>123</v>
      </c>
      <c r="E22" t="s">
        <v>283</v>
      </c>
      <c r="H22" t="s">
        <v>284</v>
      </c>
      <c r="I22" t="s">
        <v>285</v>
      </c>
      <c r="J22">
        <v>100</v>
      </c>
      <c r="K22">
        <v>84100</v>
      </c>
      <c r="L22">
        <v>841</v>
      </c>
      <c r="M22">
        <v>0</v>
      </c>
      <c r="N22">
        <v>200</v>
      </c>
      <c r="O22">
        <v>2</v>
      </c>
      <c r="P22">
        <v>19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-100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84300</v>
      </c>
      <c r="AH22">
        <v>862</v>
      </c>
      <c r="AI22">
        <v>-100</v>
      </c>
      <c r="AJ22">
        <v>1</v>
      </c>
      <c r="AK22">
        <v>75308</v>
      </c>
      <c r="AL22">
        <v>-100</v>
      </c>
      <c r="AM22">
        <v>10790.4</v>
      </c>
      <c r="AN22">
        <v>-2156.64</v>
      </c>
      <c r="AO22">
        <v>0</v>
      </c>
      <c r="AP22">
        <v>2520</v>
      </c>
      <c r="AQ22">
        <v>-756</v>
      </c>
      <c r="AR22">
        <v>0</v>
      </c>
      <c r="AS22">
        <v>8270.4</v>
      </c>
      <c r="AT22">
        <v>-1400.64</v>
      </c>
      <c r="AU22">
        <v>0</v>
      </c>
      <c r="AW22">
        <v>0</v>
      </c>
      <c r="AX22">
        <v>0</v>
      </c>
      <c r="AY22">
        <v>51924.08</v>
      </c>
      <c r="BC22" t="s">
        <v>286</v>
      </c>
      <c r="BE22" t="s">
        <v>287</v>
      </c>
    </row>
    <row r="23" spans="1:57" x14ac:dyDescent="0.3">
      <c r="A23">
        <v>2313020794</v>
      </c>
      <c r="B23">
        <v>2313020851</v>
      </c>
      <c r="C23" t="s">
        <v>316</v>
      </c>
      <c r="D23" t="s">
        <v>105</v>
      </c>
      <c r="E23" t="s">
        <v>283</v>
      </c>
      <c r="H23" t="s">
        <v>284</v>
      </c>
      <c r="I23" t="s">
        <v>285</v>
      </c>
      <c r="J23">
        <v>100</v>
      </c>
      <c r="K23">
        <v>83700</v>
      </c>
      <c r="L23">
        <v>837</v>
      </c>
      <c r="M23">
        <v>0</v>
      </c>
      <c r="N23">
        <v>100</v>
      </c>
      <c r="O23">
        <v>1</v>
      </c>
      <c r="P23">
        <v>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-300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83800</v>
      </c>
      <c r="AH23">
        <v>862</v>
      </c>
      <c r="AI23">
        <v>-300</v>
      </c>
      <c r="AJ23">
        <v>3</v>
      </c>
      <c r="AK23">
        <v>75258</v>
      </c>
      <c r="AL23">
        <v>-300</v>
      </c>
      <c r="AM23">
        <v>10250.4</v>
      </c>
      <c r="AN23">
        <v>-1982.64</v>
      </c>
      <c r="AO23">
        <v>0</v>
      </c>
      <c r="AP23">
        <v>2040</v>
      </c>
      <c r="AQ23">
        <v>-612</v>
      </c>
      <c r="AR23">
        <v>0</v>
      </c>
      <c r="AS23">
        <v>8210.4</v>
      </c>
      <c r="AT23">
        <v>-1370.64</v>
      </c>
      <c r="AU23">
        <v>0</v>
      </c>
      <c r="AW23">
        <v>0</v>
      </c>
      <c r="AX23">
        <v>0</v>
      </c>
      <c r="AY23">
        <v>51516.88</v>
      </c>
      <c r="BC23" t="s">
        <v>286</v>
      </c>
      <c r="BE23" t="s">
        <v>287</v>
      </c>
    </row>
    <row r="24" spans="1:57" x14ac:dyDescent="0.3">
      <c r="A24">
        <v>2313020794</v>
      </c>
      <c r="B24">
        <v>2313020861</v>
      </c>
      <c r="C24" t="s">
        <v>328</v>
      </c>
      <c r="D24" t="s">
        <v>124</v>
      </c>
      <c r="E24" t="s">
        <v>283</v>
      </c>
      <c r="H24" t="s">
        <v>284</v>
      </c>
      <c r="I24" t="s">
        <v>285</v>
      </c>
      <c r="J24">
        <v>100</v>
      </c>
      <c r="K24">
        <v>83400</v>
      </c>
      <c r="L24">
        <v>834</v>
      </c>
      <c r="M24">
        <v>0</v>
      </c>
      <c r="N24">
        <v>300</v>
      </c>
      <c r="O24">
        <v>3</v>
      </c>
      <c r="P24">
        <v>20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-100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83700</v>
      </c>
      <c r="AH24">
        <v>857</v>
      </c>
      <c r="AI24">
        <v>-100</v>
      </c>
      <c r="AJ24">
        <v>1</v>
      </c>
      <c r="AK24">
        <v>74728</v>
      </c>
      <c r="AL24">
        <v>-100</v>
      </c>
      <c r="AM24">
        <v>10766.4</v>
      </c>
      <c r="AN24">
        <v>-2070.2399999999998</v>
      </c>
      <c r="AO24">
        <v>0</v>
      </c>
      <c r="AP24">
        <v>2400</v>
      </c>
      <c r="AQ24">
        <v>-720</v>
      </c>
      <c r="AR24">
        <v>0</v>
      </c>
      <c r="AS24">
        <v>8366.4</v>
      </c>
      <c r="AT24">
        <v>-1350.24</v>
      </c>
      <c r="AU24">
        <v>0</v>
      </c>
      <c r="AW24">
        <v>0</v>
      </c>
      <c r="AX24">
        <v>0</v>
      </c>
      <c r="AY24">
        <v>51547.519999999997</v>
      </c>
      <c r="BC24" t="s">
        <v>286</v>
      </c>
      <c r="BE24" t="s">
        <v>287</v>
      </c>
    </row>
    <row r="25" spans="1:57" x14ac:dyDescent="0.3">
      <c r="A25">
        <v>2313020794</v>
      </c>
      <c r="B25">
        <v>2313020833</v>
      </c>
      <c r="C25" t="s">
        <v>313</v>
      </c>
      <c r="D25" t="s">
        <v>116</v>
      </c>
      <c r="E25" t="s">
        <v>283</v>
      </c>
      <c r="H25" t="s">
        <v>284</v>
      </c>
      <c r="I25" t="s">
        <v>285</v>
      </c>
      <c r="J25">
        <v>100</v>
      </c>
      <c r="K25">
        <v>82800</v>
      </c>
      <c r="L25">
        <v>828</v>
      </c>
      <c r="M25">
        <v>0</v>
      </c>
      <c r="N25">
        <v>200</v>
      </c>
      <c r="O25">
        <v>2</v>
      </c>
      <c r="P25">
        <v>28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-400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83000</v>
      </c>
      <c r="AH25">
        <v>858</v>
      </c>
      <c r="AI25">
        <v>-400</v>
      </c>
      <c r="AJ25">
        <v>4</v>
      </c>
      <c r="AK25">
        <v>74660</v>
      </c>
      <c r="AL25">
        <v>-400</v>
      </c>
      <c r="AM25">
        <v>10008</v>
      </c>
      <c r="AN25">
        <v>-1982.4</v>
      </c>
      <c r="AO25">
        <v>0</v>
      </c>
      <c r="AP25">
        <v>2040</v>
      </c>
      <c r="AQ25">
        <v>-612</v>
      </c>
      <c r="AR25">
        <v>0</v>
      </c>
      <c r="AS25">
        <v>7968</v>
      </c>
      <c r="AT25">
        <v>-1370.4</v>
      </c>
      <c r="AU25">
        <v>0</v>
      </c>
      <c r="AW25">
        <v>0</v>
      </c>
      <c r="AX25">
        <v>0</v>
      </c>
      <c r="AY25">
        <v>51053.58</v>
      </c>
      <c r="BC25" t="s">
        <v>286</v>
      </c>
      <c r="BE25" t="s">
        <v>287</v>
      </c>
    </row>
    <row r="26" spans="1:57" x14ac:dyDescent="0.3">
      <c r="A26">
        <v>2313020794</v>
      </c>
      <c r="B26">
        <v>2313020825</v>
      </c>
      <c r="C26" t="s">
        <v>311</v>
      </c>
      <c r="D26" t="s">
        <v>93</v>
      </c>
      <c r="E26" t="s">
        <v>283</v>
      </c>
      <c r="H26" t="s">
        <v>284</v>
      </c>
      <c r="I26" t="s">
        <v>285</v>
      </c>
      <c r="J26">
        <v>100</v>
      </c>
      <c r="K26">
        <v>82000</v>
      </c>
      <c r="L26">
        <v>820</v>
      </c>
      <c r="M26">
        <v>0</v>
      </c>
      <c r="N26">
        <v>1000</v>
      </c>
      <c r="O26">
        <v>10</v>
      </c>
      <c r="P26">
        <v>21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-200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83000</v>
      </c>
      <c r="AH26">
        <v>851</v>
      </c>
      <c r="AI26">
        <v>-200</v>
      </c>
      <c r="AJ26">
        <v>2</v>
      </c>
      <c r="AK26">
        <v>74519</v>
      </c>
      <c r="AL26">
        <v>-200</v>
      </c>
      <c r="AM26">
        <v>10177.200000000001</v>
      </c>
      <c r="AN26">
        <v>-2104.92</v>
      </c>
      <c r="AO26">
        <v>0</v>
      </c>
      <c r="AP26">
        <v>2088</v>
      </c>
      <c r="AQ26">
        <v>-626.4</v>
      </c>
      <c r="AR26">
        <v>0</v>
      </c>
      <c r="AS26">
        <v>8089.2</v>
      </c>
      <c r="AT26">
        <v>-1478.52</v>
      </c>
      <c r="AU26">
        <v>0</v>
      </c>
      <c r="AW26">
        <v>0</v>
      </c>
      <c r="AX26">
        <v>0</v>
      </c>
      <c r="AY26">
        <v>51178.59</v>
      </c>
      <c r="BC26" t="s">
        <v>286</v>
      </c>
      <c r="BE26" t="s">
        <v>287</v>
      </c>
    </row>
    <row r="27" spans="1:57" x14ac:dyDescent="0.3">
      <c r="A27">
        <v>2313020794</v>
      </c>
      <c r="B27">
        <v>2313020820</v>
      </c>
      <c r="C27" t="s">
        <v>306</v>
      </c>
      <c r="D27" t="s">
        <v>94</v>
      </c>
      <c r="E27" t="s">
        <v>283</v>
      </c>
      <c r="H27" t="s">
        <v>284</v>
      </c>
      <c r="I27" t="s">
        <v>285</v>
      </c>
      <c r="J27">
        <v>100</v>
      </c>
      <c r="K27">
        <v>81900</v>
      </c>
      <c r="L27">
        <v>819</v>
      </c>
      <c r="M27">
        <v>0</v>
      </c>
      <c r="N27">
        <v>600</v>
      </c>
      <c r="O27">
        <v>6</v>
      </c>
      <c r="P27">
        <v>28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-200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82500</v>
      </c>
      <c r="AH27">
        <v>853</v>
      </c>
      <c r="AI27">
        <v>-200</v>
      </c>
      <c r="AJ27">
        <v>2</v>
      </c>
      <c r="AK27">
        <v>74208</v>
      </c>
      <c r="AL27">
        <v>-200</v>
      </c>
      <c r="AM27">
        <v>9950.4</v>
      </c>
      <c r="AN27">
        <v>-2052</v>
      </c>
      <c r="AO27">
        <v>0</v>
      </c>
      <c r="AP27">
        <v>2160</v>
      </c>
      <c r="AQ27">
        <v>-648</v>
      </c>
      <c r="AR27">
        <v>0</v>
      </c>
      <c r="AS27">
        <v>7790.4</v>
      </c>
      <c r="AT27">
        <v>-1404</v>
      </c>
      <c r="AU27">
        <v>0</v>
      </c>
      <c r="AW27">
        <v>0</v>
      </c>
      <c r="AX27">
        <v>0</v>
      </c>
      <c r="AY27">
        <v>50702.47</v>
      </c>
      <c r="BC27" t="s">
        <v>286</v>
      </c>
      <c r="BE27" t="s">
        <v>287</v>
      </c>
    </row>
    <row r="28" spans="1:57" x14ac:dyDescent="0.3">
      <c r="A28">
        <v>2313020794</v>
      </c>
      <c r="B28">
        <v>2313020852</v>
      </c>
      <c r="C28" t="s">
        <v>323</v>
      </c>
      <c r="D28" t="s">
        <v>107</v>
      </c>
      <c r="E28" t="s">
        <v>283</v>
      </c>
      <c r="H28" t="s">
        <v>284</v>
      </c>
      <c r="I28" t="s">
        <v>285</v>
      </c>
      <c r="J28">
        <v>100</v>
      </c>
      <c r="K28">
        <v>81900</v>
      </c>
      <c r="L28">
        <v>819</v>
      </c>
      <c r="M28">
        <v>0</v>
      </c>
      <c r="N28">
        <v>700</v>
      </c>
      <c r="O28">
        <v>7</v>
      </c>
      <c r="P28">
        <v>16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-300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82600</v>
      </c>
      <c r="AH28">
        <v>842</v>
      </c>
      <c r="AI28">
        <v>-300</v>
      </c>
      <c r="AJ28">
        <v>3</v>
      </c>
      <c r="AK28">
        <v>74168</v>
      </c>
      <c r="AL28">
        <v>-300</v>
      </c>
      <c r="AM28">
        <v>10118.4</v>
      </c>
      <c r="AN28">
        <v>-2015.04</v>
      </c>
      <c r="AO28">
        <v>0</v>
      </c>
      <c r="AP28">
        <v>2136</v>
      </c>
      <c r="AQ28">
        <v>-640.79999999999995</v>
      </c>
      <c r="AR28">
        <v>0</v>
      </c>
      <c r="AS28">
        <v>7982.4</v>
      </c>
      <c r="AT28">
        <v>-1374.24</v>
      </c>
      <c r="AU28">
        <v>0</v>
      </c>
      <c r="AW28">
        <v>0</v>
      </c>
      <c r="AX28">
        <v>0</v>
      </c>
      <c r="AY28">
        <v>50682.8</v>
      </c>
      <c r="BC28" t="s">
        <v>286</v>
      </c>
      <c r="BE28" t="s">
        <v>287</v>
      </c>
    </row>
    <row r="29" spans="1:57" x14ac:dyDescent="0.3">
      <c r="A29">
        <v>2313020794</v>
      </c>
      <c r="B29">
        <v>2313020865</v>
      </c>
      <c r="C29" t="s">
        <v>331</v>
      </c>
      <c r="D29" t="s">
        <v>133</v>
      </c>
      <c r="E29" t="s">
        <v>283</v>
      </c>
      <c r="H29" t="s">
        <v>284</v>
      </c>
      <c r="I29" t="s">
        <v>285</v>
      </c>
      <c r="J29">
        <v>100</v>
      </c>
      <c r="K29">
        <v>81900</v>
      </c>
      <c r="L29">
        <v>819</v>
      </c>
      <c r="M29">
        <v>0</v>
      </c>
      <c r="N29">
        <v>700</v>
      </c>
      <c r="O29">
        <v>7</v>
      </c>
      <c r="P29">
        <v>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-100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82600</v>
      </c>
      <c r="AH29">
        <v>840</v>
      </c>
      <c r="AI29">
        <v>-100</v>
      </c>
      <c r="AJ29">
        <v>1</v>
      </c>
      <c r="AK29">
        <v>73869</v>
      </c>
      <c r="AL29">
        <v>-100</v>
      </c>
      <c r="AM29">
        <v>10477.200000000001</v>
      </c>
      <c r="AN29">
        <v>-2067.7199999999998</v>
      </c>
      <c r="AO29">
        <v>0</v>
      </c>
      <c r="AP29">
        <v>2232</v>
      </c>
      <c r="AQ29">
        <v>-669.6</v>
      </c>
      <c r="AR29">
        <v>0</v>
      </c>
      <c r="AS29">
        <v>8245.2000000000007</v>
      </c>
      <c r="AT29">
        <v>-1398.12</v>
      </c>
      <c r="AU29">
        <v>0</v>
      </c>
      <c r="AW29">
        <v>0</v>
      </c>
      <c r="AX29">
        <v>0</v>
      </c>
      <c r="AY29">
        <v>50789.39</v>
      </c>
      <c r="BC29" t="s">
        <v>286</v>
      </c>
      <c r="BE29" t="s">
        <v>287</v>
      </c>
    </row>
    <row r="30" spans="1:57" x14ac:dyDescent="0.3">
      <c r="A30">
        <v>2313020794</v>
      </c>
      <c r="B30">
        <v>2313020832</v>
      </c>
      <c r="C30" t="s">
        <v>325</v>
      </c>
      <c r="D30" t="s">
        <v>110</v>
      </c>
      <c r="E30" t="s">
        <v>283</v>
      </c>
      <c r="H30" t="s">
        <v>284</v>
      </c>
      <c r="I30" t="s">
        <v>285</v>
      </c>
      <c r="J30">
        <v>100</v>
      </c>
      <c r="K30">
        <v>81800</v>
      </c>
      <c r="L30">
        <v>818</v>
      </c>
      <c r="M30">
        <v>0</v>
      </c>
      <c r="N30">
        <v>200</v>
      </c>
      <c r="O30">
        <v>2</v>
      </c>
      <c r="P30">
        <v>16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-400</v>
      </c>
      <c r="X30">
        <v>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82000</v>
      </c>
      <c r="AH30">
        <v>836</v>
      </c>
      <c r="AI30">
        <v>-400</v>
      </c>
      <c r="AJ30">
        <v>4</v>
      </c>
      <c r="AK30">
        <v>73754</v>
      </c>
      <c r="AL30">
        <v>-400</v>
      </c>
      <c r="AM30">
        <v>9895.2000000000007</v>
      </c>
      <c r="AN30">
        <v>-2043.12</v>
      </c>
      <c r="AO30">
        <v>0</v>
      </c>
      <c r="AP30">
        <v>2040</v>
      </c>
      <c r="AQ30">
        <v>-612</v>
      </c>
      <c r="AR30">
        <v>0</v>
      </c>
      <c r="AS30">
        <v>7855.2</v>
      </c>
      <c r="AT30">
        <v>-1431.12</v>
      </c>
      <c r="AU30">
        <v>0</v>
      </c>
      <c r="AW30">
        <v>0</v>
      </c>
      <c r="AX30">
        <v>0</v>
      </c>
      <c r="AY30">
        <v>50371.92</v>
      </c>
      <c r="BC30" t="s">
        <v>286</v>
      </c>
      <c r="BE30" t="s">
        <v>287</v>
      </c>
    </row>
    <row r="31" spans="1:57" x14ac:dyDescent="0.3">
      <c r="A31">
        <v>2313020794</v>
      </c>
      <c r="B31">
        <v>2313020819</v>
      </c>
      <c r="C31" t="s">
        <v>304</v>
      </c>
      <c r="D31" t="s">
        <v>140</v>
      </c>
      <c r="E31" t="s">
        <v>283</v>
      </c>
      <c r="H31" t="s">
        <v>284</v>
      </c>
      <c r="I31" t="s">
        <v>285</v>
      </c>
      <c r="J31">
        <v>100</v>
      </c>
      <c r="K31">
        <v>81400</v>
      </c>
      <c r="L31">
        <v>814</v>
      </c>
      <c r="M31">
        <v>0</v>
      </c>
      <c r="N31">
        <v>1200</v>
      </c>
      <c r="O31">
        <v>12</v>
      </c>
      <c r="P31">
        <v>34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-200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82600</v>
      </c>
      <c r="AH31">
        <v>860</v>
      </c>
      <c r="AI31">
        <v>-200</v>
      </c>
      <c r="AJ31">
        <v>2</v>
      </c>
      <c r="AK31">
        <v>74308</v>
      </c>
      <c r="AL31">
        <v>-200</v>
      </c>
      <c r="AM31">
        <v>9950.4</v>
      </c>
      <c r="AN31">
        <v>-2052</v>
      </c>
      <c r="AO31">
        <v>0</v>
      </c>
      <c r="AP31">
        <v>2160</v>
      </c>
      <c r="AQ31">
        <v>-648</v>
      </c>
      <c r="AR31">
        <v>0</v>
      </c>
      <c r="AS31">
        <v>7790.4</v>
      </c>
      <c r="AT31">
        <v>-1404</v>
      </c>
      <c r="AU31">
        <v>0</v>
      </c>
      <c r="AW31">
        <v>0</v>
      </c>
      <c r="AX31">
        <v>0</v>
      </c>
      <c r="AY31">
        <v>50771.67</v>
      </c>
      <c r="BC31" t="s">
        <v>286</v>
      </c>
      <c r="BE31" t="s">
        <v>287</v>
      </c>
    </row>
    <row r="32" spans="1:57" x14ac:dyDescent="0.3">
      <c r="A32">
        <v>2313020794</v>
      </c>
      <c r="B32">
        <v>2313020823</v>
      </c>
      <c r="C32" t="s">
        <v>305</v>
      </c>
      <c r="D32" t="s">
        <v>92</v>
      </c>
      <c r="E32" t="s">
        <v>283</v>
      </c>
      <c r="H32" t="s">
        <v>284</v>
      </c>
      <c r="I32" t="s">
        <v>285</v>
      </c>
      <c r="J32">
        <v>100</v>
      </c>
      <c r="K32">
        <v>81400</v>
      </c>
      <c r="L32">
        <v>814</v>
      </c>
      <c r="M32">
        <v>0</v>
      </c>
      <c r="N32">
        <v>500</v>
      </c>
      <c r="O32">
        <v>5</v>
      </c>
      <c r="P32">
        <v>34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-200</v>
      </c>
      <c r="X32">
        <v>2</v>
      </c>
      <c r="Y32">
        <v>-100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81900</v>
      </c>
      <c r="AH32">
        <v>853</v>
      </c>
      <c r="AI32">
        <v>-300</v>
      </c>
      <c r="AJ32">
        <v>3</v>
      </c>
      <c r="AK32">
        <v>73963</v>
      </c>
      <c r="AL32">
        <v>-300</v>
      </c>
      <c r="AM32">
        <v>9524.4</v>
      </c>
      <c r="AN32">
        <v>-2009.4</v>
      </c>
      <c r="AO32">
        <v>0</v>
      </c>
      <c r="AP32">
        <v>2160</v>
      </c>
      <c r="AQ32">
        <v>-648</v>
      </c>
      <c r="AR32">
        <v>0</v>
      </c>
      <c r="AS32">
        <v>7364.4</v>
      </c>
      <c r="AT32">
        <v>-1361.4</v>
      </c>
      <c r="AU32">
        <v>0</v>
      </c>
      <c r="AW32">
        <v>0</v>
      </c>
      <c r="AX32">
        <v>0</v>
      </c>
      <c r="AY32">
        <v>50202.23</v>
      </c>
      <c r="BC32" t="s">
        <v>286</v>
      </c>
      <c r="BE32" t="s">
        <v>287</v>
      </c>
    </row>
    <row r="33" spans="1:57" x14ac:dyDescent="0.3">
      <c r="A33">
        <v>2313020794</v>
      </c>
      <c r="B33">
        <v>2313020822</v>
      </c>
      <c r="C33" t="s">
        <v>308</v>
      </c>
      <c r="D33" t="s">
        <v>96</v>
      </c>
      <c r="E33" t="s">
        <v>283</v>
      </c>
      <c r="H33" t="s">
        <v>284</v>
      </c>
      <c r="I33" t="s">
        <v>285</v>
      </c>
      <c r="J33">
        <v>100</v>
      </c>
      <c r="K33">
        <v>81200</v>
      </c>
      <c r="L33">
        <v>812</v>
      </c>
      <c r="M33">
        <v>0</v>
      </c>
      <c r="N33">
        <v>500</v>
      </c>
      <c r="O33">
        <v>5</v>
      </c>
      <c r="P33">
        <v>23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-200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81700</v>
      </c>
      <c r="AH33">
        <v>840</v>
      </c>
      <c r="AI33">
        <v>-200</v>
      </c>
      <c r="AJ33">
        <v>2</v>
      </c>
      <c r="AK33">
        <v>73343</v>
      </c>
      <c r="AL33">
        <v>-200</v>
      </c>
      <c r="AM33">
        <v>10028.4</v>
      </c>
      <c r="AN33">
        <v>-2083.8000000000002</v>
      </c>
      <c r="AO33">
        <v>0</v>
      </c>
      <c r="AP33">
        <v>2280</v>
      </c>
      <c r="AQ33">
        <v>-684</v>
      </c>
      <c r="AR33">
        <v>0</v>
      </c>
      <c r="AS33">
        <v>7748.4</v>
      </c>
      <c r="AT33">
        <v>-1399.8</v>
      </c>
      <c r="AU33">
        <v>0</v>
      </c>
      <c r="AW33">
        <v>0</v>
      </c>
      <c r="AX33">
        <v>0</v>
      </c>
      <c r="AY33">
        <v>50179.59</v>
      </c>
      <c r="BC33" t="s">
        <v>286</v>
      </c>
      <c r="BE33" t="s">
        <v>287</v>
      </c>
    </row>
    <row r="34" spans="1:57" x14ac:dyDescent="0.3">
      <c r="A34">
        <v>2313020794</v>
      </c>
      <c r="B34">
        <v>2313020859</v>
      </c>
      <c r="C34" t="s">
        <v>337</v>
      </c>
      <c r="D34" t="s">
        <v>128</v>
      </c>
      <c r="E34" t="s">
        <v>283</v>
      </c>
      <c r="H34" t="s">
        <v>284</v>
      </c>
      <c r="I34" t="s">
        <v>285</v>
      </c>
      <c r="J34">
        <v>100</v>
      </c>
      <c r="K34">
        <v>81200</v>
      </c>
      <c r="L34">
        <v>812</v>
      </c>
      <c r="M34">
        <v>0</v>
      </c>
      <c r="N34">
        <v>400</v>
      </c>
      <c r="O34">
        <v>4</v>
      </c>
      <c r="P34">
        <v>14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-200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81600</v>
      </c>
      <c r="AH34">
        <v>830</v>
      </c>
      <c r="AI34">
        <v>-200</v>
      </c>
      <c r="AJ34">
        <v>2</v>
      </c>
      <c r="AK34">
        <v>72888</v>
      </c>
      <c r="AL34">
        <v>-200</v>
      </c>
      <c r="AM34">
        <v>10454.4</v>
      </c>
      <c r="AN34">
        <v>-2058.2399999999998</v>
      </c>
      <c r="AO34">
        <v>0</v>
      </c>
      <c r="AP34">
        <v>2280</v>
      </c>
      <c r="AQ34">
        <v>-684</v>
      </c>
      <c r="AR34">
        <v>0</v>
      </c>
      <c r="AS34">
        <v>8174.4</v>
      </c>
      <c r="AT34">
        <v>-1374.24</v>
      </c>
      <c r="AU34">
        <v>0</v>
      </c>
      <c r="AW34">
        <v>0</v>
      </c>
      <c r="AX34">
        <v>0</v>
      </c>
      <c r="AY34">
        <v>50201.919999999998</v>
      </c>
      <c r="BC34" t="s">
        <v>286</v>
      </c>
      <c r="BE34" t="s">
        <v>287</v>
      </c>
    </row>
    <row r="35" spans="1:57" x14ac:dyDescent="0.3">
      <c r="A35">
        <v>2313020794</v>
      </c>
      <c r="B35">
        <v>2313020831</v>
      </c>
      <c r="C35" t="s">
        <v>324</v>
      </c>
      <c r="D35" t="s">
        <v>103</v>
      </c>
      <c r="E35" t="s">
        <v>283</v>
      </c>
      <c r="H35" t="s">
        <v>284</v>
      </c>
      <c r="I35" t="s">
        <v>285</v>
      </c>
      <c r="J35">
        <v>100</v>
      </c>
      <c r="K35">
        <v>80600</v>
      </c>
      <c r="L35">
        <v>806</v>
      </c>
      <c r="M35">
        <v>0</v>
      </c>
      <c r="N35">
        <v>700</v>
      </c>
      <c r="O35">
        <v>7</v>
      </c>
      <c r="P35">
        <v>30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-400</v>
      </c>
      <c r="X35">
        <v>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81300</v>
      </c>
      <c r="AH35">
        <v>843</v>
      </c>
      <c r="AI35">
        <v>-400</v>
      </c>
      <c r="AJ35">
        <v>4</v>
      </c>
      <c r="AK35">
        <v>73310</v>
      </c>
      <c r="AL35">
        <v>-400</v>
      </c>
      <c r="AM35">
        <v>9588</v>
      </c>
      <c r="AN35">
        <v>-1959.6</v>
      </c>
      <c r="AO35">
        <v>0</v>
      </c>
      <c r="AP35">
        <v>1920</v>
      </c>
      <c r="AQ35">
        <v>-576</v>
      </c>
      <c r="AR35">
        <v>0</v>
      </c>
      <c r="AS35">
        <v>7668</v>
      </c>
      <c r="AT35">
        <v>-1383.6</v>
      </c>
      <c r="AU35">
        <v>0</v>
      </c>
      <c r="AW35">
        <v>0</v>
      </c>
      <c r="AX35">
        <v>0</v>
      </c>
      <c r="AY35">
        <v>49961.02</v>
      </c>
      <c r="BC35" t="s">
        <v>286</v>
      </c>
      <c r="BE35" t="s">
        <v>287</v>
      </c>
    </row>
    <row r="36" spans="1:57" x14ac:dyDescent="0.3">
      <c r="A36">
        <v>2313020794</v>
      </c>
      <c r="B36">
        <v>2313021501</v>
      </c>
      <c r="C36" t="s">
        <v>384</v>
      </c>
      <c r="D36" t="s">
        <v>142</v>
      </c>
      <c r="E36" t="s">
        <v>283</v>
      </c>
      <c r="H36" t="s">
        <v>284</v>
      </c>
      <c r="I36" t="s">
        <v>285</v>
      </c>
      <c r="J36">
        <v>100</v>
      </c>
      <c r="K36">
        <v>80600</v>
      </c>
      <c r="L36">
        <v>806</v>
      </c>
      <c r="M36">
        <v>0</v>
      </c>
      <c r="N36">
        <v>0</v>
      </c>
      <c r="O36">
        <v>0</v>
      </c>
      <c r="P36">
        <v>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-100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80600</v>
      </c>
      <c r="AH36">
        <v>815</v>
      </c>
      <c r="AI36">
        <v>-100</v>
      </c>
      <c r="AJ36">
        <v>1</v>
      </c>
      <c r="AK36">
        <v>75270</v>
      </c>
      <c r="AL36">
        <v>-100</v>
      </c>
      <c r="AM36">
        <v>6396</v>
      </c>
      <c r="AN36">
        <v>-1047.5999999999999</v>
      </c>
      <c r="AO36">
        <v>0</v>
      </c>
      <c r="AP36">
        <v>1680</v>
      </c>
      <c r="AQ36">
        <v>-504</v>
      </c>
      <c r="AR36">
        <v>0</v>
      </c>
      <c r="AS36">
        <v>4716</v>
      </c>
      <c r="AT36">
        <v>-543.6</v>
      </c>
      <c r="AU36">
        <v>0</v>
      </c>
      <c r="AW36">
        <v>0</v>
      </c>
      <c r="AX36">
        <v>0</v>
      </c>
      <c r="AY36">
        <v>56362.879999999997</v>
      </c>
      <c r="BC36" t="s">
        <v>286</v>
      </c>
      <c r="BE36" t="s">
        <v>287</v>
      </c>
    </row>
    <row r="37" spans="1:57" x14ac:dyDescent="0.3">
      <c r="A37">
        <v>2313020794</v>
      </c>
      <c r="B37">
        <v>2313020847</v>
      </c>
      <c r="C37" t="s">
        <v>317</v>
      </c>
      <c r="D37" t="s">
        <v>119</v>
      </c>
      <c r="E37" t="s">
        <v>283</v>
      </c>
      <c r="H37" t="s">
        <v>284</v>
      </c>
      <c r="I37" t="s">
        <v>285</v>
      </c>
      <c r="J37">
        <v>100</v>
      </c>
      <c r="K37">
        <v>80300</v>
      </c>
      <c r="L37">
        <v>803</v>
      </c>
      <c r="M37">
        <v>0</v>
      </c>
      <c r="N37">
        <v>200</v>
      </c>
      <c r="O37">
        <v>2</v>
      </c>
      <c r="P37">
        <v>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-300</v>
      </c>
      <c r="X37">
        <v>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80500</v>
      </c>
      <c r="AH37">
        <v>822</v>
      </c>
      <c r="AI37">
        <v>-300</v>
      </c>
      <c r="AJ37">
        <v>3</v>
      </c>
      <c r="AK37">
        <v>72128</v>
      </c>
      <c r="AL37">
        <v>-300</v>
      </c>
      <c r="AM37">
        <v>10046.4</v>
      </c>
      <c r="AN37">
        <v>-1952.64</v>
      </c>
      <c r="AO37">
        <v>0</v>
      </c>
      <c r="AP37">
        <v>2160</v>
      </c>
      <c r="AQ37">
        <v>-648</v>
      </c>
      <c r="AR37">
        <v>0</v>
      </c>
      <c r="AS37">
        <v>7886.4</v>
      </c>
      <c r="AT37">
        <v>-1304.6400000000001</v>
      </c>
      <c r="AU37">
        <v>0</v>
      </c>
      <c r="AW37">
        <v>0</v>
      </c>
      <c r="AX37">
        <v>0</v>
      </c>
      <c r="AY37">
        <v>49564.480000000003</v>
      </c>
      <c r="BC37" t="s">
        <v>286</v>
      </c>
      <c r="BE37" t="s">
        <v>287</v>
      </c>
    </row>
    <row r="38" spans="1:57" x14ac:dyDescent="0.3">
      <c r="A38">
        <v>2313020794</v>
      </c>
      <c r="B38">
        <v>2313020821</v>
      </c>
      <c r="C38" t="s">
        <v>307</v>
      </c>
      <c r="D38" t="s">
        <v>95</v>
      </c>
      <c r="E38" t="s">
        <v>283</v>
      </c>
      <c r="H38" t="s">
        <v>284</v>
      </c>
      <c r="I38" t="s">
        <v>285</v>
      </c>
      <c r="J38">
        <v>100</v>
      </c>
      <c r="K38">
        <v>80100</v>
      </c>
      <c r="L38">
        <v>801</v>
      </c>
      <c r="M38">
        <v>0</v>
      </c>
      <c r="N38">
        <v>200</v>
      </c>
      <c r="O38">
        <v>2</v>
      </c>
      <c r="P38">
        <v>21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-200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80300</v>
      </c>
      <c r="AH38">
        <v>824</v>
      </c>
      <c r="AI38">
        <v>-200</v>
      </c>
      <c r="AJ38">
        <v>2</v>
      </c>
      <c r="AK38">
        <v>72308</v>
      </c>
      <c r="AL38">
        <v>-200</v>
      </c>
      <c r="AM38">
        <v>9590.4</v>
      </c>
      <c r="AN38">
        <v>-1980</v>
      </c>
      <c r="AO38">
        <v>0</v>
      </c>
      <c r="AP38">
        <v>2100</v>
      </c>
      <c r="AQ38">
        <v>-630</v>
      </c>
      <c r="AR38">
        <v>0</v>
      </c>
      <c r="AS38">
        <v>7490.4</v>
      </c>
      <c r="AT38">
        <v>-1350</v>
      </c>
      <c r="AU38">
        <v>0</v>
      </c>
      <c r="AW38">
        <v>0</v>
      </c>
      <c r="AX38">
        <v>0</v>
      </c>
      <c r="AY38">
        <v>49317.67</v>
      </c>
      <c r="BC38" t="s">
        <v>286</v>
      </c>
      <c r="BE38" t="s">
        <v>287</v>
      </c>
    </row>
    <row r="39" spans="1:57" x14ac:dyDescent="0.3">
      <c r="A39">
        <v>2313020794</v>
      </c>
      <c r="B39">
        <v>2313020843</v>
      </c>
      <c r="C39" t="s">
        <v>322</v>
      </c>
      <c r="D39" t="s">
        <v>118</v>
      </c>
      <c r="E39" t="s">
        <v>283</v>
      </c>
      <c r="H39" t="s">
        <v>284</v>
      </c>
      <c r="I39" t="s">
        <v>285</v>
      </c>
      <c r="J39">
        <v>100</v>
      </c>
      <c r="K39">
        <v>79600</v>
      </c>
      <c r="L39">
        <v>796</v>
      </c>
      <c r="M39">
        <v>0</v>
      </c>
      <c r="N39">
        <v>400</v>
      </c>
      <c r="O39">
        <v>4</v>
      </c>
      <c r="P39">
        <v>26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-200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80000</v>
      </c>
      <c r="AH39">
        <v>826</v>
      </c>
      <c r="AI39">
        <v>-200</v>
      </c>
      <c r="AJ39">
        <v>2</v>
      </c>
      <c r="AK39">
        <v>71660</v>
      </c>
      <c r="AL39">
        <v>-200</v>
      </c>
      <c r="AM39">
        <v>10008</v>
      </c>
      <c r="AN39">
        <v>-1982.4</v>
      </c>
      <c r="AO39">
        <v>0</v>
      </c>
      <c r="AP39">
        <v>2040</v>
      </c>
      <c r="AQ39">
        <v>-612</v>
      </c>
      <c r="AR39">
        <v>0</v>
      </c>
      <c r="AS39">
        <v>7968</v>
      </c>
      <c r="AT39">
        <v>-1370.4</v>
      </c>
      <c r="AU39">
        <v>0</v>
      </c>
      <c r="AW39">
        <v>0</v>
      </c>
      <c r="AX39">
        <v>0</v>
      </c>
      <c r="AY39">
        <v>49242.78</v>
      </c>
      <c r="BC39" t="s">
        <v>286</v>
      </c>
      <c r="BE39" t="s">
        <v>287</v>
      </c>
    </row>
    <row r="40" spans="1:57" x14ac:dyDescent="0.3">
      <c r="A40">
        <v>2313020794</v>
      </c>
      <c r="B40">
        <v>2313020850</v>
      </c>
      <c r="C40" t="s">
        <v>333</v>
      </c>
      <c r="D40" t="s">
        <v>122</v>
      </c>
      <c r="E40" t="s">
        <v>283</v>
      </c>
      <c r="H40" t="s">
        <v>284</v>
      </c>
      <c r="I40" t="s">
        <v>285</v>
      </c>
      <c r="J40">
        <v>100</v>
      </c>
      <c r="K40">
        <v>79600</v>
      </c>
      <c r="L40">
        <v>796</v>
      </c>
      <c r="M40">
        <v>0</v>
      </c>
      <c r="N40">
        <v>400</v>
      </c>
      <c r="O40">
        <v>4</v>
      </c>
      <c r="P40">
        <v>23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-300</v>
      </c>
      <c r="X40">
        <v>3</v>
      </c>
      <c r="Y40">
        <v>-100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80000</v>
      </c>
      <c r="AH40">
        <v>823</v>
      </c>
      <c r="AI40">
        <v>-400</v>
      </c>
      <c r="AJ40">
        <v>4</v>
      </c>
      <c r="AK40">
        <v>71508</v>
      </c>
      <c r="AL40">
        <v>-400</v>
      </c>
      <c r="AM40">
        <v>10190.4</v>
      </c>
      <c r="AN40">
        <v>-1988.64</v>
      </c>
      <c r="AO40">
        <v>0</v>
      </c>
      <c r="AP40">
        <v>1980</v>
      </c>
      <c r="AQ40">
        <v>-594</v>
      </c>
      <c r="AR40">
        <v>0</v>
      </c>
      <c r="AS40">
        <v>8210.4</v>
      </c>
      <c r="AT40">
        <v>-1394.64</v>
      </c>
      <c r="AU40">
        <v>0</v>
      </c>
      <c r="AW40">
        <v>0</v>
      </c>
      <c r="AX40">
        <v>0</v>
      </c>
      <c r="AY40">
        <v>49048.08</v>
      </c>
      <c r="BC40" t="s">
        <v>286</v>
      </c>
      <c r="BE40" t="s">
        <v>287</v>
      </c>
    </row>
    <row r="41" spans="1:57" x14ac:dyDescent="0.3">
      <c r="A41">
        <v>2313020794</v>
      </c>
      <c r="B41">
        <v>2313020857</v>
      </c>
      <c r="C41" t="s">
        <v>342</v>
      </c>
      <c r="D41" t="s">
        <v>114</v>
      </c>
      <c r="E41" t="s">
        <v>283</v>
      </c>
      <c r="H41" t="s">
        <v>284</v>
      </c>
      <c r="I41" t="s">
        <v>285</v>
      </c>
      <c r="J41">
        <v>100</v>
      </c>
      <c r="K41">
        <v>79500</v>
      </c>
      <c r="L41">
        <v>795</v>
      </c>
      <c r="M41">
        <v>0</v>
      </c>
      <c r="N41">
        <v>200</v>
      </c>
      <c r="O41">
        <v>2</v>
      </c>
      <c r="P41">
        <v>14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-200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79700</v>
      </c>
      <c r="AH41">
        <v>811</v>
      </c>
      <c r="AI41">
        <v>-200</v>
      </c>
      <c r="AJ41">
        <v>2</v>
      </c>
      <c r="AK41">
        <v>71218</v>
      </c>
      <c r="AL41">
        <v>-200</v>
      </c>
      <c r="AM41">
        <v>10178.4</v>
      </c>
      <c r="AN41">
        <v>-1975.44</v>
      </c>
      <c r="AO41">
        <v>0</v>
      </c>
      <c r="AP41">
        <v>2400</v>
      </c>
      <c r="AQ41">
        <v>-720</v>
      </c>
      <c r="AR41">
        <v>0</v>
      </c>
      <c r="AS41">
        <v>7778.4</v>
      </c>
      <c r="AT41">
        <v>-1255.44</v>
      </c>
      <c r="AU41">
        <v>0</v>
      </c>
      <c r="AW41">
        <v>0</v>
      </c>
      <c r="AX41">
        <v>0</v>
      </c>
      <c r="AY41">
        <v>49052.959999999999</v>
      </c>
      <c r="BC41" t="s">
        <v>286</v>
      </c>
      <c r="BE41" t="s">
        <v>287</v>
      </c>
    </row>
    <row r="42" spans="1:57" x14ac:dyDescent="0.3">
      <c r="A42">
        <v>2313020794</v>
      </c>
      <c r="B42">
        <v>2313020866</v>
      </c>
      <c r="C42" t="s">
        <v>309</v>
      </c>
      <c r="D42" t="s">
        <v>129</v>
      </c>
      <c r="E42" t="s">
        <v>283</v>
      </c>
      <c r="H42" t="s">
        <v>284</v>
      </c>
      <c r="I42" t="s">
        <v>285</v>
      </c>
      <c r="J42">
        <v>100</v>
      </c>
      <c r="K42">
        <v>79400</v>
      </c>
      <c r="L42">
        <v>794</v>
      </c>
      <c r="M42">
        <v>0</v>
      </c>
      <c r="N42">
        <v>1000</v>
      </c>
      <c r="O42">
        <v>10</v>
      </c>
      <c r="P42">
        <v>30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-100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80400</v>
      </c>
      <c r="AH42">
        <v>834</v>
      </c>
      <c r="AI42">
        <v>-100</v>
      </c>
      <c r="AJ42">
        <v>1</v>
      </c>
      <c r="AK42">
        <v>71859</v>
      </c>
      <c r="AL42">
        <v>-100</v>
      </c>
      <c r="AM42">
        <v>10249.200000000001</v>
      </c>
      <c r="AN42">
        <v>-1999.32</v>
      </c>
      <c r="AO42">
        <v>0</v>
      </c>
      <c r="AP42">
        <v>2160</v>
      </c>
      <c r="AQ42">
        <v>-648</v>
      </c>
      <c r="AR42">
        <v>0</v>
      </c>
      <c r="AS42">
        <v>8089.2</v>
      </c>
      <c r="AT42">
        <v>-1351.32</v>
      </c>
      <c r="AU42">
        <v>0</v>
      </c>
      <c r="AW42">
        <v>0</v>
      </c>
      <c r="AX42">
        <v>0</v>
      </c>
      <c r="AY42">
        <v>49480.03</v>
      </c>
      <c r="BC42" t="s">
        <v>286</v>
      </c>
      <c r="BE42" t="s">
        <v>287</v>
      </c>
    </row>
    <row r="43" spans="1:57" x14ac:dyDescent="0.3">
      <c r="A43">
        <v>2313020794</v>
      </c>
      <c r="B43">
        <v>2313020853</v>
      </c>
      <c r="C43" t="s">
        <v>330</v>
      </c>
      <c r="D43" t="s">
        <v>112</v>
      </c>
      <c r="E43" t="s">
        <v>283</v>
      </c>
      <c r="H43" t="s">
        <v>284</v>
      </c>
      <c r="I43" t="s">
        <v>285</v>
      </c>
      <c r="J43">
        <v>100</v>
      </c>
      <c r="K43">
        <v>79300</v>
      </c>
      <c r="L43">
        <v>793</v>
      </c>
      <c r="M43">
        <v>0</v>
      </c>
      <c r="N43">
        <v>500</v>
      </c>
      <c r="O43">
        <v>5</v>
      </c>
      <c r="P43">
        <v>14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-300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79800</v>
      </c>
      <c r="AH43">
        <v>812</v>
      </c>
      <c r="AI43">
        <v>-300</v>
      </c>
      <c r="AJ43">
        <v>3</v>
      </c>
      <c r="AK43">
        <v>71638</v>
      </c>
      <c r="AL43">
        <v>-300</v>
      </c>
      <c r="AM43">
        <v>9794.4</v>
      </c>
      <c r="AN43">
        <v>-1937.04</v>
      </c>
      <c r="AO43">
        <v>0</v>
      </c>
      <c r="AP43">
        <v>2160</v>
      </c>
      <c r="AQ43">
        <v>-648</v>
      </c>
      <c r="AR43">
        <v>0</v>
      </c>
      <c r="AS43">
        <v>7634.4</v>
      </c>
      <c r="AT43">
        <v>-1289.04</v>
      </c>
      <c r="AU43">
        <v>0</v>
      </c>
      <c r="AW43">
        <v>0</v>
      </c>
      <c r="AX43">
        <v>0</v>
      </c>
      <c r="AY43">
        <v>48917.04</v>
      </c>
      <c r="BC43" t="s">
        <v>286</v>
      </c>
      <c r="BE43" t="s">
        <v>287</v>
      </c>
    </row>
    <row r="44" spans="1:57" x14ac:dyDescent="0.3">
      <c r="A44">
        <v>2313020794</v>
      </c>
      <c r="B44">
        <v>2313020854</v>
      </c>
      <c r="C44" t="s">
        <v>332</v>
      </c>
      <c r="D44" t="s">
        <v>108</v>
      </c>
      <c r="E44" t="s">
        <v>283</v>
      </c>
      <c r="H44" t="s">
        <v>284</v>
      </c>
      <c r="I44" t="s">
        <v>285</v>
      </c>
      <c r="J44">
        <v>100</v>
      </c>
      <c r="K44">
        <v>79200</v>
      </c>
      <c r="L44">
        <v>792</v>
      </c>
      <c r="M44">
        <v>0</v>
      </c>
      <c r="N44">
        <v>400</v>
      </c>
      <c r="O44">
        <v>4</v>
      </c>
      <c r="P44">
        <v>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-300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79600</v>
      </c>
      <c r="AH44">
        <v>811</v>
      </c>
      <c r="AI44">
        <v>-300</v>
      </c>
      <c r="AJ44">
        <v>3</v>
      </c>
      <c r="AK44">
        <v>71198</v>
      </c>
      <c r="AL44">
        <v>-300</v>
      </c>
      <c r="AM44">
        <v>10082.4</v>
      </c>
      <c r="AN44">
        <v>-2013.84</v>
      </c>
      <c r="AO44">
        <v>0</v>
      </c>
      <c r="AP44">
        <v>2160</v>
      </c>
      <c r="AQ44">
        <v>-648</v>
      </c>
      <c r="AR44">
        <v>0</v>
      </c>
      <c r="AS44">
        <v>7922.4</v>
      </c>
      <c r="AT44">
        <v>-1365.84</v>
      </c>
      <c r="AU44">
        <v>0</v>
      </c>
      <c r="AW44">
        <v>0</v>
      </c>
      <c r="AX44">
        <v>0</v>
      </c>
      <c r="AY44">
        <v>48810.080000000002</v>
      </c>
      <c r="BC44" t="s">
        <v>286</v>
      </c>
      <c r="BE44" t="s">
        <v>287</v>
      </c>
    </row>
    <row r="45" spans="1:57" x14ac:dyDescent="0.3">
      <c r="A45">
        <v>2313020794</v>
      </c>
      <c r="B45">
        <v>2313020864</v>
      </c>
      <c r="C45" t="s">
        <v>340</v>
      </c>
      <c r="D45" t="s">
        <v>132</v>
      </c>
      <c r="E45" t="s">
        <v>283</v>
      </c>
      <c r="H45" t="s">
        <v>284</v>
      </c>
      <c r="I45" t="s">
        <v>285</v>
      </c>
      <c r="J45">
        <v>100</v>
      </c>
      <c r="K45">
        <v>79100</v>
      </c>
      <c r="L45">
        <v>791</v>
      </c>
      <c r="M45">
        <v>0</v>
      </c>
      <c r="N45">
        <v>800</v>
      </c>
      <c r="O45">
        <v>8</v>
      </c>
      <c r="P45">
        <v>15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-100</v>
      </c>
      <c r="X45">
        <v>1</v>
      </c>
      <c r="Y45">
        <v>-100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79900</v>
      </c>
      <c r="AH45">
        <v>814</v>
      </c>
      <c r="AI45">
        <v>-200</v>
      </c>
      <c r="AJ45">
        <v>2</v>
      </c>
      <c r="AK45">
        <v>71379</v>
      </c>
      <c r="AL45">
        <v>-200</v>
      </c>
      <c r="AM45">
        <v>10225.200000000001</v>
      </c>
      <c r="AN45">
        <v>-2016.12</v>
      </c>
      <c r="AO45">
        <v>0</v>
      </c>
      <c r="AP45">
        <v>2100</v>
      </c>
      <c r="AQ45">
        <v>-630</v>
      </c>
      <c r="AR45">
        <v>0</v>
      </c>
      <c r="AS45">
        <v>8125.2</v>
      </c>
      <c r="AT45">
        <v>-1386.12</v>
      </c>
      <c r="AU45">
        <v>0</v>
      </c>
      <c r="AW45">
        <v>0</v>
      </c>
      <c r="AX45">
        <v>0</v>
      </c>
      <c r="AY45">
        <v>49024.35</v>
      </c>
      <c r="BC45" t="s">
        <v>286</v>
      </c>
      <c r="BE45" t="s">
        <v>287</v>
      </c>
    </row>
    <row r="46" spans="1:57" x14ac:dyDescent="0.3">
      <c r="A46">
        <v>2313020794</v>
      </c>
      <c r="B46">
        <v>2313020848</v>
      </c>
      <c r="C46" t="s">
        <v>326</v>
      </c>
      <c r="D46" t="s">
        <v>120</v>
      </c>
      <c r="E46" t="s">
        <v>283</v>
      </c>
      <c r="H46" t="s">
        <v>284</v>
      </c>
      <c r="I46" t="s">
        <v>285</v>
      </c>
      <c r="J46">
        <v>100</v>
      </c>
      <c r="K46">
        <v>78600</v>
      </c>
      <c r="L46">
        <v>786</v>
      </c>
      <c r="M46">
        <v>0</v>
      </c>
      <c r="N46">
        <v>200</v>
      </c>
      <c r="O46">
        <v>2</v>
      </c>
      <c r="P46">
        <v>20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-300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78800</v>
      </c>
      <c r="AH46">
        <v>808</v>
      </c>
      <c r="AI46">
        <v>-300</v>
      </c>
      <c r="AJ46">
        <v>3</v>
      </c>
      <c r="AK46">
        <v>70438</v>
      </c>
      <c r="AL46">
        <v>-300</v>
      </c>
      <c r="AM46">
        <v>10034.4</v>
      </c>
      <c r="AN46">
        <v>-2009.04</v>
      </c>
      <c r="AO46">
        <v>0</v>
      </c>
      <c r="AP46">
        <v>2160</v>
      </c>
      <c r="AQ46">
        <v>-648</v>
      </c>
      <c r="AR46">
        <v>0</v>
      </c>
      <c r="AS46">
        <v>7874.4</v>
      </c>
      <c r="AT46">
        <v>-1361.04</v>
      </c>
      <c r="AU46">
        <v>0</v>
      </c>
      <c r="AW46">
        <v>0</v>
      </c>
      <c r="AX46">
        <v>0</v>
      </c>
      <c r="AY46">
        <v>48507.040000000001</v>
      </c>
      <c r="BC46" t="s">
        <v>286</v>
      </c>
      <c r="BE46" t="s">
        <v>287</v>
      </c>
    </row>
    <row r="47" spans="1:57" x14ac:dyDescent="0.3">
      <c r="A47">
        <v>2313020794</v>
      </c>
      <c r="B47">
        <v>2313020855</v>
      </c>
      <c r="C47" t="s">
        <v>338</v>
      </c>
      <c r="D47" t="s">
        <v>113</v>
      </c>
      <c r="E47" t="s">
        <v>283</v>
      </c>
      <c r="H47" t="s">
        <v>284</v>
      </c>
      <c r="I47" t="s">
        <v>285</v>
      </c>
      <c r="J47">
        <v>100</v>
      </c>
      <c r="K47">
        <v>78500</v>
      </c>
      <c r="L47">
        <v>785</v>
      </c>
      <c r="M47">
        <v>0</v>
      </c>
      <c r="N47">
        <v>100</v>
      </c>
      <c r="O47">
        <v>1</v>
      </c>
      <c r="P47">
        <v>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-200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78600</v>
      </c>
      <c r="AH47">
        <v>807</v>
      </c>
      <c r="AI47">
        <v>-200</v>
      </c>
      <c r="AJ47">
        <v>2</v>
      </c>
      <c r="AK47">
        <v>70428</v>
      </c>
      <c r="AL47">
        <v>-200</v>
      </c>
      <c r="AM47">
        <v>9806.4</v>
      </c>
      <c r="AN47">
        <v>-1909.44</v>
      </c>
      <c r="AO47">
        <v>0</v>
      </c>
      <c r="AP47">
        <v>2256</v>
      </c>
      <c r="AQ47">
        <v>-676.8</v>
      </c>
      <c r="AR47">
        <v>0</v>
      </c>
      <c r="AS47">
        <v>7550.4</v>
      </c>
      <c r="AT47">
        <v>-1232.6400000000001</v>
      </c>
      <c r="AU47">
        <v>0</v>
      </c>
      <c r="AW47">
        <v>0</v>
      </c>
      <c r="AX47">
        <v>0</v>
      </c>
      <c r="AY47">
        <v>48324.800000000003</v>
      </c>
      <c r="BC47" t="s">
        <v>286</v>
      </c>
      <c r="BE47" t="s">
        <v>287</v>
      </c>
    </row>
    <row r="48" spans="1:57" x14ac:dyDescent="0.3">
      <c r="A48">
        <v>2313020794</v>
      </c>
      <c r="B48">
        <v>2313020826</v>
      </c>
      <c r="C48" t="s">
        <v>314</v>
      </c>
      <c r="D48" t="s">
        <v>98</v>
      </c>
      <c r="E48" t="s">
        <v>283</v>
      </c>
      <c r="H48" t="s">
        <v>284</v>
      </c>
      <c r="I48" t="s">
        <v>285</v>
      </c>
      <c r="J48">
        <v>100</v>
      </c>
      <c r="K48">
        <v>78300</v>
      </c>
      <c r="L48">
        <v>783</v>
      </c>
      <c r="M48">
        <v>0</v>
      </c>
      <c r="N48">
        <v>400</v>
      </c>
      <c r="O48">
        <v>4</v>
      </c>
      <c r="P48">
        <v>26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-200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78700</v>
      </c>
      <c r="AH48">
        <v>813</v>
      </c>
      <c r="AI48">
        <v>-200</v>
      </c>
      <c r="AJ48">
        <v>2</v>
      </c>
      <c r="AK48">
        <v>70359</v>
      </c>
      <c r="AL48">
        <v>-200</v>
      </c>
      <c r="AM48">
        <v>10009.200000000001</v>
      </c>
      <c r="AN48">
        <v>-2102.52</v>
      </c>
      <c r="AO48">
        <v>0</v>
      </c>
      <c r="AP48">
        <v>2280</v>
      </c>
      <c r="AQ48">
        <v>-684</v>
      </c>
      <c r="AR48">
        <v>0</v>
      </c>
      <c r="AS48">
        <v>7729.2</v>
      </c>
      <c r="AT48">
        <v>-1418.52</v>
      </c>
      <c r="AU48">
        <v>0</v>
      </c>
      <c r="AW48">
        <v>0</v>
      </c>
      <c r="AX48">
        <v>0</v>
      </c>
      <c r="AY48">
        <v>48471.63</v>
      </c>
      <c r="BC48" t="s">
        <v>286</v>
      </c>
      <c r="BE48" t="s">
        <v>287</v>
      </c>
    </row>
    <row r="49" spans="1:57" x14ac:dyDescent="0.3">
      <c r="A49">
        <v>2313020794</v>
      </c>
      <c r="B49">
        <v>2313020824</v>
      </c>
      <c r="C49" t="s">
        <v>310</v>
      </c>
      <c r="D49" t="s">
        <v>97</v>
      </c>
      <c r="E49" t="s">
        <v>283</v>
      </c>
      <c r="H49" t="s">
        <v>284</v>
      </c>
      <c r="I49" t="s">
        <v>285</v>
      </c>
      <c r="J49">
        <v>100</v>
      </c>
      <c r="K49">
        <v>78200</v>
      </c>
      <c r="L49">
        <v>782</v>
      </c>
      <c r="M49">
        <v>0</v>
      </c>
      <c r="N49">
        <v>1500</v>
      </c>
      <c r="O49">
        <v>15</v>
      </c>
      <c r="P49">
        <v>26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-300</v>
      </c>
      <c r="X49">
        <v>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79700</v>
      </c>
      <c r="AH49">
        <v>823</v>
      </c>
      <c r="AI49">
        <v>-300</v>
      </c>
      <c r="AJ49">
        <v>3</v>
      </c>
      <c r="AK49">
        <v>71475</v>
      </c>
      <c r="AL49">
        <v>-300</v>
      </c>
      <c r="AM49">
        <v>9870</v>
      </c>
      <c r="AN49">
        <v>-2019.96</v>
      </c>
      <c r="AO49">
        <v>0</v>
      </c>
      <c r="AP49">
        <v>2160</v>
      </c>
      <c r="AQ49">
        <v>-648</v>
      </c>
      <c r="AR49">
        <v>0</v>
      </c>
      <c r="AS49">
        <v>7710</v>
      </c>
      <c r="AT49">
        <v>-1371.96</v>
      </c>
      <c r="AU49">
        <v>0</v>
      </c>
      <c r="AW49">
        <v>0</v>
      </c>
      <c r="AX49">
        <v>0</v>
      </c>
      <c r="AY49">
        <v>49080.45</v>
      </c>
      <c r="BC49" t="s">
        <v>286</v>
      </c>
      <c r="BE49" t="s">
        <v>287</v>
      </c>
    </row>
    <row r="50" spans="1:57" x14ac:dyDescent="0.3">
      <c r="A50">
        <v>2313020794</v>
      </c>
      <c r="B50">
        <v>2313020842</v>
      </c>
      <c r="C50" t="s">
        <v>318</v>
      </c>
      <c r="D50" t="s">
        <v>117</v>
      </c>
      <c r="E50" t="s">
        <v>283</v>
      </c>
      <c r="H50" t="s">
        <v>284</v>
      </c>
      <c r="I50" t="s">
        <v>285</v>
      </c>
      <c r="J50">
        <v>100</v>
      </c>
      <c r="K50">
        <v>78200</v>
      </c>
      <c r="L50">
        <v>782</v>
      </c>
      <c r="M50">
        <v>0</v>
      </c>
      <c r="N50">
        <v>200</v>
      </c>
      <c r="O50">
        <v>2</v>
      </c>
      <c r="P50">
        <v>32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-200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78400</v>
      </c>
      <c r="AH50">
        <v>816</v>
      </c>
      <c r="AI50">
        <v>-200</v>
      </c>
      <c r="AJ50">
        <v>2</v>
      </c>
      <c r="AK50">
        <v>70170</v>
      </c>
      <c r="AL50">
        <v>-200</v>
      </c>
      <c r="AM50">
        <v>9876</v>
      </c>
      <c r="AN50">
        <v>-1971.6</v>
      </c>
      <c r="AO50">
        <v>0</v>
      </c>
      <c r="AP50">
        <v>2040</v>
      </c>
      <c r="AQ50">
        <v>-612</v>
      </c>
      <c r="AR50">
        <v>0</v>
      </c>
      <c r="AS50">
        <v>7836</v>
      </c>
      <c r="AT50">
        <v>-1359.6</v>
      </c>
      <c r="AU50">
        <v>0</v>
      </c>
      <c r="AW50">
        <v>0</v>
      </c>
      <c r="AX50">
        <v>0</v>
      </c>
      <c r="AY50">
        <v>48245.9</v>
      </c>
      <c r="BC50" t="s">
        <v>286</v>
      </c>
      <c r="BE50" t="s">
        <v>287</v>
      </c>
    </row>
    <row r="51" spans="1:57" x14ac:dyDescent="0.3">
      <c r="A51">
        <v>2313020794</v>
      </c>
      <c r="B51">
        <v>2313020858</v>
      </c>
      <c r="C51" t="s">
        <v>341</v>
      </c>
      <c r="D51" t="s">
        <v>115</v>
      </c>
      <c r="E51" t="s">
        <v>283</v>
      </c>
      <c r="H51" t="s">
        <v>284</v>
      </c>
      <c r="I51" t="s">
        <v>285</v>
      </c>
      <c r="J51">
        <v>100</v>
      </c>
      <c r="K51">
        <v>78100</v>
      </c>
      <c r="L51">
        <v>781</v>
      </c>
      <c r="M51">
        <v>0</v>
      </c>
      <c r="N51">
        <v>400</v>
      </c>
      <c r="O51">
        <v>4</v>
      </c>
      <c r="P51">
        <v>16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-200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78500</v>
      </c>
      <c r="AH51">
        <v>801</v>
      </c>
      <c r="AI51">
        <v>-200</v>
      </c>
      <c r="AJ51">
        <v>2</v>
      </c>
      <c r="AK51">
        <v>69983</v>
      </c>
      <c r="AL51">
        <v>-200</v>
      </c>
      <c r="AM51">
        <v>10220.4</v>
      </c>
      <c r="AN51">
        <v>-2016.84</v>
      </c>
      <c r="AO51">
        <v>0</v>
      </c>
      <c r="AP51">
        <v>2208</v>
      </c>
      <c r="AQ51">
        <v>-662.4</v>
      </c>
      <c r="AR51">
        <v>0</v>
      </c>
      <c r="AS51">
        <v>8012.4</v>
      </c>
      <c r="AT51">
        <v>-1354.44</v>
      </c>
      <c r="AU51">
        <v>0</v>
      </c>
      <c r="AW51">
        <v>0</v>
      </c>
      <c r="AX51">
        <v>0</v>
      </c>
      <c r="AY51">
        <v>48220.959999999999</v>
      </c>
      <c r="BC51" t="s">
        <v>286</v>
      </c>
      <c r="BE51" t="s">
        <v>287</v>
      </c>
    </row>
    <row r="52" spans="1:57" x14ac:dyDescent="0.3">
      <c r="A52">
        <v>2313020794</v>
      </c>
      <c r="B52">
        <v>2313020863</v>
      </c>
      <c r="C52" t="s">
        <v>339</v>
      </c>
      <c r="D52" t="s">
        <v>131</v>
      </c>
      <c r="E52" t="s">
        <v>283</v>
      </c>
      <c r="H52" t="s">
        <v>284</v>
      </c>
      <c r="I52" t="s">
        <v>285</v>
      </c>
      <c r="J52">
        <v>100</v>
      </c>
      <c r="K52">
        <v>77900</v>
      </c>
      <c r="L52">
        <v>779</v>
      </c>
      <c r="M52">
        <v>0</v>
      </c>
      <c r="N52">
        <v>800</v>
      </c>
      <c r="O52">
        <v>8</v>
      </c>
      <c r="P52">
        <v>14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-100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78700</v>
      </c>
      <c r="AH52">
        <v>801</v>
      </c>
      <c r="AI52">
        <v>-100</v>
      </c>
      <c r="AJ52">
        <v>1</v>
      </c>
      <c r="AK52">
        <v>70038</v>
      </c>
      <c r="AL52">
        <v>-100</v>
      </c>
      <c r="AM52">
        <v>10394.4</v>
      </c>
      <c r="AN52">
        <v>-2045.04</v>
      </c>
      <c r="AO52">
        <v>0</v>
      </c>
      <c r="AP52">
        <v>2280</v>
      </c>
      <c r="AQ52">
        <v>-684</v>
      </c>
      <c r="AR52">
        <v>0</v>
      </c>
      <c r="AS52">
        <v>8114.4</v>
      </c>
      <c r="AT52">
        <v>-1361.04</v>
      </c>
      <c r="AU52">
        <v>0</v>
      </c>
      <c r="AW52">
        <v>0</v>
      </c>
      <c r="AX52">
        <v>0</v>
      </c>
      <c r="AY52">
        <v>48374.64</v>
      </c>
      <c r="BC52" t="s">
        <v>286</v>
      </c>
      <c r="BE52" t="s">
        <v>287</v>
      </c>
    </row>
    <row r="53" spans="1:57" x14ac:dyDescent="0.3">
      <c r="A53">
        <v>2313020794</v>
      </c>
      <c r="B53">
        <v>2313020844</v>
      </c>
      <c r="C53" t="s">
        <v>321</v>
      </c>
      <c r="D53" t="s">
        <v>104</v>
      </c>
      <c r="E53" t="s">
        <v>283</v>
      </c>
      <c r="H53" t="s">
        <v>284</v>
      </c>
      <c r="I53" t="s">
        <v>285</v>
      </c>
      <c r="J53">
        <v>100</v>
      </c>
      <c r="K53">
        <v>77300</v>
      </c>
      <c r="L53">
        <v>773</v>
      </c>
      <c r="M53">
        <v>0</v>
      </c>
      <c r="N53">
        <v>100</v>
      </c>
      <c r="O53">
        <v>1</v>
      </c>
      <c r="P53">
        <v>21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-300</v>
      </c>
      <c r="X53">
        <v>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77400</v>
      </c>
      <c r="AH53">
        <v>795</v>
      </c>
      <c r="AI53">
        <v>-300</v>
      </c>
      <c r="AJ53">
        <v>3</v>
      </c>
      <c r="AK53">
        <v>69178</v>
      </c>
      <c r="AL53">
        <v>-300</v>
      </c>
      <c r="AM53">
        <v>9866.4</v>
      </c>
      <c r="AN53">
        <v>-1910.64</v>
      </c>
      <c r="AO53">
        <v>0</v>
      </c>
      <c r="AP53">
        <v>1992</v>
      </c>
      <c r="AQ53">
        <v>-597.6</v>
      </c>
      <c r="AR53">
        <v>0</v>
      </c>
      <c r="AS53">
        <v>7874.4</v>
      </c>
      <c r="AT53">
        <v>-1313.04</v>
      </c>
      <c r="AU53">
        <v>0</v>
      </c>
      <c r="AW53">
        <v>0</v>
      </c>
      <c r="AX53">
        <v>0</v>
      </c>
      <c r="AY53">
        <v>47651.68</v>
      </c>
      <c r="BC53" t="s">
        <v>286</v>
      </c>
      <c r="BE53" t="s">
        <v>287</v>
      </c>
    </row>
    <row r="54" spans="1:57" x14ac:dyDescent="0.3">
      <c r="A54">
        <v>2313020794</v>
      </c>
      <c r="B54">
        <v>2313020845</v>
      </c>
      <c r="C54" t="s">
        <v>320</v>
      </c>
      <c r="D54" t="s">
        <v>111</v>
      </c>
      <c r="E54" t="s">
        <v>283</v>
      </c>
      <c r="H54" t="s">
        <v>284</v>
      </c>
      <c r="I54" t="s">
        <v>285</v>
      </c>
      <c r="J54">
        <v>100</v>
      </c>
      <c r="K54">
        <v>77200</v>
      </c>
      <c r="L54">
        <v>772</v>
      </c>
      <c r="M54">
        <v>0</v>
      </c>
      <c r="N54">
        <v>400</v>
      </c>
      <c r="O54">
        <v>4</v>
      </c>
      <c r="P54">
        <v>17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-300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77600</v>
      </c>
      <c r="AH54">
        <v>793</v>
      </c>
      <c r="AI54">
        <v>-300</v>
      </c>
      <c r="AJ54">
        <v>3</v>
      </c>
      <c r="AK54">
        <v>69338</v>
      </c>
      <c r="AL54">
        <v>-300</v>
      </c>
      <c r="AM54">
        <v>9914.4</v>
      </c>
      <c r="AN54">
        <v>-1973.04</v>
      </c>
      <c r="AO54">
        <v>0</v>
      </c>
      <c r="AP54">
        <v>2040</v>
      </c>
      <c r="AQ54">
        <v>-612</v>
      </c>
      <c r="AR54">
        <v>0</v>
      </c>
      <c r="AS54">
        <v>7874.4</v>
      </c>
      <c r="AT54">
        <v>-1361.04</v>
      </c>
      <c r="AU54">
        <v>0</v>
      </c>
      <c r="AW54">
        <v>0</v>
      </c>
      <c r="AX54">
        <v>0</v>
      </c>
      <c r="AY54">
        <v>47699.040000000001</v>
      </c>
      <c r="BC54" t="s">
        <v>286</v>
      </c>
      <c r="BE54" t="s">
        <v>287</v>
      </c>
    </row>
    <row r="55" spans="1:57" x14ac:dyDescent="0.3">
      <c r="A55">
        <v>2313020794</v>
      </c>
      <c r="B55">
        <v>2313020830</v>
      </c>
      <c r="C55" t="s">
        <v>329</v>
      </c>
      <c r="D55" t="s">
        <v>102</v>
      </c>
      <c r="E55" t="s">
        <v>283</v>
      </c>
      <c r="H55" t="s">
        <v>284</v>
      </c>
      <c r="I55" t="s">
        <v>285</v>
      </c>
      <c r="J55">
        <v>100</v>
      </c>
      <c r="K55">
        <v>76800</v>
      </c>
      <c r="L55">
        <v>768</v>
      </c>
      <c r="M55">
        <v>0</v>
      </c>
      <c r="N55">
        <v>100</v>
      </c>
      <c r="O55">
        <v>1</v>
      </c>
      <c r="P55">
        <v>25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-400</v>
      </c>
      <c r="X55">
        <v>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76900</v>
      </c>
      <c r="AH55">
        <v>794</v>
      </c>
      <c r="AI55">
        <v>-400</v>
      </c>
      <c r="AJ55">
        <v>4</v>
      </c>
      <c r="AK55">
        <v>69060</v>
      </c>
      <c r="AL55">
        <v>-400</v>
      </c>
      <c r="AM55">
        <v>9408</v>
      </c>
      <c r="AN55">
        <v>-1934.4</v>
      </c>
      <c r="AO55">
        <v>0</v>
      </c>
      <c r="AP55">
        <v>1860</v>
      </c>
      <c r="AQ55">
        <v>-558</v>
      </c>
      <c r="AR55">
        <v>0</v>
      </c>
      <c r="AS55">
        <v>7548</v>
      </c>
      <c r="AT55">
        <v>-1376.4</v>
      </c>
      <c r="AU55">
        <v>0</v>
      </c>
      <c r="AW55">
        <v>0</v>
      </c>
      <c r="AX55">
        <v>0</v>
      </c>
      <c r="AY55">
        <v>47199.98</v>
      </c>
      <c r="BC55" t="s">
        <v>286</v>
      </c>
      <c r="BE55" t="s">
        <v>287</v>
      </c>
    </row>
    <row r="56" spans="1:57" x14ac:dyDescent="0.3">
      <c r="A56">
        <v>2313020794</v>
      </c>
      <c r="B56">
        <v>2313020846</v>
      </c>
      <c r="C56" t="s">
        <v>312</v>
      </c>
      <c r="D56" t="s">
        <v>106</v>
      </c>
      <c r="E56" t="s">
        <v>283</v>
      </c>
      <c r="H56" t="s">
        <v>284</v>
      </c>
      <c r="I56" t="s">
        <v>285</v>
      </c>
      <c r="J56">
        <v>100</v>
      </c>
      <c r="K56">
        <v>76600</v>
      </c>
      <c r="L56">
        <v>766</v>
      </c>
      <c r="M56">
        <v>0</v>
      </c>
      <c r="N56">
        <v>300</v>
      </c>
      <c r="O56">
        <v>3</v>
      </c>
      <c r="P56">
        <v>23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-300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76900</v>
      </c>
      <c r="AH56">
        <v>792</v>
      </c>
      <c r="AI56">
        <v>-300</v>
      </c>
      <c r="AJ56">
        <v>3</v>
      </c>
      <c r="AK56">
        <v>68618</v>
      </c>
      <c r="AL56">
        <v>-300</v>
      </c>
      <c r="AM56">
        <v>9938.4</v>
      </c>
      <c r="AN56">
        <v>-1975.44</v>
      </c>
      <c r="AO56">
        <v>0</v>
      </c>
      <c r="AP56">
        <v>2160</v>
      </c>
      <c r="AQ56">
        <v>-648</v>
      </c>
      <c r="AR56">
        <v>0</v>
      </c>
      <c r="AS56">
        <v>7778.4</v>
      </c>
      <c r="AT56">
        <v>-1327.44</v>
      </c>
      <c r="AU56">
        <v>0</v>
      </c>
      <c r="AW56">
        <v>0</v>
      </c>
      <c r="AX56">
        <v>0</v>
      </c>
      <c r="AY56">
        <v>47309.2</v>
      </c>
      <c r="BC56" t="s">
        <v>286</v>
      </c>
      <c r="BE56" t="s">
        <v>287</v>
      </c>
    </row>
    <row r="57" spans="1:57" x14ac:dyDescent="0.3">
      <c r="A57">
        <v>2313020794</v>
      </c>
      <c r="B57">
        <v>2313020856</v>
      </c>
      <c r="C57" t="s">
        <v>343</v>
      </c>
      <c r="D57" t="s">
        <v>109</v>
      </c>
      <c r="E57" t="s">
        <v>283</v>
      </c>
      <c r="H57" t="s">
        <v>284</v>
      </c>
      <c r="I57" t="s">
        <v>285</v>
      </c>
      <c r="J57">
        <v>100</v>
      </c>
      <c r="K57">
        <v>76500</v>
      </c>
      <c r="L57">
        <v>765</v>
      </c>
      <c r="M57">
        <v>0</v>
      </c>
      <c r="N57">
        <v>300</v>
      </c>
      <c r="O57">
        <v>3</v>
      </c>
      <c r="P57">
        <v>18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-200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76800</v>
      </c>
      <c r="AH57">
        <v>786</v>
      </c>
      <c r="AI57">
        <v>-200</v>
      </c>
      <c r="AJ57">
        <v>2</v>
      </c>
      <c r="AK57">
        <v>68168</v>
      </c>
      <c r="AL57">
        <v>-200</v>
      </c>
      <c r="AM57">
        <v>10358.4</v>
      </c>
      <c r="AN57">
        <v>-2036.64</v>
      </c>
      <c r="AO57">
        <v>0</v>
      </c>
      <c r="AP57">
        <v>2496</v>
      </c>
      <c r="AQ57">
        <v>-748.8</v>
      </c>
      <c r="AR57">
        <v>0</v>
      </c>
      <c r="AS57">
        <v>7862.4</v>
      </c>
      <c r="AT57">
        <v>-1287.8399999999999</v>
      </c>
      <c r="AU57">
        <v>0</v>
      </c>
      <c r="AW57">
        <v>0</v>
      </c>
      <c r="AX57">
        <v>0</v>
      </c>
      <c r="AY57">
        <v>47174.48</v>
      </c>
      <c r="BC57" t="s">
        <v>286</v>
      </c>
      <c r="BE57" t="s">
        <v>287</v>
      </c>
    </row>
    <row r="58" spans="1:57" x14ac:dyDescent="0.3">
      <c r="A58">
        <v>2313020794</v>
      </c>
      <c r="B58">
        <v>2313020862</v>
      </c>
      <c r="C58" t="s">
        <v>336</v>
      </c>
      <c r="D58" t="s">
        <v>125</v>
      </c>
      <c r="E58" t="s">
        <v>283</v>
      </c>
      <c r="H58" t="s">
        <v>284</v>
      </c>
      <c r="I58" t="s">
        <v>285</v>
      </c>
      <c r="J58">
        <v>100</v>
      </c>
      <c r="K58">
        <v>76400</v>
      </c>
      <c r="L58">
        <v>764</v>
      </c>
      <c r="M58">
        <v>0</v>
      </c>
      <c r="N58">
        <v>400</v>
      </c>
      <c r="O58">
        <v>4</v>
      </c>
      <c r="P58">
        <v>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-100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76800</v>
      </c>
      <c r="AH58">
        <v>789</v>
      </c>
      <c r="AI58">
        <v>-100</v>
      </c>
      <c r="AJ58">
        <v>1</v>
      </c>
      <c r="AK58">
        <v>68338</v>
      </c>
      <c r="AL58">
        <v>-100</v>
      </c>
      <c r="AM58">
        <v>10154.4</v>
      </c>
      <c r="AN58">
        <v>-1973.04</v>
      </c>
      <c r="AO58">
        <v>0</v>
      </c>
      <c r="AP58">
        <v>2280</v>
      </c>
      <c r="AQ58">
        <v>-684</v>
      </c>
      <c r="AR58">
        <v>0</v>
      </c>
      <c r="AS58">
        <v>7874.4</v>
      </c>
      <c r="AT58">
        <v>-1289.04</v>
      </c>
      <c r="AU58">
        <v>0</v>
      </c>
      <c r="AW58">
        <v>0</v>
      </c>
      <c r="AX58">
        <v>0</v>
      </c>
      <c r="AY58">
        <v>47253.04</v>
      </c>
      <c r="BC58" t="s">
        <v>286</v>
      </c>
      <c r="BE58" t="s">
        <v>287</v>
      </c>
    </row>
    <row r="59" spans="1:57" x14ac:dyDescent="0.3">
      <c r="A59">
        <v>2313020794</v>
      </c>
      <c r="B59">
        <v>2313020828</v>
      </c>
      <c r="C59" t="s">
        <v>315</v>
      </c>
      <c r="D59" t="s">
        <v>99</v>
      </c>
      <c r="E59" t="s">
        <v>283</v>
      </c>
      <c r="H59" t="s">
        <v>284</v>
      </c>
      <c r="I59" t="s">
        <v>285</v>
      </c>
      <c r="J59">
        <v>100</v>
      </c>
      <c r="K59">
        <v>75900</v>
      </c>
      <c r="L59">
        <v>759</v>
      </c>
      <c r="M59">
        <v>0</v>
      </c>
      <c r="N59">
        <v>500</v>
      </c>
      <c r="O59">
        <v>5</v>
      </c>
      <c r="P59">
        <v>27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-400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76400</v>
      </c>
      <c r="AH59">
        <v>791</v>
      </c>
      <c r="AI59">
        <v>-400</v>
      </c>
      <c r="AJ59">
        <v>4</v>
      </c>
      <c r="AK59">
        <v>68990</v>
      </c>
      <c r="AL59">
        <v>-400</v>
      </c>
      <c r="AM59">
        <v>8892</v>
      </c>
      <c r="AN59">
        <v>-1846.8</v>
      </c>
      <c r="AO59">
        <v>0</v>
      </c>
      <c r="AP59">
        <v>1800</v>
      </c>
      <c r="AQ59">
        <v>-540</v>
      </c>
      <c r="AR59">
        <v>0</v>
      </c>
      <c r="AS59">
        <v>7092</v>
      </c>
      <c r="AT59">
        <v>-1306.8</v>
      </c>
      <c r="AU59">
        <v>0</v>
      </c>
      <c r="AW59">
        <v>0</v>
      </c>
      <c r="AX59">
        <v>0</v>
      </c>
      <c r="AY59">
        <v>46950.7</v>
      </c>
      <c r="BC59" t="s">
        <v>286</v>
      </c>
      <c r="BE59" t="s">
        <v>287</v>
      </c>
    </row>
    <row r="60" spans="1:57" x14ac:dyDescent="0.3">
      <c r="A60">
        <v>2313020794</v>
      </c>
      <c r="B60">
        <v>2313020818</v>
      </c>
      <c r="C60" t="s">
        <v>303</v>
      </c>
      <c r="D60" t="s">
        <v>86</v>
      </c>
      <c r="E60" t="s">
        <v>283</v>
      </c>
      <c r="H60" t="s">
        <v>284</v>
      </c>
      <c r="I60" t="s">
        <v>285</v>
      </c>
      <c r="J60">
        <v>100</v>
      </c>
      <c r="K60">
        <v>75500</v>
      </c>
      <c r="L60">
        <v>755</v>
      </c>
      <c r="M60">
        <v>0</v>
      </c>
      <c r="N60">
        <v>1300</v>
      </c>
      <c r="O60">
        <v>13</v>
      </c>
      <c r="P60">
        <v>59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-200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76800</v>
      </c>
      <c r="AH60">
        <v>827</v>
      </c>
      <c r="AI60">
        <v>-200</v>
      </c>
      <c r="AJ60">
        <v>2</v>
      </c>
      <c r="AK60">
        <v>69088</v>
      </c>
      <c r="AL60">
        <v>-200</v>
      </c>
      <c r="AM60">
        <v>9254.4</v>
      </c>
      <c r="AN60">
        <v>-1958.4</v>
      </c>
      <c r="AO60">
        <v>0</v>
      </c>
      <c r="AP60">
        <v>2040</v>
      </c>
      <c r="AQ60">
        <v>-612</v>
      </c>
      <c r="AR60">
        <v>0</v>
      </c>
      <c r="AS60">
        <v>7214.4</v>
      </c>
      <c r="AT60">
        <v>-1346.4</v>
      </c>
      <c r="AU60">
        <v>0</v>
      </c>
      <c r="AW60">
        <v>0</v>
      </c>
      <c r="AX60">
        <v>0</v>
      </c>
      <c r="AY60">
        <v>47066.79</v>
      </c>
      <c r="BC60" t="s">
        <v>286</v>
      </c>
      <c r="BE60" t="s">
        <v>287</v>
      </c>
    </row>
    <row r="61" spans="1:57" x14ac:dyDescent="0.3">
      <c r="A61">
        <v>2313020794</v>
      </c>
      <c r="B61">
        <v>2313020829</v>
      </c>
      <c r="C61" t="s">
        <v>327</v>
      </c>
      <c r="D61" t="s">
        <v>101</v>
      </c>
      <c r="E61" t="s">
        <v>283</v>
      </c>
      <c r="H61" t="s">
        <v>284</v>
      </c>
      <c r="I61" t="s">
        <v>285</v>
      </c>
      <c r="J61">
        <v>100</v>
      </c>
      <c r="K61">
        <v>75300</v>
      </c>
      <c r="L61">
        <v>753</v>
      </c>
      <c r="M61">
        <v>0</v>
      </c>
      <c r="N61">
        <v>600</v>
      </c>
      <c r="O61">
        <v>6</v>
      </c>
      <c r="P61">
        <v>21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-400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75900</v>
      </c>
      <c r="AH61">
        <v>780</v>
      </c>
      <c r="AI61">
        <v>-400</v>
      </c>
      <c r="AJ61">
        <v>4</v>
      </c>
      <c r="AK61">
        <v>68314</v>
      </c>
      <c r="AL61">
        <v>-400</v>
      </c>
      <c r="AM61">
        <v>9103.2000000000007</v>
      </c>
      <c r="AN61">
        <v>-1902.96</v>
      </c>
      <c r="AO61">
        <v>0</v>
      </c>
      <c r="AP61">
        <v>1860</v>
      </c>
      <c r="AQ61">
        <v>-558</v>
      </c>
      <c r="AR61">
        <v>0</v>
      </c>
      <c r="AS61">
        <v>7243.2</v>
      </c>
      <c r="AT61">
        <v>-1344.96</v>
      </c>
      <c r="AU61">
        <v>0</v>
      </c>
      <c r="AW61">
        <v>0</v>
      </c>
      <c r="AX61">
        <v>0</v>
      </c>
      <c r="AY61">
        <v>46587.56</v>
      </c>
      <c r="BC61" t="s">
        <v>286</v>
      </c>
      <c r="BE61" t="s">
        <v>287</v>
      </c>
    </row>
    <row r="62" spans="1:57" x14ac:dyDescent="0.3">
      <c r="A62">
        <v>2313020794</v>
      </c>
      <c r="B62">
        <v>2313020827</v>
      </c>
      <c r="C62" t="s">
        <v>319</v>
      </c>
      <c r="D62" t="s">
        <v>100</v>
      </c>
      <c r="E62" t="s">
        <v>283</v>
      </c>
      <c r="H62" t="s">
        <v>284</v>
      </c>
      <c r="I62" t="s">
        <v>285</v>
      </c>
      <c r="J62">
        <v>100</v>
      </c>
      <c r="K62">
        <v>75200</v>
      </c>
      <c r="L62">
        <v>752</v>
      </c>
      <c r="M62">
        <v>0</v>
      </c>
      <c r="N62">
        <v>500</v>
      </c>
      <c r="O62">
        <v>5</v>
      </c>
      <c r="P62">
        <v>24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-200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75700</v>
      </c>
      <c r="AH62">
        <v>781</v>
      </c>
      <c r="AI62">
        <v>-200</v>
      </c>
      <c r="AJ62">
        <v>2</v>
      </c>
      <c r="AK62">
        <v>67810</v>
      </c>
      <c r="AL62">
        <v>-200</v>
      </c>
      <c r="AM62">
        <v>9468</v>
      </c>
      <c r="AN62">
        <v>-1964.4</v>
      </c>
      <c r="AO62">
        <v>0</v>
      </c>
      <c r="AP62">
        <v>1860</v>
      </c>
      <c r="AQ62">
        <v>-558</v>
      </c>
      <c r="AR62">
        <v>0</v>
      </c>
      <c r="AS62">
        <v>7608</v>
      </c>
      <c r="AT62">
        <v>-1406.4</v>
      </c>
      <c r="AU62">
        <v>0</v>
      </c>
      <c r="AW62">
        <v>0</v>
      </c>
      <c r="AX62">
        <v>0</v>
      </c>
      <c r="AY62">
        <v>46601.98</v>
      </c>
      <c r="BC62" t="s">
        <v>286</v>
      </c>
      <c r="BE62" t="s">
        <v>287</v>
      </c>
    </row>
    <row r="63" spans="1:57" x14ac:dyDescent="0.3">
      <c r="A63">
        <v>2313020794</v>
      </c>
      <c r="B63">
        <v>2313020849</v>
      </c>
      <c r="C63" t="s">
        <v>335</v>
      </c>
      <c r="D63" t="s">
        <v>121</v>
      </c>
      <c r="E63" t="s">
        <v>283</v>
      </c>
      <c r="H63" t="s">
        <v>284</v>
      </c>
      <c r="I63" t="s">
        <v>285</v>
      </c>
      <c r="J63">
        <v>100</v>
      </c>
      <c r="K63">
        <v>75200</v>
      </c>
      <c r="L63">
        <v>752</v>
      </c>
      <c r="M63">
        <v>0</v>
      </c>
      <c r="N63">
        <v>100</v>
      </c>
      <c r="O63">
        <v>1</v>
      </c>
      <c r="P63">
        <v>17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-300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75300</v>
      </c>
      <c r="AH63">
        <v>770</v>
      </c>
      <c r="AI63">
        <v>-300</v>
      </c>
      <c r="AJ63">
        <v>3</v>
      </c>
      <c r="AK63">
        <v>67348</v>
      </c>
      <c r="AL63">
        <v>-300</v>
      </c>
      <c r="AM63">
        <v>9542.4</v>
      </c>
      <c r="AN63">
        <v>-1935.84</v>
      </c>
      <c r="AO63">
        <v>0</v>
      </c>
      <c r="AP63">
        <v>2160</v>
      </c>
      <c r="AQ63">
        <v>-648</v>
      </c>
      <c r="AR63">
        <v>0</v>
      </c>
      <c r="AS63">
        <v>7382.4</v>
      </c>
      <c r="AT63">
        <v>-1287.8399999999999</v>
      </c>
      <c r="AU63">
        <v>0</v>
      </c>
      <c r="AW63">
        <v>0</v>
      </c>
      <c r="AX63">
        <v>0</v>
      </c>
      <c r="AY63">
        <v>46229.919999999998</v>
      </c>
      <c r="BC63" t="s">
        <v>286</v>
      </c>
      <c r="BE63" t="s">
        <v>287</v>
      </c>
    </row>
    <row r="64" spans="1:57" x14ac:dyDescent="0.3">
      <c r="A64">
        <v>2313020794</v>
      </c>
      <c r="B64">
        <v>2313020817</v>
      </c>
      <c r="C64" t="s">
        <v>302</v>
      </c>
      <c r="D64" t="s">
        <v>85</v>
      </c>
      <c r="E64" t="s">
        <v>283</v>
      </c>
      <c r="H64" t="s">
        <v>284</v>
      </c>
      <c r="I64" t="s">
        <v>285</v>
      </c>
      <c r="J64">
        <v>100</v>
      </c>
      <c r="K64">
        <v>75000</v>
      </c>
      <c r="L64">
        <v>750</v>
      </c>
      <c r="M64">
        <v>0</v>
      </c>
      <c r="N64">
        <v>1000</v>
      </c>
      <c r="O64">
        <v>10</v>
      </c>
      <c r="P64">
        <v>169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-200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76000</v>
      </c>
      <c r="AH64">
        <v>929</v>
      </c>
      <c r="AI64">
        <v>-200</v>
      </c>
      <c r="AJ64">
        <v>2</v>
      </c>
      <c r="AK64">
        <v>67638</v>
      </c>
      <c r="AL64">
        <v>-200</v>
      </c>
      <c r="AM64">
        <v>10034.4</v>
      </c>
      <c r="AN64">
        <v>-2180.4</v>
      </c>
      <c r="AO64">
        <v>0</v>
      </c>
      <c r="AP64">
        <v>2160</v>
      </c>
      <c r="AQ64">
        <v>-648</v>
      </c>
      <c r="AR64">
        <v>0</v>
      </c>
      <c r="AS64">
        <v>7874.4</v>
      </c>
      <c r="AT64">
        <v>-1532.4</v>
      </c>
      <c r="AU64">
        <v>0</v>
      </c>
      <c r="AW64">
        <v>0</v>
      </c>
      <c r="AX64">
        <v>0</v>
      </c>
      <c r="AY64">
        <v>46469.83</v>
      </c>
      <c r="BC64" t="s">
        <v>286</v>
      </c>
      <c r="BE64" t="s">
        <v>287</v>
      </c>
    </row>
    <row r="65" spans="1:57" x14ac:dyDescent="0.3">
      <c r="A65">
        <v>2313020794</v>
      </c>
      <c r="B65">
        <v>2313020816</v>
      </c>
      <c r="C65" t="s">
        <v>301</v>
      </c>
      <c r="D65" t="s">
        <v>84</v>
      </c>
      <c r="E65" t="s">
        <v>283</v>
      </c>
      <c r="H65" t="s">
        <v>284</v>
      </c>
      <c r="I65" t="s">
        <v>285</v>
      </c>
      <c r="J65">
        <v>100</v>
      </c>
      <c r="K65">
        <v>73200</v>
      </c>
      <c r="L65">
        <v>732</v>
      </c>
      <c r="M65">
        <v>0</v>
      </c>
      <c r="N65">
        <v>1800</v>
      </c>
      <c r="O65">
        <v>18</v>
      </c>
      <c r="P65">
        <v>183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-200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75000</v>
      </c>
      <c r="AH65">
        <v>933</v>
      </c>
      <c r="AI65">
        <v>-200</v>
      </c>
      <c r="AJ65">
        <v>2</v>
      </c>
      <c r="AK65">
        <v>66539</v>
      </c>
      <c r="AL65">
        <v>-200</v>
      </c>
      <c r="AM65">
        <v>10153.200000000001</v>
      </c>
      <c r="AN65">
        <v>-2144.2800000000002</v>
      </c>
      <c r="AO65">
        <v>0</v>
      </c>
      <c r="AP65">
        <v>2040</v>
      </c>
      <c r="AQ65">
        <v>-612</v>
      </c>
      <c r="AR65">
        <v>0</v>
      </c>
      <c r="AS65">
        <v>8113.2</v>
      </c>
      <c r="AT65">
        <v>-1532.28</v>
      </c>
      <c r="AU65">
        <v>0</v>
      </c>
      <c r="AW65">
        <v>0</v>
      </c>
      <c r="AX65">
        <v>0</v>
      </c>
      <c r="AY65">
        <v>45954.02</v>
      </c>
      <c r="BC65" t="s">
        <v>286</v>
      </c>
      <c r="BE65" t="s">
        <v>287</v>
      </c>
    </row>
    <row r="66" spans="1:57" x14ac:dyDescent="0.3">
      <c r="A66">
        <v>2313020794</v>
      </c>
      <c r="B66">
        <v>2313020807</v>
      </c>
      <c r="C66" t="s">
        <v>291</v>
      </c>
      <c r="D66" t="s">
        <v>82</v>
      </c>
      <c r="E66" t="s">
        <v>283</v>
      </c>
      <c r="H66" t="s">
        <v>284</v>
      </c>
      <c r="I66" t="s">
        <v>285</v>
      </c>
      <c r="J66">
        <v>100</v>
      </c>
      <c r="K66">
        <v>73000</v>
      </c>
      <c r="L66">
        <v>730</v>
      </c>
      <c r="M66">
        <v>0</v>
      </c>
      <c r="N66">
        <v>1000</v>
      </c>
      <c r="O66">
        <v>10</v>
      </c>
      <c r="P66">
        <v>703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-200</v>
      </c>
      <c r="X66">
        <v>2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74000</v>
      </c>
      <c r="AH66">
        <v>1443</v>
      </c>
      <c r="AI66">
        <v>-200</v>
      </c>
      <c r="AJ66">
        <v>3</v>
      </c>
      <c r="AK66">
        <v>65636</v>
      </c>
      <c r="AL66">
        <v>-200</v>
      </c>
      <c r="AM66">
        <v>10036.799999999999</v>
      </c>
      <c r="AN66">
        <v>-2060.64</v>
      </c>
      <c r="AO66">
        <v>0</v>
      </c>
      <c r="AP66">
        <v>1920</v>
      </c>
      <c r="AQ66">
        <v>-576</v>
      </c>
      <c r="AR66">
        <v>0</v>
      </c>
      <c r="AS66">
        <v>8116.8</v>
      </c>
      <c r="AT66">
        <v>-1484.64</v>
      </c>
      <c r="AU66">
        <v>0</v>
      </c>
      <c r="AW66">
        <v>0</v>
      </c>
      <c r="AX66">
        <v>0</v>
      </c>
      <c r="AY66">
        <v>45279.62</v>
      </c>
      <c r="BC66" t="s">
        <v>286</v>
      </c>
      <c r="BE66" t="s">
        <v>287</v>
      </c>
    </row>
    <row r="67" spans="1:57" x14ac:dyDescent="0.3">
      <c r="A67">
        <v>2313020794</v>
      </c>
      <c r="B67">
        <v>2313020808</v>
      </c>
      <c r="C67" t="s">
        <v>293</v>
      </c>
      <c r="D67" t="s">
        <v>89</v>
      </c>
      <c r="E67" t="s">
        <v>283</v>
      </c>
      <c r="H67" t="s">
        <v>284</v>
      </c>
      <c r="I67" t="s">
        <v>285</v>
      </c>
      <c r="J67">
        <v>100</v>
      </c>
      <c r="K67">
        <v>72900</v>
      </c>
      <c r="L67">
        <v>729</v>
      </c>
      <c r="M67">
        <v>0</v>
      </c>
      <c r="N67">
        <v>1100</v>
      </c>
      <c r="O67">
        <v>11</v>
      </c>
      <c r="P67">
        <v>721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-200</v>
      </c>
      <c r="X67">
        <v>2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74000</v>
      </c>
      <c r="AH67">
        <v>1461</v>
      </c>
      <c r="AI67">
        <v>-200</v>
      </c>
      <c r="AJ67">
        <v>3</v>
      </c>
      <c r="AK67">
        <v>65536</v>
      </c>
      <c r="AL67">
        <v>-200</v>
      </c>
      <c r="AM67">
        <v>10156.799999999999</v>
      </c>
      <c r="AN67">
        <v>-2120.64</v>
      </c>
      <c r="AO67">
        <v>0</v>
      </c>
      <c r="AP67">
        <v>1920</v>
      </c>
      <c r="AQ67">
        <v>-576</v>
      </c>
      <c r="AR67">
        <v>0</v>
      </c>
      <c r="AS67">
        <v>8236.7999999999993</v>
      </c>
      <c r="AT67">
        <v>-1544.64</v>
      </c>
      <c r="AU67">
        <v>0</v>
      </c>
      <c r="AW67">
        <v>0</v>
      </c>
      <c r="AX67">
        <v>0</v>
      </c>
      <c r="AY67">
        <v>45274.82</v>
      </c>
      <c r="BC67" t="s">
        <v>286</v>
      </c>
      <c r="BE67" t="s">
        <v>287</v>
      </c>
    </row>
    <row r="68" spans="1:57" x14ac:dyDescent="0.3">
      <c r="A68">
        <v>2313020794</v>
      </c>
      <c r="B68">
        <v>2313020806</v>
      </c>
      <c r="C68" t="s">
        <v>290</v>
      </c>
      <c r="D68" t="s">
        <v>88</v>
      </c>
      <c r="E68" t="s">
        <v>283</v>
      </c>
      <c r="H68" t="s">
        <v>284</v>
      </c>
      <c r="I68" t="s">
        <v>285</v>
      </c>
      <c r="J68">
        <v>100</v>
      </c>
      <c r="K68">
        <v>71900</v>
      </c>
      <c r="L68">
        <v>719</v>
      </c>
      <c r="M68">
        <v>0</v>
      </c>
      <c r="N68">
        <v>1200</v>
      </c>
      <c r="O68">
        <v>12</v>
      </c>
      <c r="P68">
        <v>672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-200</v>
      </c>
      <c r="X68">
        <v>2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73100</v>
      </c>
      <c r="AH68">
        <v>1403</v>
      </c>
      <c r="AI68">
        <v>-200</v>
      </c>
      <c r="AJ68">
        <v>3</v>
      </c>
      <c r="AK68">
        <v>64696</v>
      </c>
      <c r="AL68">
        <v>-200</v>
      </c>
      <c r="AM68">
        <v>10085.209999999999</v>
      </c>
      <c r="AN68">
        <v>-2113.56</v>
      </c>
      <c r="AO68">
        <v>0</v>
      </c>
      <c r="AP68">
        <v>2040.41</v>
      </c>
      <c r="AQ68">
        <v>-612.12</v>
      </c>
      <c r="AR68">
        <v>0</v>
      </c>
      <c r="AS68">
        <v>8044.8</v>
      </c>
      <c r="AT68">
        <v>-1501.44</v>
      </c>
      <c r="AU68">
        <v>0</v>
      </c>
      <c r="AW68">
        <v>0</v>
      </c>
      <c r="AX68">
        <v>0</v>
      </c>
      <c r="AY68">
        <v>44702.27</v>
      </c>
      <c r="BC68" t="s">
        <v>286</v>
      </c>
      <c r="BE68" t="s">
        <v>287</v>
      </c>
    </row>
    <row r="69" spans="1:57" x14ac:dyDescent="0.3">
      <c r="A69">
        <v>2313020794</v>
      </c>
      <c r="B69">
        <v>2313020810</v>
      </c>
      <c r="C69" t="s">
        <v>295</v>
      </c>
      <c r="D69" t="s">
        <v>90</v>
      </c>
      <c r="E69" t="s">
        <v>283</v>
      </c>
      <c r="H69" t="s">
        <v>284</v>
      </c>
      <c r="I69" t="s">
        <v>285</v>
      </c>
      <c r="J69">
        <v>100</v>
      </c>
      <c r="K69">
        <v>71700</v>
      </c>
      <c r="L69">
        <v>717</v>
      </c>
      <c r="M69">
        <v>0</v>
      </c>
      <c r="N69">
        <v>700</v>
      </c>
      <c r="O69">
        <v>7</v>
      </c>
      <c r="P69">
        <v>755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-200</v>
      </c>
      <c r="X69">
        <v>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72400</v>
      </c>
      <c r="AH69">
        <v>1479</v>
      </c>
      <c r="AI69">
        <v>-200</v>
      </c>
      <c r="AJ69">
        <v>3</v>
      </c>
      <c r="AK69">
        <v>64136</v>
      </c>
      <c r="AL69">
        <v>-200</v>
      </c>
      <c r="AM69">
        <v>9916.7999999999993</v>
      </c>
      <c r="AN69">
        <v>-2072.64</v>
      </c>
      <c r="AO69">
        <v>0</v>
      </c>
      <c r="AP69">
        <v>1920</v>
      </c>
      <c r="AQ69">
        <v>-576</v>
      </c>
      <c r="AR69">
        <v>0</v>
      </c>
      <c r="AS69">
        <v>7996.8</v>
      </c>
      <c r="AT69">
        <v>-1496.64</v>
      </c>
      <c r="AU69">
        <v>0</v>
      </c>
      <c r="AW69">
        <v>0</v>
      </c>
      <c r="AX69">
        <v>0</v>
      </c>
      <c r="AY69">
        <v>44221.22</v>
      </c>
      <c r="BC69" t="s">
        <v>286</v>
      </c>
      <c r="BE69" t="s">
        <v>287</v>
      </c>
    </row>
    <row r="70" spans="1:57" x14ac:dyDescent="0.3">
      <c r="A70">
        <v>2313020794</v>
      </c>
      <c r="B70">
        <v>2313020809</v>
      </c>
      <c r="C70" t="s">
        <v>294</v>
      </c>
      <c r="D70" t="s">
        <v>91</v>
      </c>
      <c r="E70" t="s">
        <v>283</v>
      </c>
      <c r="H70" t="s">
        <v>284</v>
      </c>
      <c r="I70" t="s">
        <v>285</v>
      </c>
      <c r="J70">
        <v>100</v>
      </c>
      <c r="K70">
        <v>71500</v>
      </c>
      <c r="L70">
        <v>715</v>
      </c>
      <c r="M70">
        <v>0</v>
      </c>
      <c r="N70">
        <v>600</v>
      </c>
      <c r="O70">
        <v>6</v>
      </c>
      <c r="P70">
        <v>729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-200</v>
      </c>
      <c r="X70">
        <v>2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72100</v>
      </c>
      <c r="AH70">
        <v>1450</v>
      </c>
      <c r="AI70">
        <v>-200</v>
      </c>
      <c r="AJ70">
        <v>3</v>
      </c>
      <c r="AK70">
        <v>63736</v>
      </c>
      <c r="AL70">
        <v>-200</v>
      </c>
      <c r="AM70">
        <v>10036.799999999999</v>
      </c>
      <c r="AN70">
        <v>-2084.64</v>
      </c>
      <c r="AO70">
        <v>0</v>
      </c>
      <c r="AP70">
        <v>2040</v>
      </c>
      <c r="AQ70">
        <v>-612</v>
      </c>
      <c r="AR70">
        <v>0</v>
      </c>
      <c r="AS70">
        <v>7996.8</v>
      </c>
      <c r="AT70">
        <v>-1472.64</v>
      </c>
      <c r="AU70">
        <v>0</v>
      </c>
      <c r="AW70">
        <v>0</v>
      </c>
      <c r="AX70">
        <v>0</v>
      </c>
      <c r="AY70">
        <v>44067.3</v>
      </c>
      <c r="BC70" t="s">
        <v>286</v>
      </c>
      <c r="BE70" t="s">
        <v>287</v>
      </c>
    </row>
    <row r="71" spans="1:57" x14ac:dyDescent="0.3">
      <c r="A71">
        <v>2313020794</v>
      </c>
      <c r="B71">
        <v>2313020815</v>
      </c>
      <c r="C71" t="s">
        <v>300</v>
      </c>
      <c r="D71" t="s">
        <v>83</v>
      </c>
      <c r="E71" t="s">
        <v>283</v>
      </c>
      <c r="H71" t="s">
        <v>284</v>
      </c>
      <c r="I71" t="s">
        <v>285</v>
      </c>
      <c r="J71">
        <v>100</v>
      </c>
      <c r="K71">
        <v>71200</v>
      </c>
      <c r="L71">
        <v>712</v>
      </c>
      <c r="M71">
        <v>0</v>
      </c>
      <c r="N71">
        <v>5400</v>
      </c>
      <c r="O71">
        <v>54</v>
      </c>
      <c r="P71">
        <v>160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-200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76600</v>
      </c>
      <c r="AH71">
        <v>926</v>
      </c>
      <c r="AI71">
        <v>-200</v>
      </c>
      <c r="AJ71">
        <v>2</v>
      </c>
      <c r="AK71">
        <v>68619</v>
      </c>
      <c r="AL71">
        <v>-200</v>
      </c>
      <c r="AM71">
        <v>9577.2000000000007</v>
      </c>
      <c r="AN71">
        <v>-2062.6799999999998</v>
      </c>
      <c r="AO71">
        <v>0</v>
      </c>
      <c r="AP71">
        <v>1920</v>
      </c>
      <c r="AQ71">
        <v>-576</v>
      </c>
      <c r="AR71">
        <v>0</v>
      </c>
      <c r="AS71">
        <v>7657.2</v>
      </c>
      <c r="AT71">
        <v>-1486.68</v>
      </c>
      <c r="AU71">
        <v>0</v>
      </c>
      <c r="AW71">
        <v>0</v>
      </c>
      <c r="AX71">
        <v>0</v>
      </c>
      <c r="AY71">
        <v>46993.14</v>
      </c>
      <c r="BC71" t="s">
        <v>286</v>
      </c>
      <c r="BE71" t="s">
        <v>287</v>
      </c>
    </row>
    <row r="72" spans="1:57" x14ac:dyDescent="0.3">
      <c r="A72">
        <v>2313020794</v>
      </c>
      <c r="B72">
        <v>2313020811</v>
      </c>
      <c r="C72" t="s">
        <v>296</v>
      </c>
      <c r="D72" t="s">
        <v>71</v>
      </c>
      <c r="E72" t="s">
        <v>283</v>
      </c>
      <c r="H72" t="s">
        <v>284</v>
      </c>
      <c r="I72" t="s">
        <v>285</v>
      </c>
      <c r="J72">
        <v>100</v>
      </c>
      <c r="K72">
        <v>69600</v>
      </c>
      <c r="L72">
        <v>696</v>
      </c>
      <c r="M72">
        <v>0</v>
      </c>
      <c r="N72">
        <v>1000</v>
      </c>
      <c r="O72">
        <v>10</v>
      </c>
      <c r="P72">
        <v>789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-200</v>
      </c>
      <c r="X72">
        <v>2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70600</v>
      </c>
      <c r="AH72">
        <v>1495</v>
      </c>
      <c r="AI72">
        <v>-200</v>
      </c>
      <c r="AJ72">
        <v>3</v>
      </c>
      <c r="AK72">
        <v>62808</v>
      </c>
      <c r="AL72">
        <v>-200</v>
      </c>
      <c r="AM72">
        <v>9350.4</v>
      </c>
      <c r="AN72">
        <v>-1992</v>
      </c>
      <c r="AO72">
        <v>0</v>
      </c>
      <c r="AP72">
        <v>2040</v>
      </c>
      <c r="AQ72">
        <v>-612</v>
      </c>
      <c r="AR72">
        <v>0</v>
      </c>
      <c r="AS72">
        <v>7310.4</v>
      </c>
      <c r="AT72">
        <v>-1380</v>
      </c>
      <c r="AU72">
        <v>0</v>
      </c>
      <c r="AW72">
        <v>0</v>
      </c>
      <c r="AX72">
        <v>0</v>
      </c>
      <c r="AY72">
        <v>43073.760000000002</v>
      </c>
      <c r="BC72" t="s">
        <v>286</v>
      </c>
      <c r="BE72" t="s">
        <v>287</v>
      </c>
    </row>
    <row r="73" spans="1:57" x14ac:dyDescent="0.3">
      <c r="A73">
        <v>2313020794</v>
      </c>
      <c r="B73">
        <v>2313020812</v>
      </c>
      <c r="C73" t="s">
        <v>297</v>
      </c>
      <c r="D73" t="s">
        <v>73</v>
      </c>
      <c r="E73" t="s">
        <v>283</v>
      </c>
      <c r="H73" t="s">
        <v>284</v>
      </c>
      <c r="I73" t="s">
        <v>285</v>
      </c>
      <c r="J73">
        <v>100</v>
      </c>
      <c r="K73">
        <v>68300</v>
      </c>
      <c r="L73">
        <v>683</v>
      </c>
      <c r="M73">
        <v>0</v>
      </c>
      <c r="N73">
        <v>900</v>
      </c>
      <c r="O73">
        <v>9</v>
      </c>
      <c r="P73">
        <v>846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-200</v>
      </c>
      <c r="X73">
        <v>2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69200</v>
      </c>
      <c r="AH73">
        <v>1538</v>
      </c>
      <c r="AI73">
        <v>-200</v>
      </c>
      <c r="AJ73">
        <v>3</v>
      </c>
      <c r="AK73">
        <v>61808</v>
      </c>
      <c r="AL73">
        <v>-200</v>
      </c>
      <c r="AM73">
        <v>8870.4</v>
      </c>
      <c r="AN73">
        <v>-1872</v>
      </c>
      <c r="AO73">
        <v>0</v>
      </c>
      <c r="AP73">
        <v>1800</v>
      </c>
      <c r="AQ73">
        <v>-540</v>
      </c>
      <c r="AR73">
        <v>0</v>
      </c>
      <c r="AS73">
        <v>7070.4</v>
      </c>
      <c r="AT73">
        <v>-1332</v>
      </c>
      <c r="AU73">
        <v>0</v>
      </c>
      <c r="AW73">
        <v>0</v>
      </c>
      <c r="AX73">
        <v>0</v>
      </c>
      <c r="AY73">
        <v>42216.959999999999</v>
      </c>
      <c r="BC73" t="s">
        <v>286</v>
      </c>
      <c r="BE73" t="s">
        <v>287</v>
      </c>
    </row>
    <row r="74" spans="1:57" x14ac:dyDescent="0.3">
      <c r="A74">
        <v>2313020794</v>
      </c>
      <c r="B74">
        <v>2313020805</v>
      </c>
      <c r="C74" t="s">
        <v>292</v>
      </c>
      <c r="D74" t="s">
        <v>87</v>
      </c>
      <c r="E74" t="s">
        <v>283</v>
      </c>
      <c r="H74" t="s">
        <v>284</v>
      </c>
      <c r="I74" t="s">
        <v>285</v>
      </c>
      <c r="J74">
        <v>100</v>
      </c>
      <c r="K74">
        <v>66400</v>
      </c>
      <c r="L74">
        <v>664</v>
      </c>
      <c r="M74">
        <v>0</v>
      </c>
      <c r="N74">
        <v>500</v>
      </c>
      <c r="O74">
        <v>5</v>
      </c>
      <c r="P74">
        <v>654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-200</v>
      </c>
      <c r="X74">
        <v>2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66900</v>
      </c>
      <c r="AH74">
        <v>1323</v>
      </c>
      <c r="AI74">
        <v>-200</v>
      </c>
      <c r="AJ74">
        <v>3</v>
      </c>
      <c r="AK74">
        <v>59096</v>
      </c>
      <c r="AL74">
        <v>-200</v>
      </c>
      <c r="AM74">
        <v>9365.2099999999991</v>
      </c>
      <c r="AN74">
        <v>-1981.56</v>
      </c>
      <c r="AO74">
        <v>0</v>
      </c>
      <c r="AP74">
        <v>1980.41</v>
      </c>
      <c r="AQ74">
        <v>-594.12</v>
      </c>
      <c r="AR74">
        <v>0</v>
      </c>
      <c r="AS74">
        <v>7384.8</v>
      </c>
      <c r="AT74">
        <v>-1387.44</v>
      </c>
      <c r="AU74">
        <v>0</v>
      </c>
      <c r="AW74">
        <v>0</v>
      </c>
      <c r="AX74">
        <v>0</v>
      </c>
      <c r="AY74">
        <v>40978.35</v>
      </c>
      <c r="BC74" t="s">
        <v>286</v>
      </c>
      <c r="BE74" t="s">
        <v>287</v>
      </c>
    </row>
    <row r="75" spans="1:57" x14ac:dyDescent="0.3">
      <c r="A75">
        <v>2313020794</v>
      </c>
      <c r="B75">
        <v>2313020814</v>
      </c>
      <c r="C75" t="s">
        <v>299</v>
      </c>
      <c r="D75" t="s">
        <v>80</v>
      </c>
      <c r="E75" t="s">
        <v>283</v>
      </c>
      <c r="H75" t="s">
        <v>284</v>
      </c>
      <c r="I75" t="s">
        <v>285</v>
      </c>
      <c r="J75">
        <v>100</v>
      </c>
      <c r="K75">
        <v>66400</v>
      </c>
      <c r="L75">
        <v>664</v>
      </c>
      <c r="M75">
        <v>0</v>
      </c>
      <c r="N75">
        <v>8200</v>
      </c>
      <c r="O75">
        <v>82</v>
      </c>
      <c r="P75">
        <v>33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-200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74600</v>
      </c>
      <c r="AH75">
        <v>779</v>
      </c>
      <c r="AI75">
        <v>-200</v>
      </c>
      <c r="AJ75">
        <v>2</v>
      </c>
      <c r="AK75">
        <v>67389</v>
      </c>
      <c r="AL75">
        <v>-200</v>
      </c>
      <c r="AM75">
        <v>8653.2000000000007</v>
      </c>
      <c r="AN75">
        <v>-1874.28</v>
      </c>
      <c r="AO75">
        <v>0</v>
      </c>
      <c r="AP75">
        <v>1800</v>
      </c>
      <c r="AQ75">
        <v>-540</v>
      </c>
      <c r="AR75">
        <v>0</v>
      </c>
      <c r="AS75">
        <v>6853.2</v>
      </c>
      <c r="AT75">
        <v>-1334.28</v>
      </c>
      <c r="AU75">
        <v>0</v>
      </c>
      <c r="AW75">
        <v>0</v>
      </c>
      <c r="AX75">
        <v>0</v>
      </c>
      <c r="AY75">
        <v>45852.98</v>
      </c>
      <c r="BC75" t="s">
        <v>286</v>
      </c>
      <c r="BE75" t="s">
        <v>287</v>
      </c>
    </row>
    <row r="76" spans="1:57" x14ac:dyDescent="0.3">
      <c r="A76">
        <v>2313020794</v>
      </c>
      <c r="B76">
        <v>2313020804</v>
      </c>
      <c r="C76" t="s">
        <v>289</v>
      </c>
      <c r="D76" t="s">
        <v>81</v>
      </c>
      <c r="E76" t="s">
        <v>283</v>
      </c>
      <c r="H76" t="s">
        <v>284</v>
      </c>
      <c r="I76" t="s">
        <v>285</v>
      </c>
      <c r="J76">
        <v>100</v>
      </c>
      <c r="K76">
        <v>66200</v>
      </c>
      <c r="L76">
        <v>662</v>
      </c>
      <c r="M76">
        <v>0</v>
      </c>
      <c r="N76">
        <v>100</v>
      </c>
      <c r="O76">
        <v>1</v>
      </c>
      <c r="P76">
        <v>681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-200</v>
      </c>
      <c r="X76">
        <v>2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66300</v>
      </c>
      <c r="AH76">
        <v>1344</v>
      </c>
      <c r="AI76">
        <v>-200</v>
      </c>
      <c r="AJ76">
        <v>3</v>
      </c>
      <c r="AK76">
        <v>58455</v>
      </c>
      <c r="AL76">
        <v>-200</v>
      </c>
      <c r="AM76">
        <v>9414.41</v>
      </c>
      <c r="AN76">
        <v>-2022.72</v>
      </c>
      <c r="AO76">
        <v>0</v>
      </c>
      <c r="AP76">
        <v>1920.41</v>
      </c>
      <c r="AQ76">
        <v>-576.12</v>
      </c>
      <c r="AR76">
        <v>0</v>
      </c>
      <c r="AS76">
        <v>7494</v>
      </c>
      <c r="AT76">
        <v>-1446.6</v>
      </c>
      <c r="AU76">
        <v>0</v>
      </c>
      <c r="AW76">
        <v>0</v>
      </c>
      <c r="AX76">
        <v>0</v>
      </c>
      <c r="AY76">
        <v>40636.33</v>
      </c>
      <c r="BC76" t="s">
        <v>286</v>
      </c>
      <c r="BE76" t="s">
        <v>287</v>
      </c>
    </row>
    <row r="77" spans="1:57" x14ac:dyDescent="0.3">
      <c r="A77">
        <v>2313020794</v>
      </c>
      <c r="B77">
        <v>2313020813</v>
      </c>
      <c r="C77" t="s">
        <v>298</v>
      </c>
      <c r="D77" t="s">
        <v>79</v>
      </c>
      <c r="E77" t="s">
        <v>283</v>
      </c>
      <c r="H77" t="s">
        <v>284</v>
      </c>
      <c r="I77" t="s">
        <v>285</v>
      </c>
      <c r="J77">
        <v>100</v>
      </c>
      <c r="K77">
        <v>65400</v>
      </c>
      <c r="L77">
        <v>654</v>
      </c>
      <c r="M77">
        <v>0</v>
      </c>
      <c r="N77">
        <v>1300</v>
      </c>
      <c r="O77">
        <v>13</v>
      </c>
      <c r="P77">
        <v>1027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-200</v>
      </c>
      <c r="X77">
        <v>2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66700</v>
      </c>
      <c r="AH77">
        <v>1694</v>
      </c>
      <c r="AI77">
        <v>-200</v>
      </c>
      <c r="AJ77">
        <v>3</v>
      </c>
      <c r="AK77">
        <v>59608</v>
      </c>
      <c r="AL77">
        <v>-200</v>
      </c>
      <c r="AM77">
        <v>8510.4</v>
      </c>
      <c r="AN77">
        <v>-1836</v>
      </c>
      <c r="AO77">
        <v>0</v>
      </c>
      <c r="AP77">
        <v>1800</v>
      </c>
      <c r="AQ77">
        <v>-540</v>
      </c>
      <c r="AR77">
        <v>0</v>
      </c>
      <c r="AS77">
        <v>6710.4</v>
      </c>
      <c r="AT77">
        <v>-1296</v>
      </c>
      <c r="AU77">
        <v>0</v>
      </c>
      <c r="AW77">
        <v>0</v>
      </c>
      <c r="AX77">
        <v>0</v>
      </c>
      <c r="AY77">
        <v>40692.559999999998</v>
      </c>
      <c r="BC77" t="s">
        <v>286</v>
      </c>
      <c r="BE77" t="s">
        <v>287</v>
      </c>
    </row>
    <row r="78" spans="1:57" x14ac:dyDescent="0.3">
      <c r="A78">
        <v>2313020794</v>
      </c>
      <c r="B78">
        <v>2313020802</v>
      </c>
      <c r="C78" t="s">
        <v>282</v>
      </c>
      <c r="D78" t="s">
        <v>77</v>
      </c>
      <c r="E78" t="s">
        <v>283</v>
      </c>
      <c r="H78" t="s">
        <v>284</v>
      </c>
      <c r="I78" t="s">
        <v>285</v>
      </c>
      <c r="J78">
        <v>100</v>
      </c>
      <c r="K78">
        <v>62000</v>
      </c>
      <c r="L78">
        <v>620</v>
      </c>
      <c r="M78">
        <v>0</v>
      </c>
      <c r="N78">
        <v>600</v>
      </c>
      <c r="O78">
        <v>6</v>
      </c>
      <c r="P78">
        <v>712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-200</v>
      </c>
      <c r="X78">
        <v>2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62600</v>
      </c>
      <c r="AH78">
        <v>1338</v>
      </c>
      <c r="AI78">
        <v>-200</v>
      </c>
      <c r="AJ78">
        <v>3</v>
      </c>
      <c r="AK78">
        <v>54858</v>
      </c>
      <c r="AL78">
        <v>-200</v>
      </c>
      <c r="AM78">
        <v>9290.81</v>
      </c>
      <c r="AN78">
        <v>-2058.36</v>
      </c>
      <c r="AO78">
        <v>0</v>
      </c>
      <c r="AP78">
        <v>2040.41</v>
      </c>
      <c r="AQ78">
        <v>-612.12</v>
      </c>
      <c r="AR78">
        <v>0</v>
      </c>
      <c r="AS78">
        <v>7250.4</v>
      </c>
      <c r="AT78">
        <v>-1446.24</v>
      </c>
      <c r="AU78">
        <v>0</v>
      </c>
      <c r="AW78">
        <v>0</v>
      </c>
      <c r="AX78">
        <v>0</v>
      </c>
      <c r="AY78">
        <v>38390.269999999997</v>
      </c>
      <c r="BC78" t="s">
        <v>286</v>
      </c>
      <c r="BE78" t="s">
        <v>287</v>
      </c>
    </row>
    <row r="79" spans="1:57" x14ac:dyDescent="0.3">
      <c r="A79">
        <v>2313020794</v>
      </c>
      <c r="B79">
        <v>2313020803</v>
      </c>
      <c r="C79" t="s">
        <v>288</v>
      </c>
      <c r="D79" t="s">
        <v>78</v>
      </c>
      <c r="E79" t="s">
        <v>283</v>
      </c>
      <c r="H79" t="s">
        <v>284</v>
      </c>
      <c r="I79" t="s">
        <v>285</v>
      </c>
      <c r="J79">
        <v>100</v>
      </c>
      <c r="K79">
        <v>61500</v>
      </c>
      <c r="L79">
        <v>615</v>
      </c>
      <c r="M79">
        <v>0</v>
      </c>
      <c r="N79">
        <v>300</v>
      </c>
      <c r="O79">
        <v>3</v>
      </c>
      <c r="P79">
        <v>689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-200</v>
      </c>
      <c r="X79">
        <v>2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61800</v>
      </c>
      <c r="AH79">
        <v>1307</v>
      </c>
      <c r="AI79">
        <v>-200</v>
      </c>
      <c r="AJ79">
        <v>3</v>
      </c>
      <c r="AK79">
        <v>53948</v>
      </c>
      <c r="AL79">
        <v>-200</v>
      </c>
      <c r="AM79">
        <v>9422.81</v>
      </c>
      <c r="AN79">
        <v>-2047.56</v>
      </c>
      <c r="AO79">
        <v>0</v>
      </c>
      <c r="AP79">
        <v>2160.41</v>
      </c>
      <c r="AQ79">
        <v>-648.12</v>
      </c>
      <c r="AR79">
        <v>0</v>
      </c>
      <c r="AS79">
        <v>7262.4</v>
      </c>
      <c r="AT79">
        <v>-1399.44</v>
      </c>
      <c r="AU79">
        <v>0</v>
      </c>
      <c r="AW79">
        <v>0</v>
      </c>
      <c r="AX79">
        <v>0</v>
      </c>
      <c r="AY79">
        <v>37893.230000000003</v>
      </c>
      <c r="BC79" t="s">
        <v>286</v>
      </c>
      <c r="BE79" t="s">
        <v>287</v>
      </c>
    </row>
    <row r="80" spans="1:57" x14ac:dyDescent="0.3">
      <c r="A80">
        <v>2313020794</v>
      </c>
      <c r="B80">
        <v>2313020801</v>
      </c>
      <c r="C80" t="s">
        <v>346</v>
      </c>
      <c r="D80" t="s">
        <v>74</v>
      </c>
      <c r="E80" t="s">
        <v>283</v>
      </c>
      <c r="H80" t="s">
        <v>284</v>
      </c>
      <c r="I80" t="s">
        <v>285</v>
      </c>
      <c r="J80">
        <v>100</v>
      </c>
      <c r="K80">
        <v>56600</v>
      </c>
      <c r="L80">
        <v>566</v>
      </c>
      <c r="M80">
        <v>0</v>
      </c>
      <c r="N80">
        <v>1000</v>
      </c>
      <c r="O80">
        <v>10</v>
      </c>
      <c r="P80">
        <v>743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-100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57600</v>
      </c>
      <c r="AH80">
        <v>1319</v>
      </c>
      <c r="AI80">
        <v>-100</v>
      </c>
      <c r="AJ80">
        <v>2</v>
      </c>
      <c r="AK80">
        <v>50768</v>
      </c>
      <c r="AL80">
        <v>-100</v>
      </c>
      <c r="AM80">
        <v>8198.81</v>
      </c>
      <c r="AN80">
        <v>-1817.16</v>
      </c>
      <c r="AO80">
        <v>0</v>
      </c>
      <c r="AP80">
        <v>1980.41</v>
      </c>
      <c r="AQ80">
        <v>-594.12</v>
      </c>
      <c r="AR80">
        <v>0</v>
      </c>
      <c r="AS80">
        <v>6218.4</v>
      </c>
      <c r="AT80">
        <v>-1223.04</v>
      </c>
      <c r="AU80">
        <v>0</v>
      </c>
      <c r="AW80">
        <v>0</v>
      </c>
      <c r="AX80">
        <v>0</v>
      </c>
      <c r="AY80">
        <v>35475.71</v>
      </c>
      <c r="BC80" t="s">
        <v>286</v>
      </c>
      <c r="BE80" t="s">
        <v>287</v>
      </c>
    </row>
    <row r="81" spans="1:57" x14ac:dyDescent="0.3">
      <c r="A81">
        <v>2313020794</v>
      </c>
      <c r="B81">
        <v>2313020800</v>
      </c>
      <c r="C81" t="s">
        <v>348</v>
      </c>
      <c r="D81" t="s">
        <v>76</v>
      </c>
      <c r="E81" t="s">
        <v>283</v>
      </c>
      <c r="H81" t="s">
        <v>284</v>
      </c>
      <c r="I81" t="s">
        <v>285</v>
      </c>
      <c r="J81">
        <v>100</v>
      </c>
      <c r="K81">
        <v>29200</v>
      </c>
      <c r="L81">
        <v>292</v>
      </c>
      <c r="M81">
        <v>0</v>
      </c>
      <c r="N81">
        <v>1900</v>
      </c>
      <c r="O81">
        <v>19</v>
      </c>
      <c r="P81">
        <v>1211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-100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31100</v>
      </c>
      <c r="AH81">
        <v>1522</v>
      </c>
      <c r="AI81">
        <v>-100</v>
      </c>
      <c r="AJ81">
        <v>2</v>
      </c>
      <c r="AK81">
        <v>26738</v>
      </c>
      <c r="AL81">
        <v>-100</v>
      </c>
      <c r="AM81">
        <v>5234.8100000000004</v>
      </c>
      <c r="AN81">
        <v>-1244.76</v>
      </c>
      <c r="AO81">
        <v>0</v>
      </c>
      <c r="AP81">
        <v>1320.41</v>
      </c>
      <c r="AQ81">
        <v>-396.12</v>
      </c>
      <c r="AR81">
        <v>0</v>
      </c>
      <c r="AS81">
        <v>3914.4</v>
      </c>
      <c r="AT81">
        <v>-848.64</v>
      </c>
      <c r="AU81">
        <v>0</v>
      </c>
      <c r="AW81">
        <v>0</v>
      </c>
      <c r="AX81">
        <v>0</v>
      </c>
      <c r="AY81">
        <v>18911.23</v>
      </c>
      <c r="BC81" t="s">
        <v>286</v>
      </c>
      <c r="BE81" t="s">
        <v>287</v>
      </c>
    </row>
    <row r="82" spans="1:57" x14ac:dyDescent="0.3">
      <c r="A82">
        <v>2313020794</v>
      </c>
      <c r="B82">
        <v>2313020799</v>
      </c>
      <c r="C82" t="s">
        <v>347</v>
      </c>
      <c r="D82" t="s">
        <v>75</v>
      </c>
      <c r="E82" t="s">
        <v>283</v>
      </c>
      <c r="H82" t="s">
        <v>284</v>
      </c>
      <c r="I82" t="s">
        <v>285</v>
      </c>
      <c r="J82">
        <v>100</v>
      </c>
      <c r="K82">
        <v>28700</v>
      </c>
      <c r="L82">
        <v>287</v>
      </c>
      <c r="M82">
        <v>0</v>
      </c>
      <c r="N82">
        <v>1300</v>
      </c>
      <c r="O82">
        <v>13</v>
      </c>
      <c r="P82">
        <v>1305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-100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30000</v>
      </c>
      <c r="AH82">
        <v>1605</v>
      </c>
      <c r="AI82">
        <v>-100</v>
      </c>
      <c r="AJ82">
        <v>2</v>
      </c>
      <c r="AK82">
        <v>25488</v>
      </c>
      <c r="AL82">
        <v>-100</v>
      </c>
      <c r="AM82">
        <v>5414.81</v>
      </c>
      <c r="AN82">
        <v>-1322.76</v>
      </c>
      <c r="AO82">
        <v>0</v>
      </c>
      <c r="AP82">
        <v>1320.41</v>
      </c>
      <c r="AQ82">
        <v>-396.12</v>
      </c>
      <c r="AR82">
        <v>0</v>
      </c>
      <c r="AS82">
        <v>4094.4</v>
      </c>
      <c r="AT82">
        <v>-926.64</v>
      </c>
      <c r="AU82">
        <v>0</v>
      </c>
      <c r="AW82">
        <v>0</v>
      </c>
      <c r="AX82">
        <v>0</v>
      </c>
      <c r="AY82">
        <v>18242.43</v>
      </c>
      <c r="BC82" t="s">
        <v>286</v>
      </c>
      <c r="BE82" t="s">
        <v>287</v>
      </c>
    </row>
    <row r="83" spans="1:57" x14ac:dyDescent="0.3">
      <c r="A83">
        <v>2313020794</v>
      </c>
      <c r="B83">
        <v>2313020798</v>
      </c>
      <c r="C83" t="s">
        <v>350</v>
      </c>
      <c r="D83" t="s">
        <v>72</v>
      </c>
      <c r="E83" t="s">
        <v>283</v>
      </c>
      <c r="H83" t="s">
        <v>284</v>
      </c>
      <c r="I83" t="s">
        <v>285</v>
      </c>
      <c r="J83">
        <v>100</v>
      </c>
      <c r="K83">
        <v>28600</v>
      </c>
      <c r="L83">
        <v>286</v>
      </c>
      <c r="M83">
        <v>0</v>
      </c>
      <c r="N83">
        <v>8100</v>
      </c>
      <c r="O83">
        <v>81</v>
      </c>
      <c r="P83">
        <v>1632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-100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36700</v>
      </c>
      <c r="AH83">
        <v>1999</v>
      </c>
      <c r="AI83">
        <v>-100</v>
      </c>
      <c r="AJ83">
        <v>2</v>
      </c>
      <c r="AK83">
        <v>31848</v>
      </c>
      <c r="AL83">
        <v>-100</v>
      </c>
      <c r="AM83">
        <v>5822.81</v>
      </c>
      <c r="AN83">
        <v>-1399.56</v>
      </c>
      <c r="AO83">
        <v>0</v>
      </c>
      <c r="AP83">
        <v>1200.4100000000001</v>
      </c>
      <c r="AQ83">
        <v>-360.12</v>
      </c>
      <c r="AR83">
        <v>0</v>
      </c>
      <c r="AS83">
        <v>4622.3999999999996</v>
      </c>
      <c r="AT83">
        <v>-1039.44</v>
      </c>
      <c r="AU83">
        <v>0</v>
      </c>
      <c r="AW83">
        <v>0</v>
      </c>
      <c r="AX83">
        <v>0</v>
      </c>
      <c r="AY83">
        <v>22348.75</v>
      </c>
      <c r="BC83" t="s">
        <v>286</v>
      </c>
      <c r="BE83" t="s">
        <v>287</v>
      </c>
    </row>
    <row r="84" spans="1:57" x14ac:dyDescent="0.3">
      <c r="A84">
        <v>2313020794</v>
      </c>
      <c r="B84">
        <v>2313020797</v>
      </c>
      <c r="C84" t="s">
        <v>351</v>
      </c>
      <c r="D84" t="s">
        <v>66</v>
      </c>
      <c r="E84" t="s">
        <v>283</v>
      </c>
      <c r="H84" t="s">
        <v>284</v>
      </c>
      <c r="I84" t="s">
        <v>285</v>
      </c>
      <c r="J84">
        <v>100</v>
      </c>
      <c r="K84">
        <v>8400</v>
      </c>
      <c r="L84">
        <v>84</v>
      </c>
      <c r="M84">
        <v>0</v>
      </c>
      <c r="N84">
        <v>1800</v>
      </c>
      <c r="O84">
        <v>18</v>
      </c>
      <c r="P84">
        <v>751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-100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10200</v>
      </c>
      <c r="AH84">
        <v>853</v>
      </c>
      <c r="AI84">
        <v>-100</v>
      </c>
      <c r="AJ84">
        <v>2</v>
      </c>
      <c r="AK84">
        <v>9327</v>
      </c>
      <c r="AL84">
        <v>-100</v>
      </c>
      <c r="AM84">
        <v>1047.5999999999999</v>
      </c>
      <c r="AN84">
        <v>-252.36</v>
      </c>
      <c r="AO84">
        <v>0</v>
      </c>
      <c r="AP84">
        <v>360</v>
      </c>
      <c r="AQ84">
        <v>-108</v>
      </c>
      <c r="AR84">
        <v>0</v>
      </c>
      <c r="AS84">
        <v>687.6</v>
      </c>
      <c r="AT84">
        <v>-144.36000000000001</v>
      </c>
      <c r="AU84">
        <v>0</v>
      </c>
      <c r="AW84">
        <v>0</v>
      </c>
      <c r="AX84">
        <v>0</v>
      </c>
      <c r="AY84">
        <v>6301.74</v>
      </c>
      <c r="BC84" t="s">
        <v>286</v>
      </c>
      <c r="BE84" t="s">
        <v>287</v>
      </c>
    </row>
    <row r="85" spans="1:57" x14ac:dyDescent="0.3">
      <c r="A85">
        <v>2313020794</v>
      </c>
      <c r="B85">
        <v>2313020794</v>
      </c>
      <c r="C85" t="s">
        <v>352</v>
      </c>
      <c r="D85" t="s">
        <v>55</v>
      </c>
      <c r="E85" t="s">
        <v>283</v>
      </c>
      <c r="H85" t="s">
        <v>284</v>
      </c>
      <c r="I85" t="s">
        <v>285</v>
      </c>
      <c r="J85">
        <v>0</v>
      </c>
      <c r="K85">
        <v>0</v>
      </c>
      <c r="L85">
        <v>0</v>
      </c>
      <c r="M85">
        <v>3633</v>
      </c>
      <c r="N85">
        <v>0</v>
      </c>
      <c r="O85">
        <v>0</v>
      </c>
      <c r="P85">
        <v>707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18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4340</v>
      </c>
      <c r="AI85">
        <v>0</v>
      </c>
      <c r="AJ85">
        <v>19</v>
      </c>
      <c r="AK85">
        <v>0</v>
      </c>
      <c r="AL85">
        <v>0</v>
      </c>
      <c r="AM85">
        <v>0</v>
      </c>
      <c r="AN85">
        <v>0</v>
      </c>
      <c r="AO85">
        <v>0</v>
      </c>
      <c r="AQ85">
        <v>0</v>
      </c>
      <c r="AR85">
        <v>0</v>
      </c>
      <c r="AT85">
        <v>0</v>
      </c>
      <c r="AU85">
        <v>0</v>
      </c>
      <c r="AW85">
        <v>0</v>
      </c>
      <c r="AX85">
        <v>0</v>
      </c>
      <c r="AY85">
        <v>0</v>
      </c>
      <c r="BC85" t="s">
        <v>286</v>
      </c>
      <c r="BE85" t="s">
        <v>287</v>
      </c>
    </row>
    <row r="86" spans="1:57" x14ac:dyDescent="0.3">
      <c r="A86">
        <v>2313020794</v>
      </c>
      <c r="B86">
        <v>2313020795</v>
      </c>
      <c r="C86" t="s">
        <v>353</v>
      </c>
      <c r="D86" t="s">
        <v>62</v>
      </c>
      <c r="E86" t="s">
        <v>283</v>
      </c>
      <c r="H86" t="s">
        <v>284</v>
      </c>
      <c r="I86" t="s">
        <v>285</v>
      </c>
      <c r="J86">
        <v>0</v>
      </c>
      <c r="K86">
        <v>0</v>
      </c>
      <c r="L86">
        <v>0</v>
      </c>
      <c r="M86">
        <v>2939</v>
      </c>
      <c r="N86">
        <v>0</v>
      </c>
      <c r="O86">
        <v>0</v>
      </c>
      <c r="P86">
        <v>205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18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3144</v>
      </c>
      <c r="AI86">
        <v>0</v>
      </c>
      <c r="AJ86">
        <v>19</v>
      </c>
      <c r="AK86">
        <v>0</v>
      </c>
      <c r="AL86">
        <v>0</v>
      </c>
      <c r="AM86">
        <v>0</v>
      </c>
      <c r="AN86">
        <v>0</v>
      </c>
      <c r="AO86">
        <v>0</v>
      </c>
      <c r="AQ86">
        <v>0</v>
      </c>
      <c r="AR86">
        <v>0</v>
      </c>
      <c r="AT86">
        <v>0</v>
      </c>
      <c r="AU86">
        <v>0</v>
      </c>
      <c r="AW86">
        <v>0</v>
      </c>
      <c r="AX86">
        <v>0</v>
      </c>
      <c r="AY86">
        <v>0</v>
      </c>
      <c r="BC86" t="s">
        <v>286</v>
      </c>
      <c r="BE86" t="s">
        <v>287</v>
      </c>
    </row>
    <row r="87" spans="1:57" x14ac:dyDescent="0.3">
      <c r="A87">
        <v>2313020794</v>
      </c>
      <c r="B87">
        <v>2313020796</v>
      </c>
      <c r="C87" t="s">
        <v>354</v>
      </c>
      <c r="D87" t="s">
        <v>61</v>
      </c>
      <c r="E87" t="s">
        <v>283</v>
      </c>
      <c r="H87" t="s">
        <v>284</v>
      </c>
      <c r="I87" t="s">
        <v>285</v>
      </c>
      <c r="J87">
        <v>0</v>
      </c>
      <c r="K87">
        <v>0</v>
      </c>
      <c r="L87">
        <v>0</v>
      </c>
      <c r="M87">
        <v>2785</v>
      </c>
      <c r="N87">
        <v>0</v>
      </c>
      <c r="O87">
        <v>0</v>
      </c>
      <c r="P87">
        <v>184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18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2969</v>
      </c>
      <c r="AI87">
        <v>0</v>
      </c>
      <c r="AJ87">
        <v>19</v>
      </c>
      <c r="AK87">
        <v>0</v>
      </c>
      <c r="AL87">
        <v>0</v>
      </c>
      <c r="AM87">
        <v>0</v>
      </c>
      <c r="AN87">
        <v>0</v>
      </c>
      <c r="AO87">
        <v>0</v>
      </c>
      <c r="AQ87">
        <v>0</v>
      </c>
      <c r="AR87">
        <v>0</v>
      </c>
      <c r="AT87">
        <v>0</v>
      </c>
      <c r="AU87">
        <v>0</v>
      </c>
      <c r="AW87">
        <v>0</v>
      </c>
      <c r="AX87">
        <v>0</v>
      </c>
      <c r="AY87">
        <v>0</v>
      </c>
      <c r="BC87" t="s">
        <v>286</v>
      </c>
      <c r="BE87" t="s">
        <v>287</v>
      </c>
    </row>
    <row r="88" spans="1:57" x14ac:dyDescent="0.3">
      <c r="AY88" s="1">
        <f>SUM(AY2:AY87)</f>
        <v>4800396.919999999</v>
      </c>
    </row>
    <row r="90" spans="1:57" x14ac:dyDescent="0.3">
      <c r="A90" s="5" t="s">
        <v>48</v>
      </c>
      <c r="B90" s="6"/>
      <c r="C90" s="6"/>
      <c r="D90" s="7"/>
    </row>
    <row r="91" spans="1:57" x14ac:dyDescent="0.3">
      <c r="A91" s="8" t="s">
        <v>50</v>
      </c>
      <c r="B91" s="8" t="s">
        <v>51</v>
      </c>
      <c r="C91" s="8" t="s">
        <v>52</v>
      </c>
      <c r="D91" s="8" t="s">
        <v>53</v>
      </c>
    </row>
    <row r="92" spans="1:57" x14ac:dyDescent="0.3">
      <c r="A92" s="9">
        <v>202209</v>
      </c>
      <c r="B92" s="10">
        <v>10000000</v>
      </c>
      <c r="C92" s="11"/>
      <c r="D92" s="12">
        <f>B92-C92</f>
        <v>10000000</v>
      </c>
    </row>
    <row r="93" spans="1:57" x14ac:dyDescent="0.3">
      <c r="A93" s="9">
        <v>202210</v>
      </c>
      <c r="B93" s="10"/>
      <c r="C93" s="15">
        <v>6714039.9599999981</v>
      </c>
      <c r="D93" s="12">
        <f>D92-C93</f>
        <v>3285960.0400000019</v>
      </c>
    </row>
    <row r="94" spans="1:57" x14ac:dyDescent="0.3">
      <c r="A94" s="9">
        <v>202211</v>
      </c>
      <c r="B94" s="10"/>
      <c r="C94" s="15">
        <f>AY88</f>
        <v>4800396.919999999</v>
      </c>
      <c r="D94" s="12">
        <f>D93-C94</f>
        <v>-1514436.8799999971</v>
      </c>
      <c r="E94" t="s">
        <v>385</v>
      </c>
    </row>
    <row r="95" spans="1:57" x14ac:dyDescent="0.3">
      <c r="A95" s="8" t="s">
        <v>49</v>
      </c>
      <c r="B95" s="13">
        <f>SUM(B92:B92)</f>
        <v>10000000</v>
      </c>
      <c r="C95" s="13">
        <f>SUM(C93:C93)</f>
        <v>6714039.9599999981</v>
      </c>
      <c r="D95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 (11)</vt:lpstr>
      <vt:lpstr>솜목화&lt;친절하기는 얼어죽을&gt; MG차감내역</vt:lpstr>
      <vt:lpstr>아르곤18&lt;혐오만세&gt;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2022-12-23T07:17:32Z</dcterms:modified>
</cp:coreProperties>
</file>